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always" codeName="ThisWorkbook" defaultThemeVersion="124226"/>
  <bookViews>
    <workbookView xWindow="4770" yWindow="-255" windowWidth="9990" windowHeight="6870" tabRatio="869" activeTab="1"/>
  </bookViews>
  <sheets>
    <sheet name="metadata" sheetId="69" r:id="rId1"/>
    <sheet name="Part 1" sheetId="1" r:id="rId2"/>
    <sheet name="Part 2" sheetId="5" r:id="rId3"/>
    <sheet name="DA Summary" sheetId="70" r:id="rId4"/>
    <sheet name="Part 3" sheetId="6" r:id="rId5"/>
    <sheet name="Part 4" sheetId="24" r:id="rId6"/>
    <sheet name="Part 5" sheetId="25" r:id="rId7"/>
    <sheet name="Data" sheetId="26" state="hidden" r:id="rId8"/>
    <sheet name="TierSplit" sheetId="27" state="hidden" r:id="rId9"/>
    <sheet name="Datasheet1" sheetId="64" r:id="rId10"/>
    <sheet name="Datasheet2" sheetId="65" r:id="rId11"/>
    <sheet name="DatasheetDA" sheetId="71" r:id="rId12"/>
    <sheet name="Datasheet3" sheetId="66" r:id="rId13"/>
    <sheet name="Datasheet4" sheetId="67" r:id="rId14"/>
    <sheet name="Datasheet5" sheetId="68" r:id="rId15"/>
  </sheets>
  <externalReferences>
    <externalReference r:id="rId16"/>
    <externalReference r:id="rId17"/>
    <externalReference r:id="rId18"/>
    <externalReference r:id="rId19"/>
  </externalReferences>
  <definedNames>
    <definedName name="_xlnm._FilterDatabase" localSheetId="8" hidden="1">TierSplit!$E$5:$R$332</definedName>
    <definedName name="Adur">[1]DATA!#REF!</definedName>
    <definedName name="BRprint1">#REF!</definedName>
    <definedName name="BRprint2">#REF!</definedName>
    <definedName name="CERDATA">'[2]Section A'!#REF!</definedName>
    <definedName name="CONTACT">'Part 1'!$L$15:$P$16</definedName>
    <definedName name="datanew">Data!$A$9:$C$335</definedName>
    <definedName name="datar" localSheetId="7">Data!$A$1:$C$336</definedName>
    <definedName name="datar">Data!$A$9:$C$335</definedName>
    <definedName name="detruse">#REF!</definedName>
    <definedName name="dtlruse">#REF!</definedName>
    <definedName name="LAcodes">#REF!</definedName>
    <definedName name="LAlist">[3]Data!$B$12:$B$338</definedName>
    <definedName name="numberhered">#REF!</definedName>
    <definedName name="_xlnm.Print_Area" localSheetId="3">'DA Summary'!$A$1:$S$59</definedName>
    <definedName name="_xlnm.Print_Area" localSheetId="7">Data!$A$1:$C$334</definedName>
    <definedName name="_xlnm.Print_Area" localSheetId="1">'Part 1'!$A$1:$Y$54</definedName>
    <definedName name="_xlnm.Print_Area" localSheetId="2">'Part 2'!$A$1:$V$73</definedName>
    <definedName name="_xlnm.Print_Area" localSheetId="4">'Part 3'!$A$1:$U$205</definedName>
    <definedName name="_xlnm.Print_Area" localSheetId="5">'Part 4'!$A$1:$V$118</definedName>
    <definedName name="_xlnm.Print_Area" localSheetId="6">'Part 5'!$A$1:$AD$84</definedName>
    <definedName name="_xlnm.Print_Area">'[2]Section A'!#REF!</definedName>
    <definedName name="_xlnm.Print_Titles" localSheetId="7">Data!$1:$7</definedName>
    <definedName name="_xlnm.Print_Titles" localSheetId="1">'Part 1'!$1:$9</definedName>
    <definedName name="_xlnm.Print_Titles" localSheetId="4">'Part 3'!$1:$14</definedName>
    <definedName name="_xlnm.Print_Titles" localSheetId="5">'Part 4'!$22:$27</definedName>
    <definedName name="_xlnm.Print_Titles" localSheetId="6">'Part 5'!$1:$4</definedName>
    <definedName name="Table">[3]Data!$A$12:$C$338</definedName>
    <definedName name="table1">#REF!</definedName>
    <definedName name="tiersplit" localSheetId="8">TierSplit!$A$6:$T$331</definedName>
    <definedName name="Validation">#REF!</definedName>
    <definedName name="zzz">#REF!</definedName>
  </definedNames>
  <calcPr calcId="145621" concurrentCalc="0"/>
</workbook>
</file>

<file path=xl/calcChain.xml><?xml version="1.0" encoding="utf-8"?>
<calcChain xmlns="http://schemas.openxmlformats.org/spreadsheetml/2006/main">
  <c r="D4" i="71" l="1"/>
  <c r="D5" i="71"/>
  <c r="D6" i="71"/>
  <c r="D7" i="71"/>
  <c r="D8" i="71"/>
  <c r="D9" i="71"/>
  <c r="D10" i="71"/>
  <c r="D11" i="71"/>
  <c r="D12" i="71"/>
  <c r="D13" i="71"/>
  <c r="D14" i="71"/>
  <c r="D15" i="71"/>
  <c r="D16" i="71"/>
  <c r="D17" i="71"/>
  <c r="D18" i="71"/>
  <c r="D19" i="71"/>
  <c r="D20" i="71"/>
  <c r="D21" i="71"/>
  <c r="D22" i="71"/>
  <c r="D23" i="71"/>
  <c r="D24" i="71"/>
  <c r="D25" i="71"/>
  <c r="D26" i="71"/>
  <c r="D27" i="71"/>
  <c r="D28" i="71"/>
  <c r="D29" i="71"/>
  <c r="D30" i="71"/>
  <c r="D31" i="71"/>
  <c r="D32" i="71"/>
  <c r="D33" i="71"/>
  <c r="D34" i="71"/>
  <c r="D35" i="71"/>
  <c r="D36" i="71"/>
  <c r="D37" i="71"/>
  <c r="D38" i="71"/>
  <c r="D39" i="71"/>
  <c r="D40" i="71"/>
  <c r="D41" i="71"/>
  <c r="D42" i="71"/>
  <c r="D43" i="71"/>
  <c r="D44" i="71"/>
  <c r="D45" i="71"/>
  <c r="D46" i="71"/>
  <c r="D47" i="71"/>
  <c r="D48" i="71"/>
  <c r="D49" i="71"/>
  <c r="D50" i="71"/>
  <c r="D51" i="71"/>
  <c r="D52" i="71"/>
  <c r="D53" i="71"/>
  <c r="D54" i="71"/>
  <c r="D55" i="71"/>
  <c r="D56" i="71"/>
  <c r="D57" i="71"/>
  <c r="D58" i="71"/>
  <c r="D59" i="71"/>
  <c r="D60" i="71"/>
  <c r="D61" i="71"/>
  <c r="D62" i="71"/>
  <c r="D63" i="71"/>
  <c r="D64" i="71"/>
  <c r="D65" i="71"/>
  <c r="D66" i="71"/>
  <c r="D67" i="71"/>
  <c r="D68" i="71"/>
  <c r="D69" i="71"/>
  <c r="D70" i="71"/>
  <c r="D71" i="71"/>
  <c r="D72" i="71"/>
  <c r="D73" i="71"/>
  <c r="D74" i="71"/>
  <c r="D75" i="71"/>
  <c r="D76" i="71"/>
  <c r="D77" i="71"/>
  <c r="D78" i="71"/>
  <c r="D79" i="71"/>
  <c r="D80" i="71"/>
  <c r="D81" i="71"/>
  <c r="D82" i="71"/>
  <c r="D83" i="71"/>
  <c r="D84" i="71"/>
  <c r="D85" i="71"/>
  <c r="D86" i="71"/>
  <c r="D87" i="71"/>
  <c r="D88" i="71"/>
  <c r="D89" i="71"/>
  <c r="D90" i="71"/>
  <c r="D91" i="71"/>
  <c r="D92" i="71"/>
  <c r="D93" i="71"/>
  <c r="D94" i="71"/>
  <c r="D95" i="71"/>
  <c r="D96" i="71"/>
  <c r="D97" i="71"/>
  <c r="D98" i="71"/>
  <c r="D99" i="71"/>
  <c r="D100" i="71"/>
  <c r="D101" i="71"/>
  <c r="D102" i="71"/>
  <c r="D103" i="71"/>
  <c r="D104" i="71"/>
  <c r="D105" i="71"/>
  <c r="D106" i="71"/>
  <c r="D107" i="71"/>
  <c r="D108" i="71"/>
  <c r="D109" i="71"/>
  <c r="D110" i="71"/>
  <c r="D111" i="71"/>
  <c r="D112" i="71"/>
  <c r="D113" i="71"/>
  <c r="D114" i="71"/>
  <c r="D115" i="71"/>
  <c r="D116" i="71"/>
  <c r="D117" i="71"/>
  <c r="D118" i="71"/>
  <c r="D119" i="71"/>
  <c r="D120" i="71"/>
  <c r="D121" i="71"/>
  <c r="D122" i="71"/>
  <c r="D123" i="71"/>
  <c r="D124" i="71"/>
  <c r="D125" i="71"/>
  <c r="D126" i="71"/>
  <c r="D127" i="71"/>
  <c r="D128" i="71"/>
  <c r="D129" i="71"/>
  <c r="D130" i="71"/>
  <c r="D131" i="71"/>
  <c r="D132" i="71"/>
  <c r="D133" i="71"/>
  <c r="D134" i="71"/>
  <c r="D135" i="71"/>
  <c r="D136" i="71"/>
  <c r="D137" i="71"/>
  <c r="D138" i="71"/>
  <c r="D139" i="71"/>
  <c r="D140" i="71"/>
  <c r="D141" i="71"/>
  <c r="D142" i="71"/>
  <c r="D143" i="71"/>
  <c r="D144" i="71"/>
  <c r="D145" i="71"/>
  <c r="D146" i="71"/>
  <c r="D147" i="71"/>
  <c r="D148" i="71"/>
  <c r="D149" i="71"/>
  <c r="D150" i="71"/>
  <c r="D151" i="71"/>
  <c r="D152" i="71"/>
  <c r="D153" i="71"/>
  <c r="D154" i="71"/>
  <c r="D155" i="71"/>
  <c r="D156" i="71"/>
  <c r="AB8" i="1"/>
  <c r="E3" i="70"/>
  <c r="AC8" i="1"/>
  <c r="K3" i="71"/>
  <c r="E3" i="71"/>
  <c r="F3" i="71"/>
  <c r="G3" i="71"/>
  <c r="H3" i="71"/>
  <c r="I3" i="71"/>
  <c r="J3" i="71"/>
  <c r="D3" i="71"/>
  <c r="C3" i="70"/>
  <c r="B53" i="70"/>
  <c r="B49" i="70"/>
  <c r="B45" i="70"/>
  <c r="B41" i="70"/>
  <c r="B37" i="70"/>
  <c r="B33" i="70"/>
  <c r="B29" i="70"/>
  <c r="B27" i="70"/>
  <c r="B25" i="70"/>
  <c r="B23" i="70"/>
  <c r="B21" i="70"/>
  <c r="B19" i="70"/>
  <c r="B17" i="70"/>
  <c r="B15" i="70"/>
  <c r="B13" i="70"/>
  <c r="B52" i="70"/>
  <c r="C23" i="70"/>
  <c r="H23" i="70"/>
  <c r="P23" i="70"/>
  <c r="L23" i="70"/>
  <c r="N23" i="70"/>
  <c r="R23" i="70"/>
  <c r="E23" i="70"/>
  <c r="J23" i="70"/>
  <c r="C49" i="70"/>
  <c r="L49" i="70"/>
  <c r="H49" i="70"/>
  <c r="P49" i="70"/>
  <c r="R49" i="70"/>
  <c r="E49" i="70"/>
  <c r="J49" i="70"/>
  <c r="N49" i="70"/>
  <c r="C17" i="70"/>
  <c r="L17" i="70"/>
  <c r="H17" i="70"/>
  <c r="P17" i="70"/>
  <c r="J17" i="70"/>
  <c r="R17" i="70"/>
  <c r="E17" i="70"/>
  <c r="N17" i="70"/>
  <c r="C25" i="70"/>
  <c r="L25" i="70"/>
  <c r="H25" i="70"/>
  <c r="P25" i="70"/>
  <c r="R25" i="70"/>
  <c r="E25" i="70"/>
  <c r="J25" i="70"/>
  <c r="N25" i="70"/>
  <c r="C37" i="70"/>
  <c r="L37" i="70"/>
  <c r="H37" i="70"/>
  <c r="P37" i="70"/>
  <c r="J37" i="70"/>
  <c r="N37" i="70"/>
  <c r="R37" i="70"/>
  <c r="E37" i="70"/>
  <c r="C53" i="70"/>
  <c r="L53" i="70"/>
  <c r="H53" i="70"/>
  <c r="P53" i="70"/>
  <c r="J53" i="70"/>
  <c r="N53" i="70"/>
  <c r="R53" i="70"/>
  <c r="E53" i="70"/>
  <c r="C52" i="70"/>
  <c r="J52" i="70"/>
  <c r="R52" i="70"/>
  <c r="E52" i="70"/>
  <c r="N52" i="70"/>
  <c r="H52" i="70"/>
  <c r="L52" i="70"/>
  <c r="P52" i="70"/>
  <c r="C19" i="70"/>
  <c r="H19" i="70"/>
  <c r="P19" i="70"/>
  <c r="L19" i="70"/>
  <c r="E19" i="70"/>
  <c r="N19" i="70"/>
  <c r="J19" i="70"/>
  <c r="R19" i="70"/>
  <c r="C27" i="70"/>
  <c r="H27" i="70"/>
  <c r="P27" i="70"/>
  <c r="L27" i="70"/>
  <c r="E27" i="70"/>
  <c r="J27" i="70"/>
  <c r="N27" i="70"/>
  <c r="R27" i="70"/>
  <c r="C41" i="70"/>
  <c r="L41" i="70"/>
  <c r="H41" i="70"/>
  <c r="P41" i="70"/>
  <c r="R41" i="70"/>
  <c r="E41" i="70"/>
  <c r="J41" i="70"/>
  <c r="N41" i="70"/>
  <c r="C15" i="70"/>
  <c r="H15" i="70"/>
  <c r="P15" i="70"/>
  <c r="L15" i="70"/>
  <c r="E15" i="70"/>
  <c r="N15" i="70"/>
  <c r="J15" i="70"/>
  <c r="R15" i="70"/>
  <c r="C33" i="70"/>
  <c r="L33" i="70"/>
  <c r="H33" i="70"/>
  <c r="P33" i="70"/>
  <c r="R33" i="70"/>
  <c r="E33" i="70"/>
  <c r="J33" i="70"/>
  <c r="N33" i="70"/>
  <c r="C13" i="70"/>
  <c r="R13" i="70"/>
  <c r="J13" i="70"/>
  <c r="N13" i="70"/>
  <c r="E13" i="70"/>
  <c r="L13" i="70"/>
  <c r="H13" i="70"/>
  <c r="P13" i="70"/>
  <c r="C21" i="70"/>
  <c r="L21" i="70"/>
  <c r="H21" i="70"/>
  <c r="P21" i="70"/>
  <c r="J21" i="70"/>
  <c r="E21" i="70"/>
  <c r="N21" i="70"/>
  <c r="R21" i="70"/>
  <c r="C29" i="70"/>
  <c r="L29" i="70"/>
  <c r="H29" i="70"/>
  <c r="P29" i="70"/>
  <c r="J29" i="70"/>
  <c r="N29" i="70"/>
  <c r="R29" i="70"/>
  <c r="E29" i="70"/>
  <c r="C45" i="70"/>
  <c r="L45" i="70"/>
  <c r="H45" i="70"/>
  <c r="P45" i="70"/>
  <c r="J45" i="70"/>
  <c r="N45" i="70"/>
  <c r="R45" i="70"/>
  <c r="E45" i="70"/>
  <c r="B14" i="70"/>
  <c r="B18" i="70"/>
  <c r="B22" i="70"/>
  <c r="B26" i="70"/>
  <c r="B30" i="70"/>
  <c r="B34" i="70"/>
  <c r="B38" i="70"/>
  <c r="B42" i="70"/>
  <c r="B46" i="70"/>
  <c r="B50" i="70"/>
  <c r="B31" i="70"/>
  <c r="B35" i="70"/>
  <c r="B39" i="70"/>
  <c r="B43" i="70"/>
  <c r="B47" i="70"/>
  <c r="B51" i="70"/>
  <c r="B16" i="70"/>
  <c r="B20" i="70"/>
  <c r="B24" i="70"/>
  <c r="B28" i="70"/>
  <c r="B32" i="70"/>
  <c r="B36" i="70"/>
  <c r="B40" i="70"/>
  <c r="B44" i="70"/>
  <c r="B48" i="70"/>
  <c r="L15" i="1"/>
  <c r="C28" i="70"/>
  <c r="J28" i="70"/>
  <c r="R28" i="70"/>
  <c r="E28" i="70"/>
  <c r="N28" i="70"/>
  <c r="H28" i="70"/>
  <c r="L28" i="70"/>
  <c r="P28" i="70"/>
  <c r="C42" i="70"/>
  <c r="E42" i="70"/>
  <c r="N42" i="70"/>
  <c r="J42" i="70"/>
  <c r="R42" i="70"/>
  <c r="H42" i="70"/>
  <c r="L42" i="70"/>
  <c r="P42" i="70"/>
  <c r="C24" i="70"/>
  <c r="J24" i="70"/>
  <c r="R24" i="70"/>
  <c r="E24" i="70"/>
  <c r="N24" i="70"/>
  <c r="P24" i="70"/>
  <c r="H24" i="70"/>
  <c r="L24" i="70"/>
  <c r="C31" i="70"/>
  <c r="H31" i="70"/>
  <c r="P31" i="70"/>
  <c r="L31" i="70"/>
  <c r="N31" i="70"/>
  <c r="R31" i="70"/>
  <c r="E31" i="70"/>
  <c r="J31" i="70"/>
  <c r="C22" i="70"/>
  <c r="E22" i="70"/>
  <c r="N22" i="70"/>
  <c r="J22" i="70"/>
  <c r="R22" i="70"/>
  <c r="L22" i="70"/>
  <c r="P22" i="70"/>
  <c r="H22" i="70"/>
  <c r="C36" i="70"/>
  <c r="J36" i="70"/>
  <c r="R36" i="70"/>
  <c r="E36" i="70"/>
  <c r="N36" i="70"/>
  <c r="H36" i="70"/>
  <c r="L36" i="70"/>
  <c r="P36" i="70"/>
  <c r="C20" i="70"/>
  <c r="J20" i="70"/>
  <c r="R20" i="70"/>
  <c r="E20" i="70"/>
  <c r="N20" i="70"/>
  <c r="H20" i="70"/>
  <c r="P20" i="70"/>
  <c r="L20" i="70"/>
  <c r="C43" i="70"/>
  <c r="H43" i="70"/>
  <c r="P43" i="70"/>
  <c r="L43" i="70"/>
  <c r="E43" i="70"/>
  <c r="J43" i="70"/>
  <c r="N43" i="70"/>
  <c r="R43" i="70"/>
  <c r="C50" i="70"/>
  <c r="E50" i="70"/>
  <c r="N50" i="70"/>
  <c r="J50" i="70"/>
  <c r="R50" i="70"/>
  <c r="H50" i="70"/>
  <c r="L50" i="70"/>
  <c r="P50" i="70"/>
  <c r="C34" i="70"/>
  <c r="E34" i="70"/>
  <c r="N34" i="70"/>
  <c r="J34" i="70"/>
  <c r="R34" i="70"/>
  <c r="H34" i="70"/>
  <c r="L34" i="70"/>
  <c r="P34" i="70"/>
  <c r="C18" i="70"/>
  <c r="E18" i="70"/>
  <c r="N18" i="70"/>
  <c r="J18" i="70"/>
  <c r="R18" i="70"/>
  <c r="L18" i="70"/>
  <c r="P18" i="70"/>
  <c r="H18" i="70"/>
  <c r="C44" i="70"/>
  <c r="J44" i="70"/>
  <c r="R44" i="70"/>
  <c r="E44" i="70"/>
  <c r="N44" i="70"/>
  <c r="H44" i="70"/>
  <c r="L44" i="70"/>
  <c r="P44" i="70"/>
  <c r="C51" i="70"/>
  <c r="H51" i="70"/>
  <c r="P51" i="70"/>
  <c r="L51" i="70"/>
  <c r="E51" i="70"/>
  <c r="J51" i="70"/>
  <c r="N51" i="70"/>
  <c r="R51" i="70"/>
  <c r="C35" i="70"/>
  <c r="H35" i="70"/>
  <c r="P35" i="70"/>
  <c r="L35" i="70"/>
  <c r="E35" i="70"/>
  <c r="J35" i="70"/>
  <c r="N35" i="70"/>
  <c r="R35" i="70"/>
  <c r="C26" i="70"/>
  <c r="E26" i="70"/>
  <c r="N26" i="70"/>
  <c r="J26" i="70"/>
  <c r="R26" i="70"/>
  <c r="H26" i="70"/>
  <c r="L26" i="70"/>
  <c r="P26" i="70"/>
  <c r="C40" i="70"/>
  <c r="J40" i="70"/>
  <c r="R40" i="70"/>
  <c r="E40" i="70"/>
  <c r="N40" i="70"/>
  <c r="P40" i="70"/>
  <c r="H40" i="70"/>
  <c r="L40" i="70"/>
  <c r="C47" i="70"/>
  <c r="H47" i="70"/>
  <c r="P47" i="70"/>
  <c r="L47" i="70"/>
  <c r="N47" i="70"/>
  <c r="R47" i="70"/>
  <c r="E47" i="70"/>
  <c r="J47" i="70"/>
  <c r="C38" i="70"/>
  <c r="E38" i="70"/>
  <c r="N38" i="70"/>
  <c r="J38" i="70"/>
  <c r="R38" i="70"/>
  <c r="L38" i="70"/>
  <c r="P38" i="70"/>
  <c r="H38" i="70"/>
  <c r="C48" i="70"/>
  <c r="J48" i="70"/>
  <c r="R48" i="70"/>
  <c r="E48" i="70"/>
  <c r="N48" i="70"/>
  <c r="P48" i="70"/>
  <c r="H48" i="70"/>
  <c r="L48" i="70"/>
  <c r="C32" i="70"/>
  <c r="J32" i="70"/>
  <c r="R32" i="70"/>
  <c r="E32" i="70"/>
  <c r="N32" i="70"/>
  <c r="P32" i="70"/>
  <c r="H32" i="70"/>
  <c r="L32" i="70"/>
  <c r="C16" i="70"/>
  <c r="J16" i="70"/>
  <c r="R16" i="70"/>
  <c r="E16" i="70"/>
  <c r="N16" i="70"/>
  <c r="H16" i="70"/>
  <c r="P16" i="70"/>
  <c r="L16" i="70"/>
  <c r="C39" i="70"/>
  <c r="H39" i="70"/>
  <c r="P39" i="70"/>
  <c r="L39" i="70"/>
  <c r="N39" i="70"/>
  <c r="R39" i="70"/>
  <c r="E39" i="70"/>
  <c r="J39" i="70"/>
  <c r="C46" i="70"/>
  <c r="E46" i="70"/>
  <c r="N46" i="70"/>
  <c r="J46" i="70"/>
  <c r="R46" i="70"/>
  <c r="L46" i="70"/>
  <c r="P46" i="70"/>
  <c r="H46" i="70"/>
  <c r="C30" i="70"/>
  <c r="E30" i="70"/>
  <c r="N30" i="70"/>
  <c r="J30" i="70"/>
  <c r="R30" i="70"/>
  <c r="L30" i="70"/>
  <c r="P30" i="70"/>
  <c r="H30" i="70"/>
  <c r="C14" i="70"/>
  <c r="E14" i="70"/>
  <c r="N14" i="70"/>
  <c r="J14" i="70"/>
  <c r="R14" i="70"/>
  <c r="L14" i="70"/>
  <c r="H14" i="70"/>
  <c r="P14" i="70"/>
  <c r="L16" i="1"/>
  <c r="E6" i="70"/>
  <c r="J6" i="70"/>
  <c r="P6" i="70"/>
  <c r="H6" i="70"/>
  <c r="L6" i="70"/>
  <c r="W65" i="25"/>
  <c r="O65" i="25"/>
  <c r="S65" i="25"/>
  <c r="S13" i="25"/>
  <c r="W13" i="25"/>
  <c r="O13" i="25"/>
  <c r="K14" i="25"/>
  <c r="N6" i="70"/>
  <c r="R6" i="70"/>
  <c r="C10" i="5"/>
  <c r="C8" i="24"/>
  <c r="C10" i="6"/>
  <c r="J24" i="24"/>
  <c r="N24" i="24"/>
  <c r="R24" i="24"/>
  <c r="J6" i="27"/>
  <c r="J7" i="27"/>
  <c r="J8" i="27"/>
  <c r="J9" i="27"/>
  <c r="J10" i="27"/>
  <c r="J11" i="27"/>
  <c r="J12" i="27"/>
  <c r="J13" i="27"/>
  <c r="J14" i="27"/>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F1" i="25"/>
  <c r="G1" i="24"/>
  <c r="C7" i="25"/>
  <c r="K17" i="25"/>
  <c r="O17" i="25"/>
  <c r="S17" i="25"/>
  <c r="W17" i="25"/>
  <c r="AA17" i="25"/>
  <c r="G29" i="24"/>
  <c r="K29" i="24"/>
  <c r="O29" i="24"/>
  <c r="S29" i="24"/>
  <c r="K116" i="24"/>
  <c r="S112" i="24"/>
  <c r="O109" i="24"/>
  <c r="K107" i="24"/>
  <c r="S102" i="24"/>
  <c r="O100" i="24"/>
  <c r="K98" i="24"/>
  <c r="S93" i="24"/>
  <c r="O91" i="24"/>
  <c r="K88" i="24"/>
  <c r="S84" i="24"/>
  <c r="O81" i="24"/>
  <c r="K79" i="24"/>
  <c r="S74" i="24"/>
  <c r="O72" i="24"/>
  <c r="K70" i="24"/>
  <c r="S65" i="24"/>
  <c r="O63" i="24"/>
  <c r="K57" i="24"/>
  <c r="K54" i="24"/>
  <c r="O49" i="24"/>
  <c r="K44" i="24"/>
  <c r="K35" i="24"/>
  <c r="K19" i="24"/>
  <c r="S14" i="24"/>
  <c r="S114" i="24"/>
  <c r="O112" i="24"/>
  <c r="K109" i="24"/>
  <c r="S105" i="24"/>
  <c r="O102" i="24"/>
  <c r="K100" i="24"/>
  <c r="S95" i="24"/>
  <c r="O93" i="24"/>
  <c r="K91" i="24"/>
  <c r="S86" i="24"/>
  <c r="O84" i="24"/>
  <c r="K81" i="24"/>
  <c r="S77" i="24"/>
  <c r="O74" i="24"/>
  <c r="K72" i="24"/>
  <c r="S67" i="24"/>
  <c r="O65" i="24"/>
  <c r="K63" i="24"/>
  <c r="G59" i="24"/>
  <c r="G57" i="24"/>
  <c r="G54" i="24"/>
  <c r="K49" i="24"/>
  <c r="K42" i="24"/>
  <c r="K33" i="24"/>
  <c r="S16" i="24"/>
  <c r="O14" i="24"/>
  <c r="S116" i="24"/>
  <c r="O114" i="24"/>
  <c r="K112" i="24"/>
  <c r="S107" i="24"/>
  <c r="O105" i="24"/>
  <c r="K102" i="24"/>
  <c r="S98" i="24"/>
  <c r="O95" i="24"/>
  <c r="K93" i="24"/>
  <c r="S88" i="24"/>
  <c r="O86" i="24"/>
  <c r="K84" i="24"/>
  <c r="S79" i="24"/>
  <c r="O77" i="24"/>
  <c r="K74" i="24"/>
  <c r="S70" i="24"/>
  <c r="O67" i="24"/>
  <c r="K65" i="24"/>
  <c r="S57" i="24"/>
  <c r="S54" i="24"/>
  <c r="O51" i="24"/>
  <c r="O47" i="24"/>
  <c r="K40" i="24"/>
  <c r="S19" i="24"/>
  <c r="O16" i="24"/>
  <c r="O116" i="24"/>
  <c r="K114" i="24"/>
  <c r="S109" i="24"/>
  <c r="O107" i="24"/>
  <c r="K105" i="24"/>
  <c r="S100" i="24"/>
  <c r="O98" i="24"/>
  <c r="K95" i="24"/>
  <c r="S91" i="24"/>
  <c r="O88" i="24"/>
  <c r="K86" i="24"/>
  <c r="S81" i="24"/>
  <c r="O79" i="24"/>
  <c r="K77" i="24"/>
  <c r="S72" i="24"/>
  <c r="O70" i="24"/>
  <c r="K67" i="24"/>
  <c r="S63" i="24"/>
  <c r="O57" i="24"/>
  <c r="O54" i="24"/>
  <c r="K51" i="24"/>
  <c r="K47" i="24"/>
  <c r="K37" i="24"/>
  <c r="O19" i="24"/>
  <c r="K16" i="24"/>
  <c r="K44" i="1"/>
  <c r="K34" i="1"/>
  <c r="K42" i="1"/>
  <c r="K29" i="1"/>
  <c r="K39" i="1"/>
  <c r="O29" i="5"/>
  <c r="S32" i="5"/>
  <c r="O57" i="5"/>
  <c r="S50" i="5"/>
  <c r="K41" i="5"/>
  <c r="O32" i="5"/>
  <c r="K29" i="5"/>
  <c r="S23" i="5"/>
  <c r="O18" i="5"/>
  <c r="N125" i="6"/>
  <c r="N95" i="6"/>
  <c r="R17" i="6"/>
  <c r="R199" i="6"/>
  <c r="N197" i="6"/>
  <c r="J195" i="6"/>
  <c r="N189" i="6"/>
  <c r="J187" i="6"/>
  <c r="R179" i="6"/>
  <c r="N175" i="6"/>
  <c r="J173" i="6"/>
  <c r="R165" i="6"/>
  <c r="N162" i="6"/>
  <c r="J158" i="6"/>
  <c r="R152" i="6"/>
  <c r="N150" i="6"/>
  <c r="J146" i="6"/>
  <c r="R140" i="6"/>
  <c r="N138" i="6"/>
  <c r="J133" i="6"/>
  <c r="R117" i="6"/>
  <c r="N113" i="6"/>
  <c r="J111" i="6"/>
  <c r="R105" i="6"/>
  <c r="N101" i="6"/>
  <c r="J99" i="6"/>
  <c r="R93" i="6"/>
  <c r="N88" i="6"/>
  <c r="J84" i="6"/>
  <c r="R78" i="6"/>
  <c r="N76" i="6"/>
  <c r="J70" i="6"/>
  <c r="R64" i="6"/>
  <c r="N60" i="6"/>
  <c r="J58" i="6"/>
  <c r="R52" i="6"/>
  <c r="N48" i="6"/>
  <c r="J45" i="6"/>
  <c r="N37" i="6"/>
  <c r="J34" i="6"/>
  <c r="R27" i="6"/>
  <c r="N23" i="6"/>
  <c r="J21" i="6"/>
  <c r="S81" i="25"/>
  <c r="W79" i="25"/>
  <c r="AA77" i="25"/>
  <c r="K77" i="25"/>
  <c r="O75" i="25"/>
  <c r="S72" i="25"/>
  <c r="W70" i="25"/>
  <c r="AA68" i="25"/>
  <c r="K68" i="25"/>
  <c r="O59" i="25"/>
  <c r="S57" i="25"/>
  <c r="W55" i="25"/>
  <c r="AA53" i="25"/>
  <c r="K53" i="25"/>
  <c r="O49" i="25"/>
  <c r="S47" i="25"/>
  <c r="W45" i="25"/>
  <c r="AA43" i="25"/>
  <c r="K43" i="25"/>
  <c r="O40" i="25"/>
  <c r="S38" i="25"/>
  <c r="W34" i="25"/>
  <c r="S32" i="25"/>
  <c r="AA28" i="25"/>
  <c r="K23" i="25"/>
  <c r="O21" i="25"/>
  <c r="S55" i="5"/>
  <c r="S37" i="5"/>
  <c r="K32" i="5"/>
  <c r="O23" i="5"/>
  <c r="R201" i="6"/>
  <c r="N199" i="6"/>
  <c r="J197" i="6"/>
  <c r="R193" i="6"/>
  <c r="N191" i="6"/>
  <c r="J189" i="6"/>
  <c r="R185" i="6"/>
  <c r="N179" i="6"/>
  <c r="J175" i="6"/>
  <c r="R169" i="6"/>
  <c r="N165" i="6"/>
  <c r="J162" i="6"/>
  <c r="R156" i="6"/>
  <c r="N152" i="6"/>
  <c r="J150" i="6"/>
  <c r="R144" i="6"/>
  <c r="N140" i="6"/>
  <c r="J138" i="6"/>
  <c r="J130" i="6"/>
  <c r="J125" i="6"/>
  <c r="R119" i="6"/>
  <c r="N117" i="6"/>
  <c r="J113" i="6"/>
  <c r="R107" i="6"/>
  <c r="N105" i="6"/>
  <c r="J101" i="6"/>
  <c r="R95" i="6"/>
  <c r="N93" i="6"/>
  <c r="J88" i="6"/>
  <c r="R82" i="6"/>
  <c r="N78" i="6"/>
  <c r="J76" i="6"/>
  <c r="R66" i="6"/>
  <c r="N64" i="6"/>
  <c r="J60" i="6"/>
  <c r="R54" i="6"/>
  <c r="N52" i="6"/>
  <c r="J48" i="6"/>
  <c r="R42" i="6"/>
  <c r="N40" i="6"/>
  <c r="J37" i="6"/>
  <c r="N27" i="6"/>
  <c r="J23" i="6"/>
  <c r="R19" i="6"/>
  <c r="O81" i="25"/>
  <c r="S79" i="25"/>
  <c r="W77" i="25"/>
  <c r="AA75" i="25"/>
  <c r="K75" i="25"/>
  <c r="O72" i="25"/>
  <c r="S70" i="25"/>
  <c r="W68" i="25"/>
  <c r="AA59" i="25"/>
  <c r="K59" i="25"/>
  <c r="O57" i="25"/>
  <c r="S55" i="25"/>
  <c r="W53" i="25"/>
  <c r="AA49" i="25"/>
  <c r="K49" i="25"/>
  <c r="O47" i="25"/>
  <c r="S45" i="25"/>
  <c r="W43" i="25"/>
  <c r="AA40" i="25"/>
  <c r="K40" i="25"/>
  <c r="O38" i="25"/>
  <c r="S34" i="25"/>
  <c r="O32" i="25"/>
  <c r="O28" i="25"/>
  <c r="AA21" i="25"/>
  <c r="S35" i="5"/>
  <c r="S59" i="5"/>
  <c r="O50" i="5"/>
  <c r="O35" i="5"/>
  <c r="O55" i="5"/>
  <c r="S41" i="5"/>
  <c r="O37" i="5"/>
  <c r="K35" i="5"/>
  <c r="S29" i="5"/>
  <c r="O27" i="5"/>
  <c r="K23" i="5"/>
  <c r="N201" i="6"/>
  <c r="J199" i="6"/>
  <c r="R195" i="6"/>
  <c r="N193" i="6"/>
  <c r="J191" i="6"/>
  <c r="R187" i="6"/>
  <c r="N185" i="6"/>
  <c r="J179" i="6"/>
  <c r="R173" i="6"/>
  <c r="N169" i="6"/>
  <c r="J165" i="6"/>
  <c r="R158" i="6"/>
  <c r="N156" i="6"/>
  <c r="J152" i="6"/>
  <c r="R146" i="6"/>
  <c r="N144" i="6"/>
  <c r="J140" i="6"/>
  <c r="R133" i="6"/>
  <c r="R123" i="6"/>
  <c r="N119" i="6"/>
  <c r="J117" i="6"/>
  <c r="R111" i="6"/>
  <c r="N107" i="6"/>
  <c r="J105" i="6"/>
  <c r="R99" i="6"/>
  <c r="J93" i="6"/>
  <c r="R84" i="6"/>
  <c r="N82" i="6"/>
  <c r="J78" i="6"/>
  <c r="R70" i="6"/>
  <c r="N66" i="6"/>
  <c r="J64" i="6"/>
  <c r="R58" i="6"/>
  <c r="N54" i="6"/>
  <c r="J52" i="6"/>
  <c r="R45" i="6"/>
  <c r="N42" i="6"/>
  <c r="J40" i="6"/>
  <c r="N32" i="6"/>
  <c r="J27" i="6"/>
  <c r="R21" i="6"/>
  <c r="N19" i="6"/>
  <c r="AA81" i="25"/>
  <c r="K81" i="25"/>
  <c r="O79" i="25"/>
  <c r="S77" i="25"/>
  <c r="W75" i="25"/>
  <c r="AA72" i="25"/>
  <c r="K72" i="25"/>
  <c r="O70" i="25"/>
  <c r="S68" i="25"/>
  <c r="W59" i="25"/>
  <c r="AA57" i="25"/>
  <c r="K57" i="25"/>
  <c r="O55" i="25"/>
  <c r="S53" i="25"/>
  <c r="W49" i="25"/>
  <c r="AA47" i="25"/>
  <c r="K47" i="25"/>
  <c r="O45" i="25"/>
  <c r="S43" i="25"/>
  <c r="W40" i="25"/>
  <c r="AA38" i="25"/>
  <c r="K38" i="25"/>
  <c r="O34" i="25"/>
  <c r="AA30" i="25"/>
  <c r="K25" i="25"/>
  <c r="W21" i="25"/>
  <c r="K36" i="1"/>
  <c r="K32" i="1"/>
  <c r="K55" i="5"/>
  <c r="K27" i="5"/>
  <c r="N128" i="6"/>
  <c r="N17" i="6"/>
  <c r="J201" i="6"/>
  <c r="R197" i="6"/>
  <c r="N195" i="6"/>
  <c r="J193" i="6"/>
  <c r="R189" i="6"/>
  <c r="N187" i="6"/>
  <c r="J185" i="6"/>
  <c r="R175" i="6"/>
  <c r="N173" i="6"/>
  <c r="J169" i="6"/>
  <c r="R162" i="6"/>
  <c r="N158" i="6"/>
  <c r="J156" i="6"/>
  <c r="R150" i="6"/>
  <c r="N146" i="6"/>
  <c r="J144" i="6"/>
  <c r="R138" i="6"/>
  <c r="N133" i="6"/>
  <c r="R125" i="6"/>
  <c r="J119" i="6"/>
  <c r="R113" i="6"/>
  <c r="N111" i="6"/>
  <c r="J107" i="6"/>
  <c r="R101" i="6"/>
  <c r="N99" i="6"/>
  <c r="J95" i="6"/>
  <c r="R88" i="6"/>
  <c r="N84" i="6"/>
  <c r="J82" i="6"/>
  <c r="R76" i="6"/>
  <c r="N70" i="6"/>
  <c r="J66" i="6"/>
  <c r="R60" i="6"/>
  <c r="N58" i="6"/>
  <c r="J54" i="6"/>
  <c r="R48" i="6"/>
  <c r="N45" i="6"/>
  <c r="J42" i="6"/>
  <c r="N34" i="6"/>
  <c r="J32" i="6"/>
  <c r="R23" i="6"/>
  <c r="N21" i="6"/>
  <c r="J19" i="6"/>
  <c r="K21" i="25"/>
  <c r="W81" i="25"/>
  <c r="AA79" i="25"/>
  <c r="K79" i="25"/>
  <c r="O77" i="25"/>
  <c r="S75" i="25"/>
  <c r="W72" i="25"/>
  <c r="AA70" i="25"/>
  <c r="K70" i="25"/>
  <c r="O68" i="25"/>
  <c r="S59" i="25"/>
  <c r="W57" i="25"/>
  <c r="AA55" i="25"/>
  <c r="K55" i="25"/>
  <c r="O53" i="25"/>
  <c r="S49" i="25"/>
  <c r="W47" i="25"/>
  <c r="AA45" i="25"/>
  <c r="K45" i="25"/>
  <c r="O43" i="25"/>
  <c r="S40" i="25"/>
  <c r="W38" i="25"/>
  <c r="AA34" i="25"/>
  <c r="AA32" i="25"/>
  <c r="O30" i="25"/>
  <c r="AA23" i="25"/>
  <c r="S21" i="25"/>
  <c r="K48" i="1"/>
  <c r="K14" i="24"/>
  <c r="O41" i="5"/>
  <c r="R191" i="6"/>
  <c r="S57" i="5"/>
  <c r="K27" i="1"/>
  <c r="S59" i="24"/>
  <c r="K59" i="24"/>
  <c r="R37" i="6"/>
  <c r="R34" i="6"/>
  <c r="R32" i="6"/>
  <c r="O59" i="24"/>
  <c r="J17" i="6"/>
  <c r="N123" i="6"/>
  <c r="J123" i="6"/>
  <c r="K50" i="1"/>
  <c r="K51" i="1"/>
  <c r="R40" i="6"/>
  <c r="K22" i="1"/>
  <c r="S71" i="5"/>
  <c r="S64" i="5"/>
  <c r="K18" i="5"/>
  <c r="S69" i="5"/>
  <c r="S18" i="5"/>
  <c r="K37" i="5"/>
  <c r="O59" i="5"/>
  <c r="S27" i="5"/>
  <c r="U27" i="5"/>
  <c r="AA48" i="1"/>
  <c r="AC48" i="1"/>
  <c r="K53" i="1"/>
  <c r="AA34" i="1"/>
  <c r="AC34" i="1"/>
  <c r="AE34" i="1"/>
  <c r="AG34" i="1"/>
  <c r="AE48" i="1"/>
  <c r="AG48" i="1"/>
</calcChain>
</file>

<file path=xl/sharedStrings.xml><?xml version="1.0" encoding="utf-8"?>
<sst xmlns="http://schemas.openxmlformats.org/spreadsheetml/2006/main" count="12486" uniqueCount="1492">
  <si>
    <t>PART 2: COLLECTIBLE RATES AND DISREGARDED AMOUNTS</t>
  </si>
  <si>
    <t>Partially occupied hereditaments</t>
  </si>
  <si>
    <t>Empty premises</t>
  </si>
  <si>
    <t>"New Empty" properties</t>
  </si>
  <si>
    <t xml:space="preserve">This section shows the sums due to the billing authority, central government and major precepting authorities, along with the various accounting entries each authority will need to complete its financial statements. </t>
  </si>
  <si>
    <t>Column 5</t>
  </si>
  <si>
    <t>Central
Government</t>
  </si>
  <si>
    <t>Total</t>
  </si>
  <si>
    <t xml:space="preserve">1. Non-domestic rating income from rates retention scheme </t>
  </si>
  <si>
    <t>2. (less) qualifying relief in Enterprise Zones</t>
  </si>
  <si>
    <t>4. add: cost of collection allowance</t>
  </si>
  <si>
    <t>Balance Sheet</t>
  </si>
  <si>
    <t>Sums receivable / payable (ratepayers)</t>
  </si>
  <si>
    <t>Appeal adjustment</t>
  </si>
  <si>
    <t>Provision for appeals</t>
  </si>
  <si>
    <t>TRANSITIONAL PROTECTION PAYMENTS</t>
  </si>
  <si>
    <t>Cost of collection</t>
  </si>
  <si>
    <t>Renewable Energy Schemes</t>
  </si>
  <si>
    <t>SECTION 31 GRANTS</t>
  </si>
  <si>
    <t>Small Business Rates Relief scheme</t>
  </si>
  <si>
    <t>£</t>
  </si>
  <si>
    <t>Authority Name</t>
  </si>
  <si>
    <t>E-code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</si>
  <si>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</si>
  <si>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</si>
  <si>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</si>
  <si>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</si>
  <si>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</si>
  <si>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</si>
  <si>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</si>
  <si>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</si>
  <si>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</si>
  <si>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</si>
  <si>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</si>
  <si>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</si>
  <si>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</si>
  <si>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</si>
  <si>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</si>
  <si>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</si>
  <si>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</si>
  <si>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</si>
  <si>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</si>
  <si>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PART 3: RELIEFS</t>
  </si>
  <si>
    <t xml:space="preserve">of which: </t>
  </si>
  <si>
    <t xml:space="preserve">Select your local authority's name from this list: </t>
  </si>
  <si>
    <t>HARDSHIP RELIEF</t>
  </si>
  <si>
    <t>PART 5: ACCOUNTING SUMMARY</t>
  </si>
  <si>
    <t>Flooding relief</t>
  </si>
  <si>
    <t>COLLECTIBLE RATES</t>
  </si>
  <si>
    <t>COST OF COLLECTION (See Note A)</t>
  </si>
  <si>
    <r>
      <t>DEBTORS AND PRE-PAYMENTS</t>
    </r>
    <r>
      <rPr>
        <sz val="12"/>
        <rFont val="Arial"/>
        <family val="2"/>
      </rPr>
      <t xml:space="preserve"> (See Note D)</t>
    </r>
  </si>
  <si>
    <r>
      <t>Qualifying relief in Enterprise Zones</t>
    </r>
    <r>
      <rPr>
        <sz val="12"/>
        <rFont val="Arial"/>
        <family val="2"/>
      </rPr>
      <t xml:space="preserve"> (See Note L)</t>
    </r>
  </si>
  <si>
    <t>Designated Areas</t>
  </si>
  <si>
    <t>BA Area (exc. Designated Areas)
(exc. NDD &amp; EZ)</t>
  </si>
  <si>
    <t>BA Area (exc. Designated Areas)</t>
  </si>
  <si>
    <t>5. Net cost of transitional arrangments</t>
  </si>
  <si>
    <t>RECONCILIATION</t>
  </si>
  <si>
    <t>(Less):</t>
  </si>
  <si>
    <t>Transitional Relief</t>
  </si>
  <si>
    <t>Mandatory Reliefs</t>
  </si>
  <si>
    <t>Hardship Relief</t>
  </si>
  <si>
    <t>Gross Rates Payable by Ratepayers</t>
  </si>
  <si>
    <t>Net Rates Payable by Ratepayers</t>
  </si>
  <si>
    <t>NET RATES PAYABLE BY RATEPAYERS</t>
  </si>
  <si>
    <t xml:space="preserve">COLLECTIBLE RATES </t>
  </si>
  <si>
    <t>ACCOUNTING ADJUSTMENTS</t>
  </si>
  <si>
    <t>Losses On Collection</t>
  </si>
  <si>
    <t>Losses on Appeal</t>
  </si>
  <si>
    <t>10. sums retained by billing authority</t>
  </si>
  <si>
    <t>11. sums retained by major precepting authority</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</si>
  <si>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</si>
  <si>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</si>
  <si>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</si>
  <si>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</si>
  <si>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</si>
  <si>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</si>
  <si>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</si>
  <si>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</si>
  <si>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</si>
  <si>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</si>
  <si>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</si>
  <si>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</si>
  <si>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</si>
  <si>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</si>
  <si>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</si>
  <si>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</si>
  <si>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</si>
  <si>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Unoccupied Property Relief</t>
  </si>
  <si>
    <t>No.</t>
  </si>
  <si>
    <t>Local Authority</t>
  </si>
  <si>
    <t>Ecodes</t>
  </si>
  <si>
    <t>Relief given to Case A hereditaments</t>
  </si>
  <si>
    <t>Relief given to Case B hereditaments</t>
  </si>
  <si>
    <t>Adur</t>
  </si>
  <si>
    <t>E3831</t>
  </si>
  <si>
    <t>Allerdale</t>
  </si>
  <si>
    <t>E0931</t>
  </si>
  <si>
    <t>Amber Valley</t>
  </si>
  <si>
    <t>E1031</t>
  </si>
  <si>
    <t>Arun</t>
  </si>
  <si>
    <t>E3832</t>
  </si>
  <si>
    <t>Ashfield</t>
  </si>
  <si>
    <t>E3031</t>
  </si>
  <si>
    <t>Ashford</t>
  </si>
  <si>
    <t>E2231</t>
  </si>
  <si>
    <t>Aylesbury Vale</t>
  </si>
  <si>
    <t>E0431</t>
  </si>
  <si>
    <t>Babergh</t>
  </si>
  <si>
    <t>E3531</t>
  </si>
  <si>
    <t>Barking and Dagenham</t>
  </si>
  <si>
    <t>E5030</t>
  </si>
  <si>
    <t>Barnet</t>
  </si>
  <si>
    <t>E5031</t>
  </si>
  <si>
    <t>Barnsley</t>
  </si>
  <si>
    <t>E4401</t>
  </si>
  <si>
    <t>Barrow-in-Furness</t>
  </si>
  <si>
    <t>E0932</t>
  </si>
  <si>
    <t>Basildon</t>
  </si>
  <si>
    <t>E1531</t>
  </si>
  <si>
    <t>Basingstoke &amp; Deane</t>
  </si>
  <si>
    <t>E1731</t>
  </si>
  <si>
    <t>Bassetlaw</t>
  </si>
  <si>
    <t>E3032</t>
  </si>
  <si>
    <t>Bath &amp; North East Somerset</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</si>
  <si>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</si>
  <si>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</si>
  <si>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</si>
  <si>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</si>
  <si>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</si>
  <si>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</si>
  <si>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</si>
  <si>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</si>
  <si>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</si>
  <si>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</si>
  <si>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</si>
  <si>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</si>
  <si>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</si>
  <si>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</si>
  <si>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</si>
  <si>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</si>
  <si>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</si>
  <si>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</si>
  <si>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</si>
  <si>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Bournemouth</t>
  </si>
  <si>
    <t>E1202</t>
  </si>
  <si>
    <t>Bracknell Forest</t>
  </si>
  <si>
    <t>E0301</t>
  </si>
  <si>
    <t>Bradford</t>
  </si>
  <si>
    <t>E4701</t>
  </si>
  <si>
    <t>Braintree</t>
  </si>
  <si>
    <t>E1532</t>
  </si>
  <si>
    <t>Breckland</t>
  </si>
  <si>
    <t>E2631</t>
  </si>
  <si>
    <t>Brent</t>
  </si>
  <si>
    <t>E5033</t>
  </si>
  <si>
    <t>Brentwood</t>
  </si>
  <si>
    <t>E1533</t>
  </si>
  <si>
    <t>Brighton &amp; Hove</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</si>
  <si>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</si>
  <si>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</si>
  <si>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</si>
  <si>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</si>
  <si>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</si>
  <si>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</si>
  <si>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</si>
  <si>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</si>
  <si>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</si>
  <si>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</si>
  <si>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</si>
  <si>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</si>
  <si>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</si>
  <si>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</si>
  <si>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</si>
  <si>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</si>
  <si>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</si>
  <si>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</si>
  <si>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</si>
  <si>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</si>
  <si>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</si>
  <si>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</si>
  <si>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</si>
  <si>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</si>
  <si>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</si>
  <si>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</si>
  <si>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</si>
  <si>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</si>
  <si>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</si>
  <si>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</si>
  <si>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</si>
  <si>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Central Bedfordshire UA</t>
  </si>
  <si>
    <t>E0203</t>
  </si>
  <si>
    <t>Charnwood</t>
  </si>
  <si>
    <t>E2432</t>
  </si>
  <si>
    <t>Chelmsford</t>
  </si>
  <si>
    <t>E1535</t>
  </si>
  <si>
    <t>Cheltenham</t>
  </si>
  <si>
    <t>E1631</t>
  </si>
  <si>
    <t>Cherwell</t>
  </si>
  <si>
    <t>E3131</t>
  </si>
  <si>
    <t>Cheshire East UA</t>
  </si>
  <si>
    <t>E0603</t>
  </si>
  <si>
    <t>Cheshire West &amp; Chester UA</t>
  </si>
  <si>
    <t>E0604</t>
  </si>
  <si>
    <t>Chesterfield</t>
  </si>
  <si>
    <t>E1033</t>
  </si>
  <si>
    <t>Chichester</t>
  </si>
  <si>
    <t>E3833</t>
  </si>
  <si>
    <t>Chiltern</t>
  </si>
  <si>
    <t>E0432</t>
  </si>
  <si>
    <t>Chorley</t>
  </si>
  <si>
    <t>E2334</t>
  </si>
  <si>
    <t>Christchurch</t>
  </si>
  <si>
    <t>E1232</t>
  </si>
  <si>
    <t>City of London</t>
  </si>
  <si>
    <t>E5010</t>
  </si>
  <si>
    <t>Colchester</t>
  </si>
  <si>
    <t>E1536</t>
  </si>
  <si>
    <t>Copeland</t>
  </si>
  <si>
    <t>E0934</t>
  </si>
  <si>
    <t>Corby</t>
  </si>
  <si>
    <t>E2831</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</si>
  <si>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</si>
  <si>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</si>
  <si>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</si>
  <si>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</si>
  <si>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</si>
  <si>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</si>
  <si>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</si>
  <si>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</si>
  <si>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</si>
  <si>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</si>
  <si>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</si>
  <si>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</si>
  <si>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</si>
  <si>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</si>
  <si>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</si>
  <si>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</si>
  <si>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</si>
  <si>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</si>
  <si>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Daventry</t>
  </si>
  <si>
    <t>E2832</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</si>
  <si>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</si>
  <si>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</si>
  <si>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</si>
  <si>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</si>
  <si>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</si>
  <si>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</si>
  <si>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</si>
  <si>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</si>
  <si>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</si>
  <si>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</si>
  <si>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</si>
  <si>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</si>
  <si>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</si>
  <si>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</si>
  <si>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</si>
  <si>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</si>
  <si>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</si>
  <si>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</si>
  <si>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Dorset</t>
  </si>
  <si>
    <t>E1233</t>
  </si>
  <si>
    <t>East Hampshire</t>
  </si>
  <si>
    <t>E1732</t>
  </si>
  <si>
    <t>East Hertfordshire</t>
  </si>
  <si>
    <t>E1933</t>
  </si>
  <si>
    <t>East Lindsey</t>
  </si>
  <si>
    <t>E2532</t>
  </si>
  <si>
    <t>East Northamptonshire</t>
  </si>
  <si>
    <t>E2833</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</si>
  <si>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</si>
  <si>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</si>
  <si>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</si>
  <si>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</si>
  <si>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</si>
  <si>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</si>
  <si>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</si>
  <si>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</si>
  <si>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</si>
  <si>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</si>
  <si>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</si>
  <si>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</si>
  <si>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</si>
  <si>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</si>
  <si>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</si>
  <si>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</si>
  <si>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Epsom &amp; Ewell</t>
  </si>
  <si>
    <t>E3632</t>
  </si>
  <si>
    <t>Erewash</t>
  </si>
  <si>
    <t>E1036</t>
  </si>
  <si>
    <t>Exeter</t>
  </si>
  <si>
    <t>E1132</t>
  </si>
  <si>
    <t>Fareham</t>
  </si>
  <si>
    <t>E1734</t>
  </si>
  <si>
    <t>Fenland</t>
  </si>
  <si>
    <t>E0533</t>
  </si>
  <si>
    <t>Forest Heath</t>
  </si>
  <si>
    <t>E3532</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</si>
  <si>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</si>
  <si>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</si>
  <si>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</si>
  <si>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</si>
  <si>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</si>
  <si>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</si>
  <si>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</si>
  <si>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</si>
  <si>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</si>
  <si>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</si>
  <si>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</si>
  <si>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</si>
  <si>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</si>
  <si>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</si>
  <si>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</si>
  <si>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</si>
  <si>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</si>
  <si>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</si>
  <si>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</si>
  <si>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</si>
  <si>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</si>
  <si>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</si>
  <si>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</si>
  <si>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</si>
  <si>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</si>
  <si>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</si>
  <si>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</si>
  <si>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</si>
  <si>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</si>
  <si>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</si>
  <si>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</si>
  <si>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</si>
  <si>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</si>
  <si>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</si>
  <si>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</si>
  <si>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</si>
  <si>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</si>
  <si>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</si>
  <si>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</si>
  <si>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</si>
  <si>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</si>
  <si>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</si>
  <si>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</si>
  <si>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</si>
  <si>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</si>
  <si>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</si>
  <si>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</si>
  <si>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</si>
  <si>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</si>
  <si>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</si>
  <si>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</si>
  <si>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</si>
  <si>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</si>
  <si>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</si>
  <si>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</si>
  <si>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</si>
  <si>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</si>
  <si>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</si>
  <si>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</si>
  <si>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</si>
  <si>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</si>
  <si>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</si>
  <si>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</si>
  <si>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</si>
  <si>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</si>
  <si>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</si>
  <si>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</si>
  <si>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</si>
  <si>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Isle of Wight Council</t>
  </si>
  <si>
    <t>E2101</t>
  </si>
  <si>
    <t>Isles of Scilly</t>
  </si>
  <si>
    <t>E4001</t>
  </si>
  <si>
    <t>Islington</t>
  </si>
  <si>
    <t>E5015</t>
  </si>
  <si>
    <t>Kensington and Chelsea</t>
  </si>
  <si>
    <t>E5016</t>
  </si>
  <si>
    <t>Kettering</t>
  </si>
  <si>
    <t>E2834</t>
  </si>
  <si>
    <t>Kings Lynn and West Norfolk</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</si>
  <si>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</si>
  <si>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</si>
  <si>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</si>
  <si>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</si>
  <si>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</si>
  <si>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</si>
  <si>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</si>
  <si>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</si>
  <si>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</si>
  <si>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</si>
  <si>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</si>
  <si>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</si>
  <si>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</si>
  <si>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</si>
  <si>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</si>
  <si>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</si>
  <si>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</si>
  <si>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</si>
  <si>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</si>
  <si>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</si>
  <si>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</si>
  <si>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</si>
  <si>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</si>
  <si>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</si>
  <si>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</si>
  <si>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</si>
  <si>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</si>
  <si>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</si>
  <si>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</si>
  <si>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</si>
  <si>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</si>
  <si>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</si>
  <si>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</si>
  <si>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</si>
  <si>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</si>
  <si>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</si>
  <si>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</si>
  <si>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</si>
  <si>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</si>
  <si>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</si>
  <si>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</si>
  <si>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</si>
  <si>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</si>
  <si>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</si>
  <si>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</si>
  <si>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</si>
  <si>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</si>
  <si>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</si>
  <si>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</si>
  <si>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</si>
  <si>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</si>
  <si>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</si>
  <si>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</si>
  <si>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</si>
  <si>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</si>
  <si>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</si>
  <si>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</si>
  <si>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</si>
  <si>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</si>
  <si>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</si>
  <si>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</si>
  <si>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</si>
  <si>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</si>
  <si>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Newcastle-upon-Tyne</t>
  </si>
  <si>
    <t>E4502</t>
  </si>
  <si>
    <t>Newcastle-under-Lyme</t>
  </si>
  <si>
    <t>E3434</t>
  </si>
  <si>
    <t>Newham</t>
  </si>
  <si>
    <t>E5045</t>
  </si>
  <si>
    <t>North Devon</t>
  </si>
  <si>
    <t>E1134</t>
  </si>
  <si>
    <t>North Dorset</t>
  </si>
  <si>
    <t>E1234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</si>
  <si>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</si>
  <si>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</si>
  <si>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</si>
  <si>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</si>
  <si>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</si>
  <si>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</si>
  <si>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</si>
  <si>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</si>
  <si>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</si>
  <si>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</si>
  <si>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</si>
  <si>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</si>
  <si>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</si>
  <si>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</si>
  <si>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</si>
  <si>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</si>
  <si>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</si>
  <si>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</si>
  <si>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</si>
  <si>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</si>
  <si>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Northampton</t>
  </si>
  <si>
    <t>E2835</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</si>
  <si>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</si>
  <si>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</si>
  <si>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</si>
  <si>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</si>
  <si>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</si>
  <si>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</si>
  <si>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</si>
  <si>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</si>
  <si>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</si>
  <si>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</si>
  <si>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</si>
  <si>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</si>
  <si>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</si>
  <si>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</si>
  <si>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</si>
  <si>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</si>
  <si>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</si>
  <si>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</si>
  <si>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</si>
  <si>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</si>
  <si>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Poole</t>
  </si>
  <si>
    <t>E1201</t>
  </si>
  <si>
    <t>Portsmouth</t>
  </si>
  <si>
    <t>E1701</t>
  </si>
  <si>
    <t>Preston</t>
  </si>
  <si>
    <t>E2339</t>
  </si>
  <si>
    <t>Purbeck</t>
  </si>
  <si>
    <t>E1236</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</si>
  <si>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</si>
  <si>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</si>
  <si>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</si>
  <si>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</si>
  <si>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</si>
  <si>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</si>
  <si>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</si>
  <si>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</si>
  <si>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</si>
  <si>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</si>
  <si>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</si>
  <si>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</si>
  <si>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</si>
  <si>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</si>
  <si>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</si>
  <si>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</si>
  <si>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</si>
  <si>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</si>
  <si>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</si>
  <si>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</si>
  <si>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</si>
  <si>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</si>
  <si>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</si>
  <si>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</si>
  <si>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</si>
  <si>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</si>
  <si>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</si>
  <si>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</si>
  <si>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</si>
  <si>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</si>
  <si>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</si>
  <si>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</si>
  <si>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</si>
  <si>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</si>
  <si>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</si>
  <si>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</si>
  <si>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</si>
  <si>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</si>
  <si>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</si>
  <si>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</si>
  <si>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</si>
  <si>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</si>
  <si>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</si>
  <si>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</si>
  <si>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</si>
  <si>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</si>
  <si>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</si>
  <si>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</si>
  <si>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</si>
  <si>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</si>
  <si>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</si>
  <si>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</si>
  <si>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</si>
  <si>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</si>
  <si>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Shepway</t>
  </si>
  <si>
    <t>E2240</t>
  </si>
  <si>
    <t>Shropshire UA</t>
  </si>
  <si>
    <t>E3202</t>
  </si>
  <si>
    <t>Slough</t>
  </si>
  <si>
    <t>E0304</t>
  </si>
  <si>
    <t>Solihull</t>
  </si>
  <si>
    <t>E4605</t>
  </si>
  <si>
    <t>South Bucks</t>
  </si>
  <si>
    <t>E0434</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</si>
  <si>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</si>
  <si>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</si>
  <si>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</si>
  <si>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</si>
  <si>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</si>
  <si>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</si>
  <si>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</si>
  <si>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</si>
  <si>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</si>
  <si>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</si>
  <si>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</si>
  <si>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</si>
  <si>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</si>
  <si>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</si>
  <si>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</si>
  <si>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</si>
  <si>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</si>
  <si>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</si>
  <si>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</si>
  <si>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</si>
  <si>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</si>
  <si>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</si>
  <si>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</si>
  <si>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</si>
  <si>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</si>
  <si>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</si>
  <si>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</si>
  <si>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</si>
  <si>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</si>
  <si>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</si>
  <si>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</si>
  <si>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</si>
  <si>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</si>
  <si>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</si>
  <si>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</si>
  <si>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</si>
  <si>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</si>
  <si>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</si>
  <si>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St Edmundsbury</t>
  </si>
  <si>
    <t>E3535</t>
  </si>
  <si>
    <t>St Helens</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</si>
  <si>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</si>
  <si>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</si>
  <si>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</si>
  <si>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</si>
  <si>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</si>
  <si>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</si>
  <si>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</si>
  <si>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</si>
  <si>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</si>
  <si>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</si>
  <si>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</si>
  <si>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</si>
  <si>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</si>
  <si>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</si>
  <si>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</si>
  <si>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</si>
  <si>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</si>
  <si>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Suffolk Coastal</t>
  </si>
  <si>
    <t>E3536</t>
  </si>
  <si>
    <t>Sunderland</t>
  </si>
  <si>
    <t>E4505</t>
  </si>
  <si>
    <t>Surrey Heath</t>
  </si>
  <si>
    <t>E3638</t>
  </si>
  <si>
    <t>Sutton</t>
  </si>
  <si>
    <t>E5048</t>
  </si>
  <si>
    <t>Swale</t>
  </si>
  <si>
    <t>E2241</t>
  </si>
  <si>
    <t>Swindon</t>
  </si>
  <si>
    <t>E3901</t>
  </si>
  <si>
    <t>Tameside</t>
  </si>
  <si>
    <t>E4208</t>
  </si>
  <si>
    <t>Tamworth</t>
  </si>
  <si>
    <t>E3439</t>
  </si>
  <si>
    <t>Tandridge</t>
  </si>
  <si>
    <t>E3639</t>
  </si>
  <si>
    <t>Taunton Deane</t>
  </si>
  <si>
    <t>E3333</t>
  </si>
  <si>
    <t>Teignbridge</t>
  </si>
  <si>
    <t>E1137</t>
  </si>
  <si>
    <t>Telford and the Wrekin</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</si>
  <si>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</si>
  <si>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</si>
  <si>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</si>
  <si>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</si>
  <si>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</si>
  <si>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</si>
  <si>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</si>
  <si>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</si>
  <si>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</si>
  <si>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</si>
  <si>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</si>
  <si>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</si>
  <si>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</si>
  <si>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</si>
  <si>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</si>
  <si>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</si>
  <si>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</si>
  <si>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</si>
  <si>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</si>
  <si>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</si>
  <si>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</si>
  <si>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</si>
  <si>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</si>
  <si>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</si>
  <si>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</si>
  <si>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</si>
  <si>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</si>
  <si>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</si>
  <si>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</si>
  <si>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</si>
  <si>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</si>
  <si>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</si>
  <si>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</si>
  <si>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</si>
  <si>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</si>
  <si>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</si>
  <si>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</si>
  <si>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</si>
  <si>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</si>
  <si>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</si>
  <si>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</si>
  <si>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</si>
  <si>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</si>
  <si>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Waveney</t>
  </si>
  <si>
    <t>E3537</t>
  </si>
  <si>
    <t>Waverley</t>
  </si>
  <si>
    <t>E3640</t>
  </si>
  <si>
    <t>Wealden</t>
  </si>
  <si>
    <t>E1437</t>
  </si>
  <si>
    <t>Wellingborough</t>
  </si>
  <si>
    <t>E2837</t>
  </si>
  <si>
    <t>Welwyn Hatfield</t>
  </si>
  <si>
    <t>E1940</t>
  </si>
  <si>
    <t>West Berkshire</t>
  </si>
  <si>
    <t>E0302</t>
  </si>
  <si>
    <t>West Devon</t>
  </si>
  <si>
    <t>E1140</t>
  </si>
  <si>
    <t>West Dorset</t>
  </si>
  <si>
    <t>E1237</t>
  </si>
  <si>
    <t>West Lancashire</t>
  </si>
  <si>
    <t>E2343</t>
  </si>
  <si>
    <t>West Lindsey</t>
  </si>
  <si>
    <t>E2537</t>
  </si>
  <si>
    <t>West Oxfordshire</t>
  </si>
  <si>
    <t>E3135</t>
  </si>
  <si>
    <t>West Somerset</t>
  </si>
  <si>
    <t>E3335</t>
  </si>
  <si>
    <t>Westminster</t>
  </si>
  <si>
    <t>E5022</t>
  </si>
  <si>
    <t>Weymouth and Portland</t>
  </si>
  <si>
    <t>E1238</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</si>
  <si>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</si>
  <si>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</si>
  <si>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</si>
  <si>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</si>
  <si>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</si>
  <si>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</si>
  <si>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</si>
  <si>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</si>
  <si>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</si>
  <si>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</si>
  <si>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</si>
  <si>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</si>
  <si>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</si>
  <si>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</si>
  <si>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</si>
  <si>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</si>
  <si>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</si>
  <si>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</si>
  <si>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</si>
  <si>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</si>
  <si>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</si>
  <si>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</si>
  <si>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Wycombe</t>
  </si>
  <si>
    <t>E0435</t>
  </si>
  <si>
    <t>Wyre</t>
  </si>
  <si>
    <t>E2344</t>
  </si>
  <si>
    <t>Wyre Forest</t>
  </si>
  <si>
    <t>E1839</t>
  </si>
  <si>
    <t>York</t>
  </si>
  <si>
    <t>E2701</t>
  </si>
  <si>
    <t>North Yorkshire Fire Authority</t>
  </si>
  <si>
    <t>E6127</t>
  </si>
  <si>
    <t>UA</t>
  </si>
  <si>
    <t>NA</t>
  </si>
  <si>
    <t>York UA</t>
  </si>
  <si>
    <t>Hereford and Worcester Fire Authority</t>
  </si>
  <si>
    <t>E6118</t>
  </si>
  <si>
    <t>Worcestershire</t>
  </si>
  <si>
    <t>E1821</t>
  </si>
  <si>
    <t>Lancashire Fire Authority</t>
  </si>
  <si>
    <t>E6123</t>
  </si>
  <si>
    <t>Lancashire</t>
  </si>
  <si>
    <t>E2321</t>
  </si>
  <si>
    <t>Buckinghamshire Fire Authority</t>
  </si>
  <si>
    <t>E6104</t>
  </si>
  <si>
    <t>Buckinghamshire</t>
  </si>
  <si>
    <t>E0421</t>
  </si>
  <si>
    <t>County</t>
  </si>
  <si>
    <t>West Sussex</t>
  </si>
  <si>
    <t>E3820</t>
  </si>
  <si>
    <t>West Midlands Fire</t>
  </si>
  <si>
    <t>E6146</t>
  </si>
  <si>
    <t>MD</t>
  </si>
  <si>
    <t>Berkshire Fire Authority</t>
  </si>
  <si>
    <t>E6103</t>
  </si>
  <si>
    <t>Wokingham UA</t>
  </si>
  <si>
    <t>Surrey</t>
  </si>
  <si>
    <t>E3620</t>
  </si>
  <si>
    <t>Merseyside Fire</t>
  </si>
  <si>
    <t>E6143</t>
  </si>
  <si>
    <t>Windsor &amp; Maidenhead UA</t>
  </si>
  <si>
    <t>Hampshire Fire Authority</t>
  </si>
  <si>
    <t>E6117</t>
  </si>
  <si>
    <t>Hampshire</t>
  </si>
  <si>
    <t>E1721</t>
  </si>
  <si>
    <t>Wiltshire Fire Authority</t>
  </si>
  <si>
    <t>E6139</t>
  </si>
  <si>
    <t>Greater Manchester Fire</t>
  </si>
  <si>
    <t>E6142</t>
  </si>
  <si>
    <t>Dorset Fire Authority</t>
  </si>
  <si>
    <t>E6112</t>
  </si>
  <si>
    <t>Dorset</t>
  </si>
  <si>
    <t>E1221</t>
  </si>
  <si>
    <t>Weymouth &amp; Portland</t>
  </si>
  <si>
    <t>Greater London Authority</t>
  </si>
  <si>
    <t>E5100</t>
  </si>
  <si>
    <t>Devon and Somerset Fire Authority</t>
  </si>
  <si>
    <t>E6161</t>
  </si>
  <si>
    <t>Somerset</t>
  </si>
  <si>
    <t>E3320</t>
  </si>
  <si>
    <t>Oxfordshire</t>
  </si>
  <si>
    <t>E3120</t>
  </si>
  <si>
    <t>Lincolnshire</t>
  </si>
  <si>
    <t>E2520</t>
  </si>
  <si>
    <t>Devon</t>
  </si>
  <si>
    <t>E1121</t>
  </si>
  <si>
    <t>West Berkshire UA</t>
  </si>
  <si>
    <t>Hertfordshire</t>
  </si>
  <si>
    <t>E1920</t>
  </si>
  <si>
    <t>Northamptonshire</t>
  </si>
  <si>
    <t>E2820</t>
  </si>
  <si>
    <t>East Sussex Fire Authority</t>
  </si>
  <si>
    <t>E6114</t>
  </si>
  <si>
    <t>East Sussex</t>
  </si>
  <si>
    <t>E1421</t>
  </si>
  <si>
    <t>Suffolk</t>
  </si>
  <si>
    <t>E3520</t>
  </si>
  <si>
    <t>Warwickshire</t>
  </si>
  <si>
    <t>E3720</t>
  </si>
  <si>
    <t>Cheshire Fire Authority</t>
  </si>
  <si>
    <t>E6106</t>
  </si>
  <si>
    <t>Warrington UA</t>
  </si>
  <si>
    <t>West Yorkshire Fire</t>
  </si>
  <si>
    <t>E6147</t>
  </si>
  <si>
    <t>Essex Fire Authority</t>
  </si>
  <si>
    <t>E6115</t>
  </si>
  <si>
    <t>Essex</t>
  </si>
  <si>
    <t>E1521</t>
  </si>
  <si>
    <t>Kent Fire Authority</t>
  </si>
  <si>
    <t>E6122</t>
  </si>
  <si>
    <t>Kent</t>
  </si>
  <si>
    <t>E2221</t>
  </si>
  <si>
    <t>Torbay UA</t>
  </si>
  <si>
    <t>Tonbridge &amp; Malling</t>
  </si>
  <si>
    <t>Thurrock UA</t>
  </si>
  <si>
    <t>Gloucestershire</t>
  </si>
  <si>
    <t>E1620</t>
  </si>
  <si>
    <t>Shropshire Fire Authority</t>
  </si>
  <si>
    <t>E6132</t>
  </si>
  <si>
    <t>Telford &amp; Wrekin UA</t>
  </si>
  <si>
    <t>Staffordshire Fire Authority</t>
  </si>
  <si>
    <t>E6134</t>
  </si>
  <si>
    <t>Staffordshire</t>
  </si>
  <si>
    <t>E3421</t>
  </si>
  <si>
    <t>Swindon UA</t>
  </si>
  <si>
    <t>Tyne and Wear Fire</t>
  </si>
  <si>
    <t>E6145</t>
  </si>
  <si>
    <t>Stoke-on-Trent UA</t>
  </si>
  <si>
    <t>Cleveland Fire Authority</t>
  </si>
  <si>
    <t>E6107</t>
  </si>
  <si>
    <t>Stockton-on-Tees UA</t>
  </si>
  <si>
    <t>Southend-on-Sea UA</t>
  </si>
  <si>
    <t>Southampton UA</t>
  </si>
  <si>
    <t>Norfolk</t>
  </si>
  <si>
    <t>E2620</t>
  </si>
  <si>
    <t>Cumbria</t>
  </si>
  <si>
    <t>E0920</t>
  </si>
  <si>
    <t>Avon Fire Authority</t>
  </si>
  <si>
    <t>E6101</t>
  </si>
  <si>
    <t>South Gloucestershire UA</t>
  </si>
  <si>
    <t>Derbyshire Fire Authority</t>
  </si>
  <si>
    <t>E6110</t>
  </si>
  <si>
    <t>Derbyshire</t>
  </si>
  <si>
    <t>E1021</t>
  </si>
  <si>
    <t>Cambridgeshire Fire Authority</t>
  </si>
  <si>
    <t>E6105</t>
  </si>
  <si>
    <t>Cambridgeshire</t>
  </si>
  <si>
    <t>E0521</t>
  </si>
  <si>
    <t>Slough UA</t>
  </si>
  <si>
    <t>South Yorkshire Fire</t>
  </si>
  <si>
    <t>E6144</t>
  </si>
  <si>
    <t>North Yorkshire</t>
  </si>
  <si>
    <t>E2721</t>
  </si>
  <si>
    <t>Leicestershire Fire Authority</t>
  </si>
  <si>
    <t>E6124</t>
  </si>
  <si>
    <t>Rutland UA</t>
  </si>
  <si>
    <t>Nottinghamshire Fire Authority</t>
  </si>
  <si>
    <t>E6130</t>
  </si>
  <si>
    <t>Nottinghamshire</t>
  </si>
  <si>
    <t>E3021</t>
  </si>
  <si>
    <t>Richmond-upon-Thames</t>
  </si>
  <si>
    <t>Reigate &amp; Banstead</t>
  </si>
  <si>
    <t>Redcar &amp; Cleveland UA</t>
  </si>
  <si>
    <t>Reading UA</t>
  </si>
  <si>
    <t>Portsmouth UA</t>
  </si>
  <si>
    <t>Poole UA</t>
  </si>
  <si>
    <t>Plymouth UA</t>
  </si>
  <si>
    <t>Peterborough UA</t>
  </si>
  <si>
    <t>Leicestershire</t>
  </si>
  <si>
    <t>E2421</t>
  </si>
  <si>
    <t>Oadby &amp; Wigston</t>
  </si>
  <si>
    <t>Nuneaton &amp; Bedworth</t>
  </si>
  <si>
    <t>Nottingham UA</t>
  </si>
  <si>
    <t>North Somerset UA</t>
  </si>
  <si>
    <t>Humberside Fire Authority</t>
  </si>
  <si>
    <t>E6120</t>
  </si>
  <si>
    <t>North Lincolnshire UA</t>
  </si>
  <si>
    <t>North East Lincolnshire UA</t>
  </si>
  <si>
    <t>Newark &amp; Sherwood</t>
  </si>
  <si>
    <t>Milton Keynes UA</t>
  </si>
  <si>
    <t>Middlesbrough UA</t>
  </si>
  <si>
    <t>Medway UA</t>
  </si>
  <si>
    <t>Bedfordshire Fire Authority</t>
  </si>
  <si>
    <t>E6102</t>
  </si>
  <si>
    <t>Luton UA</t>
  </si>
  <si>
    <t>Leicester UA</t>
  </si>
  <si>
    <t>Kingston-upon-Thames</t>
  </si>
  <si>
    <t>Kingston-upon-Hull UA</t>
  </si>
  <si>
    <t>King's Lynn &amp; West Norfolk</t>
  </si>
  <si>
    <t>Kensington &amp; Chelsea</t>
  </si>
  <si>
    <t>Isle of Wight Council UA</t>
  </si>
  <si>
    <t>Hinckley &amp; Bosworth</t>
  </si>
  <si>
    <t>Herefordshire UA</t>
  </si>
  <si>
    <t>Hartlepool UA</t>
  </si>
  <si>
    <t>Hammersmith &amp; Fulham</t>
  </si>
  <si>
    <t>Halton UA</t>
  </si>
  <si>
    <t>East Riding of Yorkshire UA</t>
  </si>
  <si>
    <t>Durham Fire Authority</t>
  </si>
  <si>
    <t>E6113</t>
  </si>
  <si>
    <t>Derby UA</t>
  </si>
  <si>
    <t>Darlington UA</t>
  </si>
  <si>
    <t>GLA - functions exc police</t>
  </si>
  <si>
    <t>E51np</t>
  </si>
  <si>
    <t>Cheshire West and Chester UA</t>
  </si>
  <si>
    <t>Bristol UA</t>
  </si>
  <si>
    <t>Brighton &amp; Hove UA</t>
  </si>
  <si>
    <t>Bracknell Forest UA</t>
  </si>
  <si>
    <t>Bournemouth UA</t>
  </si>
  <si>
    <t>Blackpool UA</t>
  </si>
  <si>
    <t>Blackburn with Darwen UA</t>
  </si>
  <si>
    <t>Bath &amp; North East Somerset UA</t>
  </si>
  <si>
    <t>Barking &amp; Dagenham</t>
  </si>
  <si>
    <t>Upper tier = UA, MD or GLA</t>
  </si>
  <si>
    <t>Baseline figures for Designated Areas</t>
  </si>
  <si>
    <t>Energy (Pt 1)</t>
  </si>
  <si>
    <t>5 year spread
value (£)</t>
  </si>
  <si>
    <t>5 year spread</t>
  </si>
  <si>
    <t>Names of Designated Areas</t>
  </si>
  <si>
    <t>Designated Area</t>
  </si>
  <si>
    <t>Sum</t>
  </si>
  <si>
    <t>Final fire proportion</t>
  </si>
  <si>
    <t>Fire</t>
  </si>
  <si>
    <t>Final upper tier</t>
  </si>
  <si>
    <t>Upper tier</t>
  </si>
  <si>
    <t xml:space="preserve"> Billing proportion</t>
  </si>
  <si>
    <t>Billing authority</t>
  </si>
  <si>
    <t>Linking billing authorities with their precepting authorities</t>
  </si>
  <si>
    <t>% of non-domestic rating income to be allocated to each authority</t>
  </si>
  <si>
    <t>15. Sum due to (+) / from (-) authority (line 13 minus line 14)</t>
  </si>
  <si>
    <t>Total
(All BA Area)</t>
  </si>
  <si>
    <t>Total Cost of Reliefs</t>
  </si>
  <si>
    <t>13. Amount deducted from central share and retained by authorities</t>
  </si>
  <si>
    <t>14. Amount deducted/retained (based on NNDR1)</t>
  </si>
  <si>
    <t>PART 4A: TRANSITIONAL PROTECTION PAYMENTS</t>
  </si>
  <si>
    <t xml:space="preserve">6. add: amounts retained in respect of renewable energy schemes </t>
  </si>
  <si>
    <t>7. add: qualifying relief in Enterprise Zones</t>
  </si>
  <si>
    <t>11. Amounts charged to allowances</t>
  </si>
  <si>
    <t>12. Change in allowance (charged to Collection Fund)</t>
  </si>
  <si>
    <t>15. Amounts charged to provision</t>
  </si>
  <si>
    <t>16. Change in provision (charged to Collection Fund)</t>
  </si>
  <si>
    <t xml:space="preserve">3. Sum due to (+) / from (-) authority (line 1 minus line 2) </t>
  </si>
  <si>
    <t>9. Sum due to (+) / from (-) billing authority (line 7 minus line 8)</t>
  </si>
  <si>
    <r>
      <t>PART 4B: RECONCILIATIONS</t>
    </r>
    <r>
      <rPr>
        <sz val="12"/>
        <rFont val="Arial"/>
        <family val="2"/>
      </rPr>
      <t xml:space="preserve"> (See Note K)</t>
    </r>
  </si>
  <si>
    <t>6. Sum due to (+) / from (-) billing authority (line 4 minus line 5)</t>
  </si>
  <si>
    <t>12. Sum due to (+) / from (-) authority (line 10 minus line 11)</t>
  </si>
  <si>
    <t>18. Sum due to (+) / from (-) authority (line 16 minus line 17)</t>
  </si>
  <si>
    <t>21. Sum due to (+) / from (-) authority (line 19 minus line 20)</t>
  </si>
  <si>
    <t>27. Sum due to (+) / from (-) authority (line 25 minus line 26)</t>
  </si>
  <si>
    <t>30. Sum due to (+) / from (-) authority (line 28 minus line 29)</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</si>
  <si>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</si>
  <si>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</si>
  <si>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</si>
  <si>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</si>
  <si>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</si>
  <si>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</si>
  <si>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</si>
  <si>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12. Line 1 plus line 2, minus lines 3 and 6 - 9</t>
  </si>
  <si>
    <t>1. Sum payable by rate payers after taking account of transitional adjustments, empty property rate, mandatory and discretionary reliefs</t>
  </si>
  <si>
    <t>2. (Less) Interest paid on refunds to ratepayers</t>
  </si>
  <si>
    <t>2. Revenue foregone in respect of previous years' liability</t>
  </si>
  <si>
    <t>4. Additional income received in respect of previous years' liability</t>
  </si>
  <si>
    <t xml:space="preserve">TOTAL: </t>
  </si>
  <si>
    <t>8. Sums outstanding from ratepayers</t>
  </si>
  <si>
    <t xml:space="preserve">Used in </t>
  </si>
  <si>
    <t>24. Sum due to (+) / from (-) authority (line 22 minus line 23)</t>
  </si>
  <si>
    <t>In lieu of Transitional Relief</t>
  </si>
  <si>
    <t>32. Amount provisionally paid (based on grant determination)</t>
  </si>
  <si>
    <t>33. Sum due to (+) / from (-) authority (line 31 minus line 32)</t>
  </si>
  <si>
    <t xml:space="preserve">35. Amount provisionally paid </t>
  </si>
  <si>
    <t>36. Sum due to (+) / from (-)  authority (line 34 minus line 35)</t>
  </si>
  <si>
    <t>39. Sum due to (+) / from (-) billing authority (line 37 minus line 38)</t>
  </si>
  <si>
    <t>NNDR1 15-16</t>
  </si>
  <si>
    <t>COLLECTION FUND STATEMENT</t>
  </si>
  <si>
    <t>Collection Fund Balance</t>
  </si>
  <si>
    <t xml:space="preserve"> </t>
  </si>
  <si>
    <t>10. adjustments to relief on existing properties where a second property is occupied</t>
  </si>
  <si>
    <t>11. Additional yield from the small business supplement in 2015-16</t>
  </si>
  <si>
    <t>12. Adjustments to the yield from the small business supplement in respect of previous years</t>
  </si>
  <si>
    <t>14. Adjustments to amount of relief provided in respect of previous years</t>
  </si>
  <si>
    <t>16. Adjustments to amount of relief provided in respect of previous years</t>
  </si>
  <si>
    <t>18. Adjustments to amount of relief provided in respect of previous years</t>
  </si>
  <si>
    <t>19. TOTAL MANDATORY RELIEFS</t>
  </si>
  <si>
    <t>21. Adjustments to amount of relief provided in respect of previous years</t>
  </si>
  <si>
    <t>23. Adjustments to amount of relief provided in respect of previous years</t>
  </si>
  <si>
    <t>24. TOTAL UNOCCUPIED PROPERTY "RELIEF"</t>
  </si>
  <si>
    <t>26. Adjustments to amount of relief provided in respect of previous years</t>
  </si>
  <si>
    <t>28. Adjustments to amount of relief provided in respect of previous years</t>
  </si>
  <si>
    <t>30. Adjustments to amount of relief provided in respect of previous years</t>
  </si>
  <si>
    <t>32. Adjustments to amount of relief provided in respect of previous years</t>
  </si>
  <si>
    <t>34. Adjustments to amount of relief provided in respect of previous years</t>
  </si>
  <si>
    <t>36. Adjustments to amount of relief provided in respect of previous years</t>
  </si>
  <si>
    <t>37. Relief given to Case A hereditaments</t>
  </si>
  <si>
    <t>38. Relief given to Case B hereditaments</t>
  </si>
  <si>
    <t>39. TOTAL DISCRETIONARY RELIEFS (UNFUNDED)</t>
  </si>
  <si>
    <t>41. Adjustments to amount of relief provided in</t>
  </si>
  <si>
    <t>43. Adjustments to amount of relief provided in</t>
  </si>
  <si>
    <t>44. Amount of relief provided in 2015-16</t>
  </si>
  <si>
    <t>49. TOTAL DISCRETIONARY RELIEF (FUNDED S.31)</t>
  </si>
  <si>
    <t>51. Adjustments to amount of relief provided in respect of previous years</t>
  </si>
  <si>
    <t>52. TOTAL HARDSHIP RELIEF</t>
  </si>
  <si>
    <t>8. Adjustments to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</si>
  <si>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</si>
  <si>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</si>
  <si>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</si>
  <si>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6. Add: RV list amendments charged against the provision for appeals</t>
  </si>
  <si>
    <t>7. Add/(Less): changes in provision for appeals</t>
  </si>
  <si>
    <t>8. Net Rates payable less accounting adjustments</t>
  </si>
  <si>
    <t>23. In-year surplus(+)/deficit(-) (line 22 minus line 21)</t>
  </si>
  <si>
    <t>20.  Prior-year surplus(+)/deficit(-) included in closing balance (line 18 minus line 19)</t>
  </si>
  <si>
    <t>9. Net Rates Payable less accounting adjustments</t>
  </si>
  <si>
    <t>10. Renewable Energy</t>
  </si>
  <si>
    <t xml:space="preserve">11. Transitional Protection Payment </t>
  </si>
  <si>
    <t xml:space="preserve">12. Baseline </t>
  </si>
  <si>
    <t>13. Total Disregarded Amounts</t>
  </si>
  <si>
    <t>14. Sums outstanding from ratepayers (debtors)</t>
  </si>
  <si>
    <t>15. Sums owed to ratepayers</t>
  </si>
  <si>
    <t/>
  </si>
  <si>
    <t>Yes</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</si>
  <si>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</si>
  <si>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</si>
  <si>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</si>
  <si>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</si>
  <si>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</si>
  <si>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</si>
  <si>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</si>
  <si>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</si>
  <si>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</si>
  <si>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</si>
  <si>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</si>
  <si>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</si>
  <si>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</si>
  <si>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New Anglia</t>
  </si>
  <si>
    <t>Sci-Tech Daresbury</t>
  </si>
  <si>
    <t>Tees Valley</t>
  </si>
  <si>
    <t>Hereford</t>
  </si>
  <si>
    <t>MIRA Technology Park</t>
  </si>
  <si>
    <t>Alconbury Enterprise Campus</t>
  </si>
  <si>
    <t>Aire Valley</t>
  </si>
  <si>
    <t>Mersey Waters</t>
  </si>
  <si>
    <t>Liverpool City</t>
  </si>
  <si>
    <t>Manchester Airport City</t>
  </si>
  <si>
    <t>NE Newcastle</t>
  </si>
  <si>
    <t>Royal Docks</t>
  </si>
  <si>
    <t>North East</t>
  </si>
  <si>
    <t>Waterside</t>
  </si>
  <si>
    <t xml:space="preserve">North East </t>
  </si>
  <si>
    <t>Nottingham City</t>
  </si>
  <si>
    <t>Development  Area</t>
  </si>
  <si>
    <t>Black Country</t>
  </si>
  <si>
    <t>Manchester City Airport</t>
  </si>
  <si>
    <t>Science Vale UK</t>
  </si>
  <si>
    <t>9. Sums outstanding owed to ratepayers</t>
  </si>
  <si>
    <t>Whole £ figures only checking</t>
  </si>
  <si>
    <t>LOCK</t>
  </si>
  <si>
    <t xml:space="preserve">7.  relief on existing properties where a </t>
  </si>
  <si>
    <t>UNLOCK</t>
  </si>
  <si>
    <t>Row no.</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</si>
  <si>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</si>
  <si>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</si>
  <si>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</si>
  <si>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</si>
  <si>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</si>
  <si>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</si>
  <si>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</si>
  <si>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</si>
  <si>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</si>
  <si>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</si>
  <si>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</si>
  <si>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Non-Domestic Rating Income</t>
  </si>
  <si>
    <t>Col No.</t>
  </si>
  <si>
    <t>Ecode</t>
  </si>
  <si>
    <t>LA name</t>
  </si>
  <si>
    <t>Newcastle upon Tyne</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</si>
  <si>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</si>
  <si>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</si>
  <si>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</si>
  <si>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</si>
  <si>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</si>
  <si>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RV list amendments charged against the provision for appeals</t>
  </si>
  <si>
    <t>Changes in provision for appeals</t>
  </si>
  <si>
    <t>Net Rates payable less accounting adjustments</t>
  </si>
  <si>
    <t>Disregarded Amounts -  Renewable Energy</t>
  </si>
  <si>
    <t xml:space="preserve">Disregarded Amounts - Transitional Protection Payment </t>
  </si>
  <si>
    <t>Disregarded Amounts - Baseline</t>
  </si>
  <si>
    <t>Total Disregarded Amounts</t>
  </si>
  <si>
    <t>Sums outstanding from ratepayers (debtors)</t>
  </si>
  <si>
    <t>Sums owed to ratepayers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</si>
  <si>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</si>
  <si>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</si>
  <si>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</si>
  <si>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</si>
  <si>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</si>
  <si>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Amount of which -  adjustments on existing properties where a 2nd property is occupied</t>
  </si>
  <si>
    <t>Small Business Rate Relief -  Adjustments to the yield from the small business supplement in respect of previous years</t>
  </si>
  <si>
    <t>Charitable occupation; Adjustments to amount of relief provided in respect of previous years</t>
  </si>
  <si>
    <t>Community Amateur Sports Clubs (CASCs) -  Adjustments to amount of relief provided in respect of previous years</t>
  </si>
  <si>
    <t>Rural rate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</si>
  <si>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</si>
  <si>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</si>
  <si>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</si>
  <si>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</si>
  <si>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Charitable occupation -  Adjustments to amount of relief provided in respect of previous years</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</si>
  <si>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</si>
  <si>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</si>
  <si>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</si>
  <si>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</si>
  <si>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Total Discretionary Reliefs (Unfunded)</t>
  </si>
  <si>
    <t>"New Empty" properties -  Adjustments to amount of relief provided in respect of previous years</t>
  </si>
  <si>
    <t>"Long-term empty" properties -  Adjustments to amount of relief provided in respect of previous years</t>
  </si>
  <si>
    <t>Retail Relief -  Adjustments to amount of relief provided in respect of previous years</t>
  </si>
  <si>
    <t>Flooding relief -  Adjustments to amount of relief provided in respect of previous years</t>
  </si>
  <si>
    <t>Total Discretionary Relief (Funded S31)</t>
  </si>
  <si>
    <t>Hardshop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</si>
  <si>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</si>
  <si>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</si>
  <si>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</si>
  <si>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</si>
  <si>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</si>
  <si>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</si>
  <si>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</si>
  <si>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</si>
  <si>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</si>
  <si>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</si>
  <si>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 xml:space="preserve">Transitional protection payments -  Sum due to (+) - from (-) authority (line 1 minus line 2) </t>
  </si>
  <si>
    <t xml:space="preserve">Cost of collection -  Amount previously retained </t>
  </si>
  <si>
    <t xml:space="preserve">Cost of collection -  Sum due to (+) - from (-) billing authority </t>
  </si>
  <si>
    <t>Designated Areas -  Amount previously retained (based on NNDR1)</t>
  </si>
  <si>
    <t xml:space="preserve">Designated Areas -  Sum due to (+) - from (-) billing authority </t>
  </si>
  <si>
    <t xml:space="preserve">Renewable Energy Schemes -  Amount previously retained </t>
  </si>
  <si>
    <t xml:space="preserve">Renewable Energy Schemes -  Sum due to (+) - from (-) authority </t>
  </si>
  <si>
    <t>Qualifying relief in Enterprise Zones -  Amount deducted from central share and retained by authorities</t>
  </si>
  <si>
    <t xml:space="preserve">Qualifying relief in Enterprise Zones -  Amount deducted-retained </t>
  </si>
  <si>
    <t>Qualifying relief in Enterprise Zones -  Sum due to (+) - from (-) authority</t>
  </si>
  <si>
    <t>Small Business Rates Relief scheme -  Amount provisionally paid</t>
  </si>
  <si>
    <t xml:space="preserve">Small Business Rates Relief scheme -  Sum due to (+) - from (-) authority </t>
  </si>
  <si>
    <t xml:space="preserve">Small Business Rates Relief on existing property where 2nd property is occupied -  Amount provisionally paid </t>
  </si>
  <si>
    <t xml:space="preserve">Small Business Rates Relief on existing property where 2nd property is occupied -  Sum due to (+) - from (-) authority </t>
  </si>
  <si>
    <t xml:space="preserve">"New Empty" properties -  Amount provisionally paid </t>
  </si>
  <si>
    <t xml:space="preserve">"New Empty" properties -  Sum due to (+) - from (-) authority </t>
  </si>
  <si>
    <t xml:space="preserve">"Long term empty" properties -  Amount provisionally paid </t>
  </si>
  <si>
    <t xml:space="preserve">"Long term empty" properties -  Sum due to (+) - from (-) authority </t>
  </si>
  <si>
    <t xml:space="preserve">Retail Relief -  Amount provisionally paid </t>
  </si>
  <si>
    <t xml:space="preserve">Retail Relief -  Sum due to (+) - from (-) authority </t>
  </si>
  <si>
    <t>Flooding Relief -  Amount provisionally paid (based on grant determination)</t>
  </si>
  <si>
    <t xml:space="preserve">Flooding Relief -  Sum due to (+) - from (-) authority </t>
  </si>
  <si>
    <t xml:space="preserve">In lieu of Transitional Relief -  Amount provisionally paid </t>
  </si>
  <si>
    <t xml:space="preserve">In lieu of Transitional Relief -  Sum due to (+) - from (-)  authority </t>
  </si>
  <si>
    <t xml:space="preserve">Non-domestic rating income from rates retention scheme </t>
  </si>
  <si>
    <t>qualifying relief in Enterprise Zones</t>
  </si>
  <si>
    <t>cost of collection allowance</t>
  </si>
  <si>
    <t xml:space="preserve">amounts retained in respect of Designated Areas </t>
  </si>
  <si>
    <t xml:space="preserve">amounts retained in respect of renewable energy schemes </t>
  </si>
  <si>
    <t>Sums receivable - payable (ratepayers) -  Sums outstanding from ratepayers</t>
  </si>
  <si>
    <t>Sums receivable - payable (ratepayers) -  Sums oustanding owed to ratepayers</t>
  </si>
  <si>
    <t>Allowance for non-collection -  Amounts charged to allowances</t>
  </si>
  <si>
    <t>Allowance for non-collection -  Change in allowance (charged to Collection Fund)</t>
  </si>
  <si>
    <t>Provision for appeals -  Amounts charged to provision</t>
  </si>
  <si>
    <t>Provision for appeals -  Change in provision (charged to Collection Fund)</t>
  </si>
  <si>
    <t>Collection Fund Balance -  Estimated Surplus-Deficit Payable in 2015-16</t>
  </si>
  <si>
    <t>Collection Fund Balance -  Prior-year surplus-deficit included in closing balance</t>
  </si>
  <si>
    <t>Collection Fund Balance -  In-year surplus-deficit</t>
  </si>
  <si>
    <t>England</t>
  </si>
  <si>
    <t>7. City of London offset</t>
  </si>
  <si>
    <t>County (if applicable)</t>
  </si>
  <si>
    <t>Fire Authority</t>
  </si>
  <si>
    <r>
      <t>DISRERGARDED AMOUNTS</t>
    </r>
    <r>
      <rPr>
        <sz val="12"/>
        <rFont val="Arial"/>
        <family val="2"/>
      </rPr>
      <t xml:space="preserve"> </t>
    </r>
  </si>
  <si>
    <t>Central Government</t>
  </si>
  <si>
    <t>E0000</t>
  </si>
  <si>
    <t xml:space="preserve">TRANSITIONAL ARRANGEMENTS </t>
  </si>
  <si>
    <r>
      <t>MANDATORY RELIEFS</t>
    </r>
    <r>
      <rPr>
        <sz val="12"/>
        <rFont val="Arial"/>
        <family val="2"/>
      </rPr>
      <t xml:space="preserve"> </t>
    </r>
  </si>
  <si>
    <r>
      <t>UNOCCUPIED PROPERTY</t>
    </r>
    <r>
      <rPr>
        <sz val="12"/>
        <rFont val="Arial"/>
        <family val="2"/>
      </rPr>
      <t xml:space="preserve"> </t>
    </r>
  </si>
  <si>
    <t xml:space="preserve">DISCRETIONARY RELIEFS (UNFUNDED) </t>
  </si>
  <si>
    <t>DISCRETIONARY RELIEFS FUNDED THROUGH SECTION 31 GRANT</t>
  </si>
  <si>
    <t>Row No.</t>
  </si>
  <si>
    <t>Class of Authority</t>
  </si>
  <si>
    <t>SD</t>
  </si>
  <si>
    <t>OLB</t>
  </si>
  <si>
    <t>Met</t>
  </si>
  <si>
    <t>ILB</t>
  </si>
  <si>
    <t>Background</t>
  </si>
  <si>
    <t>Data Collection and quality</t>
  </si>
  <si>
    <t>Public Enquiries</t>
  </si>
  <si>
    <t>For enquiries about these data please contact: nndr.statistics@communities.gsi.gov.uk</t>
  </si>
  <si>
    <t>https://www.gov.uk/government/collections/national-non-domestic-rates-collected-by-councils</t>
  </si>
  <si>
    <t xml:space="preserve">The form is split into 5 separate parts.
</t>
  </si>
  <si>
    <t xml:space="preserve">Part 1 – </t>
  </si>
  <si>
    <t>Part 2 –</t>
  </si>
  <si>
    <t>Part 3 –</t>
  </si>
  <si>
    <t>Part 4 –</t>
  </si>
  <si>
    <t>Part 5 –</t>
  </si>
  <si>
    <t>Authorities complete data cells for the amount of relief they have awarded, including amounts of small business rate relief, “new empty” and “long-term empty” property relief, retail relief and flooding relief which will be used to calculate the section 31 payments due to/from the authority. It also allows authorities to reconcile figures for “gross rates payable” and “reliefs” to the net rates payable figure in Part 2.</t>
  </si>
  <si>
    <t>Part 4 calculates the reconciliation payments that are due to/from the authority.</t>
  </si>
  <si>
    <t>Part 5 provides a summary of the figures in Parts 1 - 4 that each of the billing and major precepting authorities need for their financial statements.</t>
  </si>
  <si>
    <t>Provides the headline outturn numbers for non-domestic rating income, allowable deductions and disregarded amounts.</t>
  </si>
  <si>
    <t>Definitions and uses of the data</t>
  </si>
  <si>
    <t>-</t>
  </si>
  <si>
    <t xml:space="preserve">(R) </t>
  </si>
  <si>
    <t xml:space="preserve">This workbook provides the detailed information on the Business Rates Income for 2016-17 that local authorities have reported through the NNDR3 form to the Department for Communities and Local Government. Local authorities use this information in order to complete their draft accounts that are then subject to local audit. The information in this workbook has been received after the audit has been completed. </t>
  </si>
  <si>
    <t xml:space="preserve">Data from this workbook have been used to compile the National Statistics release "National non-domestic rates collected by local authorities in England 2016-17" which was published on 22November 2017. This is available on the Department’s website at </t>
  </si>
  <si>
    <t>Authorities complete data cells for the net rates payable by ratepayers in 2016-17 after taking account of any reliefs awarded and accounting adjustments for bad debts and appeal provisions. It leads to figures for collectible rates and disregarded amounts for the year.</t>
  </si>
  <si>
    <t xml:space="preserve">Definitions and uses of the data are described in the 2016-17 NNDR3 Statistical Release  on the Department’s website </t>
  </si>
  <si>
    <t xml:space="preserve">All 326 billing authorities in England completed the NNDR3 form to show their outturn figures for national non-domestic rates that they collected in 2016-17. Figures are subjected to rigorous pre-defined validation tests both within the form itself, while the form is being completed by the authority and also by DCLG as the data are received and stored.  </t>
  </si>
  <si>
    <r>
      <t xml:space="preserve">Published: </t>
    </r>
    <r>
      <rPr>
        <sz val="10"/>
        <rFont val="Arial"/>
        <family val="2"/>
      </rPr>
      <t>22 November 2017</t>
    </r>
  </si>
  <si>
    <r>
      <rPr>
        <b/>
        <sz val="10"/>
        <rFont val="Arial"/>
        <family val="2"/>
      </rPr>
      <t>Next update</t>
    </r>
    <r>
      <rPr>
        <sz val="10"/>
        <rFont val="Arial"/>
        <family val="2"/>
      </rPr>
      <t>: November 2018</t>
    </r>
  </si>
  <si>
    <t xml:space="preserve"> 2016-17</t>
  </si>
  <si>
    <t>Total All BA Area</t>
  </si>
  <si>
    <t>Transitional Arrangements -  Revenue foregone in respect of 2016-17 liability</t>
  </si>
  <si>
    <t>Transitional Arrangements -  Additional income received in respect of 2016-17 liability</t>
  </si>
  <si>
    <t>In lieu of Transitional Relief -  Adjustments to amount of relief provided in espect of previous years</t>
  </si>
  <si>
    <t>Small Business Rate Relief -  Amount of relief provided in 2016-17</t>
  </si>
  <si>
    <t>Small Business Rate Relief -  Amount of which -  adjustments in respect of 2013-14, 2014-15 &amp; 2015-16</t>
  </si>
  <si>
    <t>Small Business Rate Relief -  Additional yield from the small business supplement in 2016-17</t>
  </si>
  <si>
    <t>Charitable occupation -  Amount of relief provided in 2016-17</t>
  </si>
  <si>
    <t>Community Amateur Sports Clubs (CASCs) -  Amount of relief provided in 2016-17</t>
  </si>
  <si>
    <t>Rural rate relief -  Amount of relief provided in 2016-17</t>
  </si>
  <si>
    <t>Partially occupied hereditaments -  Amount of relief provided in 2016-17</t>
  </si>
  <si>
    <t>Empty premises -  Amount of relief provided in 2016-17</t>
  </si>
  <si>
    <t>Charitable occupation; Amount of relief provided in 2016-17</t>
  </si>
  <si>
    <t>Non-profit making bodies -  Amount of relief provided in 2016-17</t>
  </si>
  <si>
    <t>Rural shops etc -  Amount of relief provided in 2016-17</t>
  </si>
  <si>
    <t>Small rural businesses -  Amount of relief provided in 2016-17</t>
  </si>
  <si>
    <t>Other ratepayers -  Amount of relief provided in 2016-17</t>
  </si>
  <si>
    <t>"New Empty" properties -  Amount of relief provided in 2016-17</t>
  </si>
  <si>
    <t>"Long-term empty" properties -  Amount of relief provided in 2016-17</t>
  </si>
  <si>
    <t>Retail Relief -  Amount of relief provided in 2016-17</t>
  </si>
  <si>
    <t>Flooding relief -  Amount of "Flooding relief" provided in 2016-17</t>
  </si>
  <si>
    <t>In lieu of Transitional Relief -  Payments to ratepayers in lieu of Transitional Relief in 2016-17</t>
  </si>
  <si>
    <t>Hardshop Relief -  Amount of relief provided in 2016-17</t>
  </si>
  <si>
    <t>44. Adjustments to amount of relief provided in</t>
  </si>
  <si>
    <t>46. Adjustments to amount of relief provided in</t>
  </si>
  <si>
    <t>48. Adjustments to amount of relief provided in</t>
  </si>
  <si>
    <t>Transitional protection payments due to (+) - from (-) the authority for 2016-17</t>
  </si>
  <si>
    <t>Transitional protection payments -  Payment on account received by authority (+), or paid by the authority (-) (based on NNDR1 2016-17)</t>
  </si>
  <si>
    <t>Cost of collection -  Amount to be retained by billing authority in 2016-17</t>
  </si>
  <si>
    <t>Designated Areas -  Amount to be retained by billing authority in 2016-17</t>
  </si>
  <si>
    <t>Renewable Energy Schemes -  Amount to be retained by authority in 2016-17</t>
  </si>
  <si>
    <t>Small Business Rates Relief scheme -  Amount due to authority in 2016-17 as a result of doubling SBRR</t>
  </si>
  <si>
    <t>Small Business Rates Relief on existing property where 2nd property is occupied -  Amount due to authority in 2016-17 in respect of discretionary relief given to ratepayers</t>
  </si>
  <si>
    <t>"New Empty" properties -  Amount due to authority in 2016-17 in respect of discretionary relief given to ratepayers</t>
  </si>
  <si>
    <t>"Long term empty" properties -  Amount due to authority in 2016-17 in respect of discretionary relief given to ratepayers</t>
  </si>
  <si>
    <t>Retail Relief -  Amount due to authority in 2016-17 in respect of discretionary relief given to ratepayers</t>
  </si>
  <si>
    <t xml:space="preserve">Flooding Relief -  Amount due to authority in 2016-17 in respect of discretionary relief given to ratepayers </t>
  </si>
  <si>
    <t>In lieu of Transitional Relief -  Amount due to billing authority in 2016-17 in respect of discretionary relief given to ratepayers in lieu of Transitional Relief</t>
  </si>
  <si>
    <t>Multiplier Cap -  Amount due to authority in 2016-17 in respect of multiplier cap</t>
  </si>
  <si>
    <t xml:space="preserve"> Multiplier Cap -  Amount provisionally paid</t>
  </si>
  <si>
    <t xml:space="preserve">Multiplier Cap -  Sum due to (+) - from (-) billing authority </t>
  </si>
  <si>
    <t>Collection Fund Balance -  Closing balance at 31 March 2017</t>
  </si>
  <si>
    <t>Collection Fund Balance -  Actual non-domestic rating income 2016-17</t>
  </si>
  <si>
    <t>Collection Fund Balance -  Estimated non-domestic income 2016-17</t>
  </si>
  <si>
    <t>Collection Fund Balance -  Opening balance on 1 April 2016</t>
  </si>
  <si>
    <t>Provision for appeals -  Closing balance on 31 March 2017</t>
  </si>
  <si>
    <t>Provision for appeals -  Opening balance as at 1 April 2016</t>
  </si>
  <si>
    <t>Allowance for non-collection -  Closing balance on 31 March 2017</t>
  </si>
  <si>
    <t>Allowance for non-collection -  Opening balance as at 1 April 2016</t>
  </si>
  <si>
    <t>Total Non-Domestic Rating Income for 2016-17</t>
  </si>
  <si>
    <t>1. Revenue foregone in respect of 2016-17 liability</t>
  </si>
  <si>
    <t>3. Additional income received in respect of 2016-17 liability</t>
  </si>
  <si>
    <t>6. Amount of relief provided in 2016-17</t>
  </si>
  <si>
    <t>9. adjustments in respect of 2013-14, 2014-15 &amp; 2015-16</t>
  </si>
  <si>
    <t>13. Amount of relief provided in 2016-17</t>
  </si>
  <si>
    <t>15. Amount of relief provided in 2016-17</t>
  </si>
  <si>
    <t>17. Amount of relief provided in 2016-17</t>
  </si>
  <si>
    <t>20. Amount of relief provided in 2016-17</t>
  </si>
  <si>
    <t>22. Amount of relief provided in 2016-17</t>
  </si>
  <si>
    <t>25. Amount of relief provided in 2016-17</t>
  </si>
  <si>
    <t>27. Amount of relief provided in 2016-17</t>
  </si>
  <si>
    <t>29. Amount of relief provided in 2016-17</t>
  </si>
  <si>
    <t>31. Amount of relief provided in 2016-17</t>
  </si>
  <si>
    <t>33. Amount of relief provided in 2016-17</t>
  </si>
  <si>
    <t>35. Amount of relief provided in 2016-17</t>
  </si>
  <si>
    <t>40. Amount of relief provided in 2016-17</t>
  </si>
  <si>
    <t>42. Amount of relief provided in 2016-17</t>
  </si>
  <si>
    <t>45. Amount of "Flooding relief" provided in 2016-17</t>
  </si>
  <si>
    <t>47. Payments to ratepayers in lieu of Transitional Relief in 2016-17</t>
  </si>
  <si>
    <t>50. Amount of relief provided in 2016-17</t>
  </si>
  <si>
    <t>1. Transitional protection payment due to (+) / from (-) the authority for 2016-17</t>
  </si>
  <si>
    <t>2. Payment on account received by authority (+), or paid by the authority (-) (based on NNDR1 2016-17)</t>
  </si>
  <si>
    <t>4. Amount to be retained by billing authority in 2016-17</t>
  </si>
  <si>
    <t>7. Amount to be retained by billing authority in 2016-17</t>
  </si>
  <si>
    <t>10. Amount to be retained by authority in 2016-17</t>
  </si>
  <si>
    <t>16. Amount due to authority in 2016-17 as a result of doubling SBRR</t>
  </si>
  <si>
    <t>17. Amount provisionally paid (based on NNDR1 2016-17 [Part 1C])</t>
  </si>
  <si>
    <t>19. Amount due to authority in 2016-17 in respect of discretionary relief given to ratepayers</t>
  </si>
  <si>
    <t>20. Amount provisionally paid (based on NNDR1 2016-17 [Part 1C])</t>
  </si>
  <si>
    <t>22. Amount due to authority in 2016-17 in respect of discretionary relief given to ratepayers</t>
  </si>
  <si>
    <t>23. Amount provisionally paid (based on NNDR1 2016-17 [Part 1C])</t>
  </si>
  <si>
    <t>25. Amount due to authority in 2016-17 in respect of discretionary relief given to ratepayers</t>
  </si>
  <si>
    <t>26. Amount provisionally paid (based on NNDR1 2016-17 [Part 1C])</t>
  </si>
  <si>
    <t>28. Amount due to authority in 2016-17in respect of discretionary relief given to ratepayers</t>
  </si>
  <si>
    <t>29. Amount provisionally paid (based on NNDR1 2016-17 [Part 1C])</t>
  </si>
  <si>
    <t xml:space="preserve">31. Amount due to authority in 2016-17 in respect of discretionary relief given to ratepayers </t>
  </si>
  <si>
    <t>34. Amount due to billing authority in 2016-17 in respect of discretionary relief given to ratepayers in lieu of Transitional Relief</t>
  </si>
  <si>
    <t>37. Amount due to authority in 2016-17 in respect of multiplier cap</t>
  </si>
  <si>
    <t>Multiplier Cap</t>
  </si>
  <si>
    <t>38. Amount provisionally paid (based on NNDR1 2016-17 [Part 1C])</t>
  </si>
  <si>
    <t>Non-Domestic Rating Income for 2016-17</t>
  </si>
  <si>
    <t>Other Income for 2016-17</t>
  </si>
  <si>
    <t>10. Opening balance as at 1 April 2016</t>
  </si>
  <si>
    <t>13. Closing balance on 31 March 2017</t>
  </si>
  <si>
    <t>14. Opening balance as at 1 April 2016</t>
  </si>
  <si>
    <t>17. Closing balance on 31 March 2017</t>
  </si>
  <si>
    <t>18. Opening balance on 1 April 2016 (surplus(+)/deficit(-))</t>
  </si>
  <si>
    <t>19.  Estimated Surplus(+)/Deficit(-) Payable in 2016-17</t>
  </si>
  <si>
    <t>21. Estimated non-domestic income 2016-17</t>
  </si>
  <si>
    <t>22. Actual non-domestic rating income 2016-17</t>
  </si>
  <si>
    <t>24. Closing balance at 31 March 2017 (surplus(+)/deficit(-))</t>
  </si>
  <si>
    <t>COLLECTABLE RATES</t>
  </si>
  <si>
    <t>DISREGARDED AMOUNTS</t>
  </si>
  <si>
    <t>EZ RELIEF</t>
  </si>
  <si>
    <t>Total Designated Area value</t>
  </si>
  <si>
    <t>All figures must be entered in whole £</t>
  </si>
  <si>
    <t>A</t>
  </si>
  <si>
    <t>B</t>
  </si>
  <si>
    <t xml:space="preserve">Net amount receivable from rate payers after taking account of transitional adjustments, empty property rate, mandatory and discretionary reliefs and accounting adjustments </t>
  </si>
  <si>
    <t xml:space="preserve"> Renewable Energy</t>
  </si>
  <si>
    <t xml:space="preserve">Transitional Protection Payment  </t>
  </si>
  <si>
    <t>Baseline</t>
  </si>
  <si>
    <t>Relief Given to Case A Hereditaments</t>
  </si>
  <si>
    <t>Compensation Due</t>
  </si>
  <si>
    <t>E0431EZ1</t>
  </si>
  <si>
    <t>E0431EZ2</t>
  </si>
  <si>
    <t>E0431EZ3</t>
  </si>
  <si>
    <t>E4401EZ1</t>
  </si>
  <si>
    <t>E0101EZ1</t>
  </si>
  <si>
    <t>E4601EZ1</t>
  </si>
  <si>
    <t>E4601EZ2</t>
  </si>
  <si>
    <t>E0102EZ1</t>
  </si>
  <si>
    <t>E0102EZ2</t>
  </si>
  <si>
    <t>E3033EZ1</t>
  </si>
  <si>
    <t>E0933EZ1</t>
  </si>
  <si>
    <t>E0603EZ1</t>
  </si>
  <si>
    <t>E0604EZ1</t>
  </si>
  <si>
    <t>E0604EZ2</t>
  </si>
  <si>
    <t>E0604EZ3</t>
  </si>
  <si>
    <t>E0604EZ4</t>
  </si>
  <si>
    <t>E0604EZ5</t>
  </si>
  <si>
    <t>E0604EZ6</t>
  </si>
  <si>
    <t>E0604EZ7</t>
  </si>
  <si>
    <t>E0604EZ8</t>
  </si>
  <si>
    <t>E0604EZ9</t>
  </si>
  <si>
    <t>E0604EZ10</t>
  </si>
  <si>
    <t>E1033EZ1</t>
  </si>
  <si>
    <t>E0801EZ1</t>
  </si>
  <si>
    <t>E0801EZ2</t>
  </si>
  <si>
    <t>E1301EZ1</t>
  </si>
  <si>
    <t>E1001EZ1</t>
  </si>
  <si>
    <t>E1001EZ2</t>
  </si>
  <si>
    <t>E0532EZ1</t>
  </si>
  <si>
    <t>E2001EZ1</t>
  </si>
  <si>
    <t>E2001EZ2</t>
  </si>
  <si>
    <t>E2001EZ3</t>
  </si>
  <si>
    <t>E2001EZ4</t>
  </si>
  <si>
    <t>E2001EZ5</t>
  </si>
  <si>
    <t>E2001EZ6</t>
  </si>
  <si>
    <t>E2001EZ7</t>
  </si>
  <si>
    <t>E1734EZ1</t>
  </si>
  <si>
    <t>E2335EZ1</t>
  </si>
  <si>
    <t>E4501EZ1</t>
  </si>
  <si>
    <t>E1735EZ1</t>
  </si>
  <si>
    <t>E2633EZ1</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</si>
  <si>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</si>
  <si>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</si>
  <si>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</si>
  <si>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</si>
  <si>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</si>
  <si>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</si>
  <si>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</si>
  <si>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</si>
  <si>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</si>
  <si>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</si>
  <si>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</si>
  <si>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</si>
  <si>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</si>
  <si>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</si>
  <si>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</si>
  <si>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</si>
  <si>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</si>
  <si>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</si>
  <si>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</si>
  <si>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</si>
  <si>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</si>
  <si>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</si>
  <si>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</si>
  <si>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</si>
  <si>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</si>
  <si>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</si>
  <si>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</si>
  <si>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</si>
  <si>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</si>
  <si>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</si>
  <si>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</si>
  <si>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</si>
  <si>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</si>
  <si>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E5017EZ1</t>
  </si>
  <si>
    <t>E4704EZ1</t>
  </si>
  <si>
    <t>E4302EZ1</t>
  </si>
  <si>
    <t>E4302EZ2</t>
  </si>
  <si>
    <t>E0201EZ1</t>
  </si>
  <si>
    <t>E4203EZ1</t>
  </si>
  <si>
    <t>E4203EZ2</t>
  </si>
  <si>
    <t>E4203EZ3</t>
  </si>
  <si>
    <t>E4203EZ4</t>
  </si>
  <si>
    <t>E3534EZ1</t>
  </si>
  <si>
    <t>E3534EZ2</t>
  </si>
  <si>
    <t>E0702EZ1</t>
  </si>
  <si>
    <t>E0702EZ2</t>
  </si>
  <si>
    <t>E4502EZ1</t>
  </si>
  <si>
    <t>E4502EZ2</t>
  </si>
  <si>
    <t>E3434EZ1</t>
  </si>
  <si>
    <t>E5045EZ1</t>
  </si>
  <si>
    <t>E2003EZ1</t>
  </si>
  <si>
    <t>E2003EZ2</t>
  </si>
  <si>
    <t>E2003EZ3</t>
  </si>
  <si>
    <t>E2003EZ4</t>
  </si>
  <si>
    <t>E2003EZ5</t>
  </si>
  <si>
    <t>E2003EZ6</t>
  </si>
  <si>
    <t>E2003EZ7</t>
  </si>
  <si>
    <t>E2004EZ1</t>
  </si>
  <si>
    <t>E2004EZ2</t>
  </si>
  <si>
    <t>E2635EZ1</t>
  </si>
  <si>
    <t>E2635EZ2</t>
  </si>
  <si>
    <t>E0104EZ1</t>
  </si>
  <si>
    <t>E4503EZ1</t>
  </si>
  <si>
    <t>E2835EZ1</t>
  </si>
  <si>
    <t>E2901EZ1</t>
  </si>
  <si>
    <t>E3001EZ1</t>
  </si>
  <si>
    <t>E3001EZ2</t>
  </si>
  <si>
    <t>E0703EZ1</t>
  </si>
  <si>
    <t>E2340EZ1</t>
  </si>
  <si>
    <t>E4403EZ1</t>
  </si>
  <si>
    <t>E4404EZ1</t>
  </si>
  <si>
    <t>E4404EZ2</t>
  </si>
  <si>
    <t>E0536EZ1</t>
  </si>
  <si>
    <t>E0536EZ2</t>
  </si>
  <si>
    <t>E0536EZ3</t>
  </si>
  <si>
    <t>E0103EZ1</t>
  </si>
  <si>
    <t>E2637EZ1</t>
  </si>
  <si>
    <t>E3133EZ1</t>
  </si>
  <si>
    <t>E3133EZ2</t>
  </si>
  <si>
    <t>E3133EZ3</t>
  </si>
  <si>
    <t>E3133EZ4</t>
  </si>
  <si>
    <t>E2342EZ1</t>
  </si>
  <si>
    <t>E3435EZ1</t>
  </si>
  <si>
    <t>E3535EZ1</t>
  </si>
  <si>
    <t>E3535EZ2</t>
  </si>
  <si>
    <t>E0704EZ1</t>
  </si>
  <si>
    <t>E0704EZ2</t>
  </si>
  <si>
    <t>E3401EZ1</t>
  </si>
  <si>
    <t>E3401EZ2</t>
  </si>
  <si>
    <t>E3401EZ3</t>
  </si>
  <si>
    <t>E3401EZ4</t>
  </si>
  <si>
    <t>E3401EZ5</t>
  </si>
  <si>
    <t>E4505EZ1</t>
  </si>
  <si>
    <t>E3134EZ1</t>
  </si>
  <si>
    <t>E3134EZ2</t>
  </si>
  <si>
    <t>E3134EZ3</t>
  </si>
  <si>
    <t>E3134EZ4</t>
  </si>
  <si>
    <t>E3134EZ5</t>
  </si>
  <si>
    <t>E3134EZ6</t>
  </si>
  <si>
    <t>E3134EZ7</t>
  </si>
  <si>
    <t>E3134EZ8</t>
  </si>
  <si>
    <t>E3134EZ9</t>
  </si>
  <si>
    <t>E3134EZ10</t>
  </si>
  <si>
    <t>E3134EZ11</t>
  </si>
  <si>
    <t>E4606EZ1</t>
  </si>
  <si>
    <t>E5021EZ1</t>
  </si>
  <si>
    <t>E0602EZ1</t>
  </si>
  <si>
    <t>E3537EZ1</t>
  </si>
  <si>
    <t>E4305EZ1</t>
  </si>
  <si>
    <t>E4305EZ2</t>
  </si>
  <si>
    <t>E4607EZ1</t>
  </si>
  <si>
    <t>E2344EZ1</t>
  </si>
  <si>
    <t>LA Name</t>
  </si>
  <si>
    <t>DA Code</t>
  </si>
  <si>
    <t>LA Code</t>
  </si>
  <si>
    <t>DA Summary</t>
  </si>
  <si>
    <t>Part 2 Individual Designated Area data for each local authority</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</si>
</sst>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_(* #,##0.00_);_(* \(#,##0.00\);_(* &quot;-&quot;??_);_(@_)"/>
    <numFmt numFmtId="165" formatCode="#,##0.000000000000"/>
    <numFmt numFmtId="166" formatCode="#,##0.000000000000000"/>
    <numFmt numFmtId="167" formatCode="0.0"/>
    <numFmt numFmtId="168" formatCode="#,##0.0"/>
  </numFmts>
  <fonts count="86" x14ac:knownFonts="1">
    <font>
      <sz val="10"/>
      <name val="Arial"/>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sz val="12"/>
      <color indexed="10"/>
      <name val="Arial"/>
      <family val="2"/>
    </font>
    <font>
      <i/>
      <sz val="12"/>
      <name val="Arial"/>
      <family val="2"/>
    </font>
    <font>
      <sz val="12"/>
      <color indexed="10"/>
      <name val="Arial"/>
      <family val="2"/>
    </font>
    <font>
      <sz val="10"/>
      <color indexed="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10"/>
      <color theme="1"/>
      <name val="Arial"/>
      <family val="2"/>
    </font>
    <font>
      <b/>
      <sz val="12"/>
      <color theme="1"/>
      <name val="Arial"/>
      <family val="2"/>
    </font>
    <font>
      <sz val="12"/>
      <color theme="1"/>
      <name val="Arial"/>
      <family val="2"/>
    </font>
    <font>
      <sz val="11"/>
      <color theme="1"/>
      <name val="Arial"/>
      <family val="2"/>
    </font>
    <font>
      <b/>
      <sz val="12"/>
      <color rgb="FFFF0000"/>
      <name val="Arial"/>
      <family val="2"/>
    </font>
    <font>
      <sz val="12"/>
      <color rgb="FFFF0000"/>
      <name val="Arial"/>
      <family val="2"/>
    </font>
    <font>
      <sz val="10"/>
      <color rgb="FFFF0000"/>
      <name val="Arial"/>
      <family val="2"/>
    </font>
    <font>
      <b/>
      <u/>
      <sz val="10"/>
      <name val="Arial"/>
      <family val="2"/>
    </font>
    <font>
      <sz val="11"/>
      <color rgb="FFFF0000"/>
      <name val="Calibri"/>
      <family val="2"/>
    </font>
    <font>
      <b/>
      <sz val="12"/>
      <color indexed="19"/>
      <name val="Calibri"/>
      <family val="2"/>
    </font>
    <font>
      <sz val="11"/>
      <color theme="1"/>
      <name val="Calibri"/>
      <family val="2"/>
    </font>
    <font>
      <b/>
      <sz val="11"/>
      <color indexed="17"/>
      <name val="Calibri"/>
      <family val="2"/>
    </font>
    <font>
      <b/>
      <sz val="12"/>
      <name val="Calibri"/>
      <family val="2"/>
    </font>
    <font>
      <b/>
      <sz val="11"/>
      <color theme="1"/>
      <name val="Calibri"/>
      <family val="2"/>
    </font>
    <font>
      <b/>
      <sz val="11"/>
      <name val="Arial"/>
      <family val="2"/>
    </font>
    <font>
      <b/>
      <sz val="11"/>
      <color indexed="17"/>
      <name val="Arial"/>
      <family val="2"/>
    </font>
    <font>
      <b/>
      <sz val="11"/>
      <color theme="1"/>
      <name val="Arial"/>
      <family val="2"/>
    </font>
    <font>
      <b/>
      <sz val="11"/>
      <color rgb="FFFF0000"/>
      <name val="Arial"/>
      <family val="2"/>
    </font>
    <font>
      <u/>
      <sz val="10"/>
      <color theme="10"/>
      <name val="Arial"/>
      <family val="2"/>
    </font>
    <font>
      <sz val="12"/>
      <color rgb="FF99CCFF"/>
      <name val="Arial"/>
      <family val="2"/>
    </font>
    <font>
      <b/>
      <sz val="12"/>
      <color theme="0" tint="-0.249977111117893"/>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2"/>
      <color theme="0" tint="-0.249977111117893"/>
      <name val="Arial"/>
      <family val="2"/>
    </font>
    <font>
      <sz val="12"/>
      <color theme="0" tint="-0.34998626667073579"/>
      <name val="Arial"/>
      <family val="2"/>
    </font>
    <font>
      <b/>
      <sz val="12"/>
      <color theme="0" tint="-0.34998626667073579"/>
      <name val="Arial"/>
      <family val="2"/>
    </font>
    <font>
      <sz val="11"/>
      <color theme="3" tint="0.59999389629810485"/>
      <name val="Arial"/>
      <family val="2"/>
    </font>
    <font>
      <sz val="12"/>
      <color rgb="FF000000"/>
      <name val="Arial"/>
      <family val="2"/>
    </font>
    <font>
      <sz val="11"/>
      <name val="Arial"/>
      <family val="2"/>
    </font>
    <font>
      <sz val="10"/>
      <color indexed="43"/>
      <name val="Arial"/>
      <family val="2"/>
    </font>
    <font>
      <sz val="10"/>
      <color indexed="9"/>
      <name val="Arial"/>
      <family val="2"/>
    </font>
    <font>
      <sz val="10"/>
      <color theme="0" tint="-0.249977111117893"/>
      <name val="Arial"/>
      <family val="2"/>
    </font>
    <font>
      <b/>
      <sz val="18"/>
      <color rgb="FFFF0000"/>
      <name val="Arial"/>
      <family val="2"/>
    </font>
    <font>
      <b/>
      <sz val="10"/>
      <color indexed="10"/>
      <name val="Arial"/>
      <family val="2"/>
    </font>
    <font>
      <b/>
      <sz val="13"/>
      <name val="Arial"/>
      <family val="2"/>
    </font>
    <font>
      <b/>
      <sz val="16"/>
      <name val="Arial"/>
      <family val="2"/>
    </font>
    <font>
      <sz val="14"/>
      <name val="Arial"/>
      <family val="2"/>
    </font>
    <font>
      <sz val="14"/>
      <color rgb="FFFFFF99"/>
      <name val="Arial"/>
      <family val="2"/>
    </font>
    <font>
      <sz val="14"/>
      <color indexed="10"/>
      <name val="Arial"/>
      <family val="2"/>
    </font>
    <font>
      <i/>
      <sz val="10"/>
      <name val="Arial"/>
      <family val="2"/>
    </font>
    <font>
      <b/>
      <sz val="11"/>
      <color rgb="FFFFFF99"/>
      <name val="Arial"/>
      <family val="2"/>
    </font>
    <font>
      <b/>
      <sz val="14"/>
      <color indexed="9"/>
      <name val="Arial"/>
      <family val="2"/>
    </font>
    <font>
      <sz val="14"/>
      <color indexed="9"/>
      <name val="Arial"/>
      <family val="2"/>
    </font>
    <font>
      <b/>
      <sz val="12"/>
      <color rgb="FFFFFF99"/>
      <name val="Arial"/>
      <family val="2"/>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indexed="43"/>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99"/>
        <bgColor indexed="64"/>
      </patternFill>
    </fill>
    <fill>
      <patternFill patternType="solid">
        <fgColor theme="6" tint="0.39994506668294322"/>
        <bgColor indexed="64"/>
      </patternFill>
    </fill>
    <fill>
      <patternFill patternType="solid">
        <fgColor theme="0" tint="-0.34998626667073579"/>
        <bgColor indexed="64"/>
      </patternFill>
    </fill>
    <fill>
      <patternFill patternType="solid">
        <fgColor rgb="FFB7DEE8"/>
        <bgColor indexed="64"/>
      </patternFill>
    </fill>
    <fill>
      <patternFill patternType="solid">
        <fgColor rgb="FF99CCFF"/>
        <bgColor indexed="64"/>
      </patternFill>
    </fill>
    <fill>
      <patternFill patternType="solid">
        <fgColor rgb="FF000080"/>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medium">
        <color rgb="FF00B050"/>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right/>
      <top style="medium">
        <color indexed="64"/>
      </top>
      <bottom/>
      <diagonal/>
    </border>
    <border>
      <left style="medium">
        <color auto="1"/>
      </left>
      <right/>
      <top style="medium">
        <color auto="1"/>
      </top>
      <bottom/>
      <diagonal/>
    </border>
    <border>
      <left/>
      <right style="medium">
        <color indexed="64"/>
      </right>
      <top style="medium">
        <color indexed="64"/>
      </top>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17"/>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s>
  <cellStyleXfs count="58">
    <xf numFmtId="0" fontId="0"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4" borderId="0" applyNumberFormat="0" applyBorder="0" applyAlignment="0" applyProtection="0"/>
    <xf numFmtId="0" fontId="14" fillId="6" borderId="0" applyNumberFormat="0" applyBorder="0" applyAlignment="0" applyProtection="0"/>
    <xf numFmtId="0" fontId="14" fillId="3"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6" borderId="0" applyNumberFormat="0" applyBorder="0" applyAlignment="0" applyProtection="0"/>
    <xf numFmtId="0" fontId="14" fillId="4"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15" fillId="11"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6" fillId="15" borderId="0" applyNumberFormat="0" applyBorder="0" applyAlignment="0" applyProtection="0"/>
    <xf numFmtId="0" fontId="17" fillId="16" borderId="1" applyNumberFormat="0" applyAlignment="0" applyProtection="0"/>
    <xf numFmtId="3" fontId="4" fillId="17" borderId="2">
      <alignment horizontal="right"/>
    </xf>
    <xf numFmtId="3" fontId="3" fillId="17" borderId="3">
      <alignment horizontal="right"/>
    </xf>
    <xf numFmtId="3" fontId="4" fillId="17" borderId="3">
      <alignment horizontal="right"/>
    </xf>
    <xf numFmtId="0" fontId="18" fillId="18" borderId="4" applyNumberFormat="0" applyAlignment="0" applyProtection="0"/>
    <xf numFmtId="164" fontId="4" fillId="0" borderId="0" applyFont="0" applyFill="0" applyBorder="0" applyAlignment="0" applyProtection="0"/>
    <xf numFmtId="0" fontId="19" fillId="0" borderId="0" applyNumberFormat="0" applyFill="0" applyBorder="0" applyAlignment="0" applyProtection="0"/>
    <xf numFmtId="0" fontId="20" fillId="6" borderId="0" applyNumberFormat="0" applyBorder="0" applyAlignment="0" applyProtection="0"/>
    <xf numFmtId="0" fontId="21" fillId="0" borderId="5" applyNumberFormat="0" applyFill="0" applyAlignment="0" applyProtection="0"/>
    <xf numFmtId="0" fontId="22" fillId="0" borderId="6" applyNumberFormat="0" applyFill="0" applyAlignment="0" applyProtection="0"/>
    <xf numFmtId="0" fontId="23" fillId="0" borderId="7" applyNumberFormat="0" applyFill="0" applyAlignment="0" applyProtection="0"/>
    <xf numFmtId="0" fontId="23" fillId="0" borderId="0" applyNumberFormat="0" applyFill="0" applyBorder="0" applyAlignment="0" applyProtection="0"/>
    <xf numFmtId="0" fontId="24" fillId="7" borderId="1" applyNumberFormat="0" applyAlignment="0" applyProtection="0"/>
    <xf numFmtId="0" fontId="25" fillId="0" borderId="8" applyNumberFormat="0" applyFill="0" applyAlignment="0" applyProtection="0"/>
    <xf numFmtId="0" fontId="26" fillId="7" borderId="0" applyNumberFormat="0" applyBorder="0" applyAlignment="0" applyProtection="0"/>
    <xf numFmtId="0" fontId="2" fillId="4" borderId="9" applyNumberFormat="0" applyFont="0" applyAlignment="0" applyProtection="0"/>
    <xf numFmtId="0" fontId="27" fillId="16" borderId="10" applyNumberFormat="0" applyAlignment="0" applyProtection="0"/>
    <xf numFmtId="9" fontId="2" fillId="0" borderId="0" applyFont="0" applyFill="0" applyBorder="0" applyAlignment="0" applyProtection="0"/>
    <xf numFmtId="0" fontId="28" fillId="0" borderId="0" applyNumberFormat="0" applyFill="0" applyBorder="0" applyAlignment="0" applyProtection="0"/>
    <xf numFmtId="0" fontId="29" fillId="0" borderId="11" applyNumberFormat="0" applyFill="0" applyAlignment="0" applyProtection="0"/>
    <xf numFmtId="0" fontId="25" fillId="0" borderId="0" applyNumberFormat="0" applyFill="0" applyBorder="0" applyAlignment="0" applyProtection="0"/>
    <xf numFmtId="3" fontId="2" fillId="17" borderId="2">
      <alignment horizontal="right"/>
    </xf>
    <xf numFmtId="3" fontId="2" fillId="17" borderId="3">
      <alignment horizontal="right"/>
    </xf>
    <xf numFmtId="0" fontId="2" fillId="0" borderId="0"/>
    <xf numFmtId="164" fontId="2" fillId="0" borderId="0" applyFont="0" applyFill="0" applyBorder="0" applyAlignment="0" applyProtection="0"/>
    <xf numFmtId="0" fontId="58" fillId="0" borderId="0" applyNumberFormat="0" applyFill="0" applyBorder="0" applyAlignment="0" applyProtection="0"/>
    <xf numFmtId="0" fontId="61" fillId="0" borderId="0"/>
    <xf numFmtId="0" fontId="2" fillId="0" borderId="0"/>
    <xf numFmtId="0" fontId="58" fillId="0" borderId="0" applyNumberFormat="0" applyFill="0" applyBorder="0" applyAlignment="0" applyProtection="0"/>
    <xf numFmtId="0" fontId="2" fillId="0" borderId="0"/>
    <xf numFmtId="0" fontId="6" fillId="0" borderId="0"/>
    <xf numFmtId="0" fontId="2" fillId="0" borderId="0"/>
  </cellStyleXfs>
  <cellXfs count="937">
    <xf numFmtId="0" fontId="0" fillId="0" borderId="0" xfId="0"/>
    <xf numFmtId="0" fontId="0" fillId="19" borderId="0" xfId="0" applyFill="1" applyBorder="1" applyAlignment="1">
      <alignment horizontal="center"/>
    </xf>
    <xf numFmtId="0" fontId="0" fillId="19" borderId="0" xfId="0" applyFill="1" applyBorder="1"/>
    <xf numFmtId="0" fontId="3" fillId="19" borderId="0" xfId="0" applyFont="1" applyFill="1" applyBorder="1" applyAlignment="1">
      <alignment horizontal="center"/>
    </xf>
    <xf numFmtId="0" fontId="6" fillId="17" borderId="0" xfId="0" applyFont="1" applyFill="1" applyBorder="1"/>
    <xf numFmtId="0" fontId="6" fillId="0" borderId="0" xfId="0" applyFont="1"/>
    <xf numFmtId="0" fontId="6" fillId="19" borderId="0" xfId="0" applyFont="1" applyFill="1" applyBorder="1"/>
    <xf numFmtId="0" fontId="6" fillId="19" borderId="12" xfId="0" applyFont="1" applyFill="1" applyBorder="1"/>
    <xf numFmtId="0" fontId="6" fillId="19" borderId="13" xfId="0" applyFont="1" applyFill="1" applyBorder="1"/>
    <xf numFmtId="0" fontId="8" fillId="19" borderId="0" xfId="0" applyFont="1" applyFill="1" applyBorder="1" applyAlignment="1">
      <alignment horizontal="center"/>
    </xf>
    <xf numFmtId="0" fontId="6" fillId="19" borderId="0" xfId="0" applyFont="1" applyFill="1" applyBorder="1" applyAlignment="1">
      <alignment horizontal="left"/>
    </xf>
    <xf numFmtId="0" fontId="6" fillId="20" borderId="14" xfId="0" applyFont="1" applyFill="1" applyBorder="1"/>
    <xf numFmtId="0" fontId="6" fillId="20" borderId="15" xfId="0" applyFont="1" applyFill="1" applyBorder="1"/>
    <xf numFmtId="0" fontId="6"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1" fillId="19" borderId="0" xfId="0" applyFont="1" applyFill="1" applyBorder="1"/>
    <xf numFmtId="0" fontId="12" fillId="19" borderId="0" xfId="0" applyFont="1" applyFill="1" applyBorder="1"/>
    <xf numFmtId="0" fontId="12" fillId="19" borderId="13" xfId="0" applyFont="1" applyFill="1" applyBorder="1"/>
    <xf numFmtId="0" fontId="12" fillId="17" borderId="19" xfId="0" applyFont="1" applyFill="1" applyBorder="1"/>
    <xf numFmtId="0" fontId="12" fillId="17" borderId="0" xfId="0" applyFont="1" applyFill="1" applyBorder="1"/>
    <xf numFmtId="0" fontId="12" fillId="17" borderId="22" xfId="0" applyFont="1" applyFill="1" applyBorder="1"/>
    <xf numFmtId="0" fontId="12" fillId="17" borderId="23" xfId="0" applyFont="1" applyFill="1" applyBorder="1"/>
    <xf numFmtId="0" fontId="12" fillId="0" borderId="0" xfId="0" applyFont="1"/>
    <xf numFmtId="0" fontId="12" fillId="17" borderId="24" xfId="0" applyFont="1" applyFill="1" applyBorder="1"/>
    <xf numFmtId="0" fontId="12" fillId="17" borderId="25" xfId="0" applyFont="1" applyFill="1" applyBorder="1"/>
    <xf numFmtId="0" fontId="12" fillId="17" borderId="26" xfId="0" applyFont="1" applyFill="1" applyBorder="1"/>
    <xf numFmtId="0" fontId="11" fillId="19" borderId="12" xfId="0" applyFont="1" applyFill="1" applyBorder="1" applyAlignment="1">
      <alignment horizontal="left"/>
    </xf>
    <xf numFmtId="0" fontId="12" fillId="19" borderId="0" xfId="0" applyFont="1" applyFill="1" applyBorder="1" applyAlignment="1"/>
    <xf numFmtId="0" fontId="12" fillId="19" borderId="12" xfId="0" applyFont="1" applyFill="1" applyBorder="1" applyAlignment="1"/>
    <xf numFmtId="0" fontId="11" fillId="19" borderId="0" xfId="0" applyFont="1" applyFill="1" applyBorder="1" applyAlignment="1"/>
    <xf numFmtId="0" fontId="12" fillId="19" borderId="12" xfId="0" applyFont="1" applyFill="1" applyBorder="1"/>
    <xf numFmtId="0" fontId="0" fillId="20" borderId="0" xfId="0" applyNumberFormat="1" applyFill="1" applyBorder="1" applyAlignment="1" applyProtection="1">
      <alignment horizontal="center"/>
      <protection locked="0"/>
    </xf>
    <xf numFmtId="0" fontId="0" fillId="20" borderId="0" xfId="0" applyFill="1" applyBorder="1" applyAlignment="1" applyProtection="1">
      <alignment horizontal="center"/>
      <protection locked="0"/>
    </xf>
    <xf numFmtId="0" fontId="0" fillId="20" borderId="0" xfId="0" applyFill="1" applyBorder="1" applyProtection="1">
      <protection locked="0"/>
    </xf>
    <xf numFmtId="0" fontId="0" fillId="20" borderId="0" xfId="0" applyNumberFormat="1" applyFill="1" applyBorder="1" applyProtection="1">
      <protection locked="0"/>
    </xf>
    <xf numFmtId="0" fontId="6" fillId="20" borderId="0" xfId="0" applyFont="1" applyFill="1" applyBorder="1" applyProtection="1">
      <protection locked="0"/>
    </xf>
    <xf numFmtId="0" fontId="6" fillId="20" borderId="0" xfId="0" applyFont="1" applyFill="1" applyBorder="1"/>
    <xf numFmtId="0" fontId="6" fillId="20" borderId="13" xfId="0" applyFont="1" applyFill="1" applyBorder="1"/>
    <xf numFmtId="0" fontId="6" fillId="20" borderId="17" xfId="0" applyFont="1" applyFill="1" applyBorder="1"/>
    <xf numFmtId="0" fontId="6" fillId="20" borderId="18" xfId="0" applyFont="1" applyFill="1" applyBorder="1"/>
    <xf numFmtId="0" fontId="6" fillId="20" borderId="27" xfId="0" applyFont="1" applyFill="1" applyBorder="1"/>
    <xf numFmtId="0" fontId="12" fillId="20" borderId="12" xfId="0" applyFont="1" applyFill="1" applyBorder="1" applyAlignment="1">
      <alignment horizontal="center"/>
    </xf>
    <xf numFmtId="0" fontId="0" fillId="0" borderId="0" xfId="0" applyBorder="1"/>
    <xf numFmtId="0" fontId="0" fillId="19" borderId="14" xfId="0" applyFill="1" applyBorder="1"/>
    <xf numFmtId="0" fontId="0" fillId="19" borderId="15" xfId="0" applyFill="1" applyBorder="1"/>
    <xf numFmtId="0" fontId="0" fillId="19" borderId="13" xfId="0" applyFill="1" applyBorder="1"/>
    <xf numFmtId="0" fontId="0" fillId="19" borderId="27" xfId="0" applyFill="1" applyBorder="1"/>
    <xf numFmtId="0" fontId="12" fillId="19" borderId="0" xfId="0" applyFont="1" applyFill="1" applyBorder="1" applyAlignment="1">
      <alignment vertical="top"/>
    </xf>
    <xf numFmtId="0" fontId="11" fillId="19" borderId="0" xfId="0" applyFont="1" applyFill="1" applyBorder="1" applyAlignment="1">
      <alignment horizontal="center"/>
    </xf>
    <xf numFmtId="0" fontId="6" fillId="20" borderId="18" xfId="0" applyFont="1" applyFill="1" applyBorder="1" applyAlignment="1">
      <alignment horizontal="center"/>
    </xf>
    <xf numFmtId="0" fontId="6" fillId="20" borderId="15" xfId="0" applyFont="1" applyFill="1" applyBorder="1" applyAlignment="1">
      <alignment horizontal="center"/>
    </xf>
    <xf numFmtId="0" fontId="12" fillId="19" borderId="0" xfId="0" applyFont="1" applyFill="1" applyBorder="1" applyAlignment="1">
      <alignment horizontal="center"/>
    </xf>
    <xf numFmtId="3" fontId="12" fillId="19" borderId="0" xfId="0" applyNumberFormat="1" applyFont="1" applyFill="1" applyBorder="1" applyAlignment="1">
      <alignment horizontal="right" vertical="center" indent="1"/>
    </xf>
    <xf numFmtId="3" fontId="11" fillId="19" borderId="0" xfId="0" applyNumberFormat="1" applyFont="1" applyFill="1" applyBorder="1" applyAlignment="1">
      <alignment horizontal="right" vertical="center" indent="1"/>
    </xf>
    <xf numFmtId="3" fontId="12" fillId="17" borderId="0" xfId="0" applyNumberFormat="1" applyFont="1" applyFill="1" applyBorder="1" applyAlignment="1">
      <alignment horizontal="right" vertical="center" indent="1"/>
    </xf>
    <xf numFmtId="0" fontId="6" fillId="20" borderId="14" xfId="0" applyFont="1" applyFill="1" applyBorder="1" applyAlignment="1"/>
    <xf numFmtId="0" fontId="6" fillId="20" borderId="15" xfId="0" applyFont="1" applyFill="1" applyBorder="1" applyAlignment="1"/>
    <xf numFmtId="0" fontId="6" fillId="20" borderId="16" xfId="0" applyFont="1" applyFill="1" applyBorder="1" applyAlignment="1"/>
    <xf numFmtId="0" fontId="6" fillId="20" borderId="17" xfId="0" applyFont="1" applyFill="1" applyBorder="1" applyAlignment="1"/>
    <xf numFmtId="0" fontId="6" fillId="20" borderId="18" xfId="0" applyFont="1" applyFill="1" applyBorder="1" applyAlignment="1"/>
    <xf numFmtId="0" fontId="6" fillId="20" borderId="27" xfId="0" applyFont="1" applyFill="1" applyBorder="1" applyAlignment="1"/>
    <xf numFmtId="0" fontId="31" fillId="19" borderId="0" xfId="0" applyFont="1" applyFill="1" applyBorder="1" applyAlignment="1">
      <alignment horizontal="left"/>
    </xf>
    <xf numFmtId="3" fontId="6" fillId="19" borderId="0" xfId="0" applyNumberFormat="1" applyFont="1" applyFill="1" applyBorder="1" applyAlignment="1">
      <alignment horizontal="right" vertical="center" indent="1"/>
    </xf>
    <xf numFmtId="3" fontId="9" fillId="19" borderId="0" xfId="0" applyNumberFormat="1" applyFont="1" applyFill="1" applyBorder="1" applyAlignment="1">
      <alignment horizontal="right" vertical="center" indent="1"/>
    </xf>
    <xf numFmtId="3" fontId="10" fillId="19" borderId="0" xfId="0" applyNumberFormat="1" applyFont="1" applyFill="1" applyBorder="1" applyAlignment="1">
      <alignment horizontal="right" vertical="center" indent="1"/>
    </xf>
    <xf numFmtId="3" fontId="9" fillId="19" borderId="0" xfId="0" applyNumberFormat="1" applyFont="1" applyFill="1" applyBorder="1" applyAlignment="1">
      <alignment horizontal="left" vertical="center" indent="1"/>
    </xf>
    <xf numFmtId="3" fontId="6" fillId="19" borderId="0" xfId="0" applyNumberFormat="1" applyFont="1" applyFill="1" applyBorder="1" applyAlignment="1">
      <alignment horizontal="left" vertical="center" indent="1"/>
    </xf>
    <xf numFmtId="0" fontId="3" fillId="20" borderId="18" xfId="0" applyFont="1" applyFill="1" applyBorder="1"/>
    <xf numFmtId="0" fontId="12" fillId="19" borderId="18" xfId="0" applyFont="1" applyFill="1" applyBorder="1"/>
    <xf numFmtId="0" fontId="6" fillId="0" borderId="0" xfId="0" applyFont="1" applyBorder="1"/>
    <xf numFmtId="0" fontId="36" fillId="20" borderId="15" xfId="0" applyFont="1" applyFill="1" applyBorder="1"/>
    <xf numFmtId="3" fontId="12" fillId="19" borderId="0" xfId="0" applyNumberFormat="1" applyFont="1" applyFill="1" applyBorder="1" applyAlignment="1" applyProtection="1">
      <alignment horizontal="right" vertical="center" indent="1"/>
      <protection locked="0"/>
    </xf>
    <xf numFmtId="0" fontId="6" fillId="19" borderId="0" xfId="0" applyFont="1" applyFill="1" applyBorder="1" applyAlignment="1">
      <alignment vertical="top"/>
    </xf>
    <xf numFmtId="3" fontId="37" fillId="19" borderId="0" xfId="0" applyNumberFormat="1" applyFont="1" applyFill="1" applyBorder="1" applyAlignment="1">
      <alignment horizontal="left" vertical="center" indent="1"/>
    </xf>
    <xf numFmtId="3" fontId="8" fillId="19" borderId="0" xfId="0" applyNumberFormat="1" applyFont="1" applyFill="1" applyBorder="1" applyAlignment="1">
      <alignment horizontal="right" vertical="center" indent="1"/>
    </xf>
    <xf numFmtId="0" fontId="6" fillId="20" borderId="12" xfId="0" applyFont="1" applyFill="1" applyBorder="1" applyAlignment="1">
      <alignment horizontal="center"/>
    </xf>
    <xf numFmtId="0" fontId="6" fillId="20" borderId="0" xfId="0" applyFont="1" applyFill="1" applyBorder="1" applyAlignment="1">
      <alignment horizontal="center"/>
    </xf>
    <xf numFmtId="0" fontId="6" fillId="20" borderId="13" xfId="0" applyFont="1" applyFill="1" applyBorder="1" applyAlignment="1">
      <alignment horizontal="center"/>
    </xf>
    <xf numFmtId="9" fontId="34" fillId="17" borderId="0" xfId="43" applyFont="1" applyFill="1" applyBorder="1" applyAlignment="1">
      <alignment vertical="center"/>
    </xf>
    <xf numFmtId="0" fontId="35" fillId="17" borderId="0" xfId="0" applyFont="1" applyFill="1" applyBorder="1" applyAlignment="1">
      <alignment vertical="center"/>
    </xf>
    <xf numFmtId="0" fontId="34" fillId="17" borderId="0" xfId="0" applyFont="1" applyFill="1" applyBorder="1" applyAlignment="1">
      <alignment vertical="center"/>
    </xf>
    <xf numFmtId="0" fontId="6" fillId="0" borderId="0" xfId="0" applyFont="1" applyFill="1" applyBorder="1"/>
    <xf numFmtId="0" fontId="7" fillId="20" borderId="12" xfId="0" applyFont="1" applyFill="1" applyBorder="1" applyAlignment="1">
      <alignment horizontal="center"/>
    </xf>
    <xf numFmtId="0" fontId="2" fillId="20" borderId="18" xfId="0" applyFont="1" applyFill="1" applyBorder="1" applyAlignment="1">
      <alignment horizontal="right"/>
    </xf>
    <xf numFmtId="0" fontId="4" fillId="20" borderId="18" xfId="0" applyFont="1" applyFill="1" applyBorder="1" applyAlignment="1">
      <alignment horizontal="right"/>
    </xf>
    <xf numFmtId="0" fontId="12" fillId="19" borderId="24" xfId="0" applyFont="1" applyFill="1" applyBorder="1" applyAlignment="1"/>
    <xf numFmtId="0" fontId="12" fillId="19" borderId="19" xfId="0" applyFont="1" applyFill="1" applyBorder="1" applyAlignment="1"/>
    <xf numFmtId="3" fontId="11" fillId="19" borderId="19" xfId="0" applyNumberFormat="1" applyFont="1" applyFill="1" applyBorder="1" applyAlignment="1">
      <alignment horizontal="right" vertical="center" indent="1"/>
    </xf>
    <xf numFmtId="3" fontId="12" fillId="19" borderId="19" xfId="0" applyNumberFormat="1" applyFont="1" applyFill="1" applyBorder="1" applyAlignment="1">
      <alignment horizontal="right" vertical="center" indent="1"/>
    </xf>
    <xf numFmtId="0" fontId="12" fillId="19" borderId="25" xfId="0" applyFont="1" applyFill="1" applyBorder="1" applyAlignment="1"/>
    <xf numFmtId="0" fontId="11" fillId="19" borderId="25" xfId="0" applyFont="1" applyFill="1" applyBorder="1" applyAlignment="1"/>
    <xf numFmtId="0" fontId="12" fillId="19" borderId="26" xfId="0" applyFont="1" applyFill="1" applyBorder="1" applyAlignment="1"/>
    <xf numFmtId="0" fontId="12" fillId="19" borderId="22" xfId="0" applyFont="1" applyFill="1" applyBorder="1" applyAlignment="1"/>
    <xf numFmtId="3" fontId="12" fillId="19" borderId="22" xfId="0" applyNumberFormat="1" applyFont="1" applyFill="1" applyBorder="1" applyAlignment="1">
      <alignment horizontal="right" vertical="center" indent="1"/>
    </xf>
    <xf numFmtId="9" fontId="32" fillId="17" borderId="0" xfId="43" applyFont="1" applyFill="1" applyBorder="1" applyAlignment="1">
      <alignment vertical="center"/>
    </xf>
    <xf numFmtId="0" fontId="32" fillId="0" borderId="0" xfId="0" applyFont="1" applyBorder="1" applyAlignment="1">
      <alignment vertical="center"/>
    </xf>
    <xf numFmtId="0" fontId="12" fillId="0" borderId="0" xfId="0" applyFont="1" applyBorder="1"/>
    <xf numFmtId="0" fontId="37" fillId="0" borderId="0" xfId="0" applyFont="1" applyBorder="1"/>
    <xf numFmtId="0" fontId="32" fillId="0" borderId="0" xfId="0" applyFont="1" applyBorder="1"/>
    <xf numFmtId="0" fontId="8" fillId="19" borderId="0" xfId="0" applyFont="1" applyFill="1" applyBorder="1" applyAlignment="1">
      <alignment horizontal="left"/>
    </xf>
    <xf numFmtId="3" fontId="12" fillId="19" borderId="30" xfId="0" applyNumberFormat="1" applyFont="1" applyFill="1" applyBorder="1" applyAlignment="1">
      <alignment horizontal="right" vertical="center" indent="1"/>
    </xf>
    <xf numFmtId="3" fontId="12" fillId="19" borderId="31" xfId="0" applyNumberFormat="1" applyFont="1" applyFill="1" applyBorder="1" applyAlignment="1">
      <alignment horizontal="right" vertical="center" indent="1"/>
    </xf>
    <xf numFmtId="0" fontId="0" fillId="19" borderId="0" xfId="0" applyFill="1" applyBorder="1" applyAlignment="1"/>
    <xf numFmtId="0" fontId="36" fillId="20" borderId="15" xfId="0" applyFont="1" applyFill="1" applyBorder="1" applyAlignment="1"/>
    <xf numFmtId="3" fontId="35" fillId="17" borderId="0" xfId="0" applyNumberFormat="1" applyFont="1" applyFill="1" applyBorder="1" applyAlignment="1">
      <alignment vertical="center"/>
    </xf>
    <xf numFmtId="3" fontId="6" fillId="19" borderId="0" xfId="0" applyNumberFormat="1" applyFont="1" applyFill="1" applyBorder="1" applyAlignment="1">
      <alignment horizontal="center" vertical="center"/>
    </xf>
    <xf numFmtId="3" fontId="8" fillId="19" borderId="0" xfId="0" applyNumberFormat="1" applyFont="1" applyFill="1" applyBorder="1" applyAlignment="1">
      <alignment horizontal="center" vertical="center" wrapText="1"/>
    </xf>
    <xf numFmtId="0" fontId="8" fillId="19" borderId="0" xfId="0" applyFont="1" applyFill="1" applyBorder="1"/>
    <xf numFmtId="0" fontId="0" fillId="19" borderId="18" xfId="0" applyFill="1" applyBorder="1" applyAlignment="1"/>
    <xf numFmtId="0" fontId="12" fillId="19" borderId="18" xfId="0" applyFont="1" applyFill="1" applyBorder="1" applyAlignment="1"/>
    <xf numFmtId="0" fontId="12" fillId="17" borderId="22" xfId="0" applyFont="1" applyFill="1" applyBorder="1" applyAlignment="1">
      <alignment horizontal="right" vertical="center" indent="1"/>
    </xf>
    <xf numFmtId="0" fontId="12" fillId="19" borderId="0" xfId="0" applyFont="1" applyFill="1" applyBorder="1" applyAlignment="1">
      <alignment horizontal="right" vertical="center" indent="1"/>
    </xf>
    <xf numFmtId="0" fontId="6" fillId="21" borderId="0" xfId="0" applyFont="1" applyFill="1" applyBorder="1"/>
    <xf numFmtId="0" fontId="8" fillId="19" borderId="0" xfId="0" applyFont="1" applyFill="1" applyBorder="1" applyAlignment="1">
      <alignment vertical="top"/>
    </xf>
    <xf numFmtId="0" fontId="6" fillId="22" borderId="18" xfId="0" applyFont="1" applyFill="1" applyBorder="1"/>
    <xf numFmtId="0" fontId="38" fillId="22" borderId="17" xfId="0" applyFont="1" applyFill="1" applyBorder="1"/>
    <xf numFmtId="0" fontId="6" fillId="22" borderId="27" xfId="0" applyFont="1" applyFill="1" applyBorder="1"/>
    <xf numFmtId="0" fontId="12" fillId="22" borderId="18" xfId="0" applyFont="1" applyFill="1" applyBorder="1"/>
    <xf numFmtId="3" fontId="11" fillId="22" borderId="18" xfId="0" applyNumberFormat="1" applyFont="1" applyFill="1" applyBorder="1" applyAlignment="1">
      <alignment horizontal="right" vertical="center" indent="1"/>
    </xf>
    <xf numFmtId="3" fontId="12" fillId="22" borderId="18" xfId="0" applyNumberFormat="1" applyFont="1" applyFill="1" applyBorder="1" applyAlignment="1">
      <alignment horizontal="right" vertical="center" indent="1"/>
    </xf>
    <xf numFmtId="0" fontId="0" fillId="22" borderId="27" xfId="0" applyFill="1" applyBorder="1"/>
    <xf numFmtId="0" fontId="12" fillId="22" borderId="0" xfId="0" applyFont="1" applyFill="1" applyBorder="1"/>
    <xf numFmtId="3" fontId="12" fillId="22" borderId="0" xfId="0" applyNumberFormat="1" applyFont="1" applyFill="1" applyBorder="1" applyAlignment="1">
      <alignment horizontal="right" vertical="center" indent="1"/>
    </xf>
    <xf numFmtId="0" fontId="6" fillId="19" borderId="0" xfId="0" applyFont="1" applyFill="1" applyBorder="1" applyAlignment="1">
      <alignment horizontal="left" vertical="top"/>
    </xf>
    <xf numFmtId="0" fontId="11" fillId="19" borderId="0" xfId="0" applyFont="1" applyFill="1" applyBorder="1" applyAlignment="1">
      <alignment vertical="top"/>
    </xf>
    <xf numFmtId="0" fontId="0" fillId="19" borderId="0" xfId="0" applyFill="1" applyBorder="1" applyAlignment="1">
      <alignment vertical="top"/>
    </xf>
    <xf numFmtId="0" fontId="12" fillId="19" borderId="18" xfId="0" applyFont="1" applyFill="1" applyBorder="1" applyAlignment="1">
      <alignment vertical="top"/>
    </xf>
    <xf numFmtId="0" fontId="0" fillId="19" borderId="12" xfId="0" applyFill="1" applyBorder="1" applyAlignment="1">
      <alignment vertical="top"/>
    </xf>
    <xf numFmtId="3" fontId="12" fillId="19" borderId="12" xfId="0" applyNumberFormat="1" applyFont="1" applyFill="1" applyBorder="1" applyAlignment="1">
      <alignment horizontal="right" vertical="top"/>
    </xf>
    <xf numFmtId="3" fontId="12" fillId="19" borderId="0" xfId="0" applyNumberFormat="1" applyFont="1" applyFill="1" applyBorder="1" applyAlignment="1">
      <alignment horizontal="right" vertical="top"/>
    </xf>
    <xf numFmtId="0" fontId="0" fillId="19" borderId="17" xfId="0" applyFill="1" applyBorder="1" applyAlignment="1">
      <alignment vertical="top"/>
    </xf>
    <xf numFmtId="0" fontId="0" fillId="19" borderId="18" xfId="0" applyFill="1" applyBorder="1" applyAlignment="1">
      <alignment vertical="top"/>
    </xf>
    <xf numFmtId="0" fontId="0" fillId="22" borderId="18" xfId="0" applyFill="1" applyBorder="1" applyAlignment="1">
      <alignment vertical="top" wrapText="1"/>
    </xf>
    <xf numFmtId="0" fontId="0" fillId="22" borderId="0" xfId="0" applyFill="1" applyBorder="1" applyAlignment="1">
      <alignment vertical="top" wrapText="1"/>
    </xf>
    <xf numFmtId="0" fontId="12" fillId="22" borderId="0" xfId="0" applyFont="1" applyFill="1" applyBorder="1" applyAlignment="1">
      <alignment vertical="top"/>
    </xf>
    <xf numFmtId="0" fontId="11" fillId="19" borderId="0" xfId="0" applyFont="1" applyFill="1" applyBorder="1" applyAlignment="1">
      <alignment horizontal="left" vertical="top"/>
    </xf>
    <xf numFmtId="0" fontId="12" fillId="19" borderId="19" xfId="0" applyFont="1" applyFill="1" applyBorder="1" applyAlignment="1">
      <alignment vertical="top" wrapText="1"/>
    </xf>
    <xf numFmtId="0" fontId="12" fillId="19" borderId="22" xfId="0" applyFont="1" applyFill="1" applyBorder="1" applyAlignment="1">
      <alignment vertical="top"/>
    </xf>
    <xf numFmtId="0" fontId="12" fillId="17" borderId="19" xfId="0" applyFont="1" applyFill="1" applyBorder="1" applyAlignment="1">
      <alignment vertical="top"/>
    </xf>
    <xf numFmtId="0" fontId="11" fillId="17" borderId="0" xfId="0" applyFont="1" applyFill="1" applyBorder="1" applyAlignment="1">
      <alignment vertical="top"/>
    </xf>
    <xf numFmtId="0" fontId="12" fillId="17" borderId="0" xfId="0" applyFont="1" applyFill="1" applyBorder="1" applyAlignment="1">
      <alignment vertical="top"/>
    </xf>
    <xf numFmtId="0" fontId="12" fillId="17" borderId="22" xfId="0" applyFont="1" applyFill="1" applyBorder="1" applyAlignment="1">
      <alignment vertical="top"/>
    </xf>
    <xf numFmtId="0" fontId="8" fillId="19" borderId="0" xfId="0" applyFont="1" applyFill="1" applyBorder="1" applyAlignment="1">
      <alignment horizontal="left" vertical="top"/>
    </xf>
    <xf numFmtId="0" fontId="6" fillId="17" borderId="0" xfId="0" applyFont="1" applyFill="1" applyBorder="1" applyAlignment="1">
      <alignment vertical="top"/>
    </xf>
    <xf numFmtId="0" fontId="0" fillId="22" borderId="0" xfId="0" applyFill="1" applyAlignment="1">
      <alignment vertical="top" wrapText="1"/>
    </xf>
    <xf numFmtId="0" fontId="6" fillId="19" borderId="0" xfId="0" applyFont="1" applyFill="1" applyBorder="1" applyAlignment="1">
      <alignment vertical="top" wrapText="1"/>
    </xf>
    <xf numFmtId="0" fontId="12" fillId="22" borderId="0" xfId="0" applyFont="1" applyFill="1"/>
    <xf numFmtId="0" fontId="12" fillId="22" borderId="0" xfId="0" applyFont="1" applyFill="1" applyBorder="1" applyAlignment="1"/>
    <xf numFmtId="0" fontId="0" fillId="19" borderId="37" xfId="0" applyFill="1" applyBorder="1" applyAlignment="1">
      <alignment vertical="top"/>
    </xf>
    <xf numFmtId="0" fontId="12" fillId="19" borderId="38" xfId="0" applyFont="1" applyFill="1" applyBorder="1" applyAlignment="1">
      <alignment vertical="top" wrapText="1"/>
    </xf>
    <xf numFmtId="0" fontId="12" fillId="19" borderId="38" xfId="0" applyFont="1" applyFill="1" applyBorder="1"/>
    <xf numFmtId="3" fontId="6" fillId="19" borderId="38" xfId="0" applyNumberFormat="1" applyFont="1" applyFill="1" applyBorder="1" applyAlignment="1">
      <alignment horizontal="right" vertical="center" indent="1"/>
    </xf>
    <xf numFmtId="3" fontId="12" fillId="19" borderId="38" xfId="0" applyNumberFormat="1" applyFont="1" applyFill="1" applyBorder="1" applyAlignment="1">
      <alignment horizontal="right" vertical="center" indent="1"/>
    </xf>
    <xf numFmtId="0" fontId="0" fillId="19" borderId="40" xfId="0" applyFill="1" applyBorder="1" applyAlignment="1">
      <alignment vertical="top"/>
    </xf>
    <xf numFmtId="0" fontId="0" fillId="19" borderId="42" xfId="0" applyFill="1" applyBorder="1" applyAlignment="1">
      <alignment vertical="top"/>
    </xf>
    <xf numFmtId="0" fontId="6" fillId="19" borderId="43" xfId="0" applyFont="1" applyFill="1" applyBorder="1" applyAlignment="1">
      <alignment horizontal="left" vertical="top" wrapText="1"/>
    </xf>
    <xf numFmtId="0" fontId="12" fillId="19" borderId="43" xfId="0" applyFont="1" applyFill="1" applyBorder="1"/>
    <xf numFmtId="3" fontId="12" fillId="19" borderId="43" xfId="0" applyNumberFormat="1" applyFont="1" applyFill="1" applyBorder="1" applyAlignment="1">
      <alignment horizontal="right" vertical="center" indent="1"/>
    </xf>
    <xf numFmtId="0" fontId="0" fillId="19" borderId="43" xfId="0" applyFill="1" applyBorder="1"/>
    <xf numFmtId="3" fontId="8" fillId="19" borderId="38" xfId="0" applyNumberFormat="1" applyFont="1" applyFill="1" applyBorder="1" applyAlignment="1">
      <alignment horizontal="right" vertical="center" indent="1"/>
    </xf>
    <xf numFmtId="3" fontId="8" fillId="19" borderId="43" xfId="0" applyNumberFormat="1" applyFont="1" applyFill="1" applyBorder="1" applyAlignment="1">
      <alignment horizontal="right" vertical="center" indent="1"/>
    </xf>
    <xf numFmtId="3" fontId="6" fillId="19" borderId="43" xfId="0" applyNumberFormat="1" applyFont="1" applyFill="1" applyBorder="1" applyAlignment="1">
      <alignment horizontal="right" vertical="center" indent="1"/>
    </xf>
    <xf numFmtId="0" fontId="0" fillId="22" borderId="0" xfId="0" applyFill="1" applyBorder="1" applyAlignment="1">
      <alignment vertical="top"/>
    </xf>
    <xf numFmtId="0" fontId="0" fillId="22" borderId="37" xfId="0" applyFill="1" applyBorder="1" applyAlignment="1">
      <alignment vertical="top"/>
    </xf>
    <xf numFmtId="0" fontId="0" fillId="22" borderId="38" xfId="0" applyFill="1" applyBorder="1" applyAlignment="1">
      <alignment vertical="top" wrapText="1"/>
    </xf>
    <xf numFmtId="0" fontId="12" fillId="22" borderId="38" xfId="0" applyFont="1" applyFill="1" applyBorder="1"/>
    <xf numFmtId="0" fontId="0" fillId="22" borderId="40" xfId="0" applyFill="1" applyBorder="1" applyAlignment="1">
      <alignment vertical="top"/>
    </xf>
    <xf numFmtId="0" fontId="0" fillId="22" borderId="42" xfId="0" applyFill="1" applyBorder="1" applyAlignment="1">
      <alignment vertical="top"/>
    </xf>
    <xf numFmtId="0" fontId="0" fillId="22" borderId="43" xfId="0" applyFill="1" applyBorder="1" applyAlignment="1">
      <alignment vertical="top" wrapText="1"/>
    </xf>
    <xf numFmtId="0" fontId="12" fillId="22" borderId="43" xfId="0" applyFont="1" applyFill="1" applyBorder="1"/>
    <xf numFmtId="0" fontId="12" fillId="19" borderId="38" xfId="0" applyFont="1" applyFill="1" applyBorder="1" applyAlignment="1">
      <alignment vertical="top"/>
    </xf>
    <xf numFmtId="0" fontId="12" fillId="19" borderId="43" xfId="0" applyFont="1" applyFill="1" applyBorder="1" applyAlignment="1">
      <alignment vertical="top"/>
    </xf>
    <xf numFmtId="0" fontId="6" fillId="19" borderId="38" xfId="0" applyFont="1" applyFill="1" applyBorder="1" applyAlignment="1">
      <alignment vertical="top"/>
    </xf>
    <xf numFmtId="0" fontId="6" fillId="19" borderId="43" xfId="0" applyFont="1" applyFill="1" applyBorder="1" applyAlignment="1">
      <alignment vertical="top"/>
    </xf>
    <xf numFmtId="0" fontId="0" fillId="19" borderId="42" xfId="0" applyFill="1" applyBorder="1"/>
    <xf numFmtId="0" fontId="6" fillId="19" borderId="18" xfId="0" applyFont="1" applyFill="1" applyBorder="1" applyAlignment="1">
      <alignment vertical="top"/>
    </xf>
    <xf numFmtId="0" fontId="8" fillId="19" borderId="0" xfId="0" applyFont="1" applyFill="1" applyBorder="1" applyAlignment="1"/>
    <xf numFmtId="0" fontId="12" fillId="23" borderId="0" xfId="0" applyFont="1" applyFill="1" applyBorder="1" applyAlignment="1">
      <alignment vertical="top"/>
    </xf>
    <xf numFmtId="0" fontId="0" fillId="23" borderId="0" xfId="0" applyFill="1" applyBorder="1" applyAlignment="1">
      <alignment vertical="top"/>
    </xf>
    <xf numFmtId="0" fontId="6" fillId="23" borderId="0" xfId="0" applyFont="1" applyFill="1" applyBorder="1" applyAlignment="1">
      <alignment vertical="top"/>
    </xf>
    <xf numFmtId="0" fontId="12" fillId="23" borderId="0" xfId="0" applyFont="1" applyFill="1" applyBorder="1"/>
    <xf numFmtId="3" fontId="12" fillId="23" borderId="0" xfId="0" applyNumberFormat="1" applyFont="1" applyFill="1" applyBorder="1" applyAlignment="1">
      <alignment horizontal="right" vertical="center" indent="1"/>
    </xf>
    <xf numFmtId="0" fontId="33" fillId="23" borderId="0" xfId="0" applyFont="1" applyFill="1" applyBorder="1" applyAlignment="1">
      <alignment vertical="top"/>
    </xf>
    <xf numFmtId="0" fontId="40" fillId="24" borderId="0" xfId="0" applyFont="1" applyFill="1" applyBorder="1"/>
    <xf numFmtId="0" fontId="41" fillId="24" borderId="0" xfId="0" applyFont="1" applyFill="1" applyBorder="1"/>
    <xf numFmtId="0" fontId="42" fillId="24" borderId="0" xfId="0" applyFont="1" applyFill="1" applyBorder="1"/>
    <xf numFmtId="0" fontId="43" fillId="24" borderId="0" xfId="0" applyFont="1" applyFill="1" applyBorder="1"/>
    <xf numFmtId="0" fontId="12" fillId="23" borderId="0" xfId="0" applyFont="1" applyFill="1" applyBorder="1" applyAlignment="1"/>
    <xf numFmtId="0" fontId="12" fillId="23" borderId="45" xfId="0" applyFont="1" applyFill="1" applyBorder="1"/>
    <xf numFmtId="0" fontId="12" fillId="23" borderId="46" xfId="0" applyFont="1" applyFill="1" applyBorder="1" applyAlignment="1">
      <alignment vertical="top"/>
    </xf>
    <xf numFmtId="0" fontId="12" fillId="23" borderId="46" xfId="0" applyFont="1" applyFill="1" applyBorder="1"/>
    <xf numFmtId="0" fontId="12" fillId="23" borderId="46" xfId="0" applyFont="1" applyFill="1" applyBorder="1" applyAlignment="1">
      <alignment horizontal="right" vertical="center" indent="1"/>
    </xf>
    <xf numFmtId="0" fontId="12" fillId="23" borderId="47" xfId="0" applyFont="1" applyFill="1" applyBorder="1"/>
    <xf numFmtId="0" fontId="12" fillId="23" borderId="48" xfId="0" applyFont="1" applyFill="1" applyBorder="1"/>
    <xf numFmtId="0" fontId="11" fillId="23" borderId="0" xfId="0" applyFont="1" applyFill="1" applyBorder="1" applyAlignment="1">
      <alignment vertical="top"/>
    </xf>
    <xf numFmtId="0" fontId="12" fillId="23" borderId="0" xfId="0" applyFont="1" applyFill="1" applyBorder="1" applyAlignment="1">
      <alignment horizontal="right" vertical="center" indent="1"/>
    </xf>
    <xf numFmtId="0" fontId="12" fillId="23" borderId="49" xfId="0" applyFont="1" applyFill="1" applyBorder="1"/>
    <xf numFmtId="0" fontId="12" fillId="23" borderId="49" xfId="0" applyFont="1" applyFill="1" applyBorder="1" applyAlignment="1">
      <alignment horizontal="center"/>
    </xf>
    <xf numFmtId="0" fontId="12" fillId="23" borderId="50" xfId="0" applyFont="1" applyFill="1" applyBorder="1"/>
    <xf numFmtId="0" fontId="12" fillId="23" borderId="51" xfId="0" applyFont="1" applyFill="1" applyBorder="1"/>
    <xf numFmtId="0" fontId="12" fillId="23" borderId="52" xfId="0" applyFont="1" applyFill="1" applyBorder="1"/>
    <xf numFmtId="3" fontId="11" fillId="17" borderId="0" xfId="0" applyNumberFormat="1" applyFont="1" applyFill="1" applyBorder="1" applyAlignment="1">
      <alignment horizontal="center" vertical="center"/>
    </xf>
    <xf numFmtId="0" fontId="35" fillId="0" borderId="0" xfId="0" applyFont="1" applyBorder="1" applyAlignment="1">
      <alignment vertical="center"/>
    </xf>
    <xf numFmtId="3" fontId="11" fillId="22" borderId="19" xfId="0" applyNumberFormat="1" applyFont="1" applyFill="1" applyBorder="1" applyAlignment="1">
      <alignment horizontal="right" vertical="center" indent="1"/>
    </xf>
    <xf numFmtId="3" fontId="12" fillId="22" borderId="22" xfId="0" applyNumberFormat="1" applyFont="1" applyFill="1" applyBorder="1" applyAlignment="1">
      <alignment horizontal="right" vertical="center" indent="1"/>
    </xf>
    <xf numFmtId="0" fontId="12" fillId="19" borderId="14" xfId="0" applyFont="1" applyFill="1" applyBorder="1" applyAlignment="1"/>
    <xf numFmtId="0" fontId="12" fillId="19" borderId="15" xfId="0" applyFont="1" applyFill="1" applyBorder="1" applyAlignment="1"/>
    <xf numFmtId="0" fontId="12" fillId="19" borderId="15" xfId="0" applyFont="1" applyFill="1" applyBorder="1" applyAlignment="1">
      <alignment vertical="top"/>
    </xf>
    <xf numFmtId="0" fontId="12" fillId="19" borderId="15" xfId="0" applyFont="1" applyFill="1" applyBorder="1"/>
    <xf numFmtId="0" fontId="12" fillId="19" borderId="16" xfId="0" applyFont="1" applyFill="1" applyBorder="1"/>
    <xf numFmtId="0" fontId="2" fillId="0" borderId="0" xfId="0" applyFont="1"/>
    <xf numFmtId="0" fontId="45" fillId="0" borderId="0" xfId="0" applyFont="1"/>
    <xf numFmtId="0" fontId="0" fillId="21" borderId="0" xfId="0" applyFill="1"/>
    <xf numFmtId="0" fontId="2" fillId="21" borderId="0" xfId="0" applyFont="1" applyFill="1"/>
    <xf numFmtId="3" fontId="11" fillId="17" borderId="0" xfId="0" applyNumberFormat="1" applyFont="1" applyFill="1" applyBorder="1" applyAlignment="1">
      <alignment horizontal="center" vertical="center"/>
    </xf>
    <xf numFmtId="3" fontId="8" fillId="19" borderId="0" xfId="0" applyNumberFormat="1" applyFont="1" applyFill="1" applyBorder="1" applyAlignment="1">
      <alignment horizontal="center" vertical="center" wrapText="1"/>
    </xf>
    <xf numFmtId="3" fontId="8" fillId="19" borderId="0" xfId="0" applyNumberFormat="1" applyFont="1" applyFill="1" applyBorder="1" applyAlignment="1">
      <alignment horizontal="center" vertical="center"/>
    </xf>
    <xf numFmtId="1" fontId="2" fillId="20" borderId="14" xfId="0" applyNumberFormat="1" applyFont="1" applyFill="1" applyBorder="1"/>
    <xf numFmtId="0" fontId="2" fillId="20" borderId="15" xfId="0" applyFont="1" applyFill="1" applyBorder="1"/>
    <xf numFmtId="0" fontId="2" fillId="20" borderId="16" xfId="0" applyFont="1" applyFill="1" applyBorder="1" applyAlignment="1">
      <alignment horizontal="center"/>
    </xf>
    <xf numFmtId="1" fontId="2" fillId="20" borderId="12" xfId="0" applyNumberFormat="1" applyFont="1" applyFill="1" applyBorder="1" applyAlignment="1"/>
    <xf numFmtId="0" fontId="2" fillId="20" borderId="0" xfId="0" applyFont="1" applyFill="1" applyBorder="1" applyAlignment="1"/>
    <xf numFmtId="0" fontId="2" fillId="20" borderId="13" xfId="0" applyFont="1" applyFill="1" applyBorder="1" applyAlignment="1">
      <alignment horizontal="center"/>
    </xf>
    <xf numFmtId="1" fontId="2" fillId="20" borderId="12" xfId="0" applyNumberFormat="1" applyFont="1" applyFill="1" applyBorder="1" applyAlignment="1">
      <alignment horizontal="center"/>
    </xf>
    <xf numFmtId="1" fontId="2" fillId="20" borderId="0" xfId="0" applyNumberFormat="1" applyFont="1" applyFill="1" applyBorder="1" applyAlignment="1">
      <alignment horizontal="center"/>
    </xf>
    <xf numFmtId="1" fontId="2" fillId="20" borderId="13" xfId="0" applyNumberFormat="1" applyFont="1" applyFill="1" applyBorder="1" applyAlignment="1">
      <alignment horizontal="center"/>
    </xf>
    <xf numFmtId="1" fontId="2" fillId="20" borderId="12" xfId="0" applyNumberFormat="1" applyFont="1" applyFill="1" applyBorder="1"/>
    <xf numFmtId="0" fontId="2" fillId="20" borderId="0" xfId="0" applyFont="1" applyFill="1" applyBorder="1"/>
    <xf numFmtId="1" fontId="47" fillId="20" borderId="12" xfId="0" applyNumberFormat="1" applyFont="1" applyFill="1" applyBorder="1" applyAlignment="1">
      <alignment horizontal="center" vertical="top"/>
    </xf>
    <xf numFmtId="0" fontId="47" fillId="20" borderId="0" xfId="0" applyFont="1" applyFill="1" applyBorder="1" applyAlignment="1">
      <alignment vertical="top"/>
    </xf>
    <xf numFmtId="0" fontId="47" fillId="20" borderId="13" xfId="0" applyFont="1" applyFill="1" applyBorder="1" applyAlignment="1">
      <alignment horizontal="center" vertical="top"/>
    </xf>
    <xf numFmtId="1" fontId="2" fillId="20" borderId="17" xfId="0" applyNumberFormat="1" applyFont="1" applyFill="1" applyBorder="1"/>
    <xf numFmtId="0" fontId="2" fillId="20" borderId="18" xfId="0" applyFont="1" applyFill="1" applyBorder="1"/>
    <xf numFmtId="0" fontId="2" fillId="20" borderId="27" xfId="0" applyFont="1" applyFill="1" applyBorder="1" applyAlignment="1">
      <alignment horizontal="center"/>
    </xf>
    <xf numFmtId="1" fontId="2" fillId="25" borderId="12" xfId="0" applyNumberFormat="1" applyFont="1" applyFill="1" applyBorder="1" applyAlignment="1">
      <alignment horizontal="center"/>
    </xf>
    <xf numFmtId="4" fontId="2" fillId="25" borderId="55" xfId="0" applyNumberFormat="1" applyFont="1" applyFill="1" applyBorder="1"/>
    <xf numFmtId="4" fontId="2" fillId="25" borderId="14" xfId="0" applyNumberFormat="1" applyFont="1" applyFill="1" applyBorder="1" applyAlignment="1">
      <alignment horizontal="center"/>
    </xf>
    <xf numFmtId="3" fontId="0" fillId="21" borderId="0" xfId="0" applyNumberFormat="1" applyFill="1"/>
    <xf numFmtId="4" fontId="2" fillId="25" borderId="56" xfId="0" applyNumberFormat="1" applyFont="1" applyFill="1" applyBorder="1"/>
    <xf numFmtId="4" fontId="2" fillId="25" borderId="12" xfId="0" applyNumberFormat="1" applyFont="1" applyFill="1" applyBorder="1" applyAlignment="1">
      <alignment horizontal="center"/>
    </xf>
    <xf numFmtId="0" fontId="2" fillId="25" borderId="56" xfId="0" applyFont="1" applyFill="1" applyBorder="1"/>
    <xf numFmtId="0" fontId="2" fillId="25" borderId="12" xfId="0" applyFont="1" applyFill="1" applyBorder="1" applyAlignment="1">
      <alignment horizontal="center"/>
    </xf>
    <xf numFmtId="1" fontId="2" fillId="25" borderId="59" xfId="0" applyNumberFormat="1" applyFont="1" applyFill="1" applyBorder="1" applyAlignment="1">
      <alignment horizontal="center"/>
    </xf>
    <xf numFmtId="4" fontId="2" fillId="25" borderId="57" xfId="0" applyNumberFormat="1" applyFont="1" applyFill="1" applyBorder="1"/>
    <xf numFmtId="4" fontId="2" fillId="25" borderId="17" xfId="0" applyNumberFormat="1" applyFont="1" applyFill="1" applyBorder="1" applyAlignment="1">
      <alignment horizontal="center"/>
    </xf>
    <xf numFmtId="1" fontId="3" fillId="25" borderId="14" xfId="0" applyNumberFormat="1" applyFont="1" applyFill="1" applyBorder="1" applyAlignment="1">
      <alignment horizontal="center"/>
    </xf>
    <xf numFmtId="0" fontId="3" fillId="25" borderId="55" xfId="0" applyFont="1" applyFill="1" applyBorder="1"/>
    <xf numFmtId="0" fontId="3" fillId="25" borderId="55" xfId="0" applyFont="1" applyFill="1" applyBorder="1" applyAlignment="1">
      <alignment horizontal="center"/>
    </xf>
    <xf numFmtId="0" fontId="2" fillId="21" borderId="0" xfId="0" applyFont="1" applyFill="1" applyBorder="1"/>
    <xf numFmtId="0" fontId="0" fillId="21" borderId="0" xfId="0" applyFill="1" applyBorder="1"/>
    <xf numFmtId="0" fontId="32" fillId="17" borderId="0" xfId="0" applyFont="1" applyFill="1" applyBorder="1"/>
    <xf numFmtId="0" fontId="32" fillId="17" borderId="0" xfId="0" applyFont="1" applyFill="1" applyBorder="1" applyAlignment="1">
      <alignment vertical="center"/>
    </xf>
    <xf numFmtId="0" fontId="2" fillId="17" borderId="0" xfId="0" applyFont="1" applyFill="1"/>
    <xf numFmtId="3" fontId="2" fillId="17" borderId="0" xfId="0" applyNumberFormat="1" applyFont="1" applyFill="1" applyAlignment="1">
      <alignment horizontal="right" indent="1"/>
    </xf>
    <xf numFmtId="0" fontId="2" fillId="17" borderId="0" xfId="0" applyFont="1" applyFill="1" applyAlignment="1">
      <alignment horizontal="center"/>
    </xf>
    <xf numFmtId="3" fontId="8" fillId="21" borderId="0" xfId="0" applyNumberFormat="1" applyFont="1" applyFill="1" applyAlignment="1">
      <alignment horizontal="center"/>
    </xf>
    <xf numFmtId="0" fontId="8" fillId="21" borderId="0" xfId="0" applyFont="1" applyFill="1" applyAlignment="1">
      <alignment horizontal="center"/>
    </xf>
    <xf numFmtId="0" fontId="40" fillId="17" borderId="0" xfId="0" applyFont="1" applyFill="1" applyAlignment="1">
      <alignment horizontal="left" vertical="center"/>
    </xf>
    <xf numFmtId="0" fontId="40" fillId="17" borderId="0" xfId="0" applyFont="1" applyFill="1" applyAlignment="1">
      <alignment horizontal="center"/>
    </xf>
    <xf numFmtId="0" fontId="40" fillId="17" borderId="0" xfId="0" applyFont="1" applyFill="1" applyAlignment="1">
      <alignment horizontal="center" vertical="center"/>
    </xf>
    <xf numFmtId="4" fontId="2" fillId="17" borderId="0" xfId="0" applyNumberFormat="1" applyFont="1" applyFill="1"/>
    <xf numFmtId="3" fontId="0" fillId="0" borderId="0" xfId="0" applyNumberFormat="1"/>
    <xf numFmtId="0" fontId="2" fillId="17" borderId="18" xfId="0" applyFont="1" applyFill="1" applyBorder="1"/>
    <xf numFmtId="4" fontId="2" fillId="17" borderId="0" xfId="0" applyNumberFormat="1" applyFont="1" applyFill="1" applyBorder="1" applyAlignment="1">
      <alignment horizontal="center"/>
    </xf>
    <xf numFmtId="0" fontId="2" fillId="17" borderId="18" xfId="0" applyFont="1" applyFill="1" applyBorder="1" applyAlignment="1">
      <alignment horizontal="center"/>
    </xf>
    <xf numFmtId="0" fontId="48" fillId="6" borderId="0" xfId="33" applyFont="1" applyBorder="1" applyAlignment="1">
      <alignment horizontal="center" wrapText="1"/>
    </xf>
    <xf numFmtId="3" fontId="49" fillId="28" borderId="0" xfId="40" applyNumberFormat="1" applyFont="1" applyFill="1" applyAlignment="1">
      <alignment horizontal="right"/>
    </xf>
    <xf numFmtId="0" fontId="49" fillId="28" borderId="0" xfId="40" applyFont="1" applyFill="1" applyAlignment="1">
      <alignment horizontal="center"/>
    </xf>
    <xf numFmtId="0" fontId="26" fillId="21" borderId="0" xfId="40" applyFill="1"/>
    <xf numFmtId="4" fontId="2" fillId="17" borderId="0" xfId="0" applyNumberFormat="1" applyFont="1" applyFill="1" applyBorder="1"/>
    <xf numFmtId="0" fontId="2" fillId="17" borderId="0" xfId="0" applyFont="1" applyFill="1" applyBorder="1" applyAlignment="1">
      <alignment horizontal="left"/>
    </xf>
    <xf numFmtId="0" fontId="2" fillId="17" borderId="0" xfId="0" applyFont="1" applyFill="1" applyBorder="1" applyAlignment="1">
      <alignment horizontal="center"/>
    </xf>
    <xf numFmtId="0" fontId="2" fillId="17" borderId="0" xfId="0" applyFont="1" applyFill="1" applyBorder="1"/>
    <xf numFmtId="0" fontId="2" fillId="17" borderId="0" xfId="0" applyFont="1" applyFill="1" applyBorder="1" applyAlignment="1" applyProtection="1">
      <alignment horizontal="left"/>
    </xf>
    <xf numFmtId="3" fontId="0" fillId="26" borderId="0" xfId="0" applyNumberFormat="1" applyFill="1"/>
    <xf numFmtId="0" fontId="2" fillId="27" borderId="0" xfId="0" applyFont="1" applyFill="1"/>
    <xf numFmtId="0" fontId="50" fillId="29" borderId="0" xfId="40" applyFont="1" applyFill="1" applyAlignment="1">
      <alignment horizontal="center" vertical="center"/>
    </xf>
    <xf numFmtId="0" fontId="50" fillId="29" borderId="0" xfId="40" applyFont="1" applyFill="1" applyAlignment="1">
      <alignment horizontal="center"/>
    </xf>
    <xf numFmtId="0" fontId="20" fillId="6" borderId="0" xfId="33" applyBorder="1" applyAlignment="1">
      <alignment horizontal="center" wrapText="1"/>
    </xf>
    <xf numFmtId="0" fontId="2" fillId="17" borderId="0" xfId="0" quotePrefix="1" applyFont="1" applyFill="1" applyBorder="1" applyAlignment="1" applyProtection="1">
      <alignment horizontal="left"/>
    </xf>
    <xf numFmtId="0" fontId="2" fillId="17" borderId="0" xfId="0" quotePrefix="1" applyFont="1" applyFill="1" applyBorder="1" applyAlignment="1">
      <alignment horizontal="left"/>
    </xf>
    <xf numFmtId="0" fontId="3" fillId="17" borderId="0" xfId="0" applyFont="1" applyFill="1" applyAlignment="1">
      <alignment horizontal="right" vertical="top" wrapText="1"/>
    </xf>
    <xf numFmtId="0" fontId="3" fillId="26" borderId="0" xfId="0" applyFont="1" applyFill="1" applyAlignment="1">
      <alignment horizontal="right" vertical="top" wrapText="1"/>
    </xf>
    <xf numFmtId="3" fontId="20" fillId="6" borderId="0" xfId="33" applyNumberFormat="1" applyBorder="1" applyAlignment="1">
      <alignment horizontal="center" wrapText="1"/>
    </xf>
    <xf numFmtId="0" fontId="6" fillId="27" borderId="0" xfId="0" applyFont="1" applyFill="1" applyAlignment="1">
      <alignment horizontal="center" vertical="center"/>
    </xf>
    <xf numFmtId="3" fontId="49" fillId="28" borderId="0" xfId="40" applyNumberFormat="1" applyFont="1" applyFill="1" applyAlignment="1">
      <alignment horizontal="center"/>
    </xf>
    <xf numFmtId="0" fontId="50" fillId="29" borderId="0" xfId="40" applyFont="1" applyFill="1" applyAlignment="1">
      <alignment horizontal="center" vertical="top" wrapText="1"/>
    </xf>
    <xf numFmtId="0" fontId="3" fillId="21" borderId="0" xfId="0" applyFont="1" applyFill="1" applyAlignment="1">
      <alignment horizontal="right" vertical="top" wrapText="1"/>
    </xf>
    <xf numFmtId="0" fontId="3" fillId="17" borderId="0" xfId="0" applyFont="1" applyFill="1" applyBorder="1" applyAlignment="1">
      <alignment horizontal="right" wrapText="1"/>
    </xf>
    <xf numFmtId="0" fontId="3" fillId="17" borderId="0" xfId="0" applyFont="1" applyFill="1" applyBorder="1" applyAlignment="1">
      <alignment horizontal="center" wrapText="1"/>
    </xf>
    <xf numFmtId="0" fontId="3" fillId="17" borderId="0" xfId="0" applyFont="1" applyFill="1" applyBorder="1" applyAlignment="1">
      <alignment horizontal="left" wrapText="1"/>
    </xf>
    <xf numFmtId="0" fontId="2" fillId="26" borderId="60" xfId="0" applyFont="1" applyFill="1" applyBorder="1" applyAlignment="1">
      <alignment horizontal="center" vertical="top" wrapText="1"/>
    </xf>
    <xf numFmtId="0" fontId="3" fillId="27" borderId="60" xfId="0" applyFont="1" applyFill="1" applyBorder="1" applyAlignment="1">
      <alignment horizontal="center" wrapText="1"/>
    </xf>
    <xf numFmtId="3" fontId="52" fillId="28" borderId="60" xfId="40" applyNumberFormat="1" applyFont="1" applyFill="1" applyBorder="1" applyAlignment="1">
      <alignment horizontal="center" wrapText="1"/>
    </xf>
    <xf numFmtId="0" fontId="52" fillId="28" borderId="60" xfId="40" applyFont="1" applyFill="1" applyBorder="1" applyAlignment="1">
      <alignment horizontal="center" wrapText="1"/>
    </xf>
    <xf numFmtId="0" fontId="53" fillId="29" borderId="60" xfId="40" applyFont="1" applyFill="1" applyBorder="1" applyAlignment="1">
      <alignment horizontal="center" wrapText="1"/>
    </xf>
    <xf numFmtId="0" fontId="2" fillId="20" borderId="60" xfId="0" applyFont="1" applyFill="1" applyBorder="1" applyAlignment="1">
      <alignment horizontal="right" wrapText="1"/>
    </xf>
    <xf numFmtId="0" fontId="2" fillId="20" borderId="60" xfId="0" applyFont="1" applyFill="1" applyBorder="1" applyAlignment="1">
      <alignment horizontal="center" wrapText="1"/>
    </xf>
    <xf numFmtId="0" fontId="2" fillId="20" borderId="60" xfId="0" applyFont="1" applyFill="1" applyBorder="1" applyAlignment="1">
      <alignment horizontal="left" wrapText="1"/>
    </xf>
    <xf numFmtId="0" fontId="54" fillId="17" borderId="0" xfId="0" applyFont="1" applyFill="1" applyAlignment="1">
      <alignment horizontal="left" vertical="center"/>
    </xf>
    <xf numFmtId="0" fontId="54" fillId="26" borderId="0" xfId="0" applyFont="1" applyFill="1" applyAlignment="1">
      <alignment horizontal="center" vertical="center"/>
    </xf>
    <xf numFmtId="3" fontId="55" fillId="6" borderId="0" xfId="33" applyNumberFormat="1" applyFont="1" applyBorder="1" applyAlignment="1">
      <alignment horizontal="right" wrapText="1" indent="1"/>
    </xf>
    <xf numFmtId="0" fontId="54" fillId="27" borderId="0" xfId="0" applyFont="1" applyFill="1" applyAlignment="1">
      <alignment horizontal="center" vertical="center"/>
    </xf>
    <xf numFmtId="0" fontId="54" fillId="28" borderId="60" xfId="40" applyFont="1" applyFill="1" applyBorder="1" applyAlignment="1">
      <alignment horizontal="center" vertical="center"/>
    </xf>
    <xf numFmtId="0" fontId="56" fillId="29" borderId="60" xfId="40" applyFont="1" applyFill="1" applyBorder="1" applyAlignment="1">
      <alignment horizontal="center" vertical="center"/>
    </xf>
    <xf numFmtId="0" fontId="54" fillId="21" borderId="0" xfId="0" applyFont="1" applyFill="1" applyAlignment="1">
      <alignment horizontal="center" vertical="center"/>
    </xf>
    <xf numFmtId="0" fontId="54" fillId="20" borderId="18" xfId="0" applyFont="1" applyFill="1" applyBorder="1" applyAlignment="1">
      <alignment horizontal="center" vertical="center"/>
    </xf>
    <xf numFmtId="0" fontId="2" fillId="26" borderId="0" xfId="0" applyFont="1" applyFill="1"/>
    <xf numFmtId="0" fontId="2" fillId="27" borderId="0" xfId="0" applyFont="1" applyFill="1" applyAlignment="1">
      <alignment horizontal="center"/>
    </xf>
    <xf numFmtId="0" fontId="2" fillId="20" borderId="0" xfId="0" applyFont="1" applyFill="1"/>
    <xf numFmtId="0" fontId="2" fillId="20" borderId="0" xfId="0" applyFont="1" applyFill="1" applyAlignment="1">
      <alignment horizontal="center"/>
    </xf>
    <xf numFmtId="3" fontId="20" fillId="6" borderId="0" xfId="33" applyNumberFormat="1" applyBorder="1" applyAlignment="1">
      <alignment horizontal="right" wrapText="1" indent="1"/>
    </xf>
    <xf numFmtId="9" fontId="6" fillId="19" borderId="0" xfId="43" applyFont="1" applyFill="1" applyBorder="1" applyAlignment="1">
      <alignment horizontal="right" vertical="center" indent="1"/>
    </xf>
    <xf numFmtId="0" fontId="45" fillId="21" borderId="0" xfId="0" applyFont="1" applyFill="1" applyBorder="1"/>
    <xf numFmtId="0" fontId="6" fillId="21" borderId="0" xfId="0" applyFont="1" applyFill="1" applyBorder="1" applyAlignment="1">
      <alignment horizontal="center"/>
    </xf>
    <xf numFmtId="0" fontId="45" fillId="21" borderId="0" xfId="0" applyFont="1" applyFill="1" applyBorder="1" applyAlignment="1">
      <alignment horizontal="center"/>
    </xf>
    <xf numFmtId="3" fontId="6" fillId="21" borderId="0" xfId="0" applyNumberFormat="1" applyFont="1" applyFill="1" applyBorder="1" applyAlignment="1">
      <alignment horizontal="center" vertical="center"/>
    </xf>
    <xf numFmtId="0" fontId="0" fillId="21" borderId="0" xfId="0" applyFill="1" applyBorder="1" applyAlignment="1">
      <alignment horizontal="center"/>
    </xf>
    <xf numFmtId="0" fontId="44" fillId="21" borderId="0" xfId="0" applyFont="1" applyFill="1" applyBorder="1"/>
    <xf numFmtId="0" fontId="44" fillId="21" borderId="0" xfId="0" applyFont="1" applyFill="1" applyBorder="1" applyAlignment="1">
      <alignment horizontal="center"/>
    </xf>
    <xf numFmtId="3" fontId="12" fillId="30" borderId="0" xfId="0" applyNumberFormat="1" applyFont="1" applyFill="1" applyBorder="1" applyAlignment="1">
      <alignment horizontal="right" vertical="center" indent="1"/>
    </xf>
    <xf numFmtId="0" fontId="0" fillId="30" borderId="0" xfId="0" applyFill="1" applyBorder="1"/>
    <xf numFmtId="0" fontId="12" fillId="30" borderId="0" xfId="0" applyFont="1" applyFill="1" applyBorder="1"/>
    <xf numFmtId="3" fontId="11" fillId="30" borderId="0" xfId="0" applyNumberFormat="1" applyFont="1" applyFill="1" applyBorder="1" applyAlignment="1">
      <alignment horizontal="right" vertical="center" indent="1"/>
    </xf>
    <xf numFmtId="3" fontId="12" fillId="30" borderId="38" xfId="0" applyNumberFormat="1" applyFont="1" applyFill="1" applyBorder="1" applyAlignment="1">
      <alignment horizontal="right" vertical="center" indent="1"/>
    </xf>
    <xf numFmtId="0" fontId="0" fillId="30" borderId="39" xfId="0" applyFill="1" applyBorder="1"/>
    <xf numFmtId="0" fontId="0" fillId="30" borderId="41" xfId="0" applyFill="1" applyBorder="1"/>
    <xf numFmtId="0" fontId="12" fillId="30" borderId="43" xfId="0" applyFont="1" applyFill="1" applyBorder="1"/>
    <xf numFmtId="0" fontId="0" fillId="30" borderId="44" xfId="0" applyFill="1" applyBorder="1"/>
    <xf numFmtId="3" fontId="11" fillId="30" borderId="38" xfId="0" applyNumberFormat="1" applyFont="1" applyFill="1" applyBorder="1" applyAlignment="1">
      <alignment horizontal="right" vertical="center" indent="1"/>
    </xf>
    <xf numFmtId="3" fontId="12" fillId="30" borderId="43" xfId="0" applyNumberFormat="1" applyFont="1" applyFill="1" applyBorder="1" applyAlignment="1">
      <alignment horizontal="right" vertical="center" indent="1"/>
    </xf>
    <xf numFmtId="3" fontId="11" fillId="30" borderId="43" xfId="0" applyNumberFormat="1" applyFont="1" applyFill="1" applyBorder="1" applyAlignment="1">
      <alignment horizontal="right" vertical="center" indent="1"/>
    </xf>
    <xf numFmtId="3" fontId="12" fillId="30" borderId="18" xfId="0" applyNumberFormat="1" applyFont="1" applyFill="1" applyBorder="1" applyAlignment="1">
      <alignment horizontal="right" vertical="center" indent="1"/>
    </xf>
    <xf numFmtId="3" fontId="11" fillId="30" borderId="18" xfId="0" applyNumberFormat="1" applyFont="1" applyFill="1" applyBorder="1" applyAlignment="1">
      <alignment horizontal="right" vertical="center" indent="1"/>
    </xf>
    <xf numFmtId="0" fontId="0" fillId="30" borderId="18" xfId="0" applyFill="1" applyBorder="1"/>
    <xf numFmtId="0" fontId="12" fillId="30" borderId="38" xfId="0" applyFont="1" applyFill="1" applyBorder="1"/>
    <xf numFmtId="3" fontId="12" fillId="30" borderId="0" xfId="0" applyNumberFormat="1" applyFont="1" applyFill="1" applyBorder="1" applyAlignment="1">
      <alignment horizontal="center"/>
    </xf>
    <xf numFmtId="0" fontId="12" fillId="30" borderId="0" xfId="0" applyFont="1" applyFill="1" applyBorder="1" applyAlignment="1">
      <alignment horizontal="center"/>
    </xf>
    <xf numFmtId="0" fontId="12" fillId="30" borderId="20" xfId="0" applyFont="1" applyFill="1" applyBorder="1" applyAlignment="1">
      <alignment horizontal="center"/>
    </xf>
    <xf numFmtId="0" fontId="12" fillId="30" borderId="21" xfId="0" applyFont="1" applyFill="1" applyBorder="1"/>
    <xf numFmtId="0" fontId="12" fillId="30" borderId="21" xfId="0" applyFont="1" applyFill="1" applyBorder="1" applyAlignment="1">
      <alignment horizontal="center"/>
    </xf>
    <xf numFmtId="0" fontId="12" fillId="30" borderId="23" xfId="0" applyFont="1" applyFill="1" applyBorder="1"/>
    <xf numFmtId="3" fontId="12" fillId="30" borderId="31" xfId="0" applyNumberFormat="1" applyFont="1" applyFill="1" applyBorder="1" applyAlignment="1">
      <alignment horizontal="right" vertical="center" indent="1"/>
    </xf>
    <xf numFmtId="0" fontId="57" fillId="30" borderId="0" xfId="0" applyFont="1" applyFill="1" applyBorder="1" applyAlignment="1">
      <alignment vertical="center" wrapText="1"/>
    </xf>
    <xf numFmtId="0" fontId="44" fillId="19" borderId="0" xfId="0" applyFont="1" applyFill="1" applyBorder="1" applyAlignment="1">
      <alignment vertical="top"/>
    </xf>
    <xf numFmtId="0" fontId="6" fillId="20" borderId="12" xfId="0" applyFont="1" applyFill="1" applyBorder="1"/>
    <xf numFmtId="3" fontId="12" fillId="0" borderId="0" xfId="0" applyNumberFormat="1" applyFont="1"/>
    <xf numFmtId="0" fontId="6" fillId="20" borderId="0" xfId="0" applyFont="1" applyFill="1" applyBorder="1" applyAlignment="1">
      <alignment horizontal="center"/>
    </xf>
    <xf numFmtId="0" fontId="8" fillId="19" borderId="0" xfId="0" applyFont="1" applyFill="1" applyBorder="1" applyAlignment="1">
      <alignment vertical="top"/>
    </xf>
    <xf numFmtId="3" fontId="6" fillId="19" borderId="0" xfId="0" applyNumberFormat="1" applyFont="1" applyFill="1" applyBorder="1" applyAlignment="1">
      <alignment horizontal="center" vertical="center"/>
    </xf>
    <xf numFmtId="0" fontId="11" fillId="19" borderId="0" xfId="0" applyFont="1" applyFill="1" applyBorder="1" applyAlignment="1">
      <alignment horizontal="center"/>
    </xf>
    <xf numFmtId="0" fontId="12" fillId="19" borderId="0" xfId="0" applyFont="1" applyFill="1" applyBorder="1" applyAlignment="1">
      <alignment horizontal="center"/>
    </xf>
    <xf numFmtId="0" fontId="8" fillId="19" borderId="0" xfId="0" applyFont="1" applyFill="1" applyBorder="1" applyAlignment="1">
      <alignment horizontal="center" wrapText="1"/>
    </xf>
    <xf numFmtId="0" fontId="12" fillId="19" borderId="0" xfId="0" applyFont="1" applyFill="1" applyBorder="1" applyAlignment="1">
      <alignment vertical="top" wrapText="1"/>
    </xf>
    <xf numFmtId="0" fontId="11" fillId="19" borderId="0" xfId="0" applyFont="1" applyFill="1" applyBorder="1" applyAlignment="1">
      <alignment horizontal="left"/>
    </xf>
    <xf numFmtId="3" fontId="8" fillId="19" borderId="0" xfId="0" applyNumberFormat="1" applyFont="1" applyFill="1" applyBorder="1" applyAlignment="1">
      <alignment horizontal="center" vertical="center"/>
    </xf>
    <xf numFmtId="3" fontId="41" fillId="24" borderId="0" xfId="0" applyNumberFormat="1" applyFont="1" applyFill="1" applyBorder="1" applyAlignment="1">
      <alignment horizontal="right" vertical="center" indent="1"/>
    </xf>
    <xf numFmtId="3" fontId="42" fillId="24" borderId="0" xfId="0" applyNumberFormat="1" applyFont="1" applyFill="1" applyBorder="1" applyAlignment="1">
      <alignment horizontal="right" vertical="center" indent="1"/>
    </xf>
    <xf numFmtId="0" fontId="1" fillId="24" borderId="0" xfId="0" applyFont="1" applyFill="1" applyBorder="1"/>
    <xf numFmtId="4" fontId="0" fillId="0" borderId="0" xfId="0" applyNumberFormat="1"/>
    <xf numFmtId="0" fontId="46" fillId="0" borderId="0" xfId="0" applyFont="1"/>
    <xf numFmtId="4" fontId="46" fillId="0" borderId="0" xfId="0" applyNumberFormat="1" applyFont="1"/>
    <xf numFmtId="0" fontId="56" fillId="24" borderId="0" xfId="0" applyFont="1" applyFill="1" applyBorder="1"/>
    <xf numFmtId="0" fontId="6" fillId="19" borderId="12" xfId="0" applyFont="1" applyFill="1" applyBorder="1" applyAlignment="1">
      <alignment vertical="center"/>
    </xf>
    <xf numFmtId="0" fontId="6" fillId="19" borderId="0" xfId="0" applyFont="1" applyFill="1" applyBorder="1" applyAlignment="1">
      <alignment vertical="center"/>
    </xf>
    <xf numFmtId="0" fontId="6" fillId="19" borderId="13" xfId="0" applyFont="1" applyFill="1" applyBorder="1" applyAlignment="1">
      <alignment vertical="center"/>
    </xf>
    <xf numFmtId="0" fontId="6" fillId="0" borderId="0" xfId="0" applyFont="1" applyAlignment="1">
      <alignment vertical="center"/>
    </xf>
    <xf numFmtId="0" fontId="0" fillId="19" borderId="0" xfId="0" applyFill="1" applyBorder="1" applyAlignment="1">
      <alignment vertical="center"/>
    </xf>
    <xf numFmtId="0" fontId="6" fillId="19" borderId="0" xfId="0" applyFont="1" applyFill="1" applyBorder="1" applyAlignment="1">
      <alignment horizontal="left" vertical="center"/>
    </xf>
    <xf numFmtId="0" fontId="8" fillId="19" borderId="0" xfId="0" applyFont="1" applyFill="1" applyBorder="1" applyAlignment="1">
      <alignment horizontal="right" vertical="center"/>
    </xf>
    <xf numFmtId="0" fontId="8" fillId="19" borderId="0" xfId="0" applyFont="1" applyFill="1" applyBorder="1" applyAlignment="1">
      <alignment vertical="center"/>
    </xf>
    <xf numFmtId="0" fontId="0" fillId="19" borderId="12" xfId="0" applyFill="1" applyBorder="1" applyAlignment="1">
      <alignment vertical="center"/>
    </xf>
    <xf numFmtId="0" fontId="12" fillId="19" borderId="0" xfId="0" applyFont="1" applyFill="1" applyBorder="1" applyAlignment="1">
      <alignment vertical="center"/>
    </xf>
    <xf numFmtId="0" fontId="0" fillId="22" borderId="0" xfId="0" applyFill="1" applyBorder="1" applyAlignment="1">
      <alignment vertical="center"/>
    </xf>
    <xf numFmtId="0" fontId="6" fillId="22" borderId="13" xfId="0" applyFont="1" applyFill="1" applyBorder="1" applyAlignment="1">
      <alignment vertical="center"/>
    </xf>
    <xf numFmtId="0" fontId="11" fillId="19" borderId="0" xfId="0" applyFont="1" applyFill="1" applyBorder="1" applyAlignment="1">
      <alignment vertical="center"/>
    </xf>
    <xf numFmtId="0" fontId="6" fillId="21" borderId="0" xfId="0" applyFont="1" applyFill="1" applyBorder="1" applyAlignment="1"/>
    <xf numFmtId="0" fontId="12" fillId="21" borderId="0" xfId="0" applyFont="1" applyFill="1" applyBorder="1"/>
    <xf numFmtId="0" fontId="44" fillId="21" borderId="0" xfId="0" applyFont="1" applyFill="1" applyAlignment="1">
      <alignment vertical="center"/>
    </xf>
    <xf numFmtId="0" fontId="0" fillId="30" borderId="13" xfId="0" applyFill="1" applyBorder="1"/>
    <xf numFmtId="0" fontId="40" fillId="24" borderId="18" xfId="0" applyFont="1" applyFill="1" applyBorder="1"/>
    <xf numFmtId="0" fontId="0" fillId="30" borderId="27" xfId="0" applyFill="1" applyBorder="1"/>
    <xf numFmtId="0" fontId="40" fillId="24" borderId="66" xfId="0" applyFont="1" applyFill="1" applyBorder="1"/>
    <xf numFmtId="0" fontId="0" fillId="24" borderId="67" xfId="0" applyFill="1" applyBorder="1"/>
    <xf numFmtId="0" fontId="0" fillId="24" borderId="12" xfId="0" applyFill="1" applyBorder="1"/>
    <xf numFmtId="0" fontId="0" fillId="24" borderId="17" xfId="0" applyFill="1" applyBorder="1"/>
    <xf numFmtId="0" fontId="6" fillId="19" borderId="15" xfId="0" applyFont="1" applyFill="1" applyBorder="1" applyAlignment="1">
      <alignment vertical="top"/>
    </xf>
    <xf numFmtId="3" fontId="11" fillId="22" borderId="15" xfId="0" applyNumberFormat="1" applyFont="1" applyFill="1" applyBorder="1" applyAlignment="1">
      <alignment horizontal="right" vertical="center" indent="1"/>
    </xf>
    <xf numFmtId="3" fontId="12" fillId="22" borderId="15" xfId="0" applyNumberFormat="1" applyFont="1" applyFill="1" applyBorder="1" applyAlignment="1">
      <alignment horizontal="right" vertical="center" indent="1"/>
    </xf>
    <xf numFmtId="0" fontId="6" fillId="19" borderId="18" xfId="0" applyFont="1" applyFill="1" applyBorder="1" applyAlignment="1"/>
    <xf numFmtId="3" fontId="12" fillId="19" borderId="18" xfId="0" applyNumberFormat="1" applyFont="1" applyFill="1" applyBorder="1" applyAlignment="1">
      <alignment horizontal="right" vertical="center" indent="1"/>
    </xf>
    <xf numFmtId="0" fontId="0" fillId="22" borderId="18" xfId="0" applyFill="1" applyBorder="1" applyAlignment="1">
      <alignment vertical="top"/>
    </xf>
    <xf numFmtId="0" fontId="12" fillId="22" borderId="18" xfId="0" applyFont="1" applyFill="1" applyBorder="1" applyAlignment="1">
      <alignment vertical="top"/>
    </xf>
    <xf numFmtId="3" fontId="8" fillId="19" borderId="18" xfId="0" applyNumberFormat="1" applyFont="1" applyFill="1" applyBorder="1" applyAlignment="1">
      <alignment horizontal="right" vertical="center" indent="1"/>
    </xf>
    <xf numFmtId="3" fontId="6" fillId="19" borderId="18" xfId="0" applyNumberFormat="1" applyFont="1" applyFill="1" applyBorder="1" applyAlignment="1">
      <alignment horizontal="right" vertical="center" indent="1"/>
    </xf>
    <xf numFmtId="3" fontId="11" fillId="22" borderId="0" xfId="0" applyNumberFormat="1" applyFont="1" applyFill="1" applyBorder="1" applyAlignment="1">
      <alignment vertical="center"/>
    </xf>
    <xf numFmtId="0" fontId="8" fillId="19" borderId="12" xfId="0" applyFont="1" applyFill="1" applyBorder="1" applyAlignment="1"/>
    <xf numFmtId="0" fontId="8" fillId="19" borderId="0" xfId="0" applyFont="1" applyFill="1" applyBorder="1" applyAlignment="1">
      <alignment horizontal="left"/>
    </xf>
    <xf numFmtId="0" fontId="3" fillId="20" borderId="16" xfId="0" applyFont="1" applyFill="1" applyBorder="1" applyAlignment="1">
      <alignment horizontal="center" vertical="top" wrapText="1"/>
    </xf>
    <xf numFmtId="0" fontId="0" fillId="21" borderId="0" xfId="0" applyFill="1" applyAlignment="1">
      <alignment horizontal="center"/>
    </xf>
    <xf numFmtId="0" fontId="0" fillId="0" borderId="0" xfId="0" applyAlignment="1">
      <alignment horizontal="center"/>
    </xf>
    <xf numFmtId="0" fontId="59" fillId="20" borderId="15" xfId="0" applyFont="1" applyFill="1" applyBorder="1" applyProtection="1">
      <protection locked="0"/>
    </xf>
    <xf numFmtId="0" fontId="12" fillId="19" borderId="0" xfId="0" applyFont="1" applyFill="1" applyBorder="1" applyAlignment="1">
      <alignment horizontal="right" indent="1"/>
    </xf>
    <xf numFmtId="0" fontId="0" fillId="19" borderId="0" xfId="0" applyFill="1" applyBorder="1" applyAlignment="1">
      <alignment horizontal="right" indent="1"/>
    </xf>
    <xf numFmtId="0" fontId="12" fillId="19" borderId="0" xfId="0" applyFont="1" applyFill="1" applyBorder="1" applyAlignment="1">
      <alignment horizontal="right" vertical="top" indent="1"/>
    </xf>
    <xf numFmtId="0" fontId="12" fillId="19" borderId="18" xfId="0" applyFont="1" applyFill="1" applyBorder="1" applyAlignment="1">
      <alignment horizontal="right" indent="1"/>
    </xf>
    <xf numFmtId="3" fontId="40" fillId="24" borderId="0" xfId="0" applyNumberFormat="1" applyFont="1" applyFill="1" applyBorder="1" applyAlignment="1">
      <alignment horizontal="right" indent="1"/>
    </xf>
    <xf numFmtId="0" fontId="6" fillId="20" borderId="67" xfId="0" applyFont="1" applyFill="1" applyBorder="1" applyAlignment="1"/>
    <xf numFmtId="0" fontId="6" fillId="20" borderId="66" xfId="0" applyFont="1" applyFill="1" applyBorder="1" applyAlignment="1"/>
    <xf numFmtId="0" fontId="6" fillId="20" borderId="68" xfId="0" applyFont="1" applyFill="1" applyBorder="1" applyAlignment="1"/>
    <xf numFmtId="0" fontId="0" fillId="19" borderId="67" xfId="0" applyFill="1" applyBorder="1"/>
    <xf numFmtId="0" fontId="0" fillId="19" borderId="66" xfId="0" applyFill="1" applyBorder="1"/>
    <xf numFmtId="0" fontId="0" fillId="19" borderId="68" xfId="0" applyFill="1" applyBorder="1"/>
    <xf numFmtId="0" fontId="0" fillId="19" borderId="71" xfId="0" applyFill="1" applyBorder="1" applyAlignment="1">
      <alignment vertical="top"/>
    </xf>
    <xf numFmtId="0" fontId="0" fillId="19" borderId="72" xfId="0" applyFill="1" applyBorder="1" applyAlignment="1">
      <alignment vertical="top"/>
    </xf>
    <xf numFmtId="0" fontId="12" fillId="19" borderId="72" xfId="0" applyFont="1" applyFill="1" applyBorder="1" applyAlignment="1">
      <alignment vertical="top"/>
    </xf>
    <xf numFmtId="0" fontId="12" fillId="19" borderId="72" xfId="0" applyFont="1" applyFill="1" applyBorder="1"/>
    <xf numFmtId="3" fontId="6" fillId="19" borderId="72" xfId="0" applyNumberFormat="1" applyFont="1" applyFill="1" applyBorder="1" applyAlignment="1">
      <alignment horizontal="right" vertical="center" indent="1"/>
    </xf>
    <xf numFmtId="3" fontId="12" fillId="30" borderId="72" xfId="0" applyNumberFormat="1" applyFont="1" applyFill="1" applyBorder="1" applyAlignment="1">
      <alignment horizontal="right" vertical="center" indent="1"/>
    </xf>
    <xf numFmtId="0" fontId="0" fillId="30" borderId="72" xfId="0" applyFill="1" applyBorder="1"/>
    <xf numFmtId="0" fontId="0" fillId="19" borderId="73" xfId="0" applyFill="1" applyBorder="1"/>
    <xf numFmtId="0" fontId="0" fillId="30" borderId="68" xfId="0" applyFill="1" applyBorder="1"/>
    <xf numFmtId="3" fontId="8" fillId="19" borderId="0" xfId="0" applyNumberFormat="1" applyFont="1" applyFill="1" applyBorder="1" applyAlignment="1">
      <alignment horizontal="center" wrapText="1"/>
    </xf>
    <xf numFmtId="0" fontId="12" fillId="19" borderId="0" xfId="0" applyFont="1" applyFill="1" applyBorder="1" applyAlignment="1" applyProtection="1">
      <alignment vertical="top"/>
      <protection locked="0"/>
    </xf>
    <xf numFmtId="0" fontId="40" fillId="24" borderId="66" xfId="0" applyFont="1" applyFill="1" applyBorder="1" applyProtection="1">
      <protection locked="0"/>
    </xf>
    <xf numFmtId="0" fontId="40" fillId="24" borderId="0" xfId="0" applyFont="1" applyFill="1" applyBorder="1" applyProtection="1">
      <protection locked="0"/>
    </xf>
    <xf numFmtId="3" fontId="2" fillId="17" borderId="0" xfId="0" applyNumberFormat="1" applyFont="1" applyFill="1"/>
    <xf numFmtId="3" fontId="6" fillId="19" borderId="0" xfId="0" applyNumberFormat="1" applyFont="1" applyFill="1" applyBorder="1" applyAlignment="1">
      <alignment horizontal="center"/>
    </xf>
    <xf numFmtId="3" fontId="6" fillId="19" borderId="0" xfId="0" applyNumberFormat="1" applyFont="1" applyFill="1" applyBorder="1" applyAlignment="1">
      <alignment horizontal="right"/>
    </xf>
    <xf numFmtId="0" fontId="8" fillId="19" borderId="0" xfId="0" applyFont="1" applyFill="1" applyBorder="1" applyAlignment="1">
      <alignment vertical="top"/>
    </xf>
    <xf numFmtId="3" fontId="11" fillId="22" borderId="0" xfId="0" applyNumberFormat="1" applyFont="1" applyFill="1" applyBorder="1" applyAlignment="1">
      <alignment horizontal="right" vertical="center" indent="1"/>
    </xf>
    <xf numFmtId="3" fontId="11" fillId="19" borderId="0" xfId="0" applyNumberFormat="1" applyFont="1" applyFill="1" applyBorder="1" applyAlignment="1">
      <alignment horizontal="center" vertical="center"/>
    </xf>
    <xf numFmtId="0" fontId="0" fillId="0" borderId="0" xfId="0" applyBorder="1" applyAlignment="1">
      <alignment horizontal="center" vertical="center"/>
    </xf>
    <xf numFmtId="0" fontId="8" fillId="19" borderId="0" xfId="0" applyFont="1" applyFill="1" applyBorder="1" applyAlignment="1">
      <alignment horizontal="center" vertical="center"/>
    </xf>
    <xf numFmtId="3" fontId="12" fillId="17" borderId="0" xfId="0" applyNumberFormat="1" applyFont="1" applyFill="1" applyBorder="1" applyAlignment="1" applyProtection="1">
      <alignment horizontal="right" vertical="center" indent="1"/>
      <protection locked="0"/>
    </xf>
    <xf numFmtId="3" fontId="12" fillId="19" borderId="0" xfId="0" applyNumberFormat="1" applyFont="1" applyFill="1" applyBorder="1" applyAlignment="1" applyProtection="1">
      <alignment horizontal="right" vertical="center" indent="1"/>
    </xf>
    <xf numFmtId="3" fontId="12" fillId="30" borderId="0" xfId="0" applyNumberFormat="1" applyFont="1" applyFill="1" applyBorder="1" applyAlignment="1" applyProtection="1">
      <alignment horizontal="right" vertical="center" indent="1"/>
    </xf>
    <xf numFmtId="0" fontId="12" fillId="30" borderId="0" xfId="0" applyFont="1" applyFill="1" applyBorder="1" applyProtection="1"/>
    <xf numFmtId="0" fontId="13" fillId="30" borderId="0" xfId="0" applyFont="1" applyFill="1" applyBorder="1" applyAlignment="1" applyProtection="1">
      <alignment horizontal="center"/>
    </xf>
    <xf numFmtId="0" fontId="12" fillId="30" borderId="0" xfId="0" applyFont="1" applyFill="1" applyBorder="1" applyAlignment="1" applyProtection="1">
      <alignment horizontal="center"/>
    </xf>
    <xf numFmtId="3" fontId="12" fillId="17" borderId="19" xfId="0" applyNumberFormat="1" applyFont="1" applyFill="1" applyBorder="1" applyAlignment="1" applyProtection="1">
      <alignment horizontal="right" vertical="center" indent="1"/>
    </xf>
    <xf numFmtId="0" fontId="12" fillId="17" borderId="20" xfId="0" applyFont="1" applyFill="1" applyBorder="1" applyProtection="1"/>
    <xf numFmtId="3" fontId="12" fillId="17" borderId="0" xfId="0" applyNumberFormat="1" applyFont="1" applyFill="1" applyBorder="1" applyAlignment="1" applyProtection="1">
      <alignment horizontal="center" vertical="center"/>
    </xf>
    <xf numFmtId="0" fontId="12" fillId="17" borderId="21" xfId="0" applyFont="1" applyFill="1" applyBorder="1" applyProtection="1"/>
    <xf numFmtId="3" fontId="6" fillId="19" borderId="0" xfId="0" applyNumberFormat="1" applyFont="1" applyFill="1" applyBorder="1" applyAlignment="1">
      <alignment horizontal="center" vertical="center"/>
    </xf>
    <xf numFmtId="3" fontId="8" fillId="22" borderId="0" xfId="0" applyNumberFormat="1" applyFont="1" applyFill="1" applyBorder="1" applyAlignment="1">
      <alignment horizontal="right" vertical="center" indent="1"/>
    </xf>
    <xf numFmtId="3" fontId="6" fillId="22" borderId="0" xfId="0" applyNumberFormat="1" applyFont="1" applyFill="1" applyBorder="1" applyAlignment="1">
      <alignment horizontal="right" vertical="center" indent="1"/>
    </xf>
    <xf numFmtId="3" fontId="8" fillId="19" borderId="0" xfId="0" applyNumberFormat="1" applyFont="1" applyFill="1" applyBorder="1" applyAlignment="1">
      <alignment horizontal="right" vertical="center" wrapText="1" indent="1"/>
    </xf>
    <xf numFmtId="3" fontId="0" fillId="19" borderId="0" xfId="0" applyNumberFormat="1" applyFill="1" applyBorder="1" applyAlignment="1">
      <alignment horizontal="right" vertical="center" indent="1"/>
    </xf>
    <xf numFmtId="3" fontId="0" fillId="19" borderId="0" xfId="0" applyNumberFormat="1" applyFill="1" applyBorder="1"/>
    <xf numFmtId="3" fontId="12" fillId="19" borderId="0" xfId="0" applyNumberFormat="1" applyFont="1" applyFill="1" applyBorder="1"/>
    <xf numFmtId="3" fontId="12" fillId="19" borderId="0" xfId="0" applyNumberFormat="1" applyFont="1" applyFill="1" applyBorder="1" applyAlignment="1">
      <alignment horizontal="right" indent="1"/>
    </xf>
    <xf numFmtId="3" fontId="11" fillId="22" borderId="75" xfId="0" applyNumberFormat="1" applyFont="1" applyFill="1" applyBorder="1" applyAlignment="1">
      <alignment horizontal="right" vertical="center" indent="1"/>
    </xf>
    <xf numFmtId="3" fontId="12" fillId="22" borderId="75" xfId="0" applyNumberFormat="1" applyFont="1" applyFill="1" applyBorder="1" applyAlignment="1">
      <alignment horizontal="right" vertical="center" indent="1"/>
    </xf>
    <xf numFmtId="0" fontId="6" fillId="19" borderId="0" xfId="0" applyFont="1" applyFill="1" applyBorder="1" applyAlignment="1"/>
    <xf numFmtId="0" fontId="0" fillId="19" borderId="71" xfId="0" applyFill="1" applyBorder="1"/>
    <xf numFmtId="0" fontId="0" fillId="19" borderId="72" xfId="0" applyFill="1" applyBorder="1"/>
    <xf numFmtId="3" fontId="6" fillId="19" borderId="72" xfId="0" applyNumberFormat="1" applyFont="1" applyFill="1" applyBorder="1" applyAlignment="1">
      <alignment horizontal="center" vertical="center"/>
    </xf>
    <xf numFmtId="0" fontId="6" fillId="19" borderId="73" xfId="0" applyFont="1" applyFill="1" applyBorder="1"/>
    <xf numFmtId="0" fontId="12" fillId="28" borderId="78" xfId="0" applyFont="1" applyFill="1" applyBorder="1"/>
    <xf numFmtId="0" fontId="12" fillId="28" borderId="76" xfId="0" applyFont="1" applyFill="1" applyBorder="1"/>
    <xf numFmtId="0" fontId="0" fillId="28" borderId="76" xfId="0" applyFill="1" applyBorder="1"/>
    <xf numFmtId="3" fontId="6" fillId="28" borderId="76" xfId="0" applyNumberFormat="1" applyFont="1" applyFill="1" applyBorder="1" applyAlignment="1">
      <alignment horizontal="center" vertical="center"/>
    </xf>
    <xf numFmtId="0" fontId="0" fillId="28" borderId="77" xfId="0" applyFill="1" applyBorder="1"/>
    <xf numFmtId="0" fontId="8" fillId="28" borderId="12" xfId="0" applyFont="1" applyFill="1" applyBorder="1"/>
    <xf numFmtId="0" fontId="12" fillId="28" borderId="0" xfId="0" applyFont="1" applyFill="1" applyBorder="1"/>
    <xf numFmtId="0" fontId="0" fillId="28" borderId="0" xfId="0" applyFill="1" applyBorder="1"/>
    <xf numFmtId="3" fontId="6" fillId="28" borderId="0" xfId="0" applyNumberFormat="1" applyFont="1" applyFill="1" applyBorder="1" applyAlignment="1">
      <alignment horizontal="center" vertical="center"/>
    </xf>
    <xf numFmtId="0" fontId="0" fillId="28" borderId="13" xfId="0" applyFill="1" applyBorder="1"/>
    <xf numFmtId="0" fontId="12" fillId="28" borderId="12" xfId="0" applyFont="1" applyFill="1" applyBorder="1"/>
    <xf numFmtId="0" fontId="8" fillId="28" borderId="0" xfId="0" applyFont="1" applyFill="1" applyBorder="1"/>
    <xf numFmtId="0" fontId="6" fillId="28" borderId="0" xfId="0" applyFont="1" applyFill="1" applyBorder="1" applyAlignment="1">
      <alignment vertical="center"/>
    </xf>
    <xf numFmtId="0" fontId="0" fillId="28" borderId="0" xfId="0" applyFill="1" applyBorder="1" applyAlignment="1">
      <alignment vertical="center"/>
    </xf>
    <xf numFmtId="0" fontId="6" fillId="28" borderId="0" xfId="53" applyFont="1" applyFill="1" applyBorder="1" applyAlignment="1">
      <alignment vertical="center"/>
    </xf>
    <xf numFmtId="0" fontId="12" fillId="28" borderId="17" xfId="0" applyFont="1" applyFill="1" applyBorder="1"/>
    <xf numFmtId="0" fontId="12" fillId="28" borderId="18" xfId="0" applyFont="1" applyFill="1" applyBorder="1"/>
    <xf numFmtId="0" fontId="0" fillId="28" borderId="18" xfId="0" applyFill="1" applyBorder="1"/>
    <xf numFmtId="3" fontId="6" fillId="28" borderId="18" xfId="0" applyNumberFormat="1" applyFont="1" applyFill="1" applyBorder="1" applyAlignment="1">
      <alignment horizontal="center" vertical="center"/>
    </xf>
    <xf numFmtId="0" fontId="0" fillId="28" borderId="27" xfId="0" applyFill="1" applyBorder="1"/>
    <xf numFmtId="0" fontId="3" fillId="20" borderId="0" xfId="0" applyFont="1" applyFill="1" applyBorder="1" applyAlignment="1">
      <alignment horizontal="center" vertical="top" wrapText="1"/>
    </xf>
    <xf numFmtId="0" fontId="0" fillId="28" borderId="0" xfId="0" applyFill="1" applyAlignment="1"/>
    <xf numFmtId="0" fontId="6" fillId="28" borderId="0" xfId="0" applyFont="1" applyFill="1" applyBorder="1"/>
    <xf numFmtId="0" fontId="16" fillId="21" borderId="0" xfId="25" applyFill="1"/>
    <xf numFmtId="0" fontId="16" fillId="21" borderId="0" xfId="25" applyFill="1" applyBorder="1"/>
    <xf numFmtId="0" fontId="62" fillId="21" borderId="0" xfId="25" applyFont="1" applyFill="1" applyBorder="1"/>
    <xf numFmtId="4" fontId="16" fillId="21" borderId="0" xfId="25" applyNumberFormat="1" applyFill="1"/>
    <xf numFmtId="0" fontId="63" fillId="0" borderId="0" xfId="0" applyFont="1"/>
    <xf numFmtId="0" fontId="64" fillId="21" borderId="0" xfId="25" applyFont="1" applyFill="1"/>
    <xf numFmtId="0" fontId="64" fillId="21" borderId="0" xfId="25" applyFont="1" applyFill="1" applyBorder="1"/>
    <xf numFmtId="0" fontId="64" fillId="21" borderId="0" xfId="25" applyFont="1" applyFill="1" applyBorder="1" applyAlignment="1">
      <alignment horizontal="right"/>
    </xf>
    <xf numFmtId="4" fontId="64" fillId="21" borderId="0" xfId="25" applyNumberFormat="1" applyFont="1" applyFill="1" applyBorder="1"/>
    <xf numFmtId="0" fontId="8" fillId="19" borderId="0" xfId="0" applyFont="1" applyFill="1" applyBorder="1" applyAlignment="1">
      <alignment vertical="top"/>
    </xf>
    <xf numFmtId="0" fontId="8" fillId="19" borderId="0" xfId="0" applyFont="1" applyFill="1" applyBorder="1" applyAlignment="1">
      <alignment horizontal="left" vertical="top"/>
    </xf>
    <xf numFmtId="0" fontId="11" fillId="19" borderId="0" xfId="0" applyFont="1" applyFill="1" applyBorder="1" applyAlignment="1">
      <alignment horizontal="center"/>
    </xf>
    <xf numFmtId="3" fontId="11" fillId="22" borderId="0" xfId="0" applyNumberFormat="1" applyFont="1" applyFill="1" applyBorder="1" applyAlignment="1">
      <alignment horizontal="right" vertical="center" indent="1"/>
    </xf>
    <xf numFmtId="0" fontId="12" fillId="19" borderId="0" xfId="0" applyFont="1" applyFill="1" applyBorder="1" applyAlignment="1">
      <alignment horizontal="center"/>
    </xf>
    <xf numFmtId="3" fontId="8" fillId="19" borderId="0" xfId="0" applyNumberFormat="1" applyFont="1" applyFill="1" applyBorder="1" applyAlignment="1">
      <alignment horizontal="center" vertical="center" wrapText="1"/>
    </xf>
    <xf numFmtId="0" fontId="11" fillId="19" borderId="0" xfId="0" applyFont="1" applyFill="1" applyBorder="1" applyAlignment="1">
      <alignment horizontal="center" wrapText="1"/>
    </xf>
    <xf numFmtId="0" fontId="8" fillId="19" borderId="0" xfId="0" applyFont="1" applyFill="1" applyBorder="1" applyAlignment="1">
      <alignment horizontal="left"/>
    </xf>
    <xf numFmtId="0" fontId="12" fillId="19" borderId="0" xfId="0" applyFont="1" applyFill="1" applyBorder="1" applyAlignment="1">
      <alignment vertical="top" wrapText="1"/>
    </xf>
    <xf numFmtId="0" fontId="11" fillId="19" borderId="0" xfId="0" applyFont="1" applyFill="1" applyBorder="1" applyAlignment="1">
      <alignment horizontal="left"/>
    </xf>
    <xf numFmtId="3" fontId="8" fillId="19" borderId="0" xfId="0" applyNumberFormat="1" applyFont="1" applyFill="1" applyBorder="1" applyAlignment="1">
      <alignment horizontal="center" vertical="center"/>
    </xf>
    <xf numFmtId="3" fontId="8" fillId="19" borderId="0" xfId="0" applyNumberFormat="1" applyFont="1" applyFill="1" applyBorder="1" applyAlignment="1">
      <alignment horizontal="right" vertical="center" indent="1"/>
    </xf>
    <xf numFmtId="0" fontId="6" fillId="19" borderId="0" xfId="0" applyFont="1" applyFill="1" applyBorder="1" applyProtection="1"/>
    <xf numFmtId="3" fontId="11" fillId="22" borderId="0" xfId="0" applyNumberFormat="1" applyFont="1" applyFill="1" applyBorder="1" applyAlignment="1" applyProtection="1">
      <alignment horizontal="right" vertical="center" indent="1"/>
    </xf>
    <xf numFmtId="3" fontId="12" fillId="22" borderId="0" xfId="0" applyNumberFormat="1" applyFont="1" applyFill="1" applyBorder="1" applyAlignment="1" applyProtection="1">
      <alignment horizontal="right" vertical="center" indent="1"/>
    </xf>
    <xf numFmtId="3" fontId="11" fillId="30" borderId="0" xfId="0" applyNumberFormat="1" applyFont="1" applyFill="1" applyBorder="1" applyAlignment="1" applyProtection="1">
      <alignment horizontal="right" vertical="center" indent="1"/>
    </xf>
    <xf numFmtId="0" fontId="12" fillId="19" borderId="0" xfId="0" applyFont="1" applyFill="1" applyBorder="1" applyProtection="1"/>
    <xf numFmtId="0" fontId="0" fillId="19" borderId="43" xfId="0" applyFill="1" applyBorder="1" applyProtection="1"/>
    <xf numFmtId="0" fontId="0" fillId="30" borderId="43" xfId="0" applyFill="1" applyBorder="1" applyProtection="1"/>
    <xf numFmtId="3" fontId="11" fillId="19" borderId="38" xfId="0" applyNumberFormat="1" applyFont="1" applyFill="1" applyBorder="1" applyAlignment="1" applyProtection="1">
      <alignment horizontal="right" vertical="center" indent="1"/>
    </xf>
    <xf numFmtId="3" fontId="12" fillId="19" borderId="38" xfId="0" applyNumberFormat="1" applyFont="1" applyFill="1" applyBorder="1" applyAlignment="1" applyProtection="1">
      <alignment horizontal="right" vertical="center" indent="1"/>
    </xf>
    <xf numFmtId="3" fontId="12" fillId="30" borderId="38" xfId="0" applyNumberFormat="1" applyFont="1" applyFill="1" applyBorder="1" applyAlignment="1" applyProtection="1">
      <alignment horizontal="right" vertical="center" indent="1"/>
    </xf>
    <xf numFmtId="3" fontId="11" fillId="30" borderId="38" xfId="0" applyNumberFormat="1" applyFont="1" applyFill="1" applyBorder="1" applyAlignment="1" applyProtection="1">
      <alignment horizontal="right" vertical="center" indent="1"/>
    </xf>
    <xf numFmtId="0" fontId="0" fillId="19" borderId="66" xfId="0" applyFill="1" applyBorder="1" applyProtection="1"/>
    <xf numFmtId="0" fontId="12" fillId="19" borderId="0" xfId="0" applyFont="1" applyFill="1" applyBorder="1" applyAlignment="1" applyProtection="1">
      <alignment horizontal="center"/>
    </xf>
    <xf numFmtId="0" fontId="11" fillId="19" borderId="0" xfId="0" applyFont="1" applyFill="1" applyBorder="1" applyAlignment="1" applyProtection="1">
      <alignment horizontal="center"/>
    </xf>
    <xf numFmtId="0" fontId="12" fillId="19" borderId="0" xfId="0" applyFont="1" applyFill="1" applyBorder="1" applyAlignment="1" applyProtection="1"/>
    <xf numFmtId="0" fontId="12" fillId="19" borderId="43" xfId="0" applyFont="1" applyFill="1" applyBorder="1" applyProtection="1"/>
    <xf numFmtId="3" fontId="12" fillId="23" borderId="0" xfId="0" applyNumberFormat="1" applyFont="1" applyFill="1" applyBorder="1" applyAlignment="1" applyProtection="1">
      <alignment horizontal="right" vertical="center" indent="1"/>
    </xf>
    <xf numFmtId="3" fontId="12" fillId="19" borderId="43" xfId="0" applyNumberFormat="1" applyFont="1" applyFill="1" applyBorder="1" applyAlignment="1" applyProtection="1">
      <alignment horizontal="right" vertical="center" indent="1"/>
    </xf>
    <xf numFmtId="3" fontId="12" fillId="19" borderId="18" xfId="0" applyNumberFormat="1" applyFont="1" applyFill="1" applyBorder="1" applyAlignment="1" applyProtection="1">
      <alignment horizontal="right" vertical="center" indent="1"/>
    </xf>
    <xf numFmtId="3" fontId="12" fillId="19" borderId="72" xfId="0" applyNumberFormat="1" applyFont="1" applyFill="1" applyBorder="1" applyAlignment="1" applyProtection="1">
      <alignment horizontal="right" vertical="center" indent="1"/>
    </xf>
    <xf numFmtId="3" fontId="12" fillId="22" borderId="18" xfId="0" applyNumberFormat="1" applyFont="1" applyFill="1" applyBorder="1" applyAlignment="1" applyProtection="1">
      <alignment horizontal="right" vertical="center" indent="1"/>
    </xf>
    <xf numFmtId="0" fontId="12" fillId="19" borderId="38" xfId="0" applyFont="1" applyFill="1" applyBorder="1" applyProtection="1"/>
    <xf numFmtId="0" fontId="0" fillId="19" borderId="0" xfId="0" applyFill="1" applyBorder="1" applyProtection="1"/>
    <xf numFmtId="0" fontId="40" fillId="24" borderId="66" xfId="0" applyFont="1" applyFill="1" applyBorder="1" applyProtection="1"/>
    <xf numFmtId="0" fontId="40" fillId="24" borderId="0" xfId="0" applyFont="1" applyFill="1" applyBorder="1" applyProtection="1"/>
    <xf numFmtId="3" fontId="40" fillId="24" borderId="0" xfId="0" applyNumberFormat="1" applyFont="1" applyFill="1" applyBorder="1" applyProtection="1"/>
    <xf numFmtId="3" fontId="40" fillId="24" borderId="0" xfId="0" applyNumberFormat="1" applyFont="1" applyFill="1" applyBorder="1" applyAlignment="1" applyProtection="1">
      <alignment horizontal="right" indent="1"/>
    </xf>
    <xf numFmtId="0" fontId="12" fillId="30" borderId="43" xfId="0" applyFont="1" applyFill="1" applyBorder="1" applyProtection="1"/>
    <xf numFmtId="3" fontId="12" fillId="30" borderId="43" xfId="0" applyNumberFormat="1" applyFont="1" applyFill="1" applyBorder="1" applyAlignment="1" applyProtection="1">
      <alignment horizontal="right" vertical="center" indent="1"/>
    </xf>
    <xf numFmtId="3" fontId="12" fillId="30" borderId="18" xfId="0" applyNumberFormat="1" applyFont="1" applyFill="1" applyBorder="1" applyAlignment="1" applyProtection="1">
      <alignment horizontal="right" vertical="center" indent="1"/>
    </xf>
    <xf numFmtId="3" fontId="12" fillId="30" borderId="72" xfId="0" applyNumberFormat="1" applyFont="1" applyFill="1" applyBorder="1" applyAlignment="1" applyProtection="1">
      <alignment horizontal="right" vertical="center" indent="1"/>
    </xf>
    <xf numFmtId="0" fontId="12" fillId="30" borderId="38" xfId="0" applyFont="1" applyFill="1" applyBorder="1" applyProtection="1"/>
    <xf numFmtId="0" fontId="12" fillId="19" borderId="0" xfId="0" applyFont="1" applyFill="1" applyBorder="1" applyAlignment="1" applyProtection="1">
      <alignment vertical="top"/>
    </xf>
    <xf numFmtId="3" fontId="6" fillId="19" borderId="0" xfId="0" applyNumberFormat="1" applyFont="1" applyFill="1" applyBorder="1" applyAlignment="1" applyProtection="1">
      <alignment horizontal="right" vertical="center" indent="1"/>
    </xf>
    <xf numFmtId="3" fontId="8" fillId="23" borderId="0" xfId="0" applyNumberFormat="1" applyFont="1" applyFill="1" applyBorder="1" applyAlignment="1" applyProtection="1">
      <alignment horizontal="right" vertical="center" indent="1"/>
    </xf>
    <xf numFmtId="0" fontId="44" fillId="19" borderId="0" xfId="0" applyFont="1" applyFill="1" applyBorder="1" applyAlignment="1" applyProtection="1">
      <alignment vertical="top"/>
    </xf>
    <xf numFmtId="3" fontId="8" fillId="22" borderId="0" xfId="0" applyNumberFormat="1" applyFont="1" applyFill="1" applyBorder="1" applyAlignment="1" applyProtection="1">
      <alignment horizontal="right" vertical="center" indent="1"/>
    </xf>
    <xf numFmtId="3" fontId="8" fillId="19" borderId="0" xfId="0" applyNumberFormat="1" applyFont="1" applyFill="1" applyBorder="1" applyAlignment="1" applyProtection="1">
      <alignment horizontal="right" vertical="center" indent="1"/>
    </xf>
    <xf numFmtId="3" fontId="11" fillId="19" borderId="0" xfId="0" applyNumberFormat="1" applyFont="1" applyFill="1" applyBorder="1" applyAlignment="1" applyProtection="1">
      <alignment horizontal="right" vertical="center" indent="1"/>
    </xf>
    <xf numFmtId="3" fontId="11" fillId="22" borderId="18" xfId="0" applyNumberFormat="1" applyFont="1" applyFill="1" applyBorder="1" applyAlignment="1" applyProtection="1">
      <alignment horizontal="right" vertical="center" indent="1"/>
    </xf>
    <xf numFmtId="3" fontId="11" fillId="30" borderId="18" xfId="0" applyNumberFormat="1" applyFont="1" applyFill="1" applyBorder="1" applyAlignment="1" applyProtection="1">
      <alignment horizontal="right" vertical="center" indent="1"/>
    </xf>
    <xf numFmtId="3" fontId="12" fillId="19" borderId="19" xfId="0" applyNumberFormat="1" applyFont="1" applyFill="1" applyBorder="1" applyAlignment="1" applyProtection="1">
      <alignment horizontal="right" vertical="center" indent="1"/>
    </xf>
    <xf numFmtId="3" fontId="11" fillId="19" borderId="19" xfId="0" applyNumberFormat="1" applyFont="1" applyFill="1" applyBorder="1" applyAlignment="1" applyProtection="1">
      <alignment horizontal="right" vertical="center" indent="1"/>
    </xf>
    <xf numFmtId="3" fontId="12" fillId="30" borderId="19" xfId="0" applyNumberFormat="1" applyFont="1" applyFill="1" applyBorder="1" applyAlignment="1" applyProtection="1">
      <alignment horizontal="right" vertical="center" indent="1"/>
    </xf>
    <xf numFmtId="3" fontId="11" fillId="30" borderId="19" xfId="0" applyNumberFormat="1" applyFont="1" applyFill="1" applyBorder="1" applyAlignment="1" applyProtection="1">
      <alignment horizontal="right" vertical="center" indent="1"/>
    </xf>
    <xf numFmtId="3" fontId="12" fillId="19" borderId="15" xfId="0" applyNumberFormat="1" applyFont="1" applyFill="1" applyBorder="1" applyAlignment="1" applyProtection="1">
      <alignment horizontal="right" vertical="center" indent="1"/>
    </xf>
    <xf numFmtId="3" fontId="12" fillId="19" borderId="22" xfId="0" applyNumberFormat="1" applyFont="1" applyFill="1" applyBorder="1" applyAlignment="1" applyProtection="1">
      <alignment horizontal="right" vertical="center" indent="1"/>
    </xf>
    <xf numFmtId="3" fontId="12" fillId="30" borderId="22" xfId="0" applyNumberFormat="1" applyFont="1" applyFill="1" applyBorder="1" applyAlignment="1" applyProtection="1">
      <alignment horizontal="right" vertical="center" indent="1"/>
    </xf>
    <xf numFmtId="49" fontId="44" fillId="19" borderId="0" xfId="0" applyNumberFormat="1" applyFont="1" applyFill="1" applyBorder="1" applyAlignment="1" applyProtection="1">
      <alignment vertical="center"/>
    </xf>
    <xf numFmtId="0" fontId="6" fillId="19" borderId="12" xfId="0" applyFont="1" applyFill="1" applyBorder="1" applyProtection="1"/>
    <xf numFmtId="0" fontId="6" fillId="19" borderId="0" xfId="0" applyFont="1" applyFill="1" applyBorder="1" applyAlignment="1" applyProtection="1">
      <alignment vertical="top"/>
    </xf>
    <xf numFmtId="0" fontId="11" fillId="19" borderId="0" xfId="0" applyFont="1" applyFill="1" applyBorder="1" applyAlignment="1">
      <alignment horizontal="center"/>
    </xf>
    <xf numFmtId="0" fontId="65" fillId="21" borderId="0" xfId="0" applyFont="1" applyFill="1" applyBorder="1" applyAlignment="1">
      <alignment horizontal="center"/>
    </xf>
    <xf numFmtId="0" fontId="65" fillId="21" borderId="0" xfId="0" applyFont="1" applyFill="1" applyBorder="1"/>
    <xf numFmtId="0" fontId="65" fillId="0" borderId="0" xfId="0" applyFont="1"/>
    <xf numFmtId="0" fontId="66" fillId="31" borderId="0" xfId="0" applyFont="1" applyFill="1" applyBorder="1" applyAlignment="1">
      <alignment horizontal="center"/>
    </xf>
    <xf numFmtId="0" fontId="66" fillId="31" borderId="0" xfId="0" applyFont="1" applyFill="1" applyBorder="1"/>
    <xf numFmtId="0" fontId="66" fillId="31" borderId="0" xfId="0" applyFont="1" applyFill="1"/>
    <xf numFmtId="0" fontId="66" fillId="31" borderId="59" xfId="0" applyFont="1" applyFill="1" applyBorder="1"/>
    <xf numFmtId="0" fontId="67" fillId="31" borderId="0" xfId="0" applyFont="1" applyFill="1" applyBorder="1"/>
    <xf numFmtId="0" fontId="66" fillId="31" borderId="61" xfId="0" applyFont="1" applyFill="1" applyBorder="1"/>
    <xf numFmtId="0" fontId="66" fillId="31" borderId="62" xfId="0" applyFont="1" applyFill="1" applyBorder="1"/>
    <xf numFmtId="0" fontId="66" fillId="31" borderId="60" xfId="0" applyFont="1" applyFill="1" applyBorder="1"/>
    <xf numFmtId="0" fontId="66" fillId="31" borderId="63" xfId="0" applyFont="1" applyFill="1" applyBorder="1"/>
    <xf numFmtId="3" fontId="11" fillId="22" borderId="0" xfId="0" applyNumberFormat="1" applyFont="1" applyFill="1" applyBorder="1" applyAlignment="1">
      <alignment horizontal="right" vertical="center" indent="1"/>
    </xf>
    <xf numFmtId="0" fontId="6" fillId="19" borderId="27" xfId="0" applyFont="1" applyFill="1" applyBorder="1"/>
    <xf numFmtId="0" fontId="44" fillId="19" borderId="0" xfId="0" applyFont="1" applyFill="1" applyBorder="1"/>
    <xf numFmtId="0" fontId="0" fillId="0" borderId="0" xfId="0" applyFill="1"/>
    <xf numFmtId="3" fontId="45" fillId="21" borderId="0" xfId="0" applyNumberFormat="1" applyFont="1" applyFill="1"/>
    <xf numFmtId="0" fontId="45" fillId="21" borderId="0" xfId="0" applyFont="1" applyFill="1"/>
    <xf numFmtId="3" fontId="45" fillId="0" borderId="0" xfId="0" applyNumberFormat="1" applyFont="1"/>
    <xf numFmtId="0" fontId="63" fillId="21" borderId="0" xfId="0" applyFont="1" applyFill="1"/>
    <xf numFmtId="3" fontId="6" fillId="28" borderId="0" xfId="0" applyNumberFormat="1" applyFont="1" applyFill="1" applyBorder="1" applyAlignment="1">
      <alignment horizontal="center"/>
    </xf>
    <xf numFmtId="3" fontId="8" fillId="28" borderId="0" xfId="0" applyNumberFormat="1" applyFont="1" applyFill="1" applyBorder="1" applyAlignment="1">
      <alignment horizontal="center" wrapText="1"/>
    </xf>
    <xf numFmtId="3" fontId="6" fillId="28" borderId="0" xfId="0" applyNumberFormat="1" applyFont="1" applyFill="1" applyBorder="1" applyAlignment="1">
      <alignment horizontal="right"/>
    </xf>
    <xf numFmtId="0" fontId="6" fillId="32" borderId="0" xfId="0" applyFont="1" applyFill="1" applyBorder="1" applyAlignment="1">
      <alignment vertical="top"/>
    </xf>
    <xf numFmtId="0" fontId="6" fillId="32" borderId="0" xfId="0" applyFont="1" applyFill="1"/>
    <xf numFmtId="0" fontId="6" fillId="32" borderId="0" xfId="0" applyFont="1" applyFill="1" applyBorder="1" applyAlignment="1"/>
    <xf numFmtId="3" fontId="6" fillId="32" borderId="0" xfId="0" applyNumberFormat="1" applyFont="1" applyFill="1" applyBorder="1" applyAlignment="1">
      <alignment horizontal="right" vertical="center" indent="1"/>
    </xf>
    <xf numFmtId="3" fontId="12" fillId="32" borderId="0" xfId="0" applyNumberFormat="1" applyFont="1" applyFill="1" applyBorder="1" applyAlignment="1" applyProtection="1">
      <alignment horizontal="right" vertical="center" indent="1"/>
    </xf>
    <xf numFmtId="0" fontId="7" fillId="20" borderId="0" xfId="0" applyFont="1" applyFill="1" applyBorder="1" applyAlignment="1">
      <alignment horizontal="center"/>
    </xf>
    <xf numFmtId="0" fontId="6" fillId="20" borderId="0" xfId="0" applyFont="1" applyFill="1" applyBorder="1" applyAlignment="1">
      <alignment horizontal="center"/>
    </xf>
    <xf numFmtId="0" fontId="63" fillId="17" borderId="0" xfId="0" applyFont="1" applyFill="1"/>
    <xf numFmtId="0" fontId="3" fillId="20" borderId="18" xfId="0" applyFont="1" applyFill="1" applyBorder="1" applyAlignment="1">
      <alignment horizontal="right"/>
    </xf>
    <xf numFmtId="167" fontId="2" fillId="20" borderId="18" xfId="0" applyNumberFormat="1" applyFont="1" applyFill="1" applyBorder="1" applyAlignment="1">
      <alignment horizontal="left"/>
    </xf>
    <xf numFmtId="167" fontId="3" fillId="20" borderId="18" xfId="0" applyNumberFormat="1" applyFont="1" applyFill="1" applyBorder="1" applyAlignment="1">
      <alignment horizontal="left"/>
    </xf>
    <xf numFmtId="0" fontId="6" fillId="20" borderId="18" xfId="0" applyFont="1" applyFill="1" applyBorder="1" applyAlignment="1">
      <alignment horizontal="right"/>
    </xf>
    <xf numFmtId="0" fontId="6" fillId="22" borderId="0" xfId="0" applyFont="1" applyFill="1" applyBorder="1" applyAlignment="1">
      <alignment vertical="center"/>
    </xf>
    <xf numFmtId="0" fontId="8" fillId="19" borderId="0" xfId="0" applyFont="1" applyFill="1" applyBorder="1" applyAlignment="1">
      <alignment vertical="top"/>
    </xf>
    <xf numFmtId="1" fontId="66" fillId="0" borderId="0" xfId="0" applyNumberFormat="1" applyFont="1"/>
    <xf numFmtId="1" fontId="66" fillId="21" borderId="0" xfId="0" applyNumberFormat="1" applyFont="1" applyFill="1"/>
    <xf numFmtId="1" fontId="66" fillId="21" borderId="0" xfId="0" applyNumberFormat="1" applyFont="1" applyFill="1" applyAlignment="1">
      <alignment vertical="center"/>
    </xf>
    <xf numFmtId="1" fontId="66" fillId="0" borderId="0" xfId="0" applyNumberFormat="1" applyFont="1" applyAlignment="1">
      <alignment vertical="center"/>
    </xf>
    <xf numFmtId="0" fontId="8" fillId="19" borderId="0" xfId="0" applyFont="1" applyFill="1" applyBorder="1" applyAlignment="1">
      <alignment vertical="top"/>
    </xf>
    <xf numFmtId="0" fontId="3" fillId="20" borderId="77" xfId="0" applyFont="1" applyFill="1" applyBorder="1" applyAlignment="1">
      <alignment horizontal="center" vertical="top" wrapText="1"/>
    </xf>
    <xf numFmtId="0" fontId="3" fillId="20" borderId="76" xfId="0" applyFont="1" applyFill="1" applyBorder="1" applyAlignment="1">
      <alignment horizontal="center" vertical="top" wrapText="1"/>
    </xf>
    <xf numFmtId="0" fontId="12" fillId="19" borderId="17" xfId="0" applyFont="1" applyFill="1" applyBorder="1"/>
    <xf numFmtId="0" fontId="12" fillId="19" borderId="27" xfId="0" applyFont="1" applyFill="1" applyBorder="1"/>
    <xf numFmtId="0" fontId="2" fillId="19" borderId="16" xfId="0" applyFont="1" applyFill="1" applyBorder="1"/>
    <xf numFmtId="0" fontId="2" fillId="19" borderId="13" xfId="0" applyFont="1" applyFill="1" applyBorder="1"/>
    <xf numFmtId="0" fontId="2" fillId="19" borderId="27" xfId="0" applyFont="1" applyFill="1" applyBorder="1"/>
    <xf numFmtId="0" fontId="8" fillId="19" borderId="72" xfId="0" applyFont="1" applyFill="1" applyBorder="1" applyAlignment="1">
      <alignment vertical="top"/>
    </xf>
    <xf numFmtId="1" fontId="0" fillId="0" borderId="0" xfId="0" applyNumberFormat="1"/>
    <xf numFmtId="0" fontId="3" fillId="0" borderId="0" xfId="0" applyFont="1"/>
    <xf numFmtId="0" fontId="2" fillId="25" borderId="0" xfId="0" applyFont="1" applyFill="1" applyBorder="1"/>
    <xf numFmtId="0" fontId="3" fillId="33" borderId="81" xfId="0" applyFont="1" applyFill="1" applyBorder="1"/>
    <xf numFmtId="0" fontId="3" fillId="33" borderId="81" xfId="0" applyFont="1" applyFill="1" applyBorder="1" applyAlignment="1">
      <alignment horizontal="center" wrapText="1"/>
    </xf>
    <xf numFmtId="1" fontId="3" fillId="33" borderId="81" xfId="0" applyNumberFormat="1" applyFont="1" applyFill="1" applyBorder="1" applyAlignment="1">
      <alignment horizontal="center" wrapText="1"/>
    </xf>
    <xf numFmtId="0" fontId="3" fillId="20" borderId="81" xfId="0" applyFont="1" applyFill="1" applyBorder="1" applyAlignment="1">
      <alignment horizontal="center"/>
    </xf>
    <xf numFmtId="1" fontId="3" fillId="33" borderId="81" xfId="0" applyNumberFormat="1" applyFont="1" applyFill="1" applyBorder="1" applyAlignment="1">
      <alignment horizontal="center" vertical="center" wrapText="1"/>
    </xf>
    <xf numFmtId="0" fontId="0" fillId="0" borderId="0" xfId="0" applyBorder="1" applyAlignment="1">
      <alignment wrapText="1"/>
    </xf>
    <xf numFmtId="0" fontId="0" fillId="0" borderId="12" xfId="0" applyBorder="1" applyAlignment="1">
      <alignment wrapText="1"/>
    </xf>
    <xf numFmtId="0" fontId="0" fillId="0" borderId="71" xfId="0" applyBorder="1"/>
    <xf numFmtId="0" fontId="0" fillId="0" borderId="76" xfId="0" applyBorder="1"/>
    <xf numFmtId="0" fontId="0" fillId="0" borderId="73" xfId="0" applyBorder="1"/>
    <xf numFmtId="0" fontId="0" fillId="0" borderId="12" xfId="0" applyBorder="1"/>
    <xf numFmtId="0" fontId="0" fillId="0" borderId="13" xfId="0" applyBorder="1"/>
    <xf numFmtId="0" fontId="3" fillId="0" borderId="12" xfId="0" applyFont="1" applyBorder="1"/>
    <xf numFmtId="0" fontId="2" fillId="0" borderId="0" xfId="0" applyFont="1" applyBorder="1" applyAlignment="1">
      <alignment vertical="center" wrapText="1"/>
    </xf>
    <xf numFmtId="0" fontId="2" fillId="0" borderId="13" xfId="0" applyFont="1" applyBorder="1" applyAlignment="1">
      <alignment vertical="center" wrapText="1"/>
    </xf>
    <xf numFmtId="0" fontId="58" fillId="0" borderId="12" xfId="54" applyBorder="1" applyAlignment="1">
      <alignment vertical="center" wrapText="1"/>
    </xf>
    <xf numFmtId="0" fontId="2" fillId="0" borderId="12" xfId="0" applyFont="1" applyBorder="1" applyAlignment="1">
      <alignment vertical="center" wrapText="1"/>
    </xf>
    <xf numFmtId="0" fontId="69" fillId="0" borderId="12" xfId="0" applyFont="1" applyBorder="1" applyAlignment="1">
      <alignment horizontal="justify" vertical="center"/>
    </xf>
    <xf numFmtId="0" fontId="2" fillId="0" borderId="12" xfId="0" applyFont="1" applyBorder="1"/>
    <xf numFmtId="0" fontId="0" fillId="0" borderId="17" xfId="0" applyBorder="1"/>
    <xf numFmtId="0" fontId="0" fillId="0" borderId="18" xfId="0" applyBorder="1"/>
    <xf numFmtId="0" fontId="0" fillId="0" borderId="27" xfId="0" applyBorder="1"/>
    <xf numFmtId="1" fontId="0" fillId="21" borderId="0" xfId="0" applyNumberFormat="1" applyFill="1"/>
    <xf numFmtId="1" fontId="2" fillId="21" borderId="0" xfId="0" applyNumberFormat="1" applyFont="1" applyFill="1" applyBorder="1"/>
    <xf numFmtId="0" fontId="3" fillId="21" borderId="0" xfId="0" applyFont="1" applyFill="1"/>
    <xf numFmtId="1" fontId="0" fillId="21" borderId="82" xfId="0" applyNumberFormat="1" applyFill="1" applyBorder="1"/>
    <xf numFmtId="1" fontId="0" fillId="21" borderId="80" xfId="0" applyNumberFormat="1" applyFill="1" applyBorder="1"/>
    <xf numFmtId="0" fontId="3" fillId="21" borderId="0" xfId="0" applyFont="1" applyFill="1" applyAlignment="1">
      <alignment wrapText="1"/>
    </xf>
    <xf numFmtId="0" fontId="3" fillId="21" borderId="0" xfId="0" applyFont="1" applyFill="1" applyBorder="1"/>
    <xf numFmtId="1" fontId="3" fillId="21" borderId="0" xfId="0" applyNumberFormat="1" applyFont="1" applyFill="1"/>
    <xf numFmtId="1" fontId="3" fillId="33" borderId="81" xfId="0" applyNumberFormat="1" applyFont="1" applyFill="1" applyBorder="1" applyAlignment="1">
      <alignment horizontal="center" wrapText="1"/>
    </xf>
    <xf numFmtId="4" fontId="0" fillId="21" borderId="0" xfId="0" applyNumberFormat="1" applyFill="1"/>
    <xf numFmtId="0" fontId="70" fillId="23" borderId="0" xfId="0" applyFont="1" applyFill="1" applyBorder="1" applyAlignment="1">
      <alignment vertical="top"/>
    </xf>
    <xf numFmtId="0" fontId="35" fillId="21" borderId="0" xfId="55" applyFont="1" applyFill="1" applyBorder="1" applyProtection="1"/>
    <xf numFmtId="168" fontId="32" fillId="21" borderId="0" xfId="55" applyNumberFormat="1" applyFont="1" applyFill="1" applyBorder="1" applyProtection="1"/>
    <xf numFmtId="0" fontId="32" fillId="21" borderId="0" xfId="55" applyFont="1" applyFill="1" applyBorder="1" applyProtection="1"/>
    <xf numFmtId="0" fontId="6" fillId="21" borderId="0" xfId="55" applyFont="1" applyFill="1" applyBorder="1" applyProtection="1"/>
    <xf numFmtId="0" fontId="0" fillId="21" borderId="0" xfId="55" applyFont="1" applyFill="1" applyBorder="1" applyProtection="1"/>
    <xf numFmtId="0" fontId="0" fillId="0" borderId="0" xfId="55" applyFont="1" applyBorder="1" applyProtection="1"/>
    <xf numFmtId="0" fontId="0" fillId="19" borderId="12" xfId="55" applyFont="1" applyFill="1" applyBorder="1" applyProtection="1"/>
    <xf numFmtId="0" fontId="8" fillId="19" borderId="0" xfId="55" applyFont="1" applyFill="1" applyBorder="1" applyAlignment="1" applyProtection="1">
      <alignment horizontal="left" vertical="center"/>
    </xf>
    <xf numFmtId="0" fontId="3" fillId="19" borderId="0" xfId="55" applyFont="1" applyFill="1" applyBorder="1" applyAlignment="1" applyProtection="1">
      <alignment horizontal="left" vertical="center"/>
    </xf>
    <xf numFmtId="0" fontId="0" fillId="19" borderId="0" xfId="55" applyFont="1" applyFill="1" applyBorder="1" applyProtection="1"/>
    <xf numFmtId="3" fontId="71" fillId="19" borderId="0" xfId="55" applyNumberFormat="1" applyFont="1" applyFill="1" applyBorder="1" applyAlignment="1" applyProtection="1">
      <alignment horizontal="right" vertical="center"/>
    </xf>
    <xf numFmtId="0" fontId="72" fillId="19" borderId="0" xfId="55" applyFont="1" applyFill="1" applyBorder="1" applyAlignment="1" applyProtection="1">
      <alignment horizontal="right" vertical="center"/>
    </xf>
    <xf numFmtId="3" fontId="72" fillId="19" borderId="0" xfId="55" applyNumberFormat="1" applyFont="1" applyFill="1" applyBorder="1" applyAlignment="1" applyProtection="1">
      <alignment horizontal="right" vertical="center"/>
    </xf>
    <xf numFmtId="0" fontId="3" fillId="19" borderId="0" xfId="55" applyFont="1" applyFill="1" applyBorder="1" applyAlignment="1" applyProtection="1">
      <alignment horizontal="center"/>
    </xf>
    <xf numFmtId="0" fontId="0" fillId="19" borderId="0" xfId="55" applyFont="1" applyFill="1" applyBorder="1" applyAlignment="1" applyProtection="1">
      <alignment vertical="center"/>
    </xf>
    <xf numFmtId="0" fontId="0" fillId="19" borderId="13" xfId="55" applyFont="1" applyFill="1" applyBorder="1" applyProtection="1"/>
    <xf numFmtId="0" fontId="35" fillId="21" borderId="0" xfId="55" applyFont="1" applyFill="1" applyAlignment="1" applyProtection="1">
      <alignment vertical="center"/>
    </xf>
    <xf numFmtId="168" fontId="32" fillId="21" borderId="0" xfId="55" applyNumberFormat="1" applyFont="1" applyFill="1" applyProtection="1"/>
    <xf numFmtId="0" fontId="32" fillId="21" borderId="0" xfId="55" applyFont="1" applyFill="1" applyProtection="1"/>
    <xf numFmtId="0" fontId="6" fillId="21" borderId="0" xfId="55" applyFont="1" applyFill="1" applyProtection="1"/>
    <xf numFmtId="0" fontId="0" fillId="21" borderId="0" xfId="55" applyFont="1" applyFill="1" applyProtection="1"/>
    <xf numFmtId="0" fontId="0" fillId="0" borderId="0" xfId="55" applyFont="1" applyProtection="1"/>
    <xf numFmtId="0" fontId="31" fillId="19" borderId="0" xfId="55" applyFont="1" applyFill="1" applyBorder="1" applyAlignment="1" applyProtection="1">
      <alignment vertical="center"/>
    </xf>
    <xf numFmtId="0" fontId="73" fillId="21" borderId="0" xfId="0" applyFont="1" applyFill="1" applyProtection="1"/>
    <xf numFmtId="0" fontId="44" fillId="21" borderId="0" xfId="55" applyFont="1" applyFill="1" applyProtection="1"/>
    <xf numFmtId="0" fontId="74" fillId="19" borderId="0" xfId="55" applyFont="1" applyFill="1" applyBorder="1" applyAlignment="1" applyProtection="1">
      <alignment vertical="center"/>
    </xf>
    <xf numFmtId="0" fontId="44" fillId="21" borderId="0" xfId="0" applyFont="1" applyFill="1" applyProtection="1"/>
    <xf numFmtId="0" fontId="75" fillId="19" borderId="0" xfId="55" applyFont="1" applyFill="1" applyBorder="1" applyAlignment="1" applyProtection="1">
      <alignment horizontal="left" vertical="center"/>
    </xf>
    <xf numFmtId="0" fontId="76" fillId="19" borderId="0" xfId="55" applyFont="1" applyFill="1" applyBorder="1" applyAlignment="1" applyProtection="1">
      <alignment horizontal="left" vertical="top" wrapText="1"/>
    </xf>
    <xf numFmtId="0" fontId="76" fillId="19" borderId="58" xfId="55" applyFont="1" applyFill="1" applyBorder="1" applyAlignment="1" applyProtection="1">
      <alignment horizontal="left" vertical="top" wrapText="1"/>
    </xf>
    <xf numFmtId="0" fontId="0" fillId="19" borderId="0" xfId="55" applyFont="1" applyFill="1" applyBorder="1" applyAlignment="1" applyProtection="1">
      <alignment horizontal="left" vertical="center"/>
    </xf>
    <xf numFmtId="0" fontId="76" fillId="19" borderId="59" xfId="55" applyFont="1" applyFill="1" applyBorder="1" applyAlignment="1" applyProtection="1">
      <alignment horizontal="left" vertical="top" wrapText="1"/>
    </xf>
    <xf numFmtId="0" fontId="32" fillId="19" borderId="61" xfId="55" applyFont="1" applyFill="1" applyBorder="1" applyAlignment="1" applyProtection="1">
      <alignment vertical="center"/>
    </xf>
    <xf numFmtId="0" fontId="32" fillId="19" borderId="0" xfId="55" applyFont="1" applyFill="1" applyBorder="1" applyAlignment="1" applyProtection="1">
      <alignment vertical="center"/>
    </xf>
    <xf numFmtId="0" fontId="0" fillId="19" borderId="61" xfId="55" applyFont="1" applyFill="1" applyBorder="1" applyAlignment="1" applyProtection="1">
      <alignment horizontal="left" vertical="center"/>
    </xf>
    <xf numFmtId="0" fontId="2" fillId="19" borderId="12" xfId="55" applyFont="1" applyFill="1" applyBorder="1" applyProtection="1"/>
    <xf numFmtId="0" fontId="75" fillId="19" borderId="58" xfId="55" applyFont="1" applyFill="1" applyBorder="1" applyAlignment="1" applyProtection="1">
      <alignment horizontal="left" vertical="center"/>
    </xf>
    <xf numFmtId="0" fontId="2" fillId="19" borderId="0" xfId="55" applyFont="1" applyFill="1" applyBorder="1" applyProtection="1"/>
    <xf numFmtId="0" fontId="3" fillId="19" borderId="59" xfId="55" applyFont="1" applyFill="1" applyBorder="1" applyAlignment="1" applyProtection="1">
      <alignment horizontal="left" vertical="center"/>
    </xf>
    <xf numFmtId="0" fontId="3" fillId="19" borderId="0" xfId="55" quotePrefix="1" applyFont="1" applyFill="1" applyBorder="1" applyAlignment="1" applyProtection="1">
      <alignment horizontal="center"/>
    </xf>
    <xf numFmtId="0" fontId="3" fillId="19" borderId="61" xfId="55" quotePrefix="1" applyFont="1" applyFill="1" applyBorder="1" applyAlignment="1" applyProtection="1">
      <alignment horizontal="center"/>
    </xf>
    <xf numFmtId="0" fontId="35" fillId="19" borderId="0" xfId="55" applyFont="1" applyFill="1" applyBorder="1" applyAlignment="1" applyProtection="1">
      <alignment vertical="center"/>
    </xf>
    <xf numFmtId="0" fontId="3" fillId="19" borderId="59" xfId="55" quotePrefix="1" applyFont="1" applyFill="1" applyBorder="1" applyAlignment="1" applyProtection="1">
      <alignment horizontal="center"/>
    </xf>
    <xf numFmtId="0" fontId="2" fillId="19" borderId="13" xfId="55" applyFont="1" applyFill="1" applyBorder="1" applyProtection="1"/>
    <xf numFmtId="168" fontId="35" fillId="21" borderId="0" xfId="55" applyNumberFormat="1" applyFont="1" applyFill="1" applyProtection="1"/>
    <xf numFmtId="0" fontId="35" fillId="21" borderId="0" xfId="55" applyFont="1" applyFill="1" applyProtection="1"/>
    <xf numFmtId="0" fontId="2" fillId="21" borderId="0" xfId="55" applyFont="1" applyFill="1" applyProtection="1"/>
    <xf numFmtId="0" fontId="2" fillId="0" borderId="0" xfId="55" applyFont="1" applyProtection="1"/>
    <xf numFmtId="0" fontId="3" fillId="19" borderId="58" xfId="55" applyFont="1" applyFill="1" applyBorder="1" applyAlignment="1" applyProtection="1">
      <alignment horizontal="left" vertical="center"/>
    </xf>
    <xf numFmtId="0" fontId="8" fillId="19" borderId="58" xfId="55" applyFont="1" applyFill="1" applyBorder="1" applyAlignment="1" applyProtection="1">
      <alignment horizontal="center" vertical="center"/>
    </xf>
    <xf numFmtId="0" fontId="3" fillId="19" borderId="0" xfId="55" applyFont="1" applyFill="1" applyBorder="1" applyAlignment="1" applyProtection="1">
      <alignment horizontal="center" vertical="center"/>
    </xf>
    <xf numFmtId="0" fontId="77" fillId="19" borderId="0" xfId="55" quotePrefix="1" applyFont="1" applyFill="1" applyBorder="1" applyAlignment="1" applyProtection="1">
      <alignment horizontal="center" vertical="center"/>
    </xf>
    <xf numFmtId="0" fontId="8" fillId="19" borderId="61" xfId="55" quotePrefix="1" applyFont="1" applyFill="1" applyBorder="1" applyAlignment="1" applyProtection="1">
      <alignment horizontal="center" vertical="center" wrapText="1"/>
    </xf>
    <xf numFmtId="0" fontId="8" fillId="19" borderId="0" xfId="55" applyFont="1" applyFill="1" applyBorder="1" applyAlignment="1" applyProtection="1">
      <alignment horizontal="center" vertical="center"/>
    </xf>
    <xf numFmtId="0" fontId="8" fillId="19" borderId="0" xfId="55" quotePrefix="1" applyFont="1" applyFill="1" applyBorder="1" applyAlignment="1" applyProtection="1">
      <alignment horizontal="center" vertical="center"/>
    </xf>
    <xf numFmtId="0" fontId="8" fillId="19" borderId="59" xfId="55" applyFont="1" applyFill="1" applyBorder="1" applyAlignment="1" applyProtection="1">
      <alignment horizontal="center" vertical="center"/>
    </xf>
    <xf numFmtId="0" fontId="8" fillId="19" borderId="61" xfId="55" quotePrefix="1" applyFont="1" applyFill="1" applyBorder="1" applyAlignment="1" applyProtection="1">
      <alignment horizontal="center" vertical="center"/>
    </xf>
    <xf numFmtId="0" fontId="8" fillId="19" borderId="59" xfId="55" quotePrefix="1" applyFont="1" applyFill="1" applyBorder="1" applyAlignment="1" applyProtection="1">
      <alignment horizontal="center" vertical="center"/>
    </xf>
    <xf numFmtId="0" fontId="8" fillId="19" borderId="62" xfId="55" applyFont="1" applyFill="1" applyBorder="1" applyAlignment="1" applyProtection="1">
      <alignment horizontal="center" vertical="center" wrapText="1"/>
    </xf>
    <xf numFmtId="0" fontId="8" fillId="19" borderId="60" xfId="55" applyFont="1" applyFill="1" applyBorder="1" applyAlignment="1" applyProtection="1">
      <alignment horizontal="center" vertical="center" wrapText="1"/>
    </xf>
    <xf numFmtId="0" fontId="0" fillId="19" borderId="60" xfId="55" applyFont="1" applyFill="1" applyBorder="1" applyAlignment="1" applyProtection="1">
      <alignment horizontal="center" vertical="center"/>
    </xf>
    <xf numFmtId="0" fontId="8" fillId="19" borderId="63" xfId="55" applyFont="1" applyFill="1" applyBorder="1" applyAlignment="1" applyProtection="1">
      <alignment horizontal="center" vertical="center" wrapText="1"/>
    </xf>
    <xf numFmtId="0" fontId="8" fillId="19" borderId="62" xfId="55" applyFont="1" applyFill="1" applyBorder="1" applyAlignment="1" applyProtection="1">
      <alignment horizontal="left" vertical="center" wrapText="1"/>
    </xf>
    <xf numFmtId="0" fontId="3" fillId="19" borderId="60" xfId="55" applyFont="1" applyFill="1" applyBorder="1" applyAlignment="1" applyProtection="1">
      <alignment horizontal="left" vertical="center"/>
    </xf>
    <xf numFmtId="0" fontId="54" fillId="19" borderId="0" xfId="55" applyFont="1" applyFill="1" applyBorder="1" applyAlignment="1" applyProtection="1">
      <alignment horizontal="center" vertical="center" wrapText="1"/>
    </xf>
    <xf numFmtId="0" fontId="54" fillId="19" borderId="0" xfId="55" applyFont="1" applyFill="1" applyBorder="1" applyAlignment="1" applyProtection="1">
      <alignment horizontal="left" vertical="center"/>
    </xf>
    <xf numFmtId="0" fontId="70" fillId="19" borderId="0" xfId="55" applyFont="1" applyFill="1" applyBorder="1" applyProtection="1"/>
    <xf numFmtId="0" fontId="54" fillId="19" borderId="0" xfId="55" applyFont="1" applyFill="1" applyBorder="1" applyAlignment="1" applyProtection="1">
      <alignment horizontal="center" vertical="center"/>
    </xf>
    <xf numFmtId="0" fontId="54" fillId="19" borderId="0" xfId="55" applyFont="1" applyFill="1" applyBorder="1" applyAlignment="1" applyProtection="1">
      <alignment horizontal="center"/>
    </xf>
    <xf numFmtId="0" fontId="79" fillId="19" borderId="12" xfId="55" applyFont="1" applyFill="1" applyBorder="1" applyAlignment="1" applyProtection="1">
      <alignment vertical="center"/>
    </xf>
    <xf numFmtId="0" fontId="31" fillId="19" borderId="0" xfId="55" applyFont="1" applyFill="1" applyBorder="1" applyAlignment="1" applyProtection="1">
      <alignment horizontal="left" vertical="center"/>
    </xf>
    <xf numFmtId="0" fontId="31" fillId="19" borderId="13" xfId="55" applyFont="1" applyFill="1" applyBorder="1" applyAlignment="1" applyProtection="1">
      <alignment horizontal="left" vertical="center" wrapText="1"/>
    </xf>
    <xf numFmtId="0" fontId="80" fillId="21" borderId="0" xfId="55" applyFont="1" applyFill="1" applyBorder="1" applyAlignment="1" applyProtection="1">
      <alignment vertical="center"/>
    </xf>
    <xf numFmtId="168" fontId="80" fillId="21" borderId="0" xfId="56" applyNumberFormat="1" applyFont="1" applyFill="1" applyAlignment="1" applyProtection="1">
      <alignment horizontal="right" vertical="center"/>
    </xf>
    <xf numFmtId="43" fontId="80" fillId="21" borderId="0" xfId="55" applyNumberFormat="1" applyFont="1" applyFill="1" applyAlignment="1" applyProtection="1">
      <alignment vertical="center"/>
    </xf>
    <xf numFmtId="0" fontId="78" fillId="21" borderId="0" xfId="55" applyFont="1" applyFill="1" applyAlignment="1" applyProtection="1">
      <alignment vertical="center"/>
    </xf>
    <xf numFmtId="0" fontId="78" fillId="0" borderId="0" xfId="55" applyFont="1" applyAlignment="1" applyProtection="1">
      <alignment vertical="center"/>
    </xf>
    <xf numFmtId="0" fontId="80" fillId="21" borderId="0" xfId="55" applyFont="1" applyFill="1" applyAlignment="1" applyProtection="1">
      <alignment vertical="center"/>
    </xf>
    <xf numFmtId="0" fontId="75" fillId="19" borderId="17" xfId="55" applyFont="1" applyFill="1" applyBorder="1" applyAlignment="1" applyProtection="1">
      <alignment horizontal="left" vertical="center"/>
    </xf>
    <xf numFmtId="0" fontId="75" fillId="19" borderId="18" xfId="55" applyFont="1" applyFill="1" applyBorder="1" applyAlignment="1" applyProtection="1">
      <alignment horizontal="left" vertical="center"/>
    </xf>
    <xf numFmtId="0" fontId="31" fillId="19" borderId="27" xfId="55" applyFont="1" applyFill="1" applyBorder="1" applyAlignment="1" applyProtection="1">
      <alignment horizontal="left" vertical="center" wrapText="1"/>
    </xf>
    <xf numFmtId="0" fontId="31" fillId="19" borderId="0" xfId="55" applyFont="1" applyFill="1" applyBorder="1" applyAlignment="1" applyProtection="1">
      <alignment horizontal="left" vertical="center" wrapText="1"/>
    </xf>
    <xf numFmtId="0" fontId="81" fillId="17" borderId="0" xfId="55" applyFont="1" applyFill="1" applyBorder="1" applyProtection="1"/>
    <xf numFmtId="0" fontId="6" fillId="17" borderId="0" xfId="55" applyFont="1" applyFill="1" applyBorder="1" applyProtection="1"/>
    <xf numFmtId="4" fontId="2" fillId="17" borderId="0" xfId="57" applyNumberFormat="1" applyFill="1" applyBorder="1" applyAlignment="1" applyProtection="1">
      <alignment wrapText="1"/>
    </xf>
    <xf numFmtId="0" fontId="0" fillId="17" borderId="0" xfId="55" applyFont="1" applyFill="1" applyBorder="1" applyProtection="1"/>
    <xf numFmtId="0" fontId="3" fillId="19" borderId="0" xfId="55" applyFont="1" applyFill="1" applyBorder="1" applyAlignment="1" applyProtection="1">
      <alignment horizontal="center" vertical="center" wrapText="1"/>
    </xf>
    <xf numFmtId="0" fontId="8" fillId="19" borderId="63" xfId="55" applyFont="1" applyFill="1" applyBorder="1" applyAlignment="1" applyProtection="1">
      <alignment horizontal="left" vertical="center" wrapText="1"/>
    </xf>
    <xf numFmtId="0" fontId="54" fillId="19" borderId="89" xfId="55" applyFont="1" applyFill="1" applyBorder="1" applyAlignment="1" applyProtection="1">
      <alignment horizontal="center" vertical="center" wrapText="1"/>
    </xf>
    <xf numFmtId="3" fontId="54" fillId="17" borderId="90" xfId="55" applyNumberFormat="1" applyFont="1" applyFill="1" applyBorder="1" applyAlignment="1" applyProtection="1">
      <alignment horizontal="left" vertical="center" indent="1"/>
      <protection locked="0"/>
    </xf>
    <xf numFmtId="0" fontId="3" fillId="0" borderId="0" xfId="0" applyFont="1" applyAlignment="1">
      <alignment wrapText="1"/>
    </xf>
    <xf numFmtId="0" fontId="8" fillId="19" borderId="0" xfId="55" applyFont="1" applyFill="1" applyBorder="1" applyAlignment="1" applyProtection="1">
      <alignment horizontal="left" vertical="center" wrapText="1"/>
    </xf>
    <xf numFmtId="0" fontId="8" fillId="19" borderId="80" xfId="55" applyFont="1" applyFill="1" applyBorder="1" applyAlignment="1" applyProtection="1">
      <alignment horizontal="center" vertical="center"/>
    </xf>
    <xf numFmtId="3" fontId="8" fillId="17" borderId="85" xfId="55" applyNumberFormat="1" applyFont="1" applyFill="1" applyBorder="1" applyAlignment="1" applyProtection="1">
      <alignment horizontal="right" vertical="center" indent="1"/>
    </xf>
    <xf numFmtId="0" fontId="85" fillId="19" borderId="0" xfId="55" applyFont="1" applyFill="1" applyBorder="1" applyAlignment="1" applyProtection="1">
      <alignment horizontal="left" vertical="center"/>
    </xf>
    <xf numFmtId="0" fontId="6" fillId="19" borderId="0" xfId="55" applyFont="1" applyFill="1" applyBorder="1" applyAlignment="1" applyProtection="1">
      <alignment horizontal="right" vertical="center" indent="1"/>
    </xf>
    <xf numFmtId="3" fontId="8" fillId="17" borderId="86" xfId="55" applyNumberFormat="1" applyFont="1" applyFill="1" applyBorder="1" applyAlignment="1" applyProtection="1">
      <alignment horizontal="right" vertical="center" indent="1"/>
    </xf>
    <xf numFmtId="3" fontId="8" fillId="17" borderId="87" xfId="55" applyNumberFormat="1" applyFont="1" applyFill="1" applyBorder="1" applyAlignment="1" applyProtection="1">
      <alignment horizontal="right" vertical="center" indent="1"/>
    </xf>
    <xf numFmtId="0" fontId="8" fillId="19" borderId="0" xfId="55" applyFont="1" applyFill="1" applyBorder="1" applyAlignment="1" applyProtection="1">
      <alignment horizontal="right" vertical="center" indent="1"/>
    </xf>
    <xf numFmtId="3" fontId="8" fillId="17" borderId="88" xfId="55" applyNumberFormat="1" applyFont="1" applyFill="1" applyBorder="1" applyAlignment="1" applyProtection="1">
      <alignment horizontal="right" vertical="center" indent="1"/>
    </xf>
    <xf numFmtId="3" fontId="54" fillId="17" borderId="90" xfId="55" applyNumberFormat="1" applyFont="1" applyFill="1" applyBorder="1" applyAlignment="1" applyProtection="1">
      <alignment vertical="center"/>
      <protection locked="0"/>
    </xf>
    <xf numFmtId="3" fontId="82" fillId="19" borderId="0" xfId="55" applyNumberFormat="1" applyFont="1" applyFill="1" applyBorder="1" applyAlignment="1" applyProtection="1">
      <alignment horizontal="left" vertical="center"/>
    </xf>
    <xf numFmtId="3" fontId="70" fillId="19" borderId="0" xfId="55" applyNumberFormat="1" applyFont="1" applyFill="1" applyBorder="1" applyAlignment="1" applyProtection="1">
      <alignment horizontal="right" vertical="center" indent="1"/>
    </xf>
    <xf numFmtId="3" fontId="54" fillId="19" borderId="0" xfId="55" applyNumberFormat="1" applyFont="1" applyFill="1" applyBorder="1" applyAlignment="1" applyProtection="1">
      <alignment horizontal="right" vertical="center" indent="1"/>
    </xf>
    <xf numFmtId="0" fontId="2" fillId="0" borderId="0" xfId="0" applyFont="1" applyBorder="1" applyAlignment="1">
      <alignment horizontal="left" vertical="center" wrapText="1"/>
    </xf>
    <xf numFmtId="0" fontId="2" fillId="0" borderId="12" xfId="0" applyFont="1" applyBorder="1" applyAlignment="1">
      <alignment wrapText="1"/>
    </xf>
    <xf numFmtId="0" fontId="0" fillId="0" borderId="0" xfId="0" applyBorder="1" applyAlignment="1">
      <alignment wrapText="1"/>
    </xf>
    <xf numFmtId="0" fontId="0" fillId="0" borderId="13" xfId="0" applyBorder="1" applyAlignment="1">
      <alignment wrapText="1"/>
    </xf>
    <xf numFmtId="0" fontId="0" fillId="0" borderId="12" xfId="0" applyBorder="1" applyAlignment="1">
      <alignment wrapText="1"/>
    </xf>
    <xf numFmtId="0" fontId="2" fillId="0" borderId="12" xfId="0" applyFont="1" applyBorder="1" applyAlignment="1">
      <alignment horizontal="left" wrapText="1"/>
    </xf>
    <xf numFmtId="0" fontId="2" fillId="0" borderId="0" xfId="0" applyFont="1" applyBorder="1" applyAlignment="1">
      <alignment horizontal="left" wrapText="1"/>
    </xf>
    <xf numFmtId="0" fontId="58" fillId="0" borderId="12" xfId="54" applyBorder="1" applyAlignment="1">
      <alignment horizontal="left" vertical="center" wrapText="1"/>
    </xf>
    <xf numFmtId="0" fontId="58" fillId="0" borderId="0" xfId="54" applyBorder="1" applyAlignment="1">
      <alignment horizontal="left" vertical="center" wrapText="1"/>
    </xf>
    <xf numFmtId="0" fontId="2" fillId="0" borderId="12" xfId="0" applyFont="1" applyBorder="1" applyAlignment="1">
      <alignment horizontal="left" vertical="center" wrapText="1"/>
    </xf>
    <xf numFmtId="0" fontId="2" fillId="0" borderId="0" xfId="0" applyFont="1" applyBorder="1" applyAlignment="1">
      <alignment horizontal="left" vertical="center" wrapText="1"/>
    </xf>
    <xf numFmtId="0" fontId="0" fillId="0" borderId="0" xfId="0" applyAlignment="1">
      <alignment horizontal="left" vertical="center" wrapText="1"/>
    </xf>
    <xf numFmtId="3" fontId="8" fillId="17" borderId="33" xfId="0" applyNumberFormat="1" applyFont="1" applyFill="1" applyBorder="1" applyAlignment="1">
      <alignment horizontal="right" vertical="center" indent="1"/>
    </xf>
    <xf numFmtId="3" fontId="6" fillId="17" borderId="34" xfId="0" applyNumberFormat="1" applyFont="1" applyFill="1" applyBorder="1" applyAlignment="1">
      <alignment horizontal="right" vertical="center" indent="1"/>
    </xf>
    <xf numFmtId="166" fontId="9" fillId="19" borderId="0" xfId="0" applyNumberFormat="1" applyFont="1" applyFill="1" applyBorder="1" applyAlignment="1">
      <alignment horizontal="center" vertical="center"/>
    </xf>
    <xf numFmtId="3" fontId="39" fillId="19" borderId="0" xfId="0" applyNumberFormat="1" applyFont="1" applyFill="1" applyBorder="1" applyAlignment="1">
      <alignment horizontal="left" vertical="center"/>
    </xf>
    <xf numFmtId="0" fontId="39" fillId="0" borderId="0" xfId="0" applyFont="1" applyAlignment="1">
      <alignment horizontal="left" vertical="center"/>
    </xf>
    <xf numFmtId="3" fontId="9" fillId="19" borderId="0" xfId="0" applyNumberFormat="1" applyFont="1" applyFill="1" applyBorder="1" applyAlignment="1">
      <alignment horizontal="right" vertical="center"/>
    </xf>
    <xf numFmtId="165" fontId="37" fillId="19" borderId="0" xfId="0" applyNumberFormat="1" applyFont="1" applyFill="1" applyBorder="1" applyAlignment="1">
      <alignment horizontal="right" vertical="center"/>
    </xf>
    <xf numFmtId="0" fontId="6" fillId="19" borderId="0" xfId="0" applyFont="1" applyFill="1" applyBorder="1" applyAlignment="1">
      <alignment vertical="top" wrapText="1"/>
    </xf>
    <xf numFmtId="0" fontId="6" fillId="20" borderId="17" xfId="0" applyFont="1" applyFill="1" applyBorder="1" applyAlignment="1">
      <alignment horizontal="center"/>
    </xf>
    <xf numFmtId="0" fontId="6" fillId="20" borderId="18" xfId="0" applyFont="1" applyFill="1" applyBorder="1" applyAlignment="1">
      <alignment horizontal="center"/>
    </xf>
    <xf numFmtId="0" fontId="6" fillId="20" borderId="27" xfId="0" applyFont="1" applyFill="1" applyBorder="1" applyAlignment="1">
      <alignment horizontal="center"/>
    </xf>
    <xf numFmtId="0" fontId="6" fillId="20" borderId="0" xfId="0" applyFont="1" applyFill="1" applyBorder="1" applyAlignment="1" applyProtection="1">
      <alignment horizontal="center" vertical="top"/>
      <protection locked="0"/>
    </xf>
    <xf numFmtId="0" fontId="68" fillId="33" borderId="61" xfId="0" applyNumberFormat="1" applyFont="1" applyFill="1" applyBorder="1" applyAlignment="1" applyProtection="1">
      <alignment horizontal="left" vertical="top"/>
      <protection locked="0"/>
    </xf>
    <xf numFmtId="0" fontId="68" fillId="33" borderId="0" xfId="0" applyNumberFormat="1" applyFont="1" applyFill="1" applyBorder="1" applyAlignment="1" applyProtection="1">
      <alignment horizontal="left" vertical="top"/>
      <protection locked="0"/>
    </xf>
    <xf numFmtId="0" fontId="68" fillId="33" borderId="58" xfId="0" applyNumberFormat="1" applyFont="1" applyFill="1" applyBorder="1" applyAlignment="1" applyProtection="1">
      <alignment horizontal="left" vertical="top"/>
      <protection locked="0"/>
    </xf>
    <xf numFmtId="0" fontId="68" fillId="33" borderId="59" xfId="0" applyNumberFormat="1" applyFont="1" applyFill="1" applyBorder="1" applyAlignment="1" applyProtection="1">
      <alignment horizontal="left" vertical="top"/>
      <protection locked="0"/>
    </xf>
    <xf numFmtId="0" fontId="6" fillId="0" borderId="0" xfId="0" applyFont="1" applyAlignment="1">
      <alignment vertical="top" wrapText="1"/>
    </xf>
    <xf numFmtId="0" fontId="8" fillId="19" borderId="0" xfId="0" applyFont="1" applyFill="1" applyBorder="1" applyAlignment="1">
      <alignment vertical="top"/>
    </xf>
    <xf numFmtId="0" fontId="8" fillId="19" borderId="0" xfId="0" applyFont="1" applyFill="1" applyBorder="1" applyAlignment="1">
      <alignment horizontal="left" vertical="top"/>
    </xf>
    <xf numFmtId="0" fontId="8" fillId="19" borderId="0" xfId="0" applyFont="1" applyFill="1" applyBorder="1" applyAlignment="1">
      <alignment horizontal="center"/>
    </xf>
    <xf numFmtId="0" fontId="6" fillId="20" borderId="15" xfId="0" applyFont="1" applyFill="1" applyBorder="1" applyAlignment="1">
      <alignment horizontal="center"/>
    </xf>
    <xf numFmtId="0" fontId="7" fillId="20" borderId="12" xfId="0" applyFont="1" applyFill="1" applyBorder="1" applyAlignment="1">
      <alignment horizontal="center"/>
    </xf>
    <xf numFmtId="0" fontId="7" fillId="20" borderId="0" xfId="0" applyFont="1" applyFill="1" applyBorder="1" applyAlignment="1">
      <alignment horizontal="center"/>
    </xf>
    <xf numFmtId="0" fontId="7" fillId="20" borderId="13" xfId="0" applyFont="1" applyFill="1" applyBorder="1" applyAlignment="1">
      <alignment horizontal="center"/>
    </xf>
    <xf numFmtId="0" fontId="6" fillId="20" borderId="12" xfId="0" applyFont="1" applyFill="1" applyBorder="1" applyAlignment="1">
      <alignment horizontal="center"/>
    </xf>
    <xf numFmtId="0" fontId="6" fillId="20" borderId="0" xfId="0" applyFont="1" applyFill="1" applyBorder="1" applyAlignment="1">
      <alignment horizontal="center"/>
    </xf>
    <xf numFmtId="0" fontId="6" fillId="20" borderId="13" xfId="0" applyFont="1" applyFill="1" applyBorder="1" applyAlignment="1">
      <alignment horizontal="center"/>
    </xf>
    <xf numFmtId="0" fontId="11" fillId="20" borderId="12" xfId="0" applyFont="1" applyFill="1" applyBorder="1" applyAlignment="1">
      <alignment horizontal="center"/>
    </xf>
    <xf numFmtId="0" fontId="11" fillId="20" borderId="0" xfId="0" applyFont="1" applyFill="1" applyBorder="1" applyAlignment="1">
      <alignment horizontal="center"/>
    </xf>
    <xf numFmtId="0" fontId="11" fillId="20" borderId="13" xfId="0" applyFont="1" applyFill="1" applyBorder="1" applyAlignment="1">
      <alignment horizontal="center"/>
    </xf>
    <xf numFmtId="3" fontId="8" fillId="19" borderId="0" xfId="0" applyNumberFormat="1" applyFont="1" applyFill="1" applyBorder="1" applyAlignment="1" applyProtection="1">
      <alignment horizontal="center" vertical="center" wrapText="1"/>
    </xf>
    <xf numFmtId="3" fontId="11" fillId="30" borderId="53" xfId="0" applyNumberFormat="1" applyFont="1" applyFill="1" applyBorder="1" applyAlignment="1" applyProtection="1">
      <alignment horizontal="right" vertical="center" indent="1"/>
      <protection locked="0"/>
    </xf>
    <xf numFmtId="0" fontId="0" fillId="0" borderId="54" xfId="0" applyBorder="1" applyAlignment="1">
      <alignment horizontal="right" vertical="center" indent="1"/>
    </xf>
    <xf numFmtId="3" fontId="8" fillId="30" borderId="0" xfId="0" applyNumberFormat="1" applyFont="1" applyFill="1" applyBorder="1" applyAlignment="1" applyProtection="1">
      <alignment horizontal="center" vertical="center" wrapText="1"/>
    </xf>
    <xf numFmtId="3" fontId="11" fillId="30" borderId="33" xfId="0" applyNumberFormat="1" applyFont="1" applyFill="1" applyBorder="1" applyAlignment="1" applyProtection="1">
      <alignment horizontal="right" vertical="center" indent="1"/>
      <protection locked="0"/>
    </xf>
    <xf numFmtId="3" fontId="12" fillId="30" borderId="34" xfId="0" applyNumberFormat="1" applyFont="1" applyFill="1" applyBorder="1" applyAlignment="1" applyProtection="1">
      <alignment horizontal="right" vertical="center" indent="1"/>
      <protection locked="0"/>
    </xf>
    <xf numFmtId="0" fontId="57" fillId="19" borderId="0" xfId="0" applyFont="1" applyFill="1" applyBorder="1" applyAlignment="1" applyProtection="1">
      <alignment horizontal="center" vertical="center" wrapText="1"/>
    </xf>
    <xf numFmtId="3" fontId="11" fillId="21" borderId="33" xfId="0" applyNumberFormat="1" applyFont="1" applyFill="1" applyBorder="1" applyAlignment="1" applyProtection="1">
      <alignment horizontal="right" vertical="center" indent="1"/>
      <protection locked="0"/>
    </xf>
    <xf numFmtId="3" fontId="12" fillId="21" borderId="34" xfId="0" applyNumberFormat="1" applyFont="1" applyFill="1" applyBorder="1" applyAlignment="1" applyProtection="1">
      <alignment horizontal="right" vertical="center" indent="1"/>
      <protection locked="0"/>
    </xf>
    <xf numFmtId="0" fontId="8" fillId="30" borderId="0" xfId="0" applyFont="1" applyFill="1" applyBorder="1" applyAlignment="1" applyProtection="1">
      <alignment horizontal="center" wrapText="1"/>
    </xf>
    <xf numFmtId="0" fontId="11" fillId="30" borderId="0" xfId="0" applyFont="1" applyFill="1" applyBorder="1" applyAlignment="1" applyProtection="1">
      <alignment horizontal="center" wrapText="1"/>
    </xf>
    <xf numFmtId="0" fontId="8" fillId="19" borderId="0" xfId="0" applyFont="1" applyFill="1" applyBorder="1" applyAlignment="1">
      <alignment horizontal="center" wrapText="1"/>
    </xf>
    <xf numFmtId="0" fontId="8" fillId="19" borderId="0" xfId="0" applyFont="1" applyFill="1" applyBorder="1" applyAlignment="1">
      <alignment horizontal="center" vertical="center" wrapText="1"/>
    </xf>
    <xf numFmtId="3" fontId="11" fillId="21" borderId="28" xfId="0" applyNumberFormat="1" applyFont="1" applyFill="1" applyBorder="1" applyAlignment="1" applyProtection="1">
      <alignment horizontal="right" vertical="center" indent="1"/>
      <protection locked="0"/>
    </xf>
    <xf numFmtId="3" fontId="11" fillId="21" borderId="29" xfId="0" applyNumberFormat="1" applyFont="1" applyFill="1" applyBorder="1" applyAlignment="1" applyProtection="1">
      <alignment horizontal="right" vertical="center" indent="1"/>
      <protection locked="0"/>
    </xf>
    <xf numFmtId="3" fontId="11" fillId="17" borderId="0" xfId="0" applyNumberFormat="1" applyFont="1" applyFill="1" applyBorder="1" applyAlignment="1" applyProtection="1">
      <alignment horizontal="center" vertical="center"/>
      <protection locked="0"/>
    </xf>
    <xf numFmtId="3" fontId="11" fillId="21" borderId="53" xfId="0" applyNumberFormat="1" applyFont="1" applyFill="1" applyBorder="1" applyAlignment="1" applyProtection="1">
      <alignment horizontal="right" vertical="center" indent="1"/>
    </xf>
    <xf numFmtId="3" fontId="11" fillId="21" borderId="54" xfId="0" applyNumberFormat="1" applyFont="1" applyFill="1" applyBorder="1" applyAlignment="1" applyProtection="1">
      <alignment horizontal="right" vertical="center" indent="1"/>
    </xf>
    <xf numFmtId="3" fontId="11" fillId="17" borderId="0" xfId="0" applyNumberFormat="1" applyFont="1" applyFill="1" applyBorder="1" applyAlignment="1" applyProtection="1">
      <alignment horizontal="center" vertical="center"/>
    </xf>
    <xf numFmtId="3" fontId="8" fillId="17" borderId="0" xfId="0" applyNumberFormat="1" applyFont="1" applyFill="1" applyBorder="1" applyAlignment="1" applyProtection="1">
      <alignment horizontal="center" vertical="center"/>
    </xf>
    <xf numFmtId="3" fontId="8" fillId="17" borderId="21" xfId="0" applyNumberFormat="1" applyFont="1" applyFill="1" applyBorder="1" applyAlignment="1" applyProtection="1">
      <alignment horizontal="center" vertical="center"/>
    </xf>
    <xf numFmtId="0" fontId="30" fillId="20" borderId="12" xfId="0" applyFont="1" applyFill="1" applyBorder="1" applyAlignment="1">
      <alignment horizontal="center"/>
    </xf>
    <xf numFmtId="0" fontId="0" fillId="0" borderId="0" xfId="0" applyBorder="1" applyAlignment="1">
      <alignment horizontal="center"/>
    </xf>
    <xf numFmtId="0" fontId="0" fillId="0" borderId="13" xfId="0" applyBorder="1" applyAlignment="1">
      <alignment horizontal="center"/>
    </xf>
    <xf numFmtId="0" fontId="11" fillId="30" borderId="0" xfId="0" applyFont="1" applyFill="1" applyBorder="1" applyAlignment="1">
      <alignment horizontal="center"/>
    </xf>
    <xf numFmtId="0" fontId="3" fillId="19" borderId="0" xfId="0" applyFont="1" applyFill="1" applyBorder="1" applyAlignment="1">
      <alignment horizontal="left"/>
    </xf>
    <xf numFmtId="0" fontId="12" fillId="19" borderId="0" xfId="0" applyFont="1" applyFill="1" applyBorder="1" applyAlignment="1">
      <alignment vertical="top" wrapText="1"/>
    </xf>
    <xf numFmtId="0" fontId="0" fillId="0" borderId="0" xfId="0" applyAlignment="1">
      <alignment vertical="top" wrapText="1"/>
    </xf>
    <xf numFmtId="3" fontId="11" fillId="30" borderId="33" xfId="0" applyNumberFormat="1" applyFont="1" applyFill="1" applyBorder="1" applyAlignment="1" applyProtection="1">
      <alignment horizontal="right" vertical="center" indent="1"/>
    </xf>
    <xf numFmtId="3" fontId="12" fillId="30" borderId="34" xfId="0" applyNumberFormat="1" applyFont="1" applyFill="1" applyBorder="1" applyAlignment="1" applyProtection="1">
      <alignment horizontal="right" vertical="center" indent="1"/>
    </xf>
    <xf numFmtId="3" fontId="11" fillId="22" borderId="0" xfId="0" applyNumberFormat="1" applyFont="1" applyFill="1" applyBorder="1" applyAlignment="1">
      <alignment horizontal="right" vertical="center" indent="1"/>
    </xf>
    <xf numFmtId="0" fontId="11" fillId="19" borderId="0" xfId="0" applyFont="1" applyFill="1" applyBorder="1" applyAlignment="1">
      <alignment horizontal="center"/>
    </xf>
    <xf numFmtId="0" fontId="6" fillId="19" borderId="0" xfId="0" applyFont="1" applyFill="1" applyBorder="1" applyAlignment="1">
      <alignment horizontal="center"/>
    </xf>
    <xf numFmtId="0" fontId="12" fillId="19" borderId="0" xfId="0" applyFont="1" applyFill="1" applyBorder="1" applyAlignment="1">
      <alignment horizontal="center"/>
    </xf>
    <xf numFmtId="0" fontId="11" fillId="19" borderId="0" xfId="0" applyFont="1" applyFill="1" applyBorder="1" applyAlignment="1">
      <alignment horizontal="center" wrapText="1"/>
    </xf>
    <xf numFmtId="0" fontId="12" fillId="0" borderId="0" xfId="0" applyFont="1" applyBorder="1" applyAlignment="1">
      <alignment wrapText="1"/>
    </xf>
    <xf numFmtId="0" fontId="8" fillId="22" borderId="0" xfId="0" applyFont="1" applyFill="1" applyAlignment="1">
      <alignment horizontal="left" vertical="top" wrapText="1"/>
    </xf>
    <xf numFmtId="0" fontId="6" fillId="22" borderId="0" xfId="0" applyFont="1" applyFill="1" applyAlignment="1">
      <alignment horizontal="left" vertical="top" wrapText="1"/>
    </xf>
    <xf numFmtId="0" fontId="44" fillId="19" borderId="0" xfId="0" applyFont="1" applyFill="1" applyBorder="1" applyAlignment="1">
      <alignment horizontal="left" vertical="center" wrapText="1"/>
    </xf>
    <xf numFmtId="3" fontId="6" fillId="19" borderId="0" xfId="0" applyNumberFormat="1" applyFont="1" applyFill="1" applyBorder="1" applyAlignment="1" applyProtection="1">
      <alignment horizontal="center" vertical="center"/>
    </xf>
    <xf numFmtId="0" fontId="0" fillId="0" borderId="0" xfId="0" applyAlignment="1"/>
    <xf numFmtId="3" fontId="8" fillId="22" borderId="0" xfId="0" applyNumberFormat="1" applyFont="1" applyFill="1" applyBorder="1" applyAlignment="1">
      <alignment horizontal="right" vertical="center" indent="1"/>
    </xf>
    <xf numFmtId="3" fontId="6" fillId="22" borderId="0" xfId="0" applyNumberFormat="1" applyFont="1" applyFill="1" applyBorder="1" applyAlignment="1">
      <alignment horizontal="right" vertical="center" indent="1"/>
    </xf>
    <xf numFmtId="3" fontId="12" fillId="19" borderId="0" xfId="0" applyNumberFormat="1" applyFont="1" applyFill="1" applyBorder="1" applyAlignment="1" applyProtection="1">
      <alignment horizontal="center" vertical="center"/>
    </xf>
    <xf numFmtId="0" fontId="57" fillId="19" borderId="0" xfId="0" applyFont="1" applyFill="1" applyBorder="1" applyAlignment="1">
      <alignment horizontal="center" vertical="center" wrapText="1"/>
    </xf>
    <xf numFmtId="0" fontId="57" fillId="30" borderId="0" xfId="0" applyFont="1" applyFill="1" applyBorder="1" applyAlignment="1">
      <alignment horizontal="center" vertical="center" wrapText="1"/>
    </xf>
    <xf numFmtId="0" fontId="8" fillId="19" borderId="18" xfId="0" applyFont="1" applyFill="1" applyBorder="1" applyAlignment="1">
      <alignment horizontal="center"/>
    </xf>
    <xf numFmtId="2" fontId="81" fillId="17" borderId="0" xfId="57" applyNumberFormat="1" applyFont="1" applyFill="1" applyBorder="1" applyAlignment="1" applyProtection="1">
      <alignment wrapText="1"/>
    </xf>
    <xf numFmtId="0" fontId="81" fillId="17" borderId="0" xfId="55" applyFont="1" applyFill="1" applyBorder="1" applyAlignment="1" applyProtection="1">
      <alignment wrapText="1"/>
    </xf>
    <xf numFmtId="0" fontId="83" fillId="34" borderId="12" xfId="55" applyFont="1" applyFill="1" applyBorder="1" applyAlignment="1" applyProtection="1">
      <alignment horizontal="left"/>
    </xf>
    <xf numFmtId="0" fontId="84" fillId="34" borderId="0" xfId="55" applyFont="1" applyFill="1" applyBorder="1" applyAlignment="1" applyProtection="1">
      <alignment horizontal="left"/>
    </xf>
    <xf numFmtId="0" fontId="84" fillId="34" borderId="13" xfId="55" applyFont="1" applyFill="1" applyBorder="1" applyAlignment="1" applyProtection="1">
      <alignment horizontal="left"/>
    </xf>
    <xf numFmtId="0" fontId="8" fillId="19" borderId="83" xfId="55" applyFont="1" applyFill="1" applyBorder="1" applyAlignment="1" applyProtection="1">
      <alignment horizontal="center" vertical="center"/>
    </xf>
    <xf numFmtId="0" fontId="6" fillId="0" borderId="84" xfId="0" applyFont="1" applyBorder="1" applyAlignment="1">
      <alignment horizontal="center"/>
    </xf>
    <xf numFmtId="0" fontId="6" fillId="0" borderId="82" xfId="0" applyFont="1" applyBorder="1" applyAlignment="1">
      <alignment horizontal="center"/>
    </xf>
    <xf numFmtId="0" fontId="6" fillId="0" borderId="84" xfId="0" applyFont="1" applyBorder="1" applyAlignment="1">
      <alignment horizontal="center" vertical="center"/>
    </xf>
    <xf numFmtId="0" fontId="6" fillId="0" borderId="82" xfId="0" applyFont="1" applyBorder="1" applyAlignment="1">
      <alignment horizontal="center" vertical="center"/>
    </xf>
    <xf numFmtId="0" fontId="8" fillId="19" borderId="59" xfId="55" applyFont="1" applyFill="1" applyBorder="1" applyAlignment="1" applyProtection="1">
      <alignment horizontal="center" vertical="center" wrapText="1"/>
    </xf>
    <xf numFmtId="0" fontId="6" fillId="0" borderId="0" xfId="0" applyFont="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61" xfId="0" applyBorder="1" applyAlignment="1" applyProtection="1">
      <alignment horizontal="center" vertical="center" wrapText="1"/>
    </xf>
    <xf numFmtId="0" fontId="8" fillId="19" borderId="59" xfId="55" quotePrefix="1" applyFont="1" applyFill="1" applyBorder="1" applyAlignment="1" applyProtection="1">
      <alignment horizontal="center" vertical="center" wrapText="1"/>
    </xf>
    <xf numFmtId="0" fontId="76" fillId="19" borderId="0" xfId="55" applyFont="1" applyFill="1" applyBorder="1" applyAlignment="1" applyProtection="1">
      <alignment horizontal="center" vertical="center" wrapText="1"/>
    </xf>
    <xf numFmtId="0" fontId="0" fillId="0" borderId="0" xfId="55" applyFont="1" applyBorder="1" applyAlignment="1" applyProtection="1">
      <alignment horizontal="center" vertical="center"/>
    </xf>
    <xf numFmtId="0" fontId="6" fillId="23" borderId="0" xfId="0" applyFont="1" applyFill="1" applyBorder="1" applyAlignment="1">
      <alignment vertical="top" wrapText="1"/>
    </xf>
    <xf numFmtId="0" fontId="2" fillId="0" borderId="0" xfId="0" applyFont="1" applyAlignment="1">
      <alignment vertical="top" wrapText="1"/>
    </xf>
    <xf numFmtId="0" fontId="0" fillId="0" borderId="0" xfId="0" applyBorder="1" applyAlignment="1">
      <alignment vertical="top" wrapText="1"/>
    </xf>
    <xf numFmtId="3" fontId="11" fillId="21" borderId="69" xfId="0" applyNumberFormat="1" applyFont="1" applyFill="1" applyBorder="1" applyAlignment="1">
      <alignment horizontal="right" vertical="center" indent="1"/>
    </xf>
    <xf numFmtId="3" fontId="12" fillId="21" borderId="70" xfId="0" applyNumberFormat="1" applyFont="1" applyFill="1" applyBorder="1" applyAlignment="1">
      <alignment horizontal="right" vertical="center" indent="1"/>
    </xf>
    <xf numFmtId="0" fontId="8" fillId="22" borderId="0" xfId="0" applyFont="1" applyFill="1" applyBorder="1" applyAlignment="1">
      <alignment horizontal="left" vertical="top" wrapText="1"/>
    </xf>
    <xf numFmtId="3" fontId="11" fillId="30" borderId="69" xfId="0" applyNumberFormat="1" applyFont="1" applyFill="1" applyBorder="1" applyAlignment="1">
      <alignment horizontal="right" vertical="center" indent="1"/>
    </xf>
    <xf numFmtId="3" fontId="12" fillId="30" borderId="70" xfId="0" applyNumberFormat="1" applyFont="1" applyFill="1" applyBorder="1" applyAlignment="1">
      <alignment horizontal="right" vertical="center" indent="1"/>
    </xf>
    <xf numFmtId="3" fontId="41" fillId="24" borderId="33" xfId="0" applyNumberFormat="1" applyFont="1" applyFill="1" applyBorder="1" applyAlignment="1">
      <alignment horizontal="right" vertical="center" indent="1"/>
    </xf>
    <xf numFmtId="3" fontId="42" fillId="24" borderId="34" xfId="0" applyNumberFormat="1" applyFont="1" applyFill="1" applyBorder="1" applyAlignment="1">
      <alignment horizontal="right" vertical="center" indent="1"/>
    </xf>
    <xf numFmtId="3" fontId="41" fillId="24" borderId="33" xfId="0" applyNumberFormat="1" applyFont="1" applyFill="1" applyBorder="1" applyAlignment="1" applyProtection="1">
      <alignment horizontal="right" vertical="center" indent="1"/>
    </xf>
    <xf numFmtId="3" fontId="42" fillId="24" borderId="34" xfId="0" applyNumberFormat="1" applyFont="1" applyFill="1" applyBorder="1" applyAlignment="1" applyProtection="1">
      <alignment horizontal="right" vertical="center" indent="1"/>
    </xf>
    <xf numFmtId="3" fontId="11" fillId="30" borderId="69" xfId="0" applyNumberFormat="1" applyFont="1" applyFill="1" applyBorder="1" applyAlignment="1" applyProtection="1">
      <alignment horizontal="right" vertical="center" indent="1"/>
      <protection locked="0"/>
    </xf>
    <xf numFmtId="3" fontId="12" fillId="30" borderId="70" xfId="0" applyNumberFormat="1" applyFont="1" applyFill="1" applyBorder="1" applyAlignment="1" applyProtection="1">
      <alignment horizontal="right" vertical="center" indent="1"/>
      <protection locked="0"/>
    </xf>
    <xf numFmtId="0" fontId="3" fillId="19" borderId="66" xfId="0" applyFont="1" applyFill="1" applyBorder="1" applyAlignment="1">
      <alignment horizontal="left"/>
    </xf>
    <xf numFmtId="3" fontId="8" fillId="17" borderId="28" xfId="0" applyNumberFormat="1" applyFont="1" applyFill="1" applyBorder="1" applyAlignment="1" applyProtection="1">
      <alignment horizontal="right" vertical="center" indent="1"/>
      <protection locked="0"/>
    </xf>
    <xf numFmtId="3" fontId="8" fillId="17" borderId="29" xfId="0" applyNumberFormat="1" applyFont="1" applyFill="1" applyBorder="1" applyAlignment="1" applyProtection="1">
      <alignment horizontal="right" vertical="center" indent="1"/>
      <protection locked="0"/>
    </xf>
    <xf numFmtId="0" fontId="6" fillId="19" borderId="0" xfId="0" applyFont="1" applyFill="1" applyBorder="1" applyAlignment="1">
      <alignment horizontal="left" vertical="top" wrapText="1"/>
    </xf>
    <xf numFmtId="0" fontId="11" fillId="19" borderId="0" xfId="0" applyFont="1" applyFill="1" applyBorder="1" applyAlignment="1">
      <alignment horizontal="left"/>
    </xf>
    <xf numFmtId="3" fontId="11" fillId="19" borderId="0" xfId="0" applyNumberFormat="1" applyFont="1" applyFill="1" applyBorder="1" applyAlignment="1">
      <alignment horizontal="center" vertical="center"/>
    </xf>
    <xf numFmtId="0" fontId="0" fillId="0" borderId="0" xfId="0" applyBorder="1" applyAlignment="1">
      <alignment horizontal="center" vertical="center"/>
    </xf>
    <xf numFmtId="3" fontId="60" fillId="24" borderId="74" xfId="0" applyNumberFormat="1" applyFont="1" applyFill="1" applyBorder="1" applyAlignment="1">
      <alignment horizontal="center" vertical="center"/>
    </xf>
    <xf numFmtId="3" fontId="11" fillId="30" borderId="0" xfId="0" applyNumberFormat="1" applyFont="1" applyFill="1" applyBorder="1" applyAlignment="1">
      <alignment horizontal="center" vertical="center"/>
    </xf>
    <xf numFmtId="0" fontId="0" fillId="30" borderId="0" xfId="0" applyFill="1" applyBorder="1" applyAlignment="1">
      <alignment horizontal="center" vertical="center"/>
    </xf>
    <xf numFmtId="0" fontId="2" fillId="0" borderId="0" xfId="0" applyFont="1" applyAlignment="1">
      <alignment wrapText="1"/>
    </xf>
    <xf numFmtId="3" fontId="11" fillId="17" borderId="33" xfId="0" applyNumberFormat="1" applyFont="1" applyFill="1" applyBorder="1" applyAlignment="1">
      <alignment horizontal="right" vertical="center" indent="1"/>
    </xf>
    <xf numFmtId="3" fontId="12" fillId="17" borderId="34" xfId="0" applyNumberFormat="1" applyFont="1" applyFill="1" applyBorder="1" applyAlignment="1">
      <alignment horizontal="right" vertical="center" indent="1"/>
    </xf>
    <xf numFmtId="3" fontId="8" fillId="17" borderId="64" xfId="0" applyNumberFormat="1" applyFont="1" applyFill="1" applyBorder="1" applyAlignment="1">
      <alignment horizontal="right" vertical="center" indent="1"/>
    </xf>
    <xf numFmtId="3" fontId="6" fillId="17" borderId="65" xfId="0" applyNumberFormat="1" applyFont="1" applyFill="1" applyBorder="1" applyAlignment="1">
      <alignment horizontal="right" vertical="center" indent="1"/>
    </xf>
    <xf numFmtId="3" fontId="11" fillId="17" borderId="64" xfId="0" applyNumberFormat="1" applyFont="1" applyFill="1" applyBorder="1" applyAlignment="1">
      <alignment horizontal="right" vertical="center" indent="1"/>
    </xf>
    <xf numFmtId="3" fontId="11" fillId="17" borderId="65" xfId="0" applyNumberFormat="1" applyFont="1" applyFill="1" applyBorder="1" applyAlignment="1">
      <alignment horizontal="right" vertical="center" indent="1"/>
    </xf>
    <xf numFmtId="3" fontId="8" fillId="17" borderId="69" xfId="0" applyNumberFormat="1" applyFont="1" applyFill="1" applyBorder="1" applyAlignment="1">
      <alignment horizontal="right" vertical="center" indent="1"/>
    </xf>
    <xf numFmtId="3" fontId="6" fillId="17" borderId="70" xfId="0" applyNumberFormat="1" applyFont="1" applyFill="1" applyBorder="1" applyAlignment="1">
      <alignment horizontal="right" vertical="center" indent="1"/>
    </xf>
    <xf numFmtId="3" fontId="8" fillId="17" borderId="70" xfId="0" applyNumberFormat="1" applyFont="1" applyFill="1" applyBorder="1" applyAlignment="1">
      <alignment horizontal="right" vertical="center" indent="1"/>
    </xf>
    <xf numFmtId="3" fontId="8" fillId="17" borderId="64" xfId="0" applyNumberFormat="1" applyFont="1" applyFill="1" applyBorder="1" applyAlignment="1" applyProtection="1">
      <alignment horizontal="right" vertical="center" indent="1"/>
    </xf>
    <xf numFmtId="3" fontId="6" fillId="17" borderId="65" xfId="0" applyNumberFormat="1" applyFont="1" applyFill="1" applyBorder="1" applyAlignment="1" applyProtection="1">
      <alignment horizontal="right" vertical="center" indent="1"/>
    </xf>
    <xf numFmtId="3" fontId="11" fillId="17" borderId="69" xfId="0" applyNumberFormat="1" applyFont="1" applyFill="1" applyBorder="1" applyAlignment="1">
      <alignment horizontal="right" vertical="center" indent="1"/>
    </xf>
    <xf numFmtId="3" fontId="11" fillId="17" borderId="70" xfId="0" applyNumberFormat="1" applyFont="1" applyFill="1" applyBorder="1" applyAlignment="1">
      <alignment horizontal="right" vertical="center" indent="1"/>
    </xf>
    <xf numFmtId="9" fontId="8" fillId="17" borderId="69" xfId="43" applyFont="1" applyFill="1" applyBorder="1" applyAlignment="1">
      <alignment horizontal="center" vertical="center"/>
    </xf>
    <xf numFmtId="9" fontId="8" fillId="17" borderId="70" xfId="43" applyFont="1" applyFill="1" applyBorder="1" applyAlignment="1">
      <alignment horizontal="center" vertical="center"/>
    </xf>
    <xf numFmtId="3" fontId="8" fillId="19" borderId="0" xfId="0" applyNumberFormat="1" applyFont="1" applyFill="1" applyBorder="1" applyAlignment="1">
      <alignment horizontal="center" wrapText="1"/>
    </xf>
    <xf numFmtId="0" fontId="6" fillId="22" borderId="0" xfId="0" applyFont="1" applyFill="1" applyBorder="1" applyAlignment="1">
      <alignment horizontal="left" vertical="top" wrapText="1"/>
    </xf>
    <xf numFmtId="0" fontId="3" fillId="19" borderId="15" xfId="0" applyFont="1" applyFill="1" applyBorder="1" applyAlignment="1">
      <alignment horizontal="left"/>
    </xf>
    <xf numFmtId="3" fontId="11" fillId="17" borderId="64" xfId="0" applyNumberFormat="1" applyFont="1" applyFill="1" applyBorder="1" applyAlignment="1" applyProtection="1">
      <alignment horizontal="right" vertical="center" indent="1"/>
    </xf>
    <xf numFmtId="3" fontId="11" fillId="17" borderId="65" xfId="0" applyNumberFormat="1" applyFont="1" applyFill="1" applyBorder="1" applyAlignment="1" applyProtection="1">
      <alignment horizontal="right" vertical="center" indent="1"/>
    </xf>
    <xf numFmtId="3" fontId="11" fillId="30" borderId="70" xfId="0" applyNumberFormat="1" applyFont="1" applyFill="1" applyBorder="1" applyAlignment="1">
      <alignment horizontal="right" vertical="center" indent="1"/>
    </xf>
    <xf numFmtId="0" fontId="6" fillId="19" borderId="12" xfId="0" applyFont="1" applyFill="1" applyBorder="1" applyAlignment="1">
      <alignment wrapText="1"/>
    </xf>
    <xf numFmtId="3" fontId="8" fillId="17" borderId="35" xfId="0" applyNumberFormat="1" applyFont="1" applyFill="1" applyBorder="1" applyAlignment="1">
      <alignment horizontal="right" vertical="center" indent="1"/>
    </xf>
    <xf numFmtId="3" fontId="6" fillId="17" borderId="36" xfId="0" applyNumberFormat="1" applyFont="1" applyFill="1" applyBorder="1" applyAlignment="1">
      <alignment horizontal="right" vertical="center" indent="1"/>
    </xf>
    <xf numFmtId="3" fontId="6" fillId="19" borderId="0" xfId="0" applyNumberFormat="1" applyFont="1" applyFill="1" applyBorder="1" applyAlignment="1">
      <alignment horizontal="center" vertical="center"/>
    </xf>
    <xf numFmtId="3" fontId="11" fillId="17" borderId="34" xfId="0" applyNumberFormat="1" applyFont="1" applyFill="1" applyBorder="1" applyAlignment="1">
      <alignment horizontal="right" vertical="center" indent="1"/>
    </xf>
    <xf numFmtId="0" fontId="8" fillId="19" borderId="0" xfId="0" applyFont="1" applyFill="1" applyBorder="1" applyAlignment="1">
      <alignment horizontal="center" vertical="center"/>
    </xf>
    <xf numFmtId="3" fontId="11" fillId="30" borderId="33" xfId="0" applyNumberFormat="1" applyFont="1" applyFill="1" applyBorder="1" applyAlignment="1">
      <alignment horizontal="right" vertical="center" indent="1"/>
    </xf>
    <xf numFmtId="3" fontId="12" fillId="30" borderId="34" xfId="0" applyNumberFormat="1" applyFont="1" applyFill="1" applyBorder="1" applyAlignment="1">
      <alignment horizontal="right" vertical="center" indent="1"/>
    </xf>
    <xf numFmtId="3" fontId="8" fillId="17" borderId="64" xfId="0" applyNumberFormat="1" applyFont="1" applyFill="1" applyBorder="1" applyAlignment="1" applyProtection="1">
      <alignment horizontal="right" vertical="center" indent="1"/>
      <protection locked="0"/>
    </xf>
    <xf numFmtId="3" fontId="8" fillId="17" borderId="65" xfId="0" applyNumberFormat="1" applyFont="1" applyFill="1" applyBorder="1" applyAlignment="1" applyProtection="1">
      <alignment horizontal="right" vertical="center" indent="1"/>
      <protection locked="0"/>
    </xf>
    <xf numFmtId="3" fontId="8" fillId="17" borderId="34" xfId="0" applyNumberFormat="1" applyFont="1" applyFill="1" applyBorder="1" applyAlignment="1">
      <alignment horizontal="right" vertical="center" indent="1"/>
    </xf>
    <xf numFmtId="3" fontId="8" fillId="17" borderId="65" xfId="0" applyNumberFormat="1" applyFont="1" applyFill="1" applyBorder="1" applyAlignment="1" applyProtection="1">
      <alignment horizontal="right" vertical="center" indent="1"/>
    </xf>
    <xf numFmtId="3" fontId="8" fillId="19" borderId="0" xfId="0" applyNumberFormat="1" applyFont="1" applyFill="1" applyBorder="1" applyAlignment="1">
      <alignment horizontal="right" vertical="center" indent="1"/>
    </xf>
    <xf numFmtId="3" fontId="8" fillId="19" borderId="0" xfId="0" applyNumberFormat="1" applyFont="1" applyFill="1" applyBorder="1" applyAlignment="1">
      <alignment horizontal="center" vertical="center"/>
    </xf>
    <xf numFmtId="9" fontId="8" fillId="17" borderId="33" xfId="43" applyFont="1" applyFill="1" applyBorder="1" applyAlignment="1">
      <alignment horizontal="right" vertical="center" indent="1"/>
    </xf>
    <xf numFmtId="9" fontId="8" fillId="17" borderId="34" xfId="43" applyFont="1" applyFill="1" applyBorder="1" applyAlignment="1">
      <alignment horizontal="right" vertical="center" indent="1"/>
    </xf>
    <xf numFmtId="0" fontId="6" fillId="19" borderId="0" xfId="0" applyFont="1" applyFill="1" applyBorder="1" applyAlignment="1">
      <alignment wrapText="1"/>
    </xf>
    <xf numFmtId="0" fontId="6" fillId="0" borderId="0" xfId="0" applyFont="1" applyBorder="1" applyAlignment="1">
      <alignment wrapText="1"/>
    </xf>
    <xf numFmtId="0" fontId="0" fillId="0" borderId="0" xfId="0" applyAlignment="1">
      <alignment wrapText="1"/>
    </xf>
    <xf numFmtId="3" fontId="8" fillId="28" borderId="33" xfId="0" applyNumberFormat="1" applyFont="1" applyFill="1" applyBorder="1" applyAlignment="1">
      <alignment horizontal="right" vertical="center" indent="1"/>
    </xf>
    <xf numFmtId="3" fontId="8" fillId="28" borderId="34" xfId="0" applyNumberFormat="1" applyFont="1" applyFill="1" applyBorder="1" applyAlignment="1">
      <alignment horizontal="right" vertical="center" indent="1"/>
    </xf>
    <xf numFmtId="3" fontId="8" fillId="28" borderId="64" xfId="0" applyNumberFormat="1" applyFont="1" applyFill="1" applyBorder="1" applyAlignment="1" applyProtection="1">
      <alignment horizontal="right" vertical="center" indent="1"/>
    </xf>
    <xf numFmtId="3" fontId="8" fillId="28" borderId="65" xfId="0" applyNumberFormat="1" applyFont="1" applyFill="1" applyBorder="1" applyAlignment="1" applyProtection="1">
      <alignment horizontal="right" vertical="center" indent="1"/>
    </xf>
    <xf numFmtId="3" fontId="8" fillId="28" borderId="53" xfId="0" applyNumberFormat="1" applyFont="1" applyFill="1" applyBorder="1" applyAlignment="1">
      <alignment horizontal="right" vertical="center" indent="1"/>
    </xf>
    <xf numFmtId="3" fontId="8" fillId="28" borderId="54" xfId="0" applyNumberFormat="1" applyFont="1" applyFill="1" applyBorder="1" applyAlignment="1">
      <alignment horizontal="right" vertical="center" indent="1"/>
    </xf>
    <xf numFmtId="0" fontId="6" fillId="28" borderId="0" xfId="0" applyFont="1" applyFill="1" applyBorder="1" applyAlignment="1">
      <alignment vertical="center" wrapText="1"/>
    </xf>
    <xf numFmtId="3" fontId="8" fillId="28" borderId="0" xfId="0" applyNumberFormat="1" applyFont="1" applyFill="1" applyBorder="1" applyAlignment="1">
      <alignment horizontal="center" wrapText="1"/>
    </xf>
    <xf numFmtId="0" fontId="6" fillId="28" borderId="0" xfId="0" applyFont="1" applyFill="1" applyBorder="1" applyAlignment="1">
      <alignment wrapText="1"/>
    </xf>
    <xf numFmtId="3" fontId="8" fillId="28" borderId="79" xfId="0" applyNumberFormat="1" applyFont="1" applyFill="1" applyBorder="1" applyAlignment="1">
      <alignment horizontal="center" vertical="center"/>
    </xf>
    <xf numFmtId="3" fontId="6" fillId="0" borderId="0" xfId="0" applyNumberFormat="1" applyFont="1" applyAlignment="1">
      <alignment horizontal="center"/>
    </xf>
    <xf numFmtId="0" fontId="6" fillId="0" borderId="0" xfId="0" applyFont="1" applyAlignment="1">
      <alignment horizontal="center"/>
    </xf>
    <xf numFmtId="0" fontId="44" fillId="19" borderId="0" xfId="0" applyFont="1" applyFill="1" applyBorder="1" applyAlignment="1">
      <alignment horizontal="center" vertical="center"/>
    </xf>
    <xf numFmtId="0" fontId="53" fillId="29" borderId="32" xfId="40" applyFont="1" applyFill="1" applyBorder="1" applyAlignment="1">
      <alignment horizontal="center" wrapText="1"/>
    </xf>
    <xf numFmtId="3" fontId="51" fillId="6" borderId="60" xfId="33" applyNumberFormat="1" applyFont="1" applyBorder="1" applyAlignment="1">
      <alignment horizontal="center" vertical="center" wrapText="1"/>
    </xf>
    <xf numFmtId="0" fontId="3" fillId="20" borderId="0" xfId="0" applyFont="1" applyFill="1" applyAlignment="1">
      <alignment horizontal="center"/>
    </xf>
    <xf numFmtId="1" fontId="3" fillId="33" borderId="81" xfId="0" applyNumberFormat="1" applyFont="1" applyFill="1" applyBorder="1" applyAlignment="1">
      <alignment horizontal="center" wrapText="1"/>
    </xf>
    <xf numFmtId="0" fontId="3" fillId="33" borderId="81" xfId="0" applyFont="1" applyFill="1" applyBorder="1" applyAlignment="1">
      <alignment horizontal="center" wrapText="1"/>
    </xf>
    <xf numFmtId="0" fontId="3" fillId="33" borderId="81" xfId="0" applyFont="1" applyFill="1" applyBorder="1" applyAlignment="1">
      <alignment horizontal="center" wrapText="1" shrinkToFit="1"/>
    </xf>
  </cellXfs>
  <cellStyles count="58">
    <cellStyle name="%" xfId="5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ellBAValue" xfId="27"/>
    <cellStyle name="CellBAValue 2" xfId="47"/>
    <cellStyle name="CellNationValue" xfId="28"/>
    <cellStyle name="CellUAValue" xfId="29"/>
    <cellStyle name="CellUAValue 2" xfId="48"/>
    <cellStyle name="Check Cell" xfId="30" builtinId="23" customBuiltin="1"/>
    <cellStyle name="Comma 2" xfId="31"/>
    <cellStyle name="Comma 2 2" xfId="50"/>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54" builtinId="8"/>
    <cellStyle name="Hyperlink 2" xfId="51"/>
    <cellStyle name="Input" xfId="38" builtinId="20" customBuiltin="1"/>
    <cellStyle name="Linked Cell" xfId="39" builtinId="24" customBuiltin="1"/>
    <cellStyle name="Neutral" xfId="40" builtinId="28" customBuiltin="1"/>
    <cellStyle name="Normal" xfId="0" builtinId="0"/>
    <cellStyle name="Normal 2" xfId="49"/>
    <cellStyle name="Normal 3" xfId="53"/>
    <cellStyle name="Normal 3 2" xfId="56"/>
    <cellStyle name="Normal 5" xfId="52"/>
    <cellStyle name="Normal_Sheet1" xfId="57"/>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3">
    <dxf>
      <fill>
        <patternFill>
          <bgColor indexed="43"/>
        </patternFill>
      </fill>
    </dxf>
    <dxf>
      <fill>
        <patternFill>
          <bgColor indexed="43"/>
        </patternFill>
      </fill>
    </dxf>
    <dxf>
      <fill>
        <patternFill>
          <bgColor theme="0" tint="-0.24994659260841701"/>
        </patternFill>
      </fill>
    </dxf>
  </dxfs>
  <tableStyles count="0" defaultTableStyle="TableStyleMedium9" defaultPivotStyle="PivotStyleLight16"/>
  <colors>
    <mruColors>
      <color rgb="FF99CCFF"/>
      <color rgb="FF0000FF"/>
      <color rgb="FFB7DEE8"/>
      <color rgb="FFC5D9F1"/>
      <color rgb="FFFFFFFF"/>
      <color rgb="FFD8E4BC"/>
      <color rgb="FFFDE9D9"/>
      <color rgb="FFDA9694"/>
      <color rgb="FFE4DFE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List" dx="16" fmlaLink="F1" fmlaRange="Datasheet1!$C$6:$C$332" noThreeD="1" sel="327" val="32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122464</xdr:colOff>
      <xdr:row>1</xdr:row>
      <xdr:rowOff>136072</xdr:rowOff>
    </xdr:from>
    <xdr:to>
      <xdr:col>3</xdr:col>
      <xdr:colOff>557892</xdr:colOff>
      <xdr:row>6</xdr:row>
      <xdr:rowOff>155842</xdr:rowOff>
    </xdr:to>
    <xdr:pic>
      <xdr:nvPicPr>
        <xdr:cNvPr id="2" name="Picture 1"/>
        <xdr:cNvPicPr>
          <a:picLocks noChangeAspect="1"/>
        </xdr:cNvPicPr>
      </xdr:nvPicPr>
      <xdr:blipFill>
        <a:blip xmlns:r="http://schemas.openxmlformats.org/officeDocument/2006/relationships" r:embed="rId1"/>
        <a:stretch>
          <a:fillRect/>
        </a:stretch>
      </xdr:blipFill>
      <xdr:spPr>
        <a:xfrm>
          <a:off x="394607" y="462643"/>
          <a:ext cx="1945821" cy="836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123825</xdr:rowOff>
    </xdr:from>
    <xdr:to>
      <xdr:col>4</xdr:col>
      <xdr:colOff>542926</xdr:colOff>
      <xdr:row>6</xdr:row>
      <xdr:rowOff>68388</xdr:rowOff>
    </xdr:to>
    <xdr:pic>
      <xdr:nvPicPr>
        <xdr:cNvPr id="3" name="Picture 1" descr="DCLG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23825"/>
          <a:ext cx="2162176" cy="1106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10</xdr:col>
          <xdr:colOff>571500</xdr:colOff>
          <xdr:row>9</xdr:row>
          <xdr:rowOff>9525</xdr:rowOff>
        </xdr:from>
        <xdr:to>
          <xdr:col>16</xdr:col>
          <xdr:colOff>581025</xdr:colOff>
          <xdr:row>13</xdr:row>
          <xdr:rowOff>38100</xdr:rowOff>
        </xdr:to>
        <xdr:sp macro="" textlink="">
          <xdr:nvSpPr>
            <xdr:cNvPr id="2055" name="List Box 7" hidden="1">
              <a:extLst>
                <a:ext uri="{63B3BB69-23CF-44E3-9099-C40C66FF867C}">
                  <a14:compatExt spid="_x0000_s2055"/>
                </a:ext>
              </a:extLst>
            </xdr:cNvPr>
            <xdr:cNvSpPr/>
          </xdr:nvSpPr>
          <xdr:spPr>
            <a:xfrm>
              <a:off x="0" y="0"/>
              <a:ext cx="0" cy="0"/>
            </a:xfrm>
            <a:prstGeom prst="rect">
              <a:avLst/>
            </a:prstGeom>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127000</xdr:colOff>
      <xdr:row>40</xdr:row>
      <xdr:rowOff>127000</xdr:rowOff>
    </xdr:from>
    <xdr:to>
      <xdr:col>17</xdr:col>
      <xdr:colOff>31750</xdr:colOff>
      <xdr:row>40</xdr:row>
      <xdr:rowOff>127000</xdr:rowOff>
    </xdr:to>
    <xdr:cxnSp macro="">
      <xdr:nvCxnSpPr>
        <xdr:cNvPr id="3" name="Straight Connector 2"/>
        <xdr:cNvCxnSpPr/>
      </xdr:nvCxnSpPr>
      <xdr:spPr>
        <a:xfrm>
          <a:off x="9906000" y="9906000"/>
          <a:ext cx="269875"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31750</xdr:colOff>
      <xdr:row>40</xdr:row>
      <xdr:rowOff>142875</xdr:rowOff>
    </xdr:from>
    <xdr:to>
      <xdr:col>17</xdr:col>
      <xdr:colOff>79375</xdr:colOff>
      <xdr:row>49</xdr:row>
      <xdr:rowOff>111125</xdr:rowOff>
    </xdr:to>
    <xdr:cxnSp macro="">
      <xdr:nvCxnSpPr>
        <xdr:cNvPr id="5" name="Straight Connector 4"/>
        <xdr:cNvCxnSpPr/>
      </xdr:nvCxnSpPr>
      <xdr:spPr>
        <a:xfrm>
          <a:off x="10175875" y="9921875"/>
          <a:ext cx="47625" cy="222250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79375</xdr:colOff>
      <xdr:row>49</xdr:row>
      <xdr:rowOff>127000</xdr:rowOff>
    </xdr:from>
    <xdr:to>
      <xdr:col>17</xdr:col>
      <xdr:colOff>269875</xdr:colOff>
      <xdr:row>49</xdr:row>
      <xdr:rowOff>127000</xdr:rowOff>
    </xdr:to>
    <xdr:cxnSp macro="">
      <xdr:nvCxnSpPr>
        <xdr:cNvPr id="12" name="Straight Arrow Connector 11"/>
        <xdr:cNvCxnSpPr/>
      </xdr:nvCxnSpPr>
      <xdr:spPr>
        <a:xfrm>
          <a:off x="10223500" y="12160250"/>
          <a:ext cx="190500" cy="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GF3Data\QRC4\2014-15\Draft\150409%20Draft%20QRC4%20form%202014-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GF3Data/Access/NNDR3/Reports/2016-17%20NNDR3%20pivot%20tab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RC4 Form"/>
      <sheetName val="Main Validation"/>
      <sheetName val="Validation"/>
      <sheetName val="Parameters"/>
      <sheetName val="Data"/>
      <sheetName val="Sheet1"/>
      <sheetName val="Sheet2"/>
    </sheetNames>
    <sheetDataSet>
      <sheetData sheetId="0" refreshError="1"/>
      <sheetData sheetId="1">
        <row r="20">
          <cell r="E20" t="str">
            <v>E3831</v>
          </cell>
        </row>
      </sheetData>
      <sheetData sheetId="2" refreshError="1"/>
      <sheetData sheetId="3" refreshError="1"/>
      <sheetData sheetId="4" refreshError="1"/>
      <sheetData sheetId="5">
        <row r="12">
          <cell r="A12">
            <v>1</v>
          </cell>
          <cell r="B12" t="str">
            <v>Adur</v>
          </cell>
          <cell r="C12" t="str">
            <v>E3831</v>
          </cell>
        </row>
        <row r="13">
          <cell r="A13">
            <v>2</v>
          </cell>
          <cell r="B13" t="str">
            <v>Allerdale</v>
          </cell>
          <cell r="C13" t="str">
            <v>E0931</v>
          </cell>
        </row>
        <row r="14">
          <cell r="A14">
            <v>3</v>
          </cell>
          <cell r="B14" t="str">
            <v>Amber Valley</v>
          </cell>
          <cell r="C14" t="str">
            <v>E1031</v>
          </cell>
        </row>
        <row r="15">
          <cell r="A15">
            <v>4</v>
          </cell>
          <cell r="B15" t="str">
            <v>Arun</v>
          </cell>
          <cell r="C15" t="str">
            <v>E3832</v>
          </cell>
        </row>
        <row r="16">
          <cell r="A16">
            <v>5</v>
          </cell>
          <cell r="B16" t="str">
            <v>Ashfield</v>
          </cell>
          <cell r="C16" t="str">
            <v>E3031</v>
          </cell>
        </row>
        <row r="17">
          <cell r="A17">
            <v>6</v>
          </cell>
          <cell r="B17" t="str">
            <v>Ashford</v>
          </cell>
          <cell r="C17" t="str">
            <v>E2231</v>
          </cell>
        </row>
        <row r="18">
          <cell r="A18">
            <v>7</v>
          </cell>
          <cell r="B18" t="str">
            <v>Aylesbury Vale</v>
          </cell>
          <cell r="C18" t="str">
            <v>E0431</v>
          </cell>
        </row>
        <row r="19">
          <cell r="A19">
            <v>8</v>
          </cell>
          <cell r="B19" t="str">
            <v>Babergh</v>
          </cell>
          <cell r="C19" t="str">
            <v>E3531</v>
          </cell>
        </row>
        <row r="20">
          <cell r="A20">
            <v>9</v>
          </cell>
          <cell r="B20" t="str">
            <v>Barking and Dagenham</v>
          </cell>
          <cell r="C20" t="str">
            <v>E5030</v>
          </cell>
        </row>
        <row r="21">
          <cell r="A21">
            <v>10</v>
          </cell>
          <cell r="B21" t="str">
            <v>Barnet</v>
          </cell>
          <cell r="C21" t="str">
            <v>E5031</v>
          </cell>
        </row>
        <row r="22">
          <cell r="A22">
            <v>11</v>
          </cell>
          <cell r="B22" t="str">
            <v>Barnsley</v>
          </cell>
          <cell r="C22" t="str">
            <v>E4401</v>
          </cell>
        </row>
        <row r="23">
          <cell r="A23">
            <v>12</v>
          </cell>
          <cell r="B23" t="str">
            <v>Barrow-in-Furness</v>
          </cell>
          <cell r="C23" t="str">
            <v>E0932</v>
          </cell>
        </row>
        <row r="24">
          <cell r="A24">
            <v>13</v>
          </cell>
          <cell r="B24" t="str">
            <v>Basildon</v>
          </cell>
          <cell r="C24" t="str">
            <v>E1531</v>
          </cell>
        </row>
        <row r="25">
          <cell r="A25">
            <v>14</v>
          </cell>
          <cell r="B25" t="str">
            <v>Basingstoke &amp; Deane</v>
          </cell>
          <cell r="C25" t="str">
            <v>E1731</v>
          </cell>
        </row>
        <row r="26">
          <cell r="A26">
            <v>15</v>
          </cell>
          <cell r="B26" t="str">
            <v>Bassetlaw</v>
          </cell>
          <cell r="C26" t="str">
            <v>E3032</v>
          </cell>
        </row>
        <row r="27">
          <cell r="A27">
            <v>16</v>
          </cell>
          <cell r="B27" t="str">
            <v>Bath &amp; North East Somerset</v>
          </cell>
          <cell r="C27" t="str">
            <v>E0101</v>
          </cell>
        </row>
        <row r="28">
          <cell r="A28">
            <v>17</v>
          </cell>
          <cell r="B28" t="str">
            <v>Bedford</v>
          </cell>
          <cell r="C28" t="str">
            <v>E0202</v>
          </cell>
        </row>
        <row r="29">
          <cell r="A29">
            <v>18</v>
          </cell>
          <cell r="B29" t="str">
            <v>Bexley</v>
          </cell>
          <cell r="C29" t="str">
            <v>E5032</v>
          </cell>
        </row>
        <row r="30">
          <cell r="A30">
            <v>19</v>
          </cell>
          <cell r="B30" t="str">
            <v>Birmingham</v>
          </cell>
          <cell r="C30" t="str">
            <v>E4601</v>
          </cell>
        </row>
        <row r="31">
          <cell r="A31">
            <v>20</v>
          </cell>
          <cell r="B31" t="str">
            <v>Blaby</v>
          </cell>
          <cell r="C31" t="str">
            <v>E2431</v>
          </cell>
        </row>
        <row r="32">
          <cell r="A32">
            <v>21</v>
          </cell>
          <cell r="B32" t="str">
            <v>Blackburn with Darwen</v>
          </cell>
          <cell r="C32" t="str">
            <v>E2301</v>
          </cell>
        </row>
        <row r="33">
          <cell r="A33">
            <v>22</v>
          </cell>
          <cell r="B33" t="str">
            <v>Blackpool</v>
          </cell>
          <cell r="C33" t="str">
            <v>E2302</v>
          </cell>
        </row>
        <row r="34">
          <cell r="A34">
            <v>23</v>
          </cell>
          <cell r="B34" t="str">
            <v>Bolsover</v>
          </cell>
          <cell r="C34" t="str">
            <v>E1032</v>
          </cell>
        </row>
        <row r="35">
          <cell r="A35">
            <v>24</v>
          </cell>
          <cell r="B35" t="str">
            <v>Bolton</v>
          </cell>
          <cell r="C35" t="str">
            <v>E4201</v>
          </cell>
        </row>
        <row r="36">
          <cell r="A36">
            <v>25</v>
          </cell>
          <cell r="B36" t="str">
            <v>Boston</v>
          </cell>
          <cell r="C36" t="str">
            <v>E2531</v>
          </cell>
        </row>
        <row r="37">
          <cell r="A37">
            <v>26</v>
          </cell>
          <cell r="B37" t="str">
            <v>Bournemouth</v>
          </cell>
          <cell r="C37" t="str">
            <v>E1202</v>
          </cell>
        </row>
        <row r="38">
          <cell r="A38">
            <v>27</v>
          </cell>
          <cell r="B38" t="str">
            <v>Bracknell Forest</v>
          </cell>
          <cell r="C38" t="str">
            <v>E0301</v>
          </cell>
        </row>
        <row r="39">
          <cell r="A39">
            <v>28</v>
          </cell>
          <cell r="B39" t="str">
            <v>Bradford</v>
          </cell>
          <cell r="C39" t="str">
            <v>E4701</v>
          </cell>
        </row>
        <row r="40">
          <cell r="A40">
            <v>29</v>
          </cell>
          <cell r="B40" t="str">
            <v>Braintree</v>
          </cell>
          <cell r="C40" t="str">
            <v>E1532</v>
          </cell>
        </row>
        <row r="41">
          <cell r="A41">
            <v>30</v>
          </cell>
          <cell r="B41" t="str">
            <v>Breckland</v>
          </cell>
          <cell r="C41" t="str">
            <v>E2631</v>
          </cell>
        </row>
        <row r="42">
          <cell r="A42">
            <v>31</v>
          </cell>
          <cell r="B42" t="str">
            <v>Brent</v>
          </cell>
          <cell r="C42" t="str">
            <v>E5033</v>
          </cell>
        </row>
        <row r="43">
          <cell r="A43">
            <v>32</v>
          </cell>
          <cell r="B43" t="str">
            <v>Brentwood</v>
          </cell>
          <cell r="C43" t="str">
            <v>E1533</v>
          </cell>
        </row>
        <row r="44">
          <cell r="A44">
            <v>33</v>
          </cell>
          <cell r="B44" t="str">
            <v>Brighton &amp; Hove</v>
          </cell>
          <cell r="C44" t="str">
            <v>E1401</v>
          </cell>
        </row>
        <row r="45">
          <cell r="A45">
            <v>34</v>
          </cell>
          <cell r="B45" t="str">
            <v>Bristol</v>
          </cell>
          <cell r="C45" t="str">
            <v>E0102</v>
          </cell>
        </row>
        <row r="46">
          <cell r="A46">
            <v>35</v>
          </cell>
          <cell r="B46" t="str">
            <v>Broadland</v>
          </cell>
          <cell r="C46" t="str">
            <v>E2632</v>
          </cell>
        </row>
        <row r="47">
          <cell r="A47">
            <v>36</v>
          </cell>
          <cell r="B47" t="str">
            <v>Bromley</v>
          </cell>
          <cell r="C47" t="str">
            <v>E5034</v>
          </cell>
        </row>
        <row r="48">
          <cell r="A48">
            <v>37</v>
          </cell>
          <cell r="B48" t="str">
            <v>Bromsgrove</v>
          </cell>
          <cell r="C48" t="str">
            <v>E1831</v>
          </cell>
        </row>
        <row r="49">
          <cell r="A49">
            <v>38</v>
          </cell>
          <cell r="B49" t="str">
            <v>Broxbourne</v>
          </cell>
          <cell r="C49" t="str">
            <v>E1931</v>
          </cell>
        </row>
        <row r="50">
          <cell r="A50">
            <v>39</v>
          </cell>
          <cell r="B50" t="str">
            <v>Broxtowe</v>
          </cell>
          <cell r="C50" t="str">
            <v>E3033</v>
          </cell>
        </row>
        <row r="51">
          <cell r="A51">
            <v>40</v>
          </cell>
          <cell r="B51" t="str">
            <v>Burnley</v>
          </cell>
          <cell r="C51" t="str">
            <v>E2333</v>
          </cell>
        </row>
        <row r="52">
          <cell r="A52">
            <v>41</v>
          </cell>
          <cell r="B52" t="str">
            <v>Bury</v>
          </cell>
          <cell r="C52" t="str">
            <v>E4202</v>
          </cell>
        </row>
        <row r="53">
          <cell r="A53">
            <v>42</v>
          </cell>
          <cell r="B53" t="str">
            <v>Calderdale</v>
          </cell>
          <cell r="C53" t="str">
            <v>E4702</v>
          </cell>
        </row>
        <row r="54">
          <cell r="A54">
            <v>43</v>
          </cell>
          <cell r="B54" t="str">
            <v>Cambridge</v>
          </cell>
          <cell r="C54" t="str">
            <v>E0531</v>
          </cell>
        </row>
        <row r="55">
          <cell r="A55">
            <v>44</v>
          </cell>
          <cell r="B55" t="str">
            <v>Camden</v>
          </cell>
          <cell r="C55" t="str">
            <v>E5011</v>
          </cell>
        </row>
        <row r="56">
          <cell r="A56">
            <v>45</v>
          </cell>
          <cell r="B56" t="str">
            <v>Cannock Chase</v>
          </cell>
          <cell r="C56" t="str">
            <v>E3431</v>
          </cell>
        </row>
        <row r="57">
          <cell r="A57">
            <v>46</v>
          </cell>
          <cell r="B57" t="str">
            <v>Canterbury</v>
          </cell>
          <cell r="C57" t="str">
            <v>E2232</v>
          </cell>
        </row>
        <row r="58">
          <cell r="A58">
            <v>47</v>
          </cell>
          <cell r="B58" t="str">
            <v>Carlisle</v>
          </cell>
          <cell r="C58" t="str">
            <v>E0933</v>
          </cell>
        </row>
        <row r="59">
          <cell r="A59">
            <v>48</v>
          </cell>
          <cell r="B59" t="str">
            <v>Castle Point</v>
          </cell>
          <cell r="C59" t="str">
            <v>E1534</v>
          </cell>
        </row>
        <row r="60">
          <cell r="A60">
            <v>49</v>
          </cell>
          <cell r="B60" t="str">
            <v>Central Bedfordshire UA</v>
          </cell>
          <cell r="C60" t="str">
            <v>E0203</v>
          </cell>
        </row>
        <row r="61">
          <cell r="A61">
            <v>50</v>
          </cell>
          <cell r="B61" t="str">
            <v>Charnwood</v>
          </cell>
          <cell r="C61" t="str">
            <v>E2432</v>
          </cell>
        </row>
        <row r="62">
          <cell r="A62">
            <v>51</v>
          </cell>
          <cell r="B62" t="str">
            <v>Chelmsford</v>
          </cell>
          <cell r="C62" t="str">
            <v>E1535</v>
          </cell>
        </row>
        <row r="63">
          <cell r="A63">
            <v>52</v>
          </cell>
          <cell r="B63" t="str">
            <v>Cheltenham</v>
          </cell>
          <cell r="C63" t="str">
            <v>E1631</v>
          </cell>
        </row>
        <row r="64">
          <cell r="A64">
            <v>53</v>
          </cell>
          <cell r="B64" t="str">
            <v>Cherwell</v>
          </cell>
          <cell r="C64" t="str">
            <v>E3131</v>
          </cell>
        </row>
        <row r="65">
          <cell r="A65">
            <v>54</v>
          </cell>
          <cell r="B65" t="str">
            <v>Cheshire East UA</v>
          </cell>
          <cell r="C65" t="str">
            <v>E0603</v>
          </cell>
        </row>
        <row r="66">
          <cell r="A66">
            <v>55</v>
          </cell>
          <cell r="B66" t="str">
            <v>Cheshire West and Chester UA</v>
          </cell>
          <cell r="C66" t="str">
            <v>E0604</v>
          </cell>
        </row>
        <row r="67">
          <cell r="A67">
            <v>56</v>
          </cell>
          <cell r="B67" t="str">
            <v>Chesterfield</v>
          </cell>
          <cell r="C67" t="str">
            <v>E1033</v>
          </cell>
        </row>
        <row r="68">
          <cell r="A68">
            <v>57</v>
          </cell>
          <cell r="B68" t="str">
            <v>Chichester</v>
          </cell>
          <cell r="C68" t="str">
            <v>E3833</v>
          </cell>
        </row>
        <row r="69">
          <cell r="A69">
            <v>58</v>
          </cell>
          <cell r="B69" t="str">
            <v>Chiltern</v>
          </cell>
          <cell r="C69" t="str">
            <v>E0432</v>
          </cell>
        </row>
        <row r="70">
          <cell r="A70">
            <v>59</v>
          </cell>
          <cell r="B70" t="str">
            <v>Chorley</v>
          </cell>
          <cell r="C70" t="str">
            <v>E2334</v>
          </cell>
        </row>
        <row r="71">
          <cell r="A71">
            <v>60</v>
          </cell>
          <cell r="B71" t="str">
            <v>Christchurch</v>
          </cell>
          <cell r="C71" t="str">
            <v>E1232</v>
          </cell>
        </row>
        <row r="72">
          <cell r="A72">
            <v>61</v>
          </cell>
          <cell r="B72" t="str">
            <v>City of London</v>
          </cell>
          <cell r="C72" t="str">
            <v>E5010</v>
          </cell>
        </row>
        <row r="73">
          <cell r="A73">
            <v>62</v>
          </cell>
          <cell r="B73" t="str">
            <v>Colchester</v>
          </cell>
          <cell r="C73" t="str">
            <v>E1536</v>
          </cell>
        </row>
        <row r="74">
          <cell r="A74">
            <v>63</v>
          </cell>
          <cell r="B74" t="str">
            <v>Copeland</v>
          </cell>
          <cell r="C74" t="str">
            <v>E0934</v>
          </cell>
        </row>
        <row r="75">
          <cell r="A75">
            <v>64</v>
          </cell>
          <cell r="B75" t="str">
            <v>Corby</v>
          </cell>
          <cell r="C75" t="str">
            <v>E2831</v>
          </cell>
        </row>
        <row r="76">
          <cell r="A76">
            <v>65</v>
          </cell>
          <cell r="B76" t="str">
            <v>Cornwall UA</v>
          </cell>
          <cell r="C76" t="str">
            <v>E0801</v>
          </cell>
        </row>
        <row r="77">
          <cell r="A77">
            <v>66</v>
          </cell>
          <cell r="B77" t="str">
            <v>Cotswold</v>
          </cell>
          <cell r="C77" t="str">
            <v>E1632</v>
          </cell>
        </row>
        <row r="78">
          <cell r="A78">
            <v>67</v>
          </cell>
          <cell r="B78" t="str">
            <v>Coventry</v>
          </cell>
          <cell r="C78" t="str">
            <v>E4602</v>
          </cell>
        </row>
        <row r="79">
          <cell r="A79">
            <v>68</v>
          </cell>
          <cell r="B79" t="str">
            <v>Craven</v>
          </cell>
          <cell r="C79" t="str">
            <v>E2731</v>
          </cell>
        </row>
        <row r="80">
          <cell r="A80">
            <v>69</v>
          </cell>
          <cell r="B80" t="str">
            <v>Crawley</v>
          </cell>
          <cell r="C80" t="str">
            <v>E3834</v>
          </cell>
        </row>
        <row r="81">
          <cell r="A81">
            <v>70</v>
          </cell>
          <cell r="B81" t="str">
            <v>Croydon</v>
          </cell>
          <cell r="C81" t="str">
            <v>E5035</v>
          </cell>
        </row>
        <row r="82">
          <cell r="A82">
            <v>71</v>
          </cell>
          <cell r="B82" t="str">
            <v>Dacorum</v>
          </cell>
          <cell r="C82" t="str">
            <v>E1932</v>
          </cell>
        </row>
        <row r="83">
          <cell r="A83">
            <v>72</v>
          </cell>
          <cell r="B83" t="str">
            <v>Darlington</v>
          </cell>
          <cell r="C83" t="str">
            <v>E1301</v>
          </cell>
        </row>
        <row r="84">
          <cell r="A84">
            <v>73</v>
          </cell>
          <cell r="B84" t="str">
            <v>Dartford</v>
          </cell>
          <cell r="C84" t="str">
            <v>E2233</v>
          </cell>
        </row>
        <row r="85">
          <cell r="A85">
            <v>74</v>
          </cell>
          <cell r="B85" t="str">
            <v>Daventry</v>
          </cell>
          <cell r="C85" t="str">
            <v>E2832</v>
          </cell>
        </row>
        <row r="86">
          <cell r="A86">
            <v>75</v>
          </cell>
          <cell r="B86" t="str">
            <v>Derby</v>
          </cell>
          <cell r="C86" t="str">
            <v>E1001</v>
          </cell>
        </row>
        <row r="87">
          <cell r="A87">
            <v>76</v>
          </cell>
          <cell r="B87" t="str">
            <v>Derbyshire Dales</v>
          </cell>
          <cell r="C87" t="str">
            <v>E1035</v>
          </cell>
        </row>
        <row r="88">
          <cell r="A88">
            <v>77</v>
          </cell>
          <cell r="B88" t="str">
            <v>Doncaster</v>
          </cell>
          <cell r="C88" t="str">
            <v>E4402</v>
          </cell>
        </row>
        <row r="89">
          <cell r="A89">
            <v>78</v>
          </cell>
          <cell r="B89" t="str">
            <v>Dover</v>
          </cell>
          <cell r="C89" t="str">
            <v>E2234</v>
          </cell>
        </row>
        <row r="90">
          <cell r="A90">
            <v>79</v>
          </cell>
          <cell r="B90" t="str">
            <v>Dudley</v>
          </cell>
          <cell r="C90" t="str">
            <v>E4603</v>
          </cell>
        </row>
        <row r="91">
          <cell r="A91">
            <v>80</v>
          </cell>
          <cell r="B91" t="str">
            <v>Durham</v>
          </cell>
          <cell r="C91" t="str">
            <v>E1302</v>
          </cell>
        </row>
        <row r="92">
          <cell r="A92">
            <v>81</v>
          </cell>
          <cell r="B92" t="str">
            <v>Ealing</v>
          </cell>
          <cell r="C92" t="str">
            <v>E5036</v>
          </cell>
        </row>
        <row r="93">
          <cell r="A93">
            <v>82</v>
          </cell>
          <cell r="B93" t="str">
            <v>East Cambridgeshire</v>
          </cell>
          <cell r="C93" t="str">
            <v>E0532</v>
          </cell>
        </row>
        <row r="94">
          <cell r="A94">
            <v>83</v>
          </cell>
          <cell r="B94" t="str">
            <v>East Devon</v>
          </cell>
          <cell r="C94" t="str">
            <v>E1131</v>
          </cell>
        </row>
        <row r="95">
          <cell r="A95">
            <v>84</v>
          </cell>
          <cell r="B95" t="str">
            <v>East Dorset</v>
          </cell>
          <cell r="C95" t="str">
            <v>E1233</v>
          </cell>
        </row>
        <row r="96">
          <cell r="A96">
            <v>85</v>
          </cell>
          <cell r="B96" t="str">
            <v>East Hampshire</v>
          </cell>
          <cell r="C96" t="str">
            <v>E1732</v>
          </cell>
        </row>
        <row r="97">
          <cell r="A97">
            <v>86</v>
          </cell>
          <cell r="B97" t="str">
            <v>East Hertfordshire</v>
          </cell>
          <cell r="C97" t="str">
            <v>E1933</v>
          </cell>
        </row>
        <row r="98">
          <cell r="A98">
            <v>87</v>
          </cell>
          <cell r="B98" t="str">
            <v>East Lindsey</v>
          </cell>
          <cell r="C98" t="str">
            <v>E2532</v>
          </cell>
        </row>
        <row r="99">
          <cell r="A99">
            <v>88</v>
          </cell>
          <cell r="B99" t="str">
            <v>East Northamptonshire</v>
          </cell>
          <cell r="C99" t="str">
            <v>E2833</v>
          </cell>
        </row>
        <row r="100">
          <cell r="A100">
            <v>89</v>
          </cell>
          <cell r="B100" t="str">
            <v>East Riding of Yorkshire</v>
          </cell>
          <cell r="C100" t="str">
            <v>E2001</v>
          </cell>
        </row>
        <row r="101">
          <cell r="A101">
            <v>90</v>
          </cell>
          <cell r="B101" t="str">
            <v>East Staffordshire</v>
          </cell>
          <cell r="C101" t="str">
            <v>E3432</v>
          </cell>
        </row>
        <row r="102">
          <cell r="A102">
            <v>91</v>
          </cell>
          <cell r="B102" t="str">
            <v>Eastbourne</v>
          </cell>
          <cell r="C102" t="str">
            <v>E1432</v>
          </cell>
        </row>
        <row r="103">
          <cell r="A103">
            <v>92</v>
          </cell>
          <cell r="B103" t="str">
            <v>Eastleigh</v>
          </cell>
          <cell r="C103" t="str">
            <v>E1733</v>
          </cell>
        </row>
        <row r="104">
          <cell r="A104">
            <v>93</v>
          </cell>
          <cell r="B104" t="str">
            <v>Eden</v>
          </cell>
          <cell r="C104" t="str">
            <v>E0935</v>
          </cell>
        </row>
        <row r="105">
          <cell r="A105">
            <v>94</v>
          </cell>
          <cell r="B105" t="str">
            <v>Elmbridge</v>
          </cell>
          <cell r="C105" t="str">
            <v>E3631</v>
          </cell>
        </row>
        <row r="106">
          <cell r="A106">
            <v>95</v>
          </cell>
          <cell r="B106" t="str">
            <v>Enfield</v>
          </cell>
          <cell r="C106" t="str">
            <v>E5037</v>
          </cell>
        </row>
        <row r="107">
          <cell r="A107">
            <v>96</v>
          </cell>
          <cell r="B107" t="str">
            <v>Epping Forest</v>
          </cell>
          <cell r="C107" t="str">
            <v>E1537</v>
          </cell>
        </row>
        <row r="108">
          <cell r="A108">
            <v>97</v>
          </cell>
          <cell r="B108" t="str">
            <v>Epsom &amp; Ewell</v>
          </cell>
          <cell r="C108" t="str">
            <v>E3632</v>
          </cell>
        </row>
        <row r="109">
          <cell r="A109">
            <v>98</v>
          </cell>
          <cell r="B109" t="str">
            <v>Erewash</v>
          </cell>
          <cell r="C109" t="str">
            <v>E1036</v>
          </cell>
        </row>
        <row r="110">
          <cell r="A110">
            <v>99</v>
          </cell>
          <cell r="B110" t="str">
            <v>Exeter</v>
          </cell>
          <cell r="C110" t="str">
            <v>E1132</v>
          </cell>
        </row>
        <row r="111">
          <cell r="A111">
            <v>100</v>
          </cell>
          <cell r="B111" t="str">
            <v>Fareham</v>
          </cell>
          <cell r="C111" t="str">
            <v>E1734</v>
          </cell>
        </row>
        <row r="112">
          <cell r="A112">
            <v>101</v>
          </cell>
          <cell r="B112" t="str">
            <v>Fenland</v>
          </cell>
          <cell r="C112" t="str">
            <v>E0533</v>
          </cell>
        </row>
        <row r="113">
          <cell r="A113">
            <v>102</v>
          </cell>
          <cell r="B113" t="str">
            <v>Forest Heath</v>
          </cell>
          <cell r="C113" t="str">
            <v>E3532</v>
          </cell>
        </row>
        <row r="114">
          <cell r="A114">
            <v>103</v>
          </cell>
          <cell r="B114" t="str">
            <v>Forest of Dean</v>
          </cell>
          <cell r="C114" t="str">
            <v>E1633</v>
          </cell>
        </row>
        <row r="115">
          <cell r="A115">
            <v>104</v>
          </cell>
          <cell r="B115" t="str">
            <v>Fylde</v>
          </cell>
          <cell r="C115" t="str">
            <v>E2335</v>
          </cell>
        </row>
        <row r="116">
          <cell r="A116">
            <v>105</v>
          </cell>
          <cell r="B116" t="str">
            <v>Gateshead</v>
          </cell>
          <cell r="C116" t="str">
            <v>E4501</v>
          </cell>
        </row>
        <row r="117">
          <cell r="A117">
            <v>106</v>
          </cell>
          <cell r="B117" t="str">
            <v>Gedling</v>
          </cell>
          <cell r="C117" t="str">
            <v>E3034</v>
          </cell>
        </row>
        <row r="118">
          <cell r="A118">
            <v>107</v>
          </cell>
          <cell r="B118" t="str">
            <v>Gloucester</v>
          </cell>
          <cell r="C118" t="str">
            <v>E1634</v>
          </cell>
        </row>
        <row r="119">
          <cell r="A119">
            <v>108</v>
          </cell>
          <cell r="B119" t="str">
            <v>Gosport</v>
          </cell>
          <cell r="C119" t="str">
            <v>E1735</v>
          </cell>
        </row>
        <row r="120">
          <cell r="A120">
            <v>109</v>
          </cell>
          <cell r="B120" t="str">
            <v>Gravesham</v>
          </cell>
          <cell r="C120" t="str">
            <v>E2236</v>
          </cell>
        </row>
        <row r="121">
          <cell r="A121">
            <v>110</v>
          </cell>
          <cell r="B121" t="str">
            <v>Great Yarmouth</v>
          </cell>
          <cell r="C121" t="str">
            <v>E2633</v>
          </cell>
        </row>
        <row r="122">
          <cell r="A122">
            <v>111</v>
          </cell>
          <cell r="B122" t="str">
            <v>Greenwich</v>
          </cell>
          <cell r="C122" t="str">
            <v>E5012</v>
          </cell>
        </row>
        <row r="123">
          <cell r="A123">
            <v>112</v>
          </cell>
          <cell r="B123" t="str">
            <v>Guildford</v>
          </cell>
          <cell r="C123" t="str">
            <v>E3633</v>
          </cell>
        </row>
        <row r="124">
          <cell r="A124">
            <v>113</v>
          </cell>
          <cell r="B124" t="str">
            <v>Hackney</v>
          </cell>
          <cell r="C124" t="str">
            <v>E5013</v>
          </cell>
        </row>
        <row r="125">
          <cell r="A125">
            <v>114</v>
          </cell>
          <cell r="B125" t="str">
            <v>Halton</v>
          </cell>
          <cell r="C125" t="str">
            <v>E0601</v>
          </cell>
        </row>
        <row r="126">
          <cell r="A126">
            <v>115</v>
          </cell>
          <cell r="B126" t="str">
            <v>Hambleton</v>
          </cell>
          <cell r="C126" t="str">
            <v>E2732</v>
          </cell>
        </row>
        <row r="127">
          <cell r="A127">
            <v>116</v>
          </cell>
          <cell r="B127" t="str">
            <v>Hammersmith and Fulham</v>
          </cell>
          <cell r="C127" t="str">
            <v>E5014</v>
          </cell>
        </row>
        <row r="128">
          <cell r="A128">
            <v>117</v>
          </cell>
          <cell r="B128" t="str">
            <v>Harborough</v>
          </cell>
          <cell r="C128" t="str">
            <v>E2433</v>
          </cell>
        </row>
        <row r="129">
          <cell r="A129">
            <v>118</v>
          </cell>
          <cell r="B129" t="str">
            <v>Haringey</v>
          </cell>
          <cell r="C129" t="str">
            <v>E5038</v>
          </cell>
        </row>
        <row r="130">
          <cell r="A130">
            <v>119</v>
          </cell>
          <cell r="B130" t="str">
            <v>Harlow</v>
          </cell>
          <cell r="C130" t="str">
            <v>E1538</v>
          </cell>
        </row>
        <row r="131">
          <cell r="A131">
            <v>120</v>
          </cell>
          <cell r="B131" t="str">
            <v>Harrogate</v>
          </cell>
          <cell r="C131" t="str">
            <v>E2753</v>
          </cell>
        </row>
        <row r="132">
          <cell r="A132">
            <v>121</v>
          </cell>
          <cell r="B132" t="str">
            <v>Harrow</v>
          </cell>
          <cell r="C132" t="str">
            <v>E5039</v>
          </cell>
        </row>
        <row r="133">
          <cell r="A133">
            <v>122</v>
          </cell>
          <cell r="B133" t="str">
            <v>Hart</v>
          </cell>
          <cell r="C133" t="str">
            <v>E1736</v>
          </cell>
        </row>
        <row r="134">
          <cell r="A134">
            <v>123</v>
          </cell>
          <cell r="B134" t="str">
            <v>Hartlepool</v>
          </cell>
          <cell r="C134" t="str">
            <v>E0701</v>
          </cell>
        </row>
        <row r="135">
          <cell r="A135">
            <v>124</v>
          </cell>
          <cell r="B135" t="str">
            <v>Hastings</v>
          </cell>
          <cell r="C135" t="str">
            <v>E1433</v>
          </cell>
        </row>
        <row r="136">
          <cell r="A136">
            <v>125</v>
          </cell>
          <cell r="B136" t="str">
            <v>Havant</v>
          </cell>
          <cell r="C136" t="str">
            <v>E1737</v>
          </cell>
        </row>
        <row r="137">
          <cell r="A137">
            <v>126</v>
          </cell>
          <cell r="B137" t="str">
            <v>Havering</v>
          </cell>
          <cell r="C137" t="str">
            <v>E5040</v>
          </cell>
        </row>
        <row r="138">
          <cell r="A138">
            <v>127</v>
          </cell>
          <cell r="B138" t="str">
            <v>Herefordshire</v>
          </cell>
          <cell r="C138" t="str">
            <v>E1801</v>
          </cell>
        </row>
        <row r="139">
          <cell r="A139">
            <v>128</v>
          </cell>
          <cell r="B139" t="str">
            <v>Hertsmere</v>
          </cell>
          <cell r="C139" t="str">
            <v>E1934</v>
          </cell>
        </row>
        <row r="140">
          <cell r="A140">
            <v>129</v>
          </cell>
          <cell r="B140" t="str">
            <v>High Peak</v>
          </cell>
          <cell r="C140" t="str">
            <v>E1037</v>
          </cell>
        </row>
        <row r="141">
          <cell r="A141">
            <v>130</v>
          </cell>
          <cell r="B141" t="str">
            <v>Hillingdon</v>
          </cell>
          <cell r="C141" t="str">
            <v>E5041</v>
          </cell>
        </row>
        <row r="142">
          <cell r="A142">
            <v>131</v>
          </cell>
          <cell r="B142" t="str">
            <v>Hinckley and Bosworth</v>
          </cell>
          <cell r="C142" t="str">
            <v>E2434</v>
          </cell>
        </row>
        <row r="143">
          <cell r="A143">
            <v>132</v>
          </cell>
          <cell r="B143" t="str">
            <v>Horsham</v>
          </cell>
          <cell r="C143" t="str">
            <v>E3835</v>
          </cell>
        </row>
        <row r="144">
          <cell r="A144">
            <v>133</v>
          </cell>
          <cell r="B144" t="str">
            <v>Hounslow</v>
          </cell>
          <cell r="C144" t="str">
            <v>E5042</v>
          </cell>
        </row>
        <row r="145">
          <cell r="A145">
            <v>134</v>
          </cell>
          <cell r="B145" t="str">
            <v>Huntingdonshire</v>
          </cell>
          <cell r="C145" t="str">
            <v>E0551</v>
          </cell>
        </row>
        <row r="146">
          <cell r="A146">
            <v>135</v>
          </cell>
          <cell r="B146" t="str">
            <v>Hyndburn</v>
          </cell>
          <cell r="C146" t="str">
            <v>E2336</v>
          </cell>
        </row>
        <row r="147">
          <cell r="A147">
            <v>136</v>
          </cell>
          <cell r="B147" t="str">
            <v>Ipswich</v>
          </cell>
          <cell r="C147" t="str">
            <v>E3533</v>
          </cell>
        </row>
        <row r="148">
          <cell r="A148">
            <v>137</v>
          </cell>
          <cell r="B148" t="str">
            <v>Isle of Wight Council</v>
          </cell>
          <cell r="C148" t="str">
            <v>E2101</v>
          </cell>
        </row>
        <row r="149">
          <cell r="A149">
            <v>138</v>
          </cell>
          <cell r="B149" t="str">
            <v>Isles of Scilly</v>
          </cell>
          <cell r="C149" t="str">
            <v>E4001</v>
          </cell>
        </row>
        <row r="150">
          <cell r="A150">
            <v>139</v>
          </cell>
          <cell r="B150" t="str">
            <v>Islington</v>
          </cell>
          <cell r="C150" t="str">
            <v>E5015</v>
          </cell>
        </row>
        <row r="151">
          <cell r="A151">
            <v>140</v>
          </cell>
          <cell r="B151" t="str">
            <v>Kensington and Chelsea</v>
          </cell>
          <cell r="C151" t="str">
            <v>E5016</v>
          </cell>
        </row>
        <row r="152">
          <cell r="A152">
            <v>141</v>
          </cell>
          <cell r="B152" t="str">
            <v>Kettering</v>
          </cell>
          <cell r="C152" t="str">
            <v>E2834</v>
          </cell>
        </row>
        <row r="153">
          <cell r="A153">
            <v>142</v>
          </cell>
          <cell r="B153" t="str">
            <v>Kings Lynn and West Norfolk</v>
          </cell>
          <cell r="C153" t="str">
            <v>E2634</v>
          </cell>
        </row>
        <row r="154">
          <cell r="A154">
            <v>143</v>
          </cell>
          <cell r="B154" t="str">
            <v>Kingston upon Hull</v>
          </cell>
          <cell r="C154" t="str">
            <v>E2002</v>
          </cell>
        </row>
        <row r="155">
          <cell r="A155">
            <v>144</v>
          </cell>
          <cell r="B155" t="str">
            <v>Kingston upon Thames</v>
          </cell>
          <cell r="C155" t="str">
            <v>E5043</v>
          </cell>
        </row>
        <row r="156">
          <cell r="A156">
            <v>145</v>
          </cell>
          <cell r="B156" t="str">
            <v>Kirklees</v>
          </cell>
          <cell r="C156" t="str">
            <v>E4703</v>
          </cell>
        </row>
        <row r="157">
          <cell r="A157">
            <v>146</v>
          </cell>
          <cell r="B157" t="str">
            <v>Knowsley</v>
          </cell>
          <cell r="C157" t="str">
            <v>E4301</v>
          </cell>
        </row>
        <row r="158">
          <cell r="A158">
            <v>147</v>
          </cell>
          <cell r="B158" t="str">
            <v>Lambeth</v>
          </cell>
          <cell r="C158" t="str">
            <v>E5017</v>
          </cell>
        </row>
        <row r="159">
          <cell r="A159">
            <v>148</v>
          </cell>
          <cell r="B159" t="str">
            <v>Lancaster</v>
          </cell>
          <cell r="C159" t="str">
            <v>E2337</v>
          </cell>
        </row>
        <row r="160">
          <cell r="A160">
            <v>149</v>
          </cell>
          <cell r="B160" t="str">
            <v>Leeds</v>
          </cell>
          <cell r="C160" t="str">
            <v>E4704</v>
          </cell>
        </row>
        <row r="161">
          <cell r="A161">
            <v>150</v>
          </cell>
          <cell r="B161" t="str">
            <v>Leicester</v>
          </cell>
          <cell r="C161" t="str">
            <v>E2401</v>
          </cell>
        </row>
        <row r="162">
          <cell r="A162">
            <v>151</v>
          </cell>
          <cell r="B162" t="str">
            <v>Lewes</v>
          </cell>
          <cell r="C162" t="str">
            <v>E1435</v>
          </cell>
        </row>
        <row r="163">
          <cell r="A163">
            <v>152</v>
          </cell>
          <cell r="B163" t="str">
            <v>Lewisham</v>
          </cell>
          <cell r="C163" t="str">
            <v>E5018</v>
          </cell>
        </row>
        <row r="164">
          <cell r="A164">
            <v>153</v>
          </cell>
          <cell r="B164" t="str">
            <v>Lichfield</v>
          </cell>
          <cell r="C164" t="str">
            <v>E3433</v>
          </cell>
        </row>
        <row r="165">
          <cell r="A165">
            <v>154</v>
          </cell>
          <cell r="B165" t="str">
            <v>Lincoln</v>
          </cell>
          <cell r="C165" t="str">
            <v>E2533</v>
          </cell>
        </row>
        <row r="166">
          <cell r="A166">
            <v>155</v>
          </cell>
          <cell r="B166" t="str">
            <v>Liverpool</v>
          </cell>
          <cell r="C166" t="str">
            <v>E4302</v>
          </cell>
        </row>
        <row r="167">
          <cell r="A167">
            <v>156</v>
          </cell>
          <cell r="B167" t="str">
            <v>Luton</v>
          </cell>
          <cell r="C167" t="str">
            <v>E0201</v>
          </cell>
        </row>
        <row r="168">
          <cell r="A168">
            <v>157</v>
          </cell>
          <cell r="B168" t="str">
            <v>Maidstone</v>
          </cell>
          <cell r="C168" t="str">
            <v>E2237</v>
          </cell>
        </row>
        <row r="169">
          <cell r="A169">
            <v>158</v>
          </cell>
          <cell r="B169" t="str">
            <v>Maldon</v>
          </cell>
          <cell r="C169" t="str">
            <v>E1539</v>
          </cell>
        </row>
        <row r="170">
          <cell r="A170">
            <v>159</v>
          </cell>
          <cell r="B170" t="str">
            <v>Malvern Hills</v>
          </cell>
          <cell r="C170" t="str">
            <v>E1851</v>
          </cell>
        </row>
        <row r="171">
          <cell r="A171">
            <v>160</v>
          </cell>
          <cell r="B171" t="str">
            <v>Manchester</v>
          </cell>
          <cell r="C171" t="str">
            <v>E4203</v>
          </cell>
        </row>
        <row r="172">
          <cell r="A172">
            <v>161</v>
          </cell>
          <cell r="B172" t="str">
            <v>Mansfield</v>
          </cell>
          <cell r="C172" t="str">
            <v>E3035</v>
          </cell>
        </row>
        <row r="173">
          <cell r="A173">
            <v>162</v>
          </cell>
          <cell r="B173" t="str">
            <v>Medway</v>
          </cell>
          <cell r="C173" t="str">
            <v>E2201</v>
          </cell>
        </row>
        <row r="174">
          <cell r="A174">
            <v>163</v>
          </cell>
          <cell r="B174" t="str">
            <v>Melton</v>
          </cell>
          <cell r="C174" t="str">
            <v>E2436</v>
          </cell>
        </row>
        <row r="175">
          <cell r="A175">
            <v>164</v>
          </cell>
          <cell r="B175" t="str">
            <v>Mendip</v>
          </cell>
          <cell r="C175" t="str">
            <v>E3331</v>
          </cell>
        </row>
        <row r="176">
          <cell r="A176">
            <v>165</v>
          </cell>
          <cell r="B176" t="str">
            <v>Merton</v>
          </cell>
          <cell r="C176" t="str">
            <v>E5044</v>
          </cell>
        </row>
        <row r="177">
          <cell r="A177">
            <v>166</v>
          </cell>
          <cell r="B177" t="str">
            <v>Mid Devon</v>
          </cell>
          <cell r="C177" t="str">
            <v>E1133</v>
          </cell>
        </row>
        <row r="178">
          <cell r="A178">
            <v>167</v>
          </cell>
          <cell r="B178" t="str">
            <v>Mid Suffolk</v>
          </cell>
          <cell r="C178" t="str">
            <v>E3534</v>
          </cell>
        </row>
        <row r="179">
          <cell r="A179">
            <v>168</v>
          </cell>
          <cell r="B179" t="str">
            <v>Mid Sussex</v>
          </cell>
          <cell r="C179" t="str">
            <v>E3836</v>
          </cell>
        </row>
        <row r="180">
          <cell r="A180">
            <v>169</v>
          </cell>
          <cell r="B180" t="str">
            <v>Middlesbrough</v>
          </cell>
          <cell r="C180" t="str">
            <v>E0702</v>
          </cell>
        </row>
        <row r="181">
          <cell r="A181">
            <v>170</v>
          </cell>
          <cell r="B181" t="str">
            <v>Milton Keynes</v>
          </cell>
          <cell r="C181" t="str">
            <v>E0401</v>
          </cell>
        </row>
        <row r="182">
          <cell r="A182">
            <v>171</v>
          </cell>
          <cell r="B182" t="str">
            <v>Mole Valley</v>
          </cell>
          <cell r="C182" t="str">
            <v>E3634</v>
          </cell>
        </row>
        <row r="183">
          <cell r="A183">
            <v>172</v>
          </cell>
          <cell r="B183" t="str">
            <v>New Forest</v>
          </cell>
          <cell r="C183" t="str">
            <v>E1738</v>
          </cell>
        </row>
        <row r="184">
          <cell r="A184">
            <v>173</v>
          </cell>
          <cell r="B184" t="str">
            <v>Newark and Sherwood</v>
          </cell>
          <cell r="C184" t="str">
            <v>E3036</v>
          </cell>
        </row>
        <row r="185">
          <cell r="A185">
            <v>174</v>
          </cell>
          <cell r="B185" t="str">
            <v>Newcastle upon Tyne</v>
          </cell>
          <cell r="C185" t="str">
            <v>E4502</v>
          </cell>
        </row>
        <row r="186">
          <cell r="A186">
            <v>175</v>
          </cell>
          <cell r="B186" t="str">
            <v>Newcastle-under-Lyme</v>
          </cell>
          <cell r="C186" t="str">
            <v>E3434</v>
          </cell>
        </row>
        <row r="187">
          <cell r="A187">
            <v>176</v>
          </cell>
          <cell r="B187" t="str">
            <v>Newham</v>
          </cell>
          <cell r="C187" t="str">
            <v>E5045</v>
          </cell>
        </row>
        <row r="188">
          <cell r="A188">
            <v>177</v>
          </cell>
          <cell r="B188" t="str">
            <v>North Devon</v>
          </cell>
          <cell r="C188" t="str">
            <v>E1134</v>
          </cell>
        </row>
        <row r="189">
          <cell r="A189">
            <v>178</v>
          </cell>
          <cell r="B189" t="str">
            <v>North Dorset</v>
          </cell>
          <cell r="C189" t="str">
            <v>E1234</v>
          </cell>
        </row>
        <row r="190">
          <cell r="A190">
            <v>179</v>
          </cell>
          <cell r="B190" t="str">
            <v>North East Derbyshire</v>
          </cell>
          <cell r="C190" t="str">
            <v>E1038</v>
          </cell>
        </row>
        <row r="191">
          <cell r="A191">
            <v>180</v>
          </cell>
          <cell r="B191" t="str">
            <v>North East Lincolnshire</v>
          </cell>
          <cell r="C191" t="str">
            <v>E2003</v>
          </cell>
        </row>
        <row r="192">
          <cell r="A192">
            <v>181</v>
          </cell>
          <cell r="B192" t="str">
            <v>North Hertfordshire</v>
          </cell>
          <cell r="C192" t="str">
            <v>E1935</v>
          </cell>
        </row>
        <row r="193">
          <cell r="A193">
            <v>182</v>
          </cell>
          <cell r="B193" t="str">
            <v>North Kesteven</v>
          </cell>
          <cell r="C193" t="str">
            <v>E2534</v>
          </cell>
        </row>
        <row r="194">
          <cell r="A194">
            <v>183</v>
          </cell>
          <cell r="B194" t="str">
            <v>North Lincolnshire</v>
          </cell>
          <cell r="C194" t="str">
            <v>E2004</v>
          </cell>
        </row>
        <row r="195">
          <cell r="A195">
            <v>184</v>
          </cell>
          <cell r="B195" t="str">
            <v>North Norfolk</v>
          </cell>
          <cell r="C195" t="str">
            <v>E2635</v>
          </cell>
        </row>
        <row r="196">
          <cell r="A196">
            <v>185</v>
          </cell>
          <cell r="B196" t="str">
            <v>North Somerset</v>
          </cell>
          <cell r="C196" t="str">
            <v>E0104</v>
          </cell>
        </row>
        <row r="197">
          <cell r="A197">
            <v>186</v>
          </cell>
          <cell r="B197" t="str">
            <v>North Tyneside</v>
          </cell>
          <cell r="C197" t="str">
            <v>E4503</v>
          </cell>
        </row>
        <row r="198">
          <cell r="A198">
            <v>187</v>
          </cell>
          <cell r="B198" t="str">
            <v>North Warwickshire</v>
          </cell>
          <cell r="C198" t="str">
            <v>E3731</v>
          </cell>
        </row>
        <row r="199">
          <cell r="A199">
            <v>188</v>
          </cell>
          <cell r="B199" t="str">
            <v>North West Leicestershire</v>
          </cell>
          <cell r="C199" t="str">
            <v>E2437</v>
          </cell>
        </row>
        <row r="200">
          <cell r="A200">
            <v>189</v>
          </cell>
          <cell r="B200" t="str">
            <v>Northampton</v>
          </cell>
          <cell r="C200" t="str">
            <v>E2835</v>
          </cell>
        </row>
        <row r="201">
          <cell r="A201">
            <v>190</v>
          </cell>
          <cell r="B201" t="str">
            <v>Northumberland UA</v>
          </cell>
          <cell r="C201" t="str">
            <v>E2901</v>
          </cell>
        </row>
        <row r="202">
          <cell r="A202">
            <v>191</v>
          </cell>
          <cell r="B202" t="str">
            <v>Norwich</v>
          </cell>
          <cell r="C202" t="str">
            <v>E2636</v>
          </cell>
        </row>
        <row r="203">
          <cell r="A203">
            <v>192</v>
          </cell>
          <cell r="B203" t="str">
            <v>Nottingham</v>
          </cell>
          <cell r="C203" t="str">
            <v>E3001</v>
          </cell>
        </row>
        <row r="204">
          <cell r="A204">
            <v>193</v>
          </cell>
          <cell r="B204" t="str">
            <v>Nuneaton and Bedworth</v>
          </cell>
          <cell r="C204" t="str">
            <v>E3732</v>
          </cell>
        </row>
        <row r="205">
          <cell r="A205">
            <v>194</v>
          </cell>
          <cell r="B205" t="str">
            <v>Oadby and Wigston</v>
          </cell>
          <cell r="C205" t="str">
            <v>E2438</v>
          </cell>
        </row>
        <row r="206">
          <cell r="A206">
            <v>195</v>
          </cell>
          <cell r="B206" t="str">
            <v>Oldham</v>
          </cell>
          <cell r="C206" t="str">
            <v>E4204</v>
          </cell>
        </row>
        <row r="207">
          <cell r="A207">
            <v>196</v>
          </cell>
          <cell r="B207" t="str">
            <v>Oxford</v>
          </cell>
          <cell r="C207" t="str">
            <v>E3132</v>
          </cell>
        </row>
        <row r="208">
          <cell r="A208">
            <v>197</v>
          </cell>
          <cell r="B208" t="str">
            <v>Pendle</v>
          </cell>
          <cell r="C208" t="str">
            <v>E2338</v>
          </cell>
        </row>
        <row r="209">
          <cell r="A209">
            <v>198</v>
          </cell>
          <cell r="B209" t="str">
            <v>Peterborough</v>
          </cell>
          <cell r="C209" t="str">
            <v>E0501</v>
          </cell>
        </row>
        <row r="210">
          <cell r="A210">
            <v>199</v>
          </cell>
          <cell r="B210" t="str">
            <v>Plymouth</v>
          </cell>
          <cell r="C210" t="str">
            <v>E1101</v>
          </cell>
        </row>
        <row r="211">
          <cell r="A211">
            <v>200</v>
          </cell>
          <cell r="B211" t="str">
            <v>Poole</v>
          </cell>
          <cell r="C211" t="str">
            <v>E1201</v>
          </cell>
        </row>
        <row r="212">
          <cell r="A212">
            <v>201</v>
          </cell>
          <cell r="B212" t="str">
            <v>Portsmouth</v>
          </cell>
          <cell r="C212" t="str">
            <v>E1701</v>
          </cell>
        </row>
        <row r="213">
          <cell r="A213">
            <v>202</v>
          </cell>
          <cell r="B213" t="str">
            <v>Preston</v>
          </cell>
          <cell r="C213" t="str">
            <v>E2339</v>
          </cell>
        </row>
        <row r="214">
          <cell r="A214">
            <v>203</v>
          </cell>
          <cell r="B214" t="str">
            <v>Purbeck</v>
          </cell>
          <cell r="C214" t="str">
            <v>E1236</v>
          </cell>
        </row>
        <row r="215">
          <cell r="A215">
            <v>204</v>
          </cell>
          <cell r="B215" t="str">
            <v>Reading</v>
          </cell>
          <cell r="C215" t="str">
            <v>E0303</v>
          </cell>
        </row>
        <row r="216">
          <cell r="A216">
            <v>205</v>
          </cell>
          <cell r="B216" t="str">
            <v>Redbridge</v>
          </cell>
          <cell r="C216" t="str">
            <v>E5046</v>
          </cell>
        </row>
        <row r="217">
          <cell r="A217">
            <v>206</v>
          </cell>
          <cell r="B217" t="str">
            <v>Redcar and Cleveland</v>
          </cell>
          <cell r="C217" t="str">
            <v>E0703</v>
          </cell>
        </row>
        <row r="218">
          <cell r="A218">
            <v>207</v>
          </cell>
          <cell r="B218" t="str">
            <v>Redditch</v>
          </cell>
          <cell r="C218" t="str">
            <v>E1835</v>
          </cell>
        </row>
        <row r="219">
          <cell r="A219">
            <v>208</v>
          </cell>
          <cell r="B219" t="str">
            <v>Reigate and Banstead</v>
          </cell>
          <cell r="C219" t="str">
            <v>E3635</v>
          </cell>
        </row>
        <row r="220">
          <cell r="A220">
            <v>209</v>
          </cell>
          <cell r="B220" t="str">
            <v>Ribble Valley</v>
          </cell>
          <cell r="C220" t="str">
            <v>E2340</v>
          </cell>
        </row>
        <row r="221">
          <cell r="A221">
            <v>210</v>
          </cell>
          <cell r="B221" t="str">
            <v>Richmond upon Thames</v>
          </cell>
          <cell r="C221" t="str">
            <v>E5047</v>
          </cell>
        </row>
        <row r="222">
          <cell r="A222">
            <v>211</v>
          </cell>
          <cell r="B222" t="str">
            <v>Richmondshire</v>
          </cell>
          <cell r="C222" t="str">
            <v>E2734</v>
          </cell>
        </row>
        <row r="223">
          <cell r="A223">
            <v>212</v>
          </cell>
          <cell r="B223" t="str">
            <v>Rochdale</v>
          </cell>
          <cell r="C223" t="str">
            <v>E4205</v>
          </cell>
        </row>
        <row r="224">
          <cell r="A224">
            <v>213</v>
          </cell>
          <cell r="B224" t="str">
            <v>Rochford</v>
          </cell>
          <cell r="C224" t="str">
            <v>E1540</v>
          </cell>
        </row>
        <row r="225">
          <cell r="A225">
            <v>214</v>
          </cell>
          <cell r="B225" t="str">
            <v>Rossendale</v>
          </cell>
          <cell r="C225" t="str">
            <v>E2341</v>
          </cell>
        </row>
        <row r="226">
          <cell r="A226">
            <v>215</v>
          </cell>
          <cell r="B226" t="str">
            <v>Rother</v>
          </cell>
          <cell r="C226" t="str">
            <v>E1436</v>
          </cell>
        </row>
        <row r="227">
          <cell r="A227">
            <v>216</v>
          </cell>
          <cell r="B227" t="str">
            <v>Rotherham</v>
          </cell>
          <cell r="C227" t="str">
            <v>E4403</v>
          </cell>
        </row>
        <row r="228">
          <cell r="A228">
            <v>217</v>
          </cell>
          <cell r="B228" t="str">
            <v>Rugby</v>
          </cell>
          <cell r="C228" t="str">
            <v>E3733</v>
          </cell>
        </row>
        <row r="229">
          <cell r="A229">
            <v>218</v>
          </cell>
          <cell r="B229" t="str">
            <v>Runnymede</v>
          </cell>
          <cell r="C229" t="str">
            <v>E3636</v>
          </cell>
        </row>
        <row r="230">
          <cell r="A230">
            <v>219</v>
          </cell>
          <cell r="B230" t="str">
            <v>Rushcliffe</v>
          </cell>
          <cell r="C230" t="str">
            <v>E3038</v>
          </cell>
        </row>
        <row r="231">
          <cell r="A231">
            <v>220</v>
          </cell>
          <cell r="B231" t="str">
            <v>Rushmoor</v>
          </cell>
          <cell r="C231" t="str">
            <v>E1740</v>
          </cell>
        </row>
        <row r="232">
          <cell r="A232">
            <v>221</v>
          </cell>
          <cell r="B232" t="str">
            <v>Rutland</v>
          </cell>
          <cell r="C232" t="str">
            <v>E2402</v>
          </cell>
        </row>
        <row r="233">
          <cell r="A233">
            <v>222</v>
          </cell>
          <cell r="B233" t="str">
            <v>Ryedale</v>
          </cell>
          <cell r="C233" t="str">
            <v>E2755</v>
          </cell>
        </row>
        <row r="234">
          <cell r="A234">
            <v>223</v>
          </cell>
          <cell r="B234" t="str">
            <v>Salford</v>
          </cell>
          <cell r="C234" t="str">
            <v>E4206</v>
          </cell>
        </row>
        <row r="235">
          <cell r="A235">
            <v>224</v>
          </cell>
          <cell r="B235" t="str">
            <v>Sandwell</v>
          </cell>
          <cell r="C235" t="str">
            <v>E4604</v>
          </cell>
        </row>
        <row r="236">
          <cell r="A236">
            <v>225</v>
          </cell>
          <cell r="B236" t="str">
            <v>Scarborough</v>
          </cell>
          <cell r="C236" t="str">
            <v>E2736</v>
          </cell>
        </row>
        <row r="237">
          <cell r="A237">
            <v>226</v>
          </cell>
          <cell r="B237" t="str">
            <v>Sedgemoor</v>
          </cell>
          <cell r="C237" t="str">
            <v>E3332</v>
          </cell>
        </row>
        <row r="238">
          <cell r="A238">
            <v>227</v>
          </cell>
          <cell r="B238" t="str">
            <v>Sefton</v>
          </cell>
          <cell r="C238" t="str">
            <v>E4304</v>
          </cell>
        </row>
        <row r="239">
          <cell r="A239">
            <v>228</v>
          </cell>
          <cell r="B239" t="str">
            <v>Selby</v>
          </cell>
          <cell r="C239" t="str">
            <v>E2757</v>
          </cell>
        </row>
        <row r="240">
          <cell r="A240">
            <v>229</v>
          </cell>
          <cell r="B240" t="str">
            <v>Sevenoaks</v>
          </cell>
          <cell r="C240" t="str">
            <v>E2239</v>
          </cell>
        </row>
        <row r="241">
          <cell r="A241">
            <v>230</v>
          </cell>
          <cell r="B241" t="str">
            <v>Sheffield</v>
          </cell>
          <cell r="C241" t="str">
            <v>E4404</v>
          </cell>
        </row>
        <row r="242">
          <cell r="A242">
            <v>231</v>
          </cell>
          <cell r="B242" t="str">
            <v>Shepway</v>
          </cell>
          <cell r="C242" t="str">
            <v>E2240</v>
          </cell>
        </row>
        <row r="243">
          <cell r="A243">
            <v>232</v>
          </cell>
          <cell r="B243" t="str">
            <v>Shropshire UA</v>
          </cell>
          <cell r="C243" t="str">
            <v>E3202</v>
          </cell>
        </row>
        <row r="244">
          <cell r="A244">
            <v>233</v>
          </cell>
          <cell r="B244" t="str">
            <v>Slough</v>
          </cell>
          <cell r="C244" t="str">
            <v>E0304</v>
          </cell>
        </row>
        <row r="245">
          <cell r="A245">
            <v>234</v>
          </cell>
          <cell r="B245" t="str">
            <v>Solihull</v>
          </cell>
          <cell r="C245" t="str">
            <v>E4605</v>
          </cell>
        </row>
        <row r="246">
          <cell r="A246">
            <v>235</v>
          </cell>
          <cell r="B246" t="str">
            <v>South Bucks</v>
          </cell>
          <cell r="C246" t="str">
            <v>E0434</v>
          </cell>
        </row>
        <row r="247">
          <cell r="A247">
            <v>236</v>
          </cell>
          <cell r="B247" t="str">
            <v>South Cambridgeshire</v>
          </cell>
          <cell r="C247" t="str">
            <v>E0536</v>
          </cell>
        </row>
        <row r="248">
          <cell r="A248">
            <v>237</v>
          </cell>
          <cell r="B248" t="str">
            <v>South Derbyshire</v>
          </cell>
          <cell r="C248" t="str">
            <v>E1039</v>
          </cell>
        </row>
        <row r="249">
          <cell r="A249">
            <v>238</v>
          </cell>
          <cell r="B249" t="str">
            <v>South Gloucestershire</v>
          </cell>
          <cell r="C249" t="str">
            <v>E0103</v>
          </cell>
        </row>
        <row r="250">
          <cell r="A250">
            <v>239</v>
          </cell>
          <cell r="B250" t="str">
            <v>South Hams</v>
          </cell>
          <cell r="C250" t="str">
            <v>E1136</v>
          </cell>
        </row>
        <row r="251">
          <cell r="A251">
            <v>240</v>
          </cell>
          <cell r="B251" t="str">
            <v>South Holland</v>
          </cell>
          <cell r="C251" t="str">
            <v>E2535</v>
          </cell>
        </row>
        <row r="252">
          <cell r="A252">
            <v>241</v>
          </cell>
          <cell r="B252" t="str">
            <v>South Kesteven</v>
          </cell>
          <cell r="C252" t="str">
            <v>E2536</v>
          </cell>
        </row>
        <row r="253">
          <cell r="A253">
            <v>242</v>
          </cell>
          <cell r="B253" t="str">
            <v>South Lakeland</v>
          </cell>
          <cell r="C253" t="str">
            <v>E0936</v>
          </cell>
        </row>
        <row r="254">
          <cell r="A254">
            <v>243</v>
          </cell>
          <cell r="B254" t="str">
            <v>South Norfolk</v>
          </cell>
          <cell r="C254" t="str">
            <v>E2637</v>
          </cell>
        </row>
        <row r="255">
          <cell r="A255">
            <v>244</v>
          </cell>
          <cell r="B255" t="str">
            <v>South Northamptonshire</v>
          </cell>
          <cell r="C255" t="str">
            <v>E2836</v>
          </cell>
        </row>
        <row r="256">
          <cell r="A256">
            <v>245</v>
          </cell>
          <cell r="B256" t="str">
            <v>South Oxfordshire</v>
          </cell>
          <cell r="C256" t="str">
            <v>E3133</v>
          </cell>
        </row>
        <row r="257">
          <cell r="A257">
            <v>246</v>
          </cell>
          <cell r="B257" t="str">
            <v>South Ribble</v>
          </cell>
          <cell r="C257" t="str">
            <v>E2342</v>
          </cell>
        </row>
        <row r="258">
          <cell r="A258">
            <v>247</v>
          </cell>
          <cell r="B258" t="str">
            <v>South Somerset</v>
          </cell>
          <cell r="C258" t="str">
            <v>E3334</v>
          </cell>
        </row>
        <row r="259">
          <cell r="A259">
            <v>248</v>
          </cell>
          <cell r="B259" t="str">
            <v>South Staffordshire</v>
          </cell>
          <cell r="C259" t="str">
            <v>E3435</v>
          </cell>
        </row>
        <row r="260">
          <cell r="A260">
            <v>249</v>
          </cell>
          <cell r="B260" t="str">
            <v>South Tyneside</v>
          </cell>
          <cell r="C260" t="str">
            <v>E4504</v>
          </cell>
        </row>
        <row r="261">
          <cell r="A261">
            <v>250</v>
          </cell>
          <cell r="B261" t="str">
            <v>Southampton</v>
          </cell>
          <cell r="C261" t="str">
            <v>E1702</v>
          </cell>
        </row>
        <row r="262">
          <cell r="A262">
            <v>251</v>
          </cell>
          <cell r="B262" t="str">
            <v>Southend-on-Sea</v>
          </cell>
          <cell r="C262" t="str">
            <v>E1501</v>
          </cell>
        </row>
        <row r="263">
          <cell r="A263">
            <v>252</v>
          </cell>
          <cell r="B263" t="str">
            <v>Southwark</v>
          </cell>
          <cell r="C263" t="str">
            <v>E5019</v>
          </cell>
        </row>
        <row r="264">
          <cell r="A264">
            <v>253</v>
          </cell>
          <cell r="B264" t="str">
            <v>Spelthorne</v>
          </cell>
          <cell r="C264" t="str">
            <v>E3637</v>
          </cell>
        </row>
        <row r="265">
          <cell r="A265">
            <v>254</v>
          </cell>
          <cell r="B265" t="str">
            <v>St Albans</v>
          </cell>
          <cell r="C265" t="str">
            <v>E1936</v>
          </cell>
        </row>
        <row r="266">
          <cell r="A266">
            <v>255</v>
          </cell>
          <cell r="B266" t="str">
            <v>St Edmundsbury</v>
          </cell>
          <cell r="C266" t="str">
            <v>E3535</v>
          </cell>
        </row>
        <row r="267">
          <cell r="A267">
            <v>256</v>
          </cell>
          <cell r="B267" t="str">
            <v>St Helens</v>
          </cell>
          <cell r="C267" t="str">
            <v>E4303</v>
          </cell>
        </row>
        <row r="268">
          <cell r="A268">
            <v>257</v>
          </cell>
          <cell r="B268" t="str">
            <v>Stafford</v>
          </cell>
          <cell r="C268" t="str">
            <v>E3436</v>
          </cell>
        </row>
        <row r="269">
          <cell r="A269">
            <v>258</v>
          </cell>
          <cell r="B269" t="str">
            <v>Staffordshire Moorlands</v>
          </cell>
          <cell r="C269" t="str">
            <v>E3437</v>
          </cell>
        </row>
        <row r="270">
          <cell r="A270">
            <v>259</v>
          </cell>
          <cell r="B270" t="str">
            <v>Stevenage</v>
          </cell>
          <cell r="C270" t="str">
            <v>E1937</v>
          </cell>
        </row>
        <row r="271">
          <cell r="A271">
            <v>260</v>
          </cell>
          <cell r="B271" t="str">
            <v>Stockport</v>
          </cell>
          <cell r="C271" t="str">
            <v>E4207</v>
          </cell>
        </row>
        <row r="272">
          <cell r="A272">
            <v>261</v>
          </cell>
          <cell r="B272" t="str">
            <v>Stockton-on-Tees</v>
          </cell>
          <cell r="C272" t="str">
            <v>E0704</v>
          </cell>
        </row>
        <row r="273">
          <cell r="A273">
            <v>262</v>
          </cell>
          <cell r="B273" t="str">
            <v>Stoke-on-Trent</v>
          </cell>
          <cell r="C273" t="str">
            <v>E3401</v>
          </cell>
        </row>
        <row r="274">
          <cell r="A274">
            <v>263</v>
          </cell>
          <cell r="B274" t="str">
            <v>Stratford-on-Avon</v>
          </cell>
          <cell r="C274" t="str">
            <v>E3734</v>
          </cell>
        </row>
        <row r="275">
          <cell r="A275">
            <v>264</v>
          </cell>
          <cell r="B275" t="str">
            <v>Stroud</v>
          </cell>
          <cell r="C275" t="str">
            <v>E1635</v>
          </cell>
        </row>
        <row r="276">
          <cell r="A276">
            <v>265</v>
          </cell>
          <cell r="B276" t="str">
            <v>Suffolk Coastal</v>
          </cell>
          <cell r="C276" t="str">
            <v>E3536</v>
          </cell>
        </row>
        <row r="277">
          <cell r="A277">
            <v>266</v>
          </cell>
          <cell r="B277" t="str">
            <v>Sunderland</v>
          </cell>
          <cell r="C277" t="str">
            <v>E4505</v>
          </cell>
        </row>
        <row r="278">
          <cell r="A278">
            <v>267</v>
          </cell>
          <cell r="B278" t="str">
            <v>Surrey Heath</v>
          </cell>
          <cell r="C278" t="str">
            <v>E3638</v>
          </cell>
        </row>
        <row r="279">
          <cell r="A279">
            <v>268</v>
          </cell>
          <cell r="B279" t="str">
            <v>Sutton</v>
          </cell>
          <cell r="C279" t="str">
            <v>E5048</v>
          </cell>
        </row>
        <row r="280">
          <cell r="A280">
            <v>269</v>
          </cell>
          <cell r="B280" t="str">
            <v>Swale</v>
          </cell>
          <cell r="C280" t="str">
            <v>E2241</v>
          </cell>
        </row>
        <row r="281">
          <cell r="A281">
            <v>270</v>
          </cell>
          <cell r="B281" t="str">
            <v>Swindon</v>
          </cell>
          <cell r="C281" t="str">
            <v>E3901</v>
          </cell>
        </row>
        <row r="282">
          <cell r="A282">
            <v>271</v>
          </cell>
          <cell r="B282" t="str">
            <v>Tameside</v>
          </cell>
          <cell r="C282" t="str">
            <v>E4208</v>
          </cell>
        </row>
        <row r="283">
          <cell r="A283">
            <v>272</v>
          </cell>
          <cell r="B283" t="str">
            <v>Tamworth</v>
          </cell>
          <cell r="C283" t="str">
            <v>E3439</v>
          </cell>
        </row>
        <row r="284">
          <cell r="A284">
            <v>273</v>
          </cell>
          <cell r="B284" t="str">
            <v>Tandridge</v>
          </cell>
          <cell r="C284" t="str">
            <v>E3639</v>
          </cell>
        </row>
        <row r="285">
          <cell r="A285">
            <v>274</v>
          </cell>
          <cell r="B285" t="str">
            <v>Taunton Deane</v>
          </cell>
          <cell r="C285" t="str">
            <v>E3333</v>
          </cell>
        </row>
        <row r="286">
          <cell r="A286">
            <v>275</v>
          </cell>
          <cell r="B286" t="str">
            <v>Teignbridge</v>
          </cell>
          <cell r="C286" t="str">
            <v>E1137</v>
          </cell>
        </row>
        <row r="287">
          <cell r="A287">
            <v>276</v>
          </cell>
          <cell r="B287" t="str">
            <v>Telford and the Wrekin</v>
          </cell>
          <cell r="C287" t="str">
            <v>E3201</v>
          </cell>
        </row>
        <row r="288">
          <cell r="A288">
            <v>277</v>
          </cell>
          <cell r="B288" t="str">
            <v>Tendring</v>
          </cell>
          <cell r="C288" t="str">
            <v>E1542</v>
          </cell>
        </row>
        <row r="289">
          <cell r="A289">
            <v>278</v>
          </cell>
          <cell r="B289" t="str">
            <v>Test Valley</v>
          </cell>
          <cell r="C289" t="str">
            <v>E1742</v>
          </cell>
        </row>
        <row r="290">
          <cell r="A290">
            <v>279</v>
          </cell>
          <cell r="B290" t="str">
            <v>Tewkesbury</v>
          </cell>
          <cell r="C290" t="str">
            <v>E1636</v>
          </cell>
        </row>
        <row r="291">
          <cell r="A291">
            <v>280</v>
          </cell>
          <cell r="B291" t="str">
            <v>Thanet</v>
          </cell>
          <cell r="C291" t="str">
            <v>E2242</v>
          </cell>
        </row>
        <row r="292">
          <cell r="A292">
            <v>281</v>
          </cell>
          <cell r="B292" t="str">
            <v>Three Rivers</v>
          </cell>
          <cell r="C292" t="str">
            <v>E1938</v>
          </cell>
        </row>
        <row r="293">
          <cell r="A293">
            <v>282</v>
          </cell>
          <cell r="B293" t="str">
            <v>Thurrock</v>
          </cell>
          <cell r="C293" t="str">
            <v>E1502</v>
          </cell>
        </row>
        <row r="294">
          <cell r="A294">
            <v>283</v>
          </cell>
          <cell r="B294" t="str">
            <v>Tonbridge and Malling</v>
          </cell>
          <cell r="C294" t="str">
            <v>E2243</v>
          </cell>
        </row>
        <row r="295">
          <cell r="A295">
            <v>284</v>
          </cell>
          <cell r="B295" t="str">
            <v>Torbay</v>
          </cell>
          <cell r="C295" t="str">
            <v>E1102</v>
          </cell>
        </row>
        <row r="296">
          <cell r="A296">
            <v>285</v>
          </cell>
          <cell r="B296" t="str">
            <v>Torridge</v>
          </cell>
          <cell r="C296" t="str">
            <v>E1139</v>
          </cell>
        </row>
        <row r="297">
          <cell r="A297">
            <v>286</v>
          </cell>
          <cell r="B297" t="str">
            <v>Tower Hamlets</v>
          </cell>
          <cell r="C297" t="str">
            <v>E5020</v>
          </cell>
        </row>
        <row r="298">
          <cell r="A298">
            <v>287</v>
          </cell>
          <cell r="B298" t="str">
            <v>Trafford</v>
          </cell>
          <cell r="C298" t="str">
            <v>E4209</v>
          </cell>
        </row>
        <row r="299">
          <cell r="A299">
            <v>288</v>
          </cell>
          <cell r="B299" t="str">
            <v>Tunbridge Wells</v>
          </cell>
          <cell r="C299" t="str">
            <v>E2244</v>
          </cell>
        </row>
        <row r="300">
          <cell r="A300">
            <v>289</v>
          </cell>
          <cell r="B300" t="str">
            <v>Uttlesford</v>
          </cell>
          <cell r="C300" t="str">
            <v>E1544</v>
          </cell>
        </row>
        <row r="301">
          <cell r="A301">
            <v>290</v>
          </cell>
          <cell r="B301" t="str">
            <v>Vale of White Horse</v>
          </cell>
          <cell r="C301" t="str">
            <v>E3134</v>
          </cell>
        </row>
        <row r="302">
          <cell r="A302">
            <v>291</v>
          </cell>
          <cell r="B302" t="str">
            <v>Wakefield</v>
          </cell>
          <cell r="C302" t="str">
            <v>E4705</v>
          </cell>
        </row>
        <row r="303">
          <cell r="A303">
            <v>292</v>
          </cell>
          <cell r="B303" t="str">
            <v>Walsall</v>
          </cell>
          <cell r="C303" t="str">
            <v>E4606</v>
          </cell>
        </row>
        <row r="304">
          <cell r="A304">
            <v>293</v>
          </cell>
          <cell r="B304" t="str">
            <v>Waltham Forest</v>
          </cell>
          <cell r="C304" t="str">
            <v>E5049</v>
          </cell>
        </row>
        <row r="305">
          <cell r="A305">
            <v>294</v>
          </cell>
          <cell r="B305" t="str">
            <v>Wandsworth</v>
          </cell>
          <cell r="C305" t="str">
            <v>E5021</v>
          </cell>
        </row>
        <row r="306">
          <cell r="A306">
            <v>295</v>
          </cell>
          <cell r="B306" t="str">
            <v>Warrington</v>
          </cell>
          <cell r="C306" t="str">
            <v>E0602</v>
          </cell>
        </row>
        <row r="307">
          <cell r="A307">
            <v>296</v>
          </cell>
          <cell r="B307" t="str">
            <v>Warwick</v>
          </cell>
          <cell r="C307" t="str">
            <v>E3735</v>
          </cell>
        </row>
        <row r="308">
          <cell r="A308">
            <v>297</v>
          </cell>
          <cell r="B308" t="str">
            <v>Watford</v>
          </cell>
          <cell r="C308" t="str">
            <v>E1939</v>
          </cell>
        </row>
        <row r="309">
          <cell r="A309">
            <v>298</v>
          </cell>
          <cell r="B309" t="str">
            <v>Waveney</v>
          </cell>
          <cell r="C309" t="str">
            <v>E3537</v>
          </cell>
        </row>
        <row r="310">
          <cell r="A310">
            <v>299</v>
          </cell>
          <cell r="B310" t="str">
            <v>Waverley</v>
          </cell>
          <cell r="C310" t="str">
            <v>E3640</v>
          </cell>
        </row>
        <row r="311">
          <cell r="A311">
            <v>300</v>
          </cell>
          <cell r="B311" t="str">
            <v>Wealden</v>
          </cell>
          <cell r="C311" t="str">
            <v>E1437</v>
          </cell>
        </row>
        <row r="312">
          <cell r="A312">
            <v>301</v>
          </cell>
          <cell r="B312" t="str">
            <v>Wellingborough</v>
          </cell>
          <cell r="C312" t="str">
            <v>E2837</v>
          </cell>
        </row>
        <row r="313">
          <cell r="A313">
            <v>302</v>
          </cell>
          <cell r="B313" t="str">
            <v>Welwyn Hatfield</v>
          </cell>
          <cell r="C313" t="str">
            <v>E1940</v>
          </cell>
        </row>
        <row r="314">
          <cell r="A314">
            <v>303</v>
          </cell>
          <cell r="B314" t="str">
            <v>West Berkshire</v>
          </cell>
          <cell r="C314" t="str">
            <v>E0302</v>
          </cell>
        </row>
        <row r="315">
          <cell r="A315">
            <v>304</v>
          </cell>
          <cell r="B315" t="str">
            <v>West Devon</v>
          </cell>
          <cell r="C315" t="str">
            <v>E1140</v>
          </cell>
        </row>
        <row r="316">
          <cell r="A316">
            <v>305</v>
          </cell>
          <cell r="B316" t="str">
            <v>West Dorset</v>
          </cell>
          <cell r="C316" t="str">
            <v>E1237</v>
          </cell>
        </row>
        <row r="317">
          <cell r="A317">
            <v>306</v>
          </cell>
          <cell r="B317" t="str">
            <v>West Lancashire</v>
          </cell>
          <cell r="C317" t="str">
            <v>E2343</v>
          </cell>
        </row>
        <row r="318">
          <cell r="A318">
            <v>307</v>
          </cell>
          <cell r="B318" t="str">
            <v>West Lindsey</v>
          </cell>
          <cell r="C318" t="str">
            <v>E2537</v>
          </cell>
        </row>
        <row r="319">
          <cell r="A319">
            <v>308</v>
          </cell>
          <cell r="B319" t="str">
            <v>West Oxfordshire</v>
          </cell>
          <cell r="C319" t="str">
            <v>E3135</v>
          </cell>
        </row>
        <row r="320">
          <cell r="A320">
            <v>309</v>
          </cell>
          <cell r="B320" t="str">
            <v>West Somerset</v>
          </cell>
          <cell r="C320" t="str">
            <v>E3335</v>
          </cell>
        </row>
        <row r="321">
          <cell r="A321">
            <v>310</v>
          </cell>
          <cell r="B321" t="str">
            <v>Westminster</v>
          </cell>
          <cell r="C321" t="str">
            <v>E5022</v>
          </cell>
        </row>
        <row r="322">
          <cell r="A322">
            <v>311</v>
          </cell>
          <cell r="B322" t="str">
            <v>Weymouth and Portland</v>
          </cell>
          <cell r="C322" t="str">
            <v>E1238</v>
          </cell>
        </row>
        <row r="323">
          <cell r="A323">
            <v>312</v>
          </cell>
          <cell r="B323" t="str">
            <v>Wigan</v>
          </cell>
          <cell r="C323" t="str">
            <v>E4210</v>
          </cell>
        </row>
        <row r="324">
          <cell r="A324">
            <v>313</v>
          </cell>
          <cell r="B324" t="str">
            <v>Wiltshire UA</v>
          </cell>
          <cell r="C324" t="str">
            <v>E3902</v>
          </cell>
        </row>
        <row r="325">
          <cell r="A325">
            <v>314</v>
          </cell>
          <cell r="B325" t="str">
            <v>Winchester</v>
          </cell>
          <cell r="C325" t="str">
            <v>E1743</v>
          </cell>
        </row>
        <row r="326">
          <cell r="A326">
            <v>315</v>
          </cell>
          <cell r="B326" t="str">
            <v>Windsor and Maidenhead</v>
          </cell>
          <cell r="C326" t="str">
            <v>E0305</v>
          </cell>
        </row>
        <row r="327">
          <cell r="A327">
            <v>316</v>
          </cell>
          <cell r="B327" t="str">
            <v>Wirral</v>
          </cell>
          <cell r="C327" t="str">
            <v>E4305</v>
          </cell>
        </row>
        <row r="328">
          <cell r="A328">
            <v>317</v>
          </cell>
          <cell r="B328" t="str">
            <v>Woking</v>
          </cell>
          <cell r="C328" t="str">
            <v>E3641</v>
          </cell>
        </row>
        <row r="329">
          <cell r="A329">
            <v>318</v>
          </cell>
          <cell r="B329" t="str">
            <v>Wokingham</v>
          </cell>
          <cell r="C329" t="str">
            <v>E0306</v>
          </cell>
        </row>
        <row r="330">
          <cell r="A330">
            <v>319</v>
          </cell>
          <cell r="B330" t="str">
            <v>Wolverhampton</v>
          </cell>
          <cell r="C330" t="str">
            <v>E4607</v>
          </cell>
        </row>
        <row r="331">
          <cell r="A331">
            <v>320</v>
          </cell>
          <cell r="B331" t="str">
            <v>Worcester</v>
          </cell>
          <cell r="C331" t="str">
            <v>E1837</v>
          </cell>
        </row>
        <row r="332">
          <cell r="A332">
            <v>321</v>
          </cell>
          <cell r="B332" t="str">
            <v>Worthing</v>
          </cell>
          <cell r="C332" t="str">
            <v>E3837</v>
          </cell>
        </row>
        <row r="333">
          <cell r="A333">
            <v>322</v>
          </cell>
          <cell r="B333" t="str">
            <v>Wychavon</v>
          </cell>
          <cell r="C333" t="str">
            <v>E1838</v>
          </cell>
        </row>
        <row r="334">
          <cell r="A334">
            <v>323</v>
          </cell>
          <cell r="B334" t="str">
            <v>Wycombe</v>
          </cell>
          <cell r="C334" t="str">
            <v>E0435</v>
          </cell>
        </row>
        <row r="335">
          <cell r="A335">
            <v>324</v>
          </cell>
          <cell r="B335" t="str">
            <v>Wyre</v>
          </cell>
          <cell r="C335" t="str">
            <v>E2344</v>
          </cell>
        </row>
        <row r="336">
          <cell r="A336">
            <v>325</v>
          </cell>
          <cell r="B336" t="str">
            <v>Wyre Forest</v>
          </cell>
          <cell r="C336" t="str">
            <v>E1839</v>
          </cell>
        </row>
        <row r="337">
          <cell r="A337">
            <v>326</v>
          </cell>
          <cell r="B337" t="str">
            <v>York</v>
          </cell>
          <cell r="C337" t="str">
            <v>E2701</v>
          </cell>
        </row>
        <row r="338">
          <cell r="A338">
            <v>327</v>
          </cell>
          <cell r="B338" t="str">
            <v>ZZZZ</v>
          </cell>
          <cell r="C338" t="str">
            <v>EZZZZ</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s MD"/>
      <sheetName val="Totals LB"/>
      <sheetName val="Totals UA"/>
      <sheetName val="Totals SD"/>
      <sheetName val="part1"/>
      <sheetName val="part1x"/>
      <sheetName val="part2"/>
      <sheetName val="part2x"/>
      <sheetName val="part3"/>
      <sheetName val="part3x"/>
      <sheetName val="part4"/>
      <sheetName val="part4x"/>
      <sheetName val="part5"/>
      <sheetName val="part5x"/>
      <sheetName val="extra pivot table checks"/>
      <sheetName val="da summary"/>
      <sheetName val="da summaryx"/>
      <sheetName val="da count check"/>
      <sheetName val="form status"/>
      <sheetName val="Totals"/>
      <sheetName val="Data"/>
      <sheetName val="EZ List in 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D2" t="str">
            <v>DA Name</v>
          </cell>
          <cell r="E2" t="str">
            <v xml:space="preserve">Net amount receivable from rate payers after taking account of transitional adjustments, empty property rate, mandatory and discretionary reliefs and accounting adjustments </v>
          </cell>
          <cell r="F2" t="str">
            <v xml:space="preserve"> Renewable Energy</v>
          </cell>
          <cell r="G2" t="str">
            <v xml:space="preserve">Transitional Protection Payment  </v>
          </cell>
          <cell r="H2" t="str">
            <v>Baseline</v>
          </cell>
          <cell r="I2" t="str">
            <v>Total Disregarded Amounts</v>
          </cell>
          <cell r="J2" t="str">
            <v>Relief Given to Case A Hereditaments</v>
          </cell>
          <cell r="K2" t="str">
            <v>Compensation Due</v>
          </cell>
        </row>
        <row r="3">
          <cell r="B3" t="str">
            <v>E0431EZ1</v>
          </cell>
          <cell r="C3" t="str">
            <v>Aylesbury Vale</v>
          </cell>
          <cell r="D3" t="str">
            <v>Buckinghamshire Thames Valley: Silverstone</v>
          </cell>
          <cell r="E3">
            <v>208743</v>
          </cell>
          <cell r="F3">
            <v>0</v>
          </cell>
          <cell r="G3">
            <v>0</v>
          </cell>
          <cell r="H3">
            <v>0</v>
          </cell>
          <cell r="I3">
            <v>208743</v>
          </cell>
          <cell r="J3">
            <v>0</v>
          </cell>
          <cell r="K3">
            <v>0</v>
          </cell>
        </row>
        <row r="4">
          <cell r="B4" t="str">
            <v>E0431EZ2</v>
          </cell>
          <cell r="C4" t="str">
            <v>Aylesbury Vale</v>
          </cell>
          <cell r="D4" t="str">
            <v>Buckinghamshire Thames Valley: Aria/Woodlands</v>
          </cell>
          <cell r="E4">
            <v>0</v>
          </cell>
          <cell r="F4">
            <v>0</v>
          </cell>
          <cell r="G4">
            <v>0</v>
          </cell>
          <cell r="H4">
            <v>0</v>
          </cell>
          <cell r="I4">
            <v>0</v>
          </cell>
          <cell r="J4">
            <v>0</v>
          </cell>
          <cell r="K4">
            <v>0</v>
          </cell>
        </row>
        <row r="5">
          <cell r="B5" t="str">
            <v>E0431EZ3</v>
          </cell>
          <cell r="C5" t="str">
            <v>Aylesbury Vale</v>
          </cell>
          <cell r="D5" t="str">
            <v>Buckinghamshire Thames Valley: Westcott</v>
          </cell>
          <cell r="E5">
            <v>22576</v>
          </cell>
          <cell r="F5">
            <v>0</v>
          </cell>
          <cell r="G5">
            <v>0</v>
          </cell>
          <cell r="H5">
            <v>25581</v>
          </cell>
          <cell r="I5">
            <v>0</v>
          </cell>
          <cell r="J5">
            <v>0</v>
          </cell>
          <cell r="K5">
            <v>0</v>
          </cell>
        </row>
        <row r="6">
          <cell r="B6" t="str">
            <v>E4401EZ1</v>
          </cell>
          <cell r="C6" t="str">
            <v>Barnsley</v>
          </cell>
          <cell r="D6" t="str">
            <v>Sheffield City Region Barnsley</v>
          </cell>
          <cell r="E6">
            <v>532852</v>
          </cell>
          <cell r="F6">
            <v>0</v>
          </cell>
          <cell r="G6">
            <v>0</v>
          </cell>
          <cell r="H6">
            <v>89844</v>
          </cell>
          <cell r="I6">
            <v>443008</v>
          </cell>
          <cell r="J6">
            <v>306688</v>
          </cell>
          <cell r="K6">
            <v>311123.57024793391</v>
          </cell>
        </row>
        <row r="7">
          <cell r="B7" t="str">
            <v>E0101EZ1</v>
          </cell>
          <cell r="C7" t="str">
            <v>Bath &amp; North East Somerset</v>
          </cell>
          <cell r="D7" t="str">
            <v>Bath and North East Somerset</v>
          </cell>
          <cell r="E7">
            <v>5521666</v>
          </cell>
          <cell r="F7">
            <v>0</v>
          </cell>
          <cell r="G7">
            <v>246</v>
          </cell>
          <cell r="H7">
            <v>4927042</v>
          </cell>
          <cell r="I7">
            <v>594870</v>
          </cell>
          <cell r="J7">
            <v>0</v>
          </cell>
          <cell r="K7">
            <v>0</v>
          </cell>
        </row>
        <row r="8">
          <cell r="B8" t="str">
            <v>E4601EZ1</v>
          </cell>
          <cell r="C8" t="str">
            <v>Birmingham</v>
          </cell>
          <cell r="D8" t="str">
            <v>Birmingham City Centre</v>
          </cell>
          <cell r="E8">
            <v>7739308</v>
          </cell>
          <cell r="F8">
            <v>0</v>
          </cell>
          <cell r="G8">
            <v>-2196</v>
          </cell>
          <cell r="H8">
            <v>4060102</v>
          </cell>
          <cell r="I8">
            <v>3677010</v>
          </cell>
          <cell r="J8">
            <v>910956</v>
          </cell>
          <cell r="K8">
            <v>924130.98347107437</v>
          </cell>
        </row>
        <row r="9">
          <cell r="B9" t="str">
            <v>E4601EZ2</v>
          </cell>
          <cell r="C9" t="str">
            <v>Birmingham</v>
          </cell>
          <cell r="D9" t="str">
            <v>Birmingham City Centre Curzon Extension</v>
          </cell>
          <cell r="E9">
            <v>6589197</v>
          </cell>
          <cell r="F9">
            <v>0</v>
          </cell>
          <cell r="G9">
            <v>-9533</v>
          </cell>
          <cell r="H9">
            <v>6579664</v>
          </cell>
          <cell r="I9">
            <v>0</v>
          </cell>
          <cell r="J9">
            <v>0</v>
          </cell>
          <cell r="K9">
            <v>0</v>
          </cell>
        </row>
        <row r="10">
          <cell r="B10" t="str">
            <v>E0102EZ1</v>
          </cell>
          <cell r="C10" t="str">
            <v>Bristol</v>
          </cell>
          <cell r="D10" t="str">
            <v>West of England</v>
          </cell>
          <cell r="E10">
            <v>12856813</v>
          </cell>
          <cell r="F10">
            <v>0</v>
          </cell>
          <cell r="G10">
            <v>0</v>
          </cell>
          <cell r="H10">
            <v>13351283</v>
          </cell>
          <cell r="I10">
            <v>0</v>
          </cell>
          <cell r="J10">
            <v>1206903</v>
          </cell>
          <cell r="K10">
            <v>1224358.2086776861</v>
          </cell>
        </row>
        <row r="11">
          <cell r="B11" t="str">
            <v>E0102EZ2</v>
          </cell>
          <cell r="C11" t="str">
            <v>Bristol</v>
          </cell>
          <cell r="D11" t="str">
            <v>Bristol City</v>
          </cell>
          <cell r="E11">
            <v>11254644</v>
          </cell>
          <cell r="F11">
            <v>489167</v>
          </cell>
          <cell r="G11">
            <v>-25570</v>
          </cell>
          <cell r="H11">
            <v>6638996</v>
          </cell>
          <cell r="I11">
            <v>4100911</v>
          </cell>
          <cell r="J11">
            <v>0</v>
          </cell>
          <cell r="K11">
            <v>0</v>
          </cell>
        </row>
        <row r="12">
          <cell r="B12" t="str">
            <v>E3033EZ1</v>
          </cell>
          <cell r="C12" t="str">
            <v>Broxtowe</v>
          </cell>
          <cell r="D12" t="str">
            <v>Nottingham Broxtowe</v>
          </cell>
          <cell r="E12">
            <v>557886</v>
          </cell>
          <cell r="F12">
            <v>0</v>
          </cell>
          <cell r="G12">
            <v>0</v>
          </cell>
          <cell r="H12">
            <v>1130039</v>
          </cell>
          <cell r="I12">
            <v>0</v>
          </cell>
          <cell r="J12">
            <v>71230</v>
          </cell>
          <cell r="K12">
            <v>72260.18595041323</v>
          </cell>
        </row>
        <row r="13">
          <cell r="B13" t="str">
            <v>E0933EZ1</v>
          </cell>
          <cell r="C13" t="str">
            <v>Carlisle</v>
          </cell>
          <cell r="D13" t="str">
            <v>Carlisle Kingmoor Park</v>
          </cell>
          <cell r="E13">
            <v>1477672</v>
          </cell>
          <cell r="F13">
            <v>876</v>
          </cell>
          <cell r="G13">
            <v>0</v>
          </cell>
          <cell r="H13">
            <v>1536785</v>
          </cell>
          <cell r="I13">
            <v>0</v>
          </cell>
          <cell r="J13">
            <v>0</v>
          </cell>
          <cell r="K13">
            <v>0</v>
          </cell>
        </row>
        <row r="14">
          <cell r="B14" t="str">
            <v>E0603EZ1</v>
          </cell>
          <cell r="C14" t="str">
            <v>Cheshire East UA</v>
          </cell>
          <cell r="D14" t="str">
            <v>Cheshire &amp; Warrington Science Corridor: Alderley Park</v>
          </cell>
          <cell r="E14">
            <v>3462283</v>
          </cell>
          <cell r="F14">
            <v>0</v>
          </cell>
          <cell r="G14">
            <v>0</v>
          </cell>
          <cell r="H14">
            <v>2467698</v>
          </cell>
          <cell r="I14">
            <v>994585</v>
          </cell>
          <cell r="J14">
            <v>5288</v>
          </cell>
          <cell r="K14">
            <v>5364.4793388429753</v>
          </cell>
        </row>
        <row r="15">
          <cell r="B15" t="str">
            <v>E0604EZ1</v>
          </cell>
          <cell r="C15" t="str">
            <v>Cheshire West and Chester UA</v>
          </cell>
          <cell r="D15" t="str">
            <v>Cheshire &amp; Warrington Science Corridor: South Road</v>
          </cell>
          <cell r="E15">
            <v>146615</v>
          </cell>
          <cell r="F15">
            <v>0</v>
          </cell>
          <cell r="G15">
            <v>0</v>
          </cell>
          <cell r="H15">
            <v>146647</v>
          </cell>
          <cell r="I15">
            <v>0</v>
          </cell>
          <cell r="J15">
            <v>0</v>
          </cell>
          <cell r="K15">
            <v>0</v>
          </cell>
        </row>
        <row r="16">
          <cell r="B16" t="str">
            <v>E0604EZ2</v>
          </cell>
          <cell r="C16" t="str">
            <v>Cheshire West and Chester UA</v>
          </cell>
          <cell r="D16" t="str">
            <v>Cheshire &amp; Warrington Science Corridor: Cloister Way (Andrews)</v>
          </cell>
          <cell r="E16">
            <v>0</v>
          </cell>
          <cell r="F16">
            <v>0</v>
          </cell>
          <cell r="G16">
            <v>0</v>
          </cell>
          <cell r="H16">
            <v>0</v>
          </cell>
          <cell r="I16">
            <v>0</v>
          </cell>
          <cell r="J16">
            <v>0</v>
          </cell>
          <cell r="K16">
            <v>0</v>
          </cell>
        </row>
        <row r="17">
          <cell r="B17" t="str">
            <v>E0604EZ3</v>
          </cell>
          <cell r="C17" t="str">
            <v>Cheshire West and Chester UA</v>
          </cell>
          <cell r="D17" t="str">
            <v>Cheshire &amp; Warrington Science Corridor: Cloister Way (CWAC)</v>
          </cell>
          <cell r="E17">
            <v>0</v>
          </cell>
          <cell r="F17">
            <v>0</v>
          </cell>
          <cell r="G17">
            <v>0</v>
          </cell>
          <cell r="H17">
            <v>0</v>
          </cell>
          <cell r="I17">
            <v>0</v>
          </cell>
          <cell r="J17">
            <v>0</v>
          </cell>
          <cell r="K17">
            <v>0</v>
          </cell>
        </row>
        <row r="18">
          <cell r="B18" t="str">
            <v>E0604EZ4</v>
          </cell>
          <cell r="C18" t="str">
            <v>Cheshire West and Chester UA</v>
          </cell>
          <cell r="D18" t="str">
            <v>Cheshire &amp; Warrington Science Corridor: (Dutton Green)</v>
          </cell>
          <cell r="E18">
            <v>0</v>
          </cell>
          <cell r="F18">
            <v>0</v>
          </cell>
          <cell r="G18">
            <v>0</v>
          </cell>
          <cell r="H18">
            <v>0</v>
          </cell>
          <cell r="I18">
            <v>0</v>
          </cell>
          <cell r="J18">
            <v>0</v>
          </cell>
          <cell r="K18">
            <v>0</v>
          </cell>
        </row>
        <row r="19">
          <cell r="B19" t="str">
            <v>E0604EZ5</v>
          </cell>
          <cell r="C19" t="str">
            <v>Cheshire West and Chester UA</v>
          </cell>
          <cell r="D19" t="str">
            <v>Cheshire &amp; Warrington Science Corridor: Former DSM Land</v>
          </cell>
          <cell r="E19">
            <v>0</v>
          </cell>
          <cell r="F19">
            <v>0</v>
          </cell>
          <cell r="G19">
            <v>0</v>
          </cell>
          <cell r="H19">
            <v>0</v>
          </cell>
          <cell r="I19">
            <v>0</v>
          </cell>
          <cell r="J19">
            <v>0</v>
          </cell>
          <cell r="K19">
            <v>0</v>
          </cell>
        </row>
        <row r="20">
          <cell r="B20" t="str">
            <v>E0604EZ6</v>
          </cell>
          <cell r="C20" t="str">
            <v>Cheshire West and Chester UA</v>
          </cell>
          <cell r="D20" t="str">
            <v>Cheshire &amp; Warrington Science Corridor: New Port Business Park</v>
          </cell>
          <cell r="E20">
            <v>0</v>
          </cell>
          <cell r="F20">
            <v>0</v>
          </cell>
          <cell r="G20">
            <v>0</v>
          </cell>
          <cell r="H20">
            <v>0</v>
          </cell>
          <cell r="I20">
            <v>0</v>
          </cell>
          <cell r="J20">
            <v>0</v>
          </cell>
          <cell r="K20">
            <v>0</v>
          </cell>
        </row>
        <row r="21">
          <cell r="B21" t="str">
            <v>E0604EZ7</v>
          </cell>
          <cell r="C21" t="str">
            <v>Cheshire West and Chester UA</v>
          </cell>
          <cell r="D21" t="str">
            <v>Cheshire &amp; Warrington Science Corridor: Stanney Mill Lane</v>
          </cell>
          <cell r="E21">
            <v>0</v>
          </cell>
          <cell r="F21">
            <v>0</v>
          </cell>
          <cell r="G21">
            <v>0</v>
          </cell>
          <cell r="H21">
            <v>0</v>
          </cell>
          <cell r="I21">
            <v>0</v>
          </cell>
          <cell r="J21">
            <v>0</v>
          </cell>
          <cell r="K21">
            <v>0</v>
          </cell>
        </row>
        <row r="22">
          <cell r="B22" t="str">
            <v>E0604EZ8</v>
          </cell>
          <cell r="C22" t="str">
            <v>Cheshire West and Chester UA</v>
          </cell>
          <cell r="D22" t="str">
            <v>Cheshire &amp; Warrington Science Corridor: Thornton Science Park</v>
          </cell>
          <cell r="E22">
            <v>24380</v>
          </cell>
          <cell r="F22">
            <v>0</v>
          </cell>
          <cell r="G22">
            <v>0</v>
          </cell>
          <cell r="H22">
            <v>24385</v>
          </cell>
          <cell r="I22">
            <v>0</v>
          </cell>
          <cell r="J22">
            <v>28921</v>
          </cell>
          <cell r="K22">
            <v>29339.278925619834</v>
          </cell>
        </row>
        <row r="23">
          <cell r="B23" t="str">
            <v>E0604EZ9</v>
          </cell>
          <cell r="C23" t="str">
            <v>Cheshire West and Chester UA</v>
          </cell>
          <cell r="D23" t="str">
            <v>Cheshire &amp; Warrington Science Corridor: Hooton Park</v>
          </cell>
          <cell r="E23">
            <v>0</v>
          </cell>
          <cell r="F23">
            <v>0</v>
          </cell>
          <cell r="G23">
            <v>0</v>
          </cell>
          <cell r="H23">
            <v>0</v>
          </cell>
          <cell r="I23">
            <v>0</v>
          </cell>
          <cell r="J23">
            <v>0</v>
          </cell>
          <cell r="K23">
            <v>0</v>
          </cell>
        </row>
        <row r="24">
          <cell r="B24" t="str">
            <v>E0604EZ10</v>
          </cell>
          <cell r="C24" t="str">
            <v>Cheshire West and Chester UA</v>
          </cell>
          <cell r="D24" t="str">
            <v>Cheshire &amp; Warrington Science Corridor: Ince Park</v>
          </cell>
          <cell r="E24">
            <v>0</v>
          </cell>
          <cell r="F24">
            <v>0</v>
          </cell>
          <cell r="G24">
            <v>0</v>
          </cell>
          <cell r="H24">
            <v>0</v>
          </cell>
          <cell r="I24">
            <v>0</v>
          </cell>
          <cell r="J24">
            <v>0</v>
          </cell>
          <cell r="K24">
            <v>0</v>
          </cell>
        </row>
        <row r="25">
          <cell r="B25" t="str">
            <v>E1033EZ1</v>
          </cell>
          <cell r="C25" t="str">
            <v>Chesterfield</v>
          </cell>
          <cell r="D25" t="str">
            <v>Sheffield City Region Chesterfield</v>
          </cell>
          <cell r="E25">
            <v>408357</v>
          </cell>
          <cell r="F25">
            <v>0</v>
          </cell>
          <cell r="G25">
            <v>0</v>
          </cell>
          <cell r="H25">
            <v>0</v>
          </cell>
          <cell r="I25">
            <v>408357</v>
          </cell>
          <cell r="J25">
            <v>0</v>
          </cell>
          <cell r="K25">
            <v>0</v>
          </cell>
        </row>
        <row r="26">
          <cell r="B26" t="str">
            <v>E0801EZ1</v>
          </cell>
          <cell r="C26" t="str">
            <v>Cornwall UA</v>
          </cell>
          <cell r="D26" t="str">
            <v>Newquay Aerohub</v>
          </cell>
          <cell r="E26">
            <v>449294</v>
          </cell>
          <cell r="F26">
            <v>0</v>
          </cell>
          <cell r="G26">
            <v>0</v>
          </cell>
          <cell r="H26">
            <v>432966</v>
          </cell>
          <cell r="I26">
            <v>16328</v>
          </cell>
          <cell r="J26">
            <v>260801</v>
          </cell>
          <cell r="K26">
            <v>264572.9152892562</v>
          </cell>
        </row>
        <row r="27">
          <cell r="B27" t="str">
            <v>E0801EZ2</v>
          </cell>
          <cell r="C27" t="str">
            <v>Cornwall UA</v>
          </cell>
          <cell r="D27" t="str">
            <v>Cornwall Aerohub+ - Goonhilly Earth Station</v>
          </cell>
          <cell r="E27">
            <v>38445</v>
          </cell>
          <cell r="F27">
            <v>0</v>
          </cell>
          <cell r="G27">
            <v>0</v>
          </cell>
          <cell r="H27">
            <v>70730</v>
          </cell>
          <cell r="I27">
            <v>0</v>
          </cell>
          <cell r="J27">
            <v>22876</v>
          </cell>
          <cell r="K27">
            <v>23206.85123966942</v>
          </cell>
        </row>
        <row r="28">
          <cell r="B28" t="str">
            <v>E1301EZ1</v>
          </cell>
          <cell r="C28" t="str">
            <v>Darlington</v>
          </cell>
          <cell r="D28" t="str">
            <v>Tees Valley Growth Extension: Central Park</v>
          </cell>
          <cell r="E28">
            <v>223775</v>
          </cell>
          <cell r="F28">
            <v>0</v>
          </cell>
          <cell r="G28">
            <v>0</v>
          </cell>
          <cell r="H28">
            <v>30792</v>
          </cell>
          <cell r="I28">
            <v>192983</v>
          </cell>
          <cell r="J28">
            <v>14298</v>
          </cell>
          <cell r="K28">
            <v>14504.789256198346</v>
          </cell>
        </row>
        <row r="29">
          <cell r="B29" t="str">
            <v>E1001EZ1</v>
          </cell>
          <cell r="C29" t="str">
            <v>Derby</v>
          </cell>
          <cell r="D29" t="str">
            <v>Infinity Park</v>
          </cell>
          <cell r="E29">
            <v>63938</v>
          </cell>
          <cell r="F29">
            <v>0</v>
          </cell>
          <cell r="G29">
            <v>0</v>
          </cell>
          <cell r="H29">
            <v>0</v>
          </cell>
          <cell r="I29">
            <v>63938</v>
          </cell>
          <cell r="J29">
            <v>22066</v>
          </cell>
          <cell r="K29">
            <v>22385.136363636364</v>
          </cell>
        </row>
        <row r="30">
          <cell r="B30" t="str">
            <v>E1001EZ2</v>
          </cell>
          <cell r="C30" t="str">
            <v>Derby</v>
          </cell>
          <cell r="D30" t="str">
            <v>Infinity Park Extension</v>
          </cell>
          <cell r="E30">
            <v>0</v>
          </cell>
          <cell r="F30">
            <v>0</v>
          </cell>
          <cell r="G30">
            <v>0</v>
          </cell>
          <cell r="H30">
            <v>0</v>
          </cell>
          <cell r="I30">
            <v>0</v>
          </cell>
          <cell r="J30">
            <v>0</v>
          </cell>
          <cell r="K30">
            <v>0</v>
          </cell>
        </row>
        <row r="31">
          <cell r="B31" t="str">
            <v>E0532EZ1</v>
          </cell>
          <cell r="C31" t="str">
            <v>East Cambridgeshire</v>
          </cell>
          <cell r="D31" t="str">
            <v>Cambridge Compass: Lancaster Way</v>
          </cell>
          <cell r="E31">
            <v>191345</v>
          </cell>
          <cell r="F31">
            <v>0</v>
          </cell>
          <cell r="G31">
            <v>0</v>
          </cell>
          <cell r="H31">
            <v>191345</v>
          </cell>
          <cell r="I31">
            <v>0</v>
          </cell>
          <cell r="J31">
            <v>0</v>
          </cell>
          <cell r="K31">
            <v>0</v>
          </cell>
        </row>
        <row r="32">
          <cell r="B32" t="str">
            <v>E2001EZ1</v>
          </cell>
          <cell r="C32" t="str">
            <v>East Riding of Yorkshire</v>
          </cell>
          <cell r="D32" t="str">
            <v>Humber Port Corridor East Riding</v>
          </cell>
          <cell r="E32">
            <v>0</v>
          </cell>
          <cell r="F32">
            <v>0</v>
          </cell>
          <cell r="G32">
            <v>0</v>
          </cell>
          <cell r="H32">
            <v>0</v>
          </cell>
          <cell r="I32">
            <v>0</v>
          </cell>
          <cell r="J32">
            <v>0</v>
          </cell>
          <cell r="K32">
            <v>0</v>
          </cell>
        </row>
        <row r="33">
          <cell r="B33" t="str">
            <v>E2001EZ2</v>
          </cell>
          <cell r="C33" t="str">
            <v>East Riding of Yorkshire</v>
          </cell>
          <cell r="D33" t="str">
            <v>Humber Super Energy Cluster East Riding</v>
          </cell>
          <cell r="E33">
            <v>99400</v>
          </cell>
          <cell r="F33">
            <v>0</v>
          </cell>
          <cell r="G33">
            <v>0</v>
          </cell>
          <cell r="H33">
            <v>98517</v>
          </cell>
          <cell r="I33">
            <v>883</v>
          </cell>
          <cell r="J33">
            <v>0</v>
          </cell>
          <cell r="K33">
            <v>0</v>
          </cell>
        </row>
        <row r="34">
          <cell r="B34" t="str">
            <v>E2001EZ3</v>
          </cell>
          <cell r="C34" t="str">
            <v>East Riding of Yorkshire</v>
          </cell>
          <cell r="D34" t="str">
            <v>Humber Enterprise Zone: Capital Park Goole</v>
          </cell>
          <cell r="E34">
            <v>0</v>
          </cell>
          <cell r="F34">
            <v>0</v>
          </cell>
          <cell r="G34">
            <v>0</v>
          </cell>
          <cell r="H34">
            <v>0</v>
          </cell>
          <cell r="I34">
            <v>0</v>
          </cell>
          <cell r="J34">
            <v>0</v>
          </cell>
          <cell r="K34">
            <v>0</v>
          </cell>
        </row>
        <row r="35">
          <cell r="B35" t="str">
            <v>E2001EZ4</v>
          </cell>
          <cell r="C35" t="str">
            <v>East Riding of Yorkshire</v>
          </cell>
          <cell r="D35" t="str">
            <v>Humber Enterprise Zone: Goole 36</v>
          </cell>
          <cell r="E35">
            <v>0</v>
          </cell>
          <cell r="F35">
            <v>0</v>
          </cell>
          <cell r="G35">
            <v>0</v>
          </cell>
          <cell r="H35">
            <v>0</v>
          </cell>
          <cell r="I35">
            <v>0</v>
          </cell>
          <cell r="J35">
            <v>0</v>
          </cell>
          <cell r="K35">
            <v>0</v>
          </cell>
        </row>
        <row r="36">
          <cell r="B36" t="str">
            <v>E2001EZ5</v>
          </cell>
          <cell r="C36" t="str">
            <v>East Riding of Yorkshire</v>
          </cell>
          <cell r="D36" t="str">
            <v>Humber Enterprise Zone: Goole Intermodal Terminal</v>
          </cell>
          <cell r="E36">
            <v>0</v>
          </cell>
          <cell r="F36">
            <v>0</v>
          </cell>
          <cell r="G36">
            <v>0</v>
          </cell>
          <cell r="H36">
            <v>0</v>
          </cell>
          <cell r="I36">
            <v>0</v>
          </cell>
          <cell r="J36">
            <v>0</v>
          </cell>
          <cell r="K36">
            <v>0</v>
          </cell>
        </row>
        <row r="37">
          <cell r="B37" t="str">
            <v>E2001EZ6</v>
          </cell>
          <cell r="C37" t="str">
            <v>East Riding of Yorkshire</v>
          </cell>
          <cell r="D37" t="str">
            <v>Humber Enterprise Zone: Melton Park</v>
          </cell>
          <cell r="E37">
            <v>0</v>
          </cell>
          <cell r="F37">
            <v>0</v>
          </cell>
          <cell r="G37">
            <v>0</v>
          </cell>
          <cell r="H37">
            <v>0</v>
          </cell>
          <cell r="I37">
            <v>0</v>
          </cell>
          <cell r="J37">
            <v>0</v>
          </cell>
          <cell r="K37">
            <v>0</v>
          </cell>
        </row>
        <row r="38">
          <cell r="B38" t="str">
            <v>E2001EZ7</v>
          </cell>
          <cell r="C38" t="str">
            <v>East Riding of Yorkshire</v>
          </cell>
          <cell r="D38" t="str">
            <v>Humber Enterprise Zone: Melton West</v>
          </cell>
          <cell r="E38">
            <v>0</v>
          </cell>
          <cell r="F38">
            <v>0</v>
          </cell>
          <cell r="G38">
            <v>0</v>
          </cell>
          <cell r="H38">
            <v>0</v>
          </cell>
          <cell r="I38">
            <v>0</v>
          </cell>
          <cell r="J38">
            <v>0</v>
          </cell>
          <cell r="K38">
            <v>0</v>
          </cell>
        </row>
        <row r="39">
          <cell r="B39" t="str">
            <v>E1734EZ1</v>
          </cell>
          <cell r="C39" t="str">
            <v>Fareham</v>
          </cell>
          <cell r="D39" t="str">
            <v>Solent Fareham</v>
          </cell>
          <cell r="E39">
            <v>95972</v>
          </cell>
          <cell r="F39">
            <v>81582</v>
          </cell>
          <cell r="G39">
            <v>0</v>
          </cell>
          <cell r="H39">
            <v>99753</v>
          </cell>
          <cell r="I39">
            <v>0</v>
          </cell>
          <cell r="J39">
            <v>290157</v>
          </cell>
          <cell r="K39">
            <v>294353.48553719011</v>
          </cell>
        </row>
        <row r="40">
          <cell r="B40" t="str">
            <v>E2335EZ1</v>
          </cell>
          <cell r="C40" t="str">
            <v>Fylde</v>
          </cell>
          <cell r="D40" t="str">
            <v>Lancashire Advanced Engineering and Manufacturing Fylde</v>
          </cell>
          <cell r="E40">
            <v>2002275</v>
          </cell>
          <cell r="F40">
            <v>0</v>
          </cell>
          <cell r="G40">
            <v>0</v>
          </cell>
          <cell r="H40">
            <v>2010822</v>
          </cell>
          <cell r="I40">
            <v>0</v>
          </cell>
          <cell r="J40">
            <v>0</v>
          </cell>
          <cell r="K40">
            <v>0</v>
          </cell>
        </row>
        <row r="41">
          <cell r="B41" t="str">
            <v>E4501EZ1</v>
          </cell>
          <cell r="C41" t="str">
            <v>Gateshead</v>
          </cell>
          <cell r="D41" t="str">
            <v>Gateshead Development Area</v>
          </cell>
          <cell r="E41">
            <v>1701578</v>
          </cell>
          <cell r="F41">
            <v>0</v>
          </cell>
          <cell r="G41">
            <v>0</v>
          </cell>
          <cell r="H41">
            <v>1164622</v>
          </cell>
          <cell r="I41">
            <v>536956</v>
          </cell>
          <cell r="J41">
            <v>0</v>
          </cell>
          <cell r="K41">
            <v>0</v>
          </cell>
        </row>
        <row r="42">
          <cell r="B42" t="str">
            <v>E1735EZ1</v>
          </cell>
          <cell r="C42" t="str">
            <v>Gosport</v>
          </cell>
          <cell r="D42" t="str">
            <v>Solent Gosport</v>
          </cell>
          <cell r="E42">
            <v>264342</v>
          </cell>
          <cell r="F42">
            <v>0</v>
          </cell>
          <cell r="G42">
            <v>0</v>
          </cell>
          <cell r="H42">
            <v>439295</v>
          </cell>
          <cell r="I42">
            <v>0</v>
          </cell>
          <cell r="J42">
            <v>111897</v>
          </cell>
          <cell r="K42">
            <v>113515.34504132232</v>
          </cell>
        </row>
        <row r="43">
          <cell r="B43" t="str">
            <v>E2633EZ1</v>
          </cell>
          <cell r="C43" t="str">
            <v>Great Yarmouth</v>
          </cell>
          <cell r="D43" t="str">
            <v>New Anglia Great Yarmouth</v>
          </cell>
          <cell r="E43">
            <v>486989</v>
          </cell>
          <cell r="F43">
            <v>0</v>
          </cell>
          <cell r="G43">
            <v>0</v>
          </cell>
          <cell r="H43">
            <v>280213</v>
          </cell>
          <cell r="I43">
            <v>206776</v>
          </cell>
          <cell r="J43">
            <v>577867</v>
          </cell>
          <cell r="K43">
            <v>586224.5805785124</v>
          </cell>
        </row>
        <row r="44">
          <cell r="B44" t="str">
            <v>E0601EZ1</v>
          </cell>
          <cell r="C44" t="str">
            <v>Halton</v>
          </cell>
          <cell r="D44" t="str">
            <v>Sci-Tech Daresbury</v>
          </cell>
          <cell r="E44">
            <v>0</v>
          </cell>
          <cell r="F44">
            <v>0</v>
          </cell>
          <cell r="G44">
            <v>0</v>
          </cell>
          <cell r="H44">
            <v>33529</v>
          </cell>
          <cell r="I44">
            <v>0</v>
          </cell>
          <cell r="J44">
            <v>0</v>
          </cell>
          <cell r="K44">
            <v>0</v>
          </cell>
        </row>
        <row r="45">
          <cell r="B45" t="str">
            <v>E1538EZ1</v>
          </cell>
          <cell r="C45" t="str">
            <v>Harlow</v>
          </cell>
          <cell r="D45" t="str">
            <v>Harlow</v>
          </cell>
          <cell r="E45">
            <v>2811431</v>
          </cell>
          <cell r="F45">
            <v>0</v>
          </cell>
          <cell r="G45">
            <v>0</v>
          </cell>
          <cell r="H45">
            <v>2963047</v>
          </cell>
          <cell r="I45">
            <v>0</v>
          </cell>
          <cell r="J45">
            <v>0</v>
          </cell>
          <cell r="K45">
            <v>0</v>
          </cell>
        </row>
        <row r="46">
          <cell r="B46" t="str">
            <v>E0701EZ1</v>
          </cell>
          <cell r="C46" t="str">
            <v>Hartlepool</v>
          </cell>
          <cell r="D46" t="str">
            <v>Tees Valley Hartlepool</v>
          </cell>
          <cell r="E46">
            <v>0</v>
          </cell>
          <cell r="F46">
            <v>0</v>
          </cell>
          <cell r="G46">
            <v>0</v>
          </cell>
          <cell r="H46">
            <v>0</v>
          </cell>
          <cell r="I46">
            <v>0</v>
          </cell>
          <cell r="J46">
            <v>129482</v>
          </cell>
          <cell r="K46">
            <v>131354.67355371901</v>
          </cell>
        </row>
        <row r="47">
          <cell r="B47" t="str">
            <v>E1801EZ1</v>
          </cell>
          <cell r="C47" t="str">
            <v>Herefordshire</v>
          </cell>
          <cell r="D47" t="str">
            <v>Hereford</v>
          </cell>
          <cell r="E47">
            <v>302555</v>
          </cell>
          <cell r="F47">
            <v>0</v>
          </cell>
          <cell r="G47">
            <v>0</v>
          </cell>
          <cell r="H47">
            <v>236492</v>
          </cell>
          <cell r="I47">
            <v>66063</v>
          </cell>
          <cell r="J47">
            <v>310203</v>
          </cell>
          <cell r="K47">
            <v>314689.40702479339</v>
          </cell>
        </row>
        <row r="48">
          <cell r="B48" t="str">
            <v>E2434EZ1</v>
          </cell>
          <cell r="C48" t="str">
            <v>Hinckley and Bosworth</v>
          </cell>
          <cell r="D48" t="str">
            <v>MIRA Technology Park</v>
          </cell>
          <cell r="E48">
            <v>942572</v>
          </cell>
          <cell r="F48">
            <v>0</v>
          </cell>
          <cell r="G48">
            <v>0</v>
          </cell>
          <cell r="H48">
            <v>915012</v>
          </cell>
          <cell r="I48">
            <v>27560</v>
          </cell>
          <cell r="J48">
            <v>380450</v>
          </cell>
          <cell r="K48">
            <v>385952.37603305787</v>
          </cell>
        </row>
        <row r="49">
          <cell r="B49" t="str">
            <v>E2434EZ2</v>
          </cell>
          <cell r="C49" t="str">
            <v>Hinckley and Bosworth</v>
          </cell>
          <cell r="D49" t="str">
            <v>MIRA</v>
          </cell>
          <cell r="E49">
            <v>0</v>
          </cell>
          <cell r="F49">
            <v>0</v>
          </cell>
          <cell r="G49">
            <v>0</v>
          </cell>
          <cell r="H49">
            <v>0</v>
          </cell>
          <cell r="I49">
            <v>0</v>
          </cell>
          <cell r="J49">
            <v>0</v>
          </cell>
          <cell r="K49">
            <v>0</v>
          </cell>
        </row>
        <row r="50">
          <cell r="B50" t="str">
            <v>E0551EZ1</v>
          </cell>
          <cell r="C50" t="str">
            <v>Huntingdonshire</v>
          </cell>
          <cell r="D50" t="str">
            <v>Alconbury Enterprise Campus</v>
          </cell>
          <cell r="E50">
            <v>349791</v>
          </cell>
          <cell r="F50">
            <v>0</v>
          </cell>
          <cell r="G50">
            <v>-30388</v>
          </cell>
          <cell r="H50">
            <v>642108</v>
          </cell>
          <cell r="I50">
            <v>0</v>
          </cell>
          <cell r="J50">
            <v>204880</v>
          </cell>
          <cell r="K50">
            <v>207843.14049586776</v>
          </cell>
        </row>
        <row r="51">
          <cell r="B51" t="str">
            <v>E3533EZ1</v>
          </cell>
          <cell r="C51" t="str">
            <v>Ipswich</v>
          </cell>
          <cell r="D51" t="str">
            <v>New Anglia: Futura Park</v>
          </cell>
          <cell r="E51">
            <v>0</v>
          </cell>
          <cell r="F51">
            <v>0</v>
          </cell>
          <cell r="G51">
            <v>0</v>
          </cell>
          <cell r="H51">
            <v>0</v>
          </cell>
          <cell r="I51">
            <v>0</v>
          </cell>
          <cell r="J51">
            <v>0</v>
          </cell>
          <cell r="K51">
            <v>0</v>
          </cell>
        </row>
        <row r="52">
          <cell r="B52" t="str">
            <v>E3533EZ2</v>
          </cell>
          <cell r="C52" t="str">
            <v>Ipswich</v>
          </cell>
          <cell r="D52" t="str">
            <v>New Anglia: Princes Street</v>
          </cell>
          <cell r="E52">
            <v>0</v>
          </cell>
          <cell r="F52">
            <v>0</v>
          </cell>
          <cell r="G52">
            <v>0</v>
          </cell>
          <cell r="H52">
            <v>186217</v>
          </cell>
          <cell r="I52">
            <v>0</v>
          </cell>
          <cell r="J52">
            <v>0</v>
          </cell>
          <cell r="K52">
            <v>0</v>
          </cell>
        </row>
        <row r="53">
          <cell r="B53" t="str">
            <v>E3533EZ3</v>
          </cell>
          <cell r="C53" t="str">
            <v>Ipswich</v>
          </cell>
          <cell r="D53" t="str">
            <v>New Anglia: Waterfront Island</v>
          </cell>
          <cell r="E53">
            <v>0</v>
          </cell>
          <cell r="F53">
            <v>0</v>
          </cell>
          <cell r="G53">
            <v>0</v>
          </cell>
          <cell r="H53">
            <v>0</v>
          </cell>
          <cell r="I53">
            <v>0</v>
          </cell>
          <cell r="J53">
            <v>0</v>
          </cell>
          <cell r="K53">
            <v>0</v>
          </cell>
        </row>
        <row r="54">
          <cell r="B54" t="str">
            <v>E2634EZ1</v>
          </cell>
          <cell r="C54" t="str">
            <v>Kings Lynn and West Norfolk</v>
          </cell>
          <cell r="D54" t="str">
            <v>New Anglia: Nar Ouse</v>
          </cell>
          <cell r="E54">
            <v>0</v>
          </cell>
          <cell r="F54">
            <v>0</v>
          </cell>
          <cell r="G54">
            <v>0</v>
          </cell>
          <cell r="H54">
            <v>0</v>
          </cell>
          <cell r="I54">
            <v>0</v>
          </cell>
          <cell r="J54">
            <v>71513</v>
          </cell>
          <cell r="K54">
            <v>72547.27892561983</v>
          </cell>
        </row>
        <row r="55">
          <cell r="B55" t="str">
            <v>E2002EZ1</v>
          </cell>
          <cell r="C55" t="str">
            <v>Kingston upon Hull</v>
          </cell>
          <cell r="D55" t="str">
            <v>Humber Port Corridor Hull</v>
          </cell>
          <cell r="E55">
            <v>13514</v>
          </cell>
          <cell r="F55">
            <v>0</v>
          </cell>
          <cell r="G55">
            <v>0</v>
          </cell>
          <cell r="H55">
            <v>0</v>
          </cell>
          <cell r="I55">
            <v>13514</v>
          </cell>
          <cell r="J55">
            <v>98644</v>
          </cell>
          <cell r="K55">
            <v>100070.6694214876</v>
          </cell>
        </row>
        <row r="56">
          <cell r="B56" t="str">
            <v>E2002EZ2</v>
          </cell>
          <cell r="C56" t="str">
            <v>Kingston upon Hull</v>
          </cell>
          <cell r="D56" t="str">
            <v>Humber Super Energy Cluster Hull</v>
          </cell>
          <cell r="E56">
            <v>0</v>
          </cell>
          <cell r="F56">
            <v>0</v>
          </cell>
          <cell r="G56">
            <v>0</v>
          </cell>
          <cell r="H56">
            <v>161831</v>
          </cell>
          <cell r="I56">
            <v>0</v>
          </cell>
          <cell r="J56">
            <v>0</v>
          </cell>
          <cell r="K56">
            <v>0</v>
          </cell>
        </row>
        <row r="57">
          <cell r="B57" t="str">
            <v>E2002EZ3</v>
          </cell>
          <cell r="C57" t="str">
            <v>Kingston upon Hull</v>
          </cell>
          <cell r="D57" t="str">
            <v>Humber Enterprise Zone: Bird’s Eye</v>
          </cell>
          <cell r="E57">
            <v>0</v>
          </cell>
          <cell r="F57">
            <v>0</v>
          </cell>
          <cell r="G57">
            <v>0</v>
          </cell>
          <cell r="H57">
            <v>0</v>
          </cell>
          <cell r="I57">
            <v>0</v>
          </cell>
          <cell r="J57">
            <v>0</v>
          </cell>
          <cell r="K57">
            <v>0</v>
          </cell>
        </row>
        <row r="58">
          <cell r="B58" t="str">
            <v>E2002EZ4</v>
          </cell>
          <cell r="C58" t="str">
            <v>Kingston upon Hull</v>
          </cell>
          <cell r="D58" t="str">
            <v>Humber Enterprise Zone: Priory Park</v>
          </cell>
          <cell r="E58">
            <v>0</v>
          </cell>
          <cell r="F58">
            <v>0</v>
          </cell>
          <cell r="G58">
            <v>0</v>
          </cell>
          <cell r="H58">
            <v>0</v>
          </cell>
          <cell r="I58">
            <v>0</v>
          </cell>
          <cell r="J58">
            <v>0</v>
          </cell>
          <cell r="K58">
            <v>0</v>
          </cell>
        </row>
        <row r="59">
          <cell r="B59" t="str">
            <v>E2002EZ5</v>
          </cell>
          <cell r="C59" t="str">
            <v>Kingston upon Hull</v>
          </cell>
          <cell r="D59" t="str">
            <v>Humber Enterprise Zone: Former Cavaghan and Gray</v>
          </cell>
          <cell r="E59">
            <v>0</v>
          </cell>
          <cell r="F59">
            <v>0</v>
          </cell>
          <cell r="G59">
            <v>0</v>
          </cell>
          <cell r="H59">
            <v>0</v>
          </cell>
          <cell r="I59">
            <v>0</v>
          </cell>
          <cell r="J59">
            <v>0</v>
          </cell>
          <cell r="K59">
            <v>0</v>
          </cell>
        </row>
        <row r="60">
          <cell r="B60" t="str">
            <v>E2002EZ6</v>
          </cell>
          <cell r="C60" t="str">
            <v>Kingston upon Hull</v>
          </cell>
          <cell r="D60" t="str">
            <v>Humber Enterprise Zone: Benchmark Pods</v>
          </cell>
          <cell r="E60">
            <v>0</v>
          </cell>
          <cell r="F60">
            <v>0</v>
          </cell>
          <cell r="G60">
            <v>0</v>
          </cell>
          <cell r="H60">
            <v>17399</v>
          </cell>
          <cell r="I60">
            <v>0</v>
          </cell>
          <cell r="J60">
            <v>0</v>
          </cell>
          <cell r="K60">
            <v>0</v>
          </cell>
        </row>
        <row r="61">
          <cell r="B61" t="str">
            <v>E2002EZ7</v>
          </cell>
          <cell r="C61" t="str">
            <v>Kingston upon Hull</v>
          </cell>
          <cell r="D61" t="str">
            <v>Humber Enterprise Zone: Energy Works</v>
          </cell>
          <cell r="E61">
            <v>0</v>
          </cell>
          <cell r="F61">
            <v>0</v>
          </cell>
          <cell r="G61">
            <v>0</v>
          </cell>
          <cell r="H61">
            <v>0</v>
          </cell>
          <cell r="I61">
            <v>0</v>
          </cell>
          <cell r="J61">
            <v>0</v>
          </cell>
          <cell r="K61">
            <v>0</v>
          </cell>
        </row>
        <row r="62">
          <cell r="B62" t="str">
            <v>E2002EZ8</v>
          </cell>
          <cell r="C62" t="str">
            <v>Kingston upon Hull</v>
          </cell>
          <cell r="D62" t="str">
            <v>Humber Enterprise Zone: Rix Stoneferry</v>
          </cell>
          <cell r="E62">
            <v>0</v>
          </cell>
          <cell r="F62">
            <v>0</v>
          </cell>
          <cell r="G62">
            <v>0</v>
          </cell>
          <cell r="H62">
            <v>9942</v>
          </cell>
          <cell r="I62">
            <v>0</v>
          </cell>
          <cell r="J62">
            <v>0</v>
          </cell>
          <cell r="K62">
            <v>0</v>
          </cell>
        </row>
        <row r="63">
          <cell r="B63" t="str">
            <v>E2002EZ9</v>
          </cell>
          <cell r="C63" t="str">
            <v>Kingston upon Hull</v>
          </cell>
          <cell r="D63" t="str">
            <v>Humber Enterprise Zone: Foster Street</v>
          </cell>
          <cell r="E63">
            <v>0</v>
          </cell>
          <cell r="F63">
            <v>0</v>
          </cell>
          <cell r="G63">
            <v>0</v>
          </cell>
          <cell r="H63">
            <v>22768</v>
          </cell>
          <cell r="I63">
            <v>0</v>
          </cell>
          <cell r="J63">
            <v>0</v>
          </cell>
          <cell r="K63">
            <v>0</v>
          </cell>
        </row>
        <row r="64">
          <cell r="B64" t="str">
            <v>E2002EZ10</v>
          </cell>
          <cell r="C64" t="str">
            <v>Kingston upon Hull</v>
          </cell>
          <cell r="D64" t="str">
            <v>Humber Enterprise Zone: Ashcourt</v>
          </cell>
          <cell r="E64">
            <v>0</v>
          </cell>
          <cell r="F64">
            <v>0</v>
          </cell>
          <cell r="G64">
            <v>0</v>
          </cell>
          <cell r="H64">
            <v>4971</v>
          </cell>
          <cell r="I64">
            <v>0</v>
          </cell>
          <cell r="J64">
            <v>0</v>
          </cell>
          <cell r="K64">
            <v>0</v>
          </cell>
        </row>
        <row r="65">
          <cell r="B65" t="str">
            <v>E2002EZ11</v>
          </cell>
          <cell r="C65" t="str">
            <v>Kingston upon Hull</v>
          </cell>
          <cell r="D65" t="str">
            <v>Humber Enterprise Zone: Former Two Wheel Centre</v>
          </cell>
          <cell r="E65">
            <v>0</v>
          </cell>
          <cell r="F65">
            <v>0</v>
          </cell>
          <cell r="G65">
            <v>0</v>
          </cell>
          <cell r="H65">
            <v>7705</v>
          </cell>
          <cell r="I65">
            <v>0</v>
          </cell>
          <cell r="J65">
            <v>0</v>
          </cell>
          <cell r="K65">
            <v>0</v>
          </cell>
        </row>
        <row r="66">
          <cell r="B66" t="str">
            <v>E2002EZ12</v>
          </cell>
          <cell r="C66" t="str">
            <v>Kingston upon Hull</v>
          </cell>
          <cell r="D66" t="str">
            <v>Humber Enterprise Zone: St Mark Street</v>
          </cell>
          <cell r="E66">
            <v>0</v>
          </cell>
          <cell r="F66">
            <v>0</v>
          </cell>
          <cell r="G66">
            <v>0</v>
          </cell>
          <cell r="H66">
            <v>3131</v>
          </cell>
          <cell r="I66">
            <v>0</v>
          </cell>
          <cell r="J66">
            <v>0</v>
          </cell>
          <cell r="K66">
            <v>0</v>
          </cell>
        </row>
        <row r="67">
          <cell r="B67" t="str">
            <v>E2002EZ13</v>
          </cell>
          <cell r="C67" t="str">
            <v>Kingston upon Hull</v>
          </cell>
          <cell r="D67" t="str">
            <v>Humber Enterprise Zone: Former LA Site</v>
          </cell>
          <cell r="E67">
            <v>0</v>
          </cell>
          <cell r="F67">
            <v>0</v>
          </cell>
          <cell r="G67">
            <v>0</v>
          </cell>
          <cell r="H67">
            <v>18765</v>
          </cell>
          <cell r="I67">
            <v>0</v>
          </cell>
          <cell r="J67">
            <v>0</v>
          </cell>
          <cell r="K67">
            <v>0</v>
          </cell>
        </row>
        <row r="68">
          <cell r="B68" t="str">
            <v>E2002EZ14</v>
          </cell>
          <cell r="C68" t="str">
            <v>Kingston upon Hull</v>
          </cell>
          <cell r="D68" t="str">
            <v>Humber Enterprise Zone: Sammy’s Point</v>
          </cell>
          <cell r="E68">
            <v>0</v>
          </cell>
          <cell r="F68">
            <v>0</v>
          </cell>
          <cell r="G68">
            <v>0</v>
          </cell>
          <cell r="H68">
            <v>0</v>
          </cell>
          <cell r="I68">
            <v>0</v>
          </cell>
          <cell r="J68">
            <v>0</v>
          </cell>
          <cell r="K68">
            <v>0</v>
          </cell>
        </row>
        <row r="69">
          <cell r="B69" t="str">
            <v>E2002EZ15</v>
          </cell>
          <cell r="C69" t="str">
            <v>Kingston upon Hull</v>
          </cell>
          <cell r="D69" t="str">
            <v>Humber Enterprise Zone: Albert Dock</v>
          </cell>
          <cell r="E69">
            <v>0</v>
          </cell>
          <cell r="F69">
            <v>0</v>
          </cell>
          <cell r="G69">
            <v>0</v>
          </cell>
          <cell r="H69">
            <v>4971</v>
          </cell>
          <cell r="I69">
            <v>0</v>
          </cell>
          <cell r="J69">
            <v>0</v>
          </cell>
          <cell r="K69">
            <v>0</v>
          </cell>
        </row>
        <row r="70">
          <cell r="B70" t="str">
            <v>E2002EZ16</v>
          </cell>
          <cell r="C70" t="str">
            <v>Kingston upon Hull</v>
          </cell>
          <cell r="D70" t="str">
            <v>Humber Enterprise Zone: John Street Car Park</v>
          </cell>
          <cell r="E70">
            <v>0</v>
          </cell>
          <cell r="F70">
            <v>0</v>
          </cell>
          <cell r="G70">
            <v>0</v>
          </cell>
          <cell r="H70">
            <v>8326</v>
          </cell>
          <cell r="I70">
            <v>0</v>
          </cell>
          <cell r="J70">
            <v>0</v>
          </cell>
          <cell r="K70">
            <v>0</v>
          </cell>
        </row>
        <row r="71">
          <cell r="B71" t="str">
            <v>E2002EZ17</v>
          </cell>
          <cell r="C71" t="str">
            <v>Kingston upon Hull</v>
          </cell>
          <cell r="D71" t="str">
            <v>Humber Enterprise Zone: Pepi’s</v>
          </cell>
          <cell r="E71">
            <v>0</v>
          </cell>
          <cell r="F71">
            <v>0</v>
          </cell>
          <cell r="G71">
            <v>0</v>
          </cell>
          <cell r="H71">
            <v>0</v>
          </cell>
          <cell r="I71">
            <v>0</v>
          </cell>
          <cell r="J71">
            <v>0</v>
          </cell>
          <cell r="K71">
            <v>0</v>
          </cell>
        </row>
        <row r="72">
          <cell r="B72" t="str">
            <v>E2002EZ18</v>
          </cell>
          <cell r="C72" t="str">
            <v>Kingston upon Hull</v>
          </cell>
          <cell r="D72" t="str">
            <v>Humber Enterprise Zone: Osborne Street</v>
          </cell>
          <cell r="E72">
            <v>0</v>
          </cell>
          <cell r="F72">
            <v>0</v>
          </cell>
          <cell r="G72">
            <v>0</v>
          </cell>
          <cell r="H72">
            <v>0</v>
          </cell>
          <cell r="I72">
            <v>0</v>
          </cell>
          <cell r="J72">
            <v>0</v>
          </cell>
          <cell r="K72">
            <v>0</v>
          </cell>
        </row>
        <row r="73">
          <cell r="B73" t="str">
            <v>E2002EZ19</v>
          </cell>
          <cell r="C73" t="str">
            <v>Kingston upon Hull</v>
          </cell>
          <cell r="D73" t="str">
            <v>Humber Enterprise Zone: Albion Street</v>
          </cell>
          <cell r="E73">
            <v>0</v>
          </cell>
          <cell r="F73">
            <v>0</v>
          </cell>
          <cell r="G73">
            <v>0</v>
          </cell>
          <cell r="H73">
            <v>21000</v>
          </cell>
          <cell r="I73">
            <v>0</v>
          </cell>
          <cell r="J73">
            <v>0</v>
          </cell>
          <cell r="K73">
            <v>0</v>
          </cell>
        </row>
        <row r="74">
          <cell r="B74" t="str">
            <v>E2002EZ20</v>
          </cell>
          <cell r="C74" t="str">
            <v>Kingston upon Hull</v>
          </cell>
          <cell r="D74" t="str">
            <v>Humber Enterprise Zone: Former Bonus Site</v>
          </cell>
          <cell r="E74">
            <v>0</v>
          </cell>
          <cell r="F74">
            <v>0</v>
          </cell>
          <cell r="G74">
            <v>0</v>
          </cell>
          <cell r="H74">
            <v>3078</v>
          </cell>
          <cell r="I74">
            <v>0</v>
          </cell>
          <cell r="J74">
            <v>0</v>
          </cell>
          <cell r="K74">
            <v>0</v>
          </cell>
        </row>
        <row r="75">
          <cell r="B75" t="str">
            <v>E2002EZ21</v>
          </cell>
          <cell r="C75" t="str">
            <v>Kingston upon Hull</v>
          </cell>
          <cell r="D75" t="str">
            <v>Humber Enterprise Zone: Somerden Road</v>
          </cell>
          <cell r="E75">
            <v>0</v>
          </cell>
          <cell r="F75">
            <v>0</v>
          </cell>
          <cell r="G75">
            <v>0</v>
          </cell>
          <cell r="H75">
            <v>49711</v>
          </cell>
          <cell r="I75">
            <v>0</v>
          </cell>
          <cell r="J75">
            <v>0</v>
          </cell>
          <cell r="K75">
            <v>0</v>
          </cell>
        </row>
        <row r="76">
          <cell r="B76" t="str">
            <v>E2002EZ22</v>
          </cell>
          <cell r="C76" t="str">
            <v>Kingston upon Hull</v>
          </cell>
          <cell r="D76" t="str">
            <v>Humber Enterprise Zone: Queen Elizabeth Dock</v>
          </cell>
          <cell r="E76">
            <v>0</v>
          </cell>
          <cell r="F76">
            <v>0</v>
          </cell>
          <cell r="G76">
            <v>0</v>
          </cell>
          <cell r="H76">
            <v>0</v>
          </cell>
          <cell r="I76">
            <v>0</v>
          </cell>
          <cell r="J76">
            <v>0</v>
          </cell>
          <cell r="K76">
            <v>0</v>
          </cell>
        </row>
        <row r="77">
          <cell r="B77" t="str">
            <v>E5017EZ1</v>
          </cell>
          <cell r="C77" t="str">
            <v>Lambeth</v>
          </cell>
          <cell r="D77" t="str">
            <v>Lambeth Nine Elms</v>
          </cell>
          <cell r="E77">
            <v>1873841</v>
          </cell>
          <cell r="F77">
            <v>0</v>
          </cell>
          <cell r="G77">
            <v>0</v>
          </cell>
          <cell r="H77">
            <v>1353295</v>
          </cell>
          <cell r="I77">
            <v>520546</v>
          </cell>
          <cell r="J77">
            <v>0</v>
          </cell>
          <cell r="K77">
            <v>0</v>
          </cell>
        </row>
        <row r="78">
          <cell r="B78" t="str">
            <v>E4704EZ1</v>
          </cell>
          <cell r="C78" t="str">
            <v>Leeds</v>
          </cell>
          <cell r="D78" t="str">
            <v>Aire Valley Leeds</v>
          </cell>
          <cell r="E78">
            <v>1674411</v>
          </cell>
          <cell r="F78">
            <v>0</v>
          </cell>
          <cell r="G78">
            <v>0</v>
          </cell>
          <cell r="H78">
            <v>948075</v>
          </cell>
          <cell r="I78">
            <v>726336</v>
          </cell>
          <cell r="J78">
            <v>576331</v>
          </cell>
          <cell r="K78">
            <v>584666.36570247938</v>
          </cell>
        </row>
        <row r="79">
          <cell r="B79" t="str">
            <v>E4302EZ1</v>
          </cell>
          <cell r="C79" t="str">
            <v>Liverpool</v>
          </cell>
          <cell r="D79" t="str">
            <v>Mersey Waters Liverpool</v>
          </cell>
          <cell r="E79">
            <v>2915940</v>
          </cell>
          <cell r="F79">
            <v>0</v>
          </cell>
          <cell r="G79">
            <v>-200136</v>
          </cell>
          <cell r="H79">
            <v>3693884</v>
          </cell>
          <cell r="I79">
            <v>0</v>
          </cell>
          <cell r="J79">
            <v>253697</v>
          </cell>
          <cell r="K79">
            <v>257366.17148760331</v>
          </cell>
        </row>
        <row r="80">
          <cell r="B80" t="str">
            <v>E4302EZ2</v>
          </cell>
          <cell r="C80" t="str">
            <v>Liverpool</v>
          </cell>
          <cell r="D80" t="str">
            <v>Liverpool City</v>
          </cell>
          <cell r="E80">
            <v>23990609</v>
          </cell>
          <cell r="F80">
            <v>0</v>
          </cell>
          <cell r="G80">
            <v>0</v>
          </cell>
          <cell r="H80">
            <v>31648003</v>
          </cell>
          <cell r="I80">
            <v>0</v>
          </cell>
          <cell r="J80">
            <v>0</v>
          </cell>
          <cell r="K80">
            <v>0</v>
          </cell>
        </row>
        <row r="81">
          <cell r="B81" t="str">
            <v>E0201EZ1</v>
          </cell>
          <cell r="C81" t="str">
            <v>Luton</v>
          </cell>
          <cell r="D81" t="str">
            <v>Luton Airport</v>
          </cell>
          <cell r="E81">
            <v>4472917</v>
          </cell>
          <cell r="F81">
            <v>0</v>
          </cell>
          <cell r="G81">
            <v>0</v>
          </cell>
          <cell r="H81">
            <v>4781000</v>
          </cell>
          <cell r="I81">
            <v>0</v>
          </cell>
          <cell r="J81">
            <v>0</v>
          </cell>
          <cell r="K81">
            <v>0</v>
          </cell>
        </row>
        <row r="82">
          <cell r="B82" t="str">
            <v>E4203EZ1</v>
          </cell>
          <cell r="C82" t="str">
            <v>Manchester</v>
          </cell>
          <cell r="D82" t="str">
            <v>Manchester Airport City</v>
          </cell>
          <cell r="E82">
            <v>5143454</v>
          </cell>
          <cell r="F82">
            <v>0</v>
          </cell>
          <cell r="G82">
            <v>-162600</v>
          </cell>
          <cell r="H82">
            <v>6085584</v>
          </cell>
          <cell r="I82">
            <v>0</v>
          </cell>
          <cell r="J82">
            <v>0</v>
          </cell>
          <cell r="K82">
            <v>0</v>
          </cell>
        </row>
        <row r="83">
          <cell r="B83" t="str">
            <v>E4203EZ2</v>
          </cell>
          <cell r="C83" t="str">
            <v>Manchester</v>
          </cell>
          <cell r="D83" t="str">
            <v>Greater Manchester Life Sciences: MSP Central Campus</v>
          </cell>
          <cell r="E83">
            <v>663999</v>
          </cell>
          <cell r="F83">
            <v>0</v>
          </cell>
          <cell r="G83">
            <v>-17759</v>
          </cell>
          <cell r="H83">
            <v>664669</v>
          </cell>
          <cell r="I83">
            <v>0</v>
          </cell>
          <cell r="J83">
            <v>0</v>
          </cell>
          <cell r="K83">
            <v>0</v>
          </cell>
        </row>
        <row r="84">
          <cell r="B84" t="str">
            <v>E4203EZ3</v>
          </cell>
          <cell r="C84" t="str">
            <v>Manchester</v>
          </cell>
          <cell r="D84" t="str">
            <v>Greater Manchester Life Sciences: CMFT Site</v>
          </cell>
          <cell r="E84">
            <v>4964420</v>
          </cell>
          <cell r="F84">
            <v>0</v>
          </cell>
          <cell r="G84">
            <v>-132777</v>
          </cell>
          <cell r="H84">
            <v>4969428</v>
          </cell>
          <cell r="I84">
            <v>0</v>
          </cell>
          <cell r="J84">
            <v>0</v>
          </cell>
          <cell r="K84">
            <v>0</v>
          </cell>
        </row>
        <row r="85">
          <cell r="B85" t="str">
            <v>E4203EZ4</v>
          </cell>
          <cell r="C85" t="str">
            <v>Manchester</v>
          </cell>
          <cell r="D85" t="str">
            <v>Greater Manchester Airport City</v>
          </cell>
          <cell r="E85">
            <v>824940</v>
          </cell>
          <cell r="F85">
            <v>0</v>
          </cell>
          <cell r="G85">
            <v>-21663</v>
          </cell>
          <cell r="H85">
            <v>810769</v>
          </cell>
          <cell r="I85">
            <v>0</v>
          </cell>
          <cell r="J85">
            <v>0</v>
          </cell>
          <cell r="K85">
            <v>0</v>
          </cell>
        </row>
        <row r="86">
          <cell r="B86" t="str">
            <v>E3534EZ1</v>
          </cell>
          <cell r="C86" t="str">
            <v>Mid Suffolk</v>
          </cell>
          <cell r="D86" t="str">
            <v>New Anglia: Sproughton Road</v>
          </cell>
          <cell r="E86">
            <v>0</v>
          </cell>
          <cell r="F86">
            <v>0</v>
          </cell>
          <cell r="G86">
            <v>0</v>
          </cell>
          <cell r="H86">
            <v>0</v>
          </cell>
          <cell r="I86">
            <v>0</v>
          </cell>
          <cell r="J86">
            <v>0</v>
          </cell>
          <cell r="K86">
            <v>0</v>
          </cell>
        </row>
        <row r="87">
          <cell r="B87" t="str">
            <v>E3534EZ2</v>
          </cell>
          <cell r="C87" t="str">
            <v>Mid Suffolk</v>
          </cell>
          <cell r="D87" t="str">
            <v>New Anglia: Mill Lane</v>
          </cell>
          <cell r="E87">
            <v>0</v>
          </cell>
          <cell r="F87">
            <v>0</v>
          </cell>
          <cell r="G87">
            <v>0</v>
          </cell>
          <cell r="H87">
            <v>0</v>
          </cell>
          <cell r="I87">
            <v>0</v>
          </cell>
          <cell r="J87">
            <v>0</v>
          </cell>
          <cell r="K87">
            <v>0</v>
          </cell>
        </row>
        <row r="88">
          <cell r="B88" t="str">
            <v>E0702EZ1</v>
          </cell>
          <cell r="C88" t="str">
            <v>Middlesbrough</v>
          </cell>
          <cell r="D88" t="str">
            <v>Tees Valley Middlesbrough</v>
          </cell>
          <cell r="E88">
            <v>0</v>
          </cell>
          <cell r="F88">
            <v>0</v>
          </cell>
          <cell r="G88">
            <v>0</v>
          </cell>
          <cell r="H88">
            <v>0</v>
          </cell>
          <cell r="I88">
            <v>0</v>
          </cell>
          <cell r="J88">
            <v>0</v>
          </cell>
          <cell r="K88">
            <v>0</v>
          </cell>
        </row>
        <row r="89">
          <cell r="B89" t="str">
            <v>E0702EZ2</v>
          </cell>
          <cell r="C89" t="str">
            <v>Middlesbrough</v>
          </cell>
          <cell r="D89" t="str">
            <v>Tees Valley Growth Extension: Middlesborough historic Quarter</v>
          </cell>
          <cell r="E89">
            <v>3255233</v>
          </cell>
          <cell r="F89">
            <v>0</v>
          </cell>
          <cell r="G89">
            <v>-1719</v>
          </cell>
          <cell r="H89">
            <v>3303024</v>
          </cell>
          <cell r="I89">
            <v>0</v>
          </cell>
          <cell r="J89">
            <v>0</v>
          </cell>
          <cell r="K89">
            <v>0</v>
          </cell>
        </row>
        <row r="90">
          <cell r="B90" t="str">
            <v>E4502EZ1</v>
          </cell>
          <cell r="C90" t="str">
            <v>Newcastle upon Tyne</v>
          </cell>
          <cell r="D90" t="str">
            <v>North East Newcastle</v>
          </cell>
          <cell r="E90">
            <v>683450</v>
          </cell>
          <cell r="F90">
            <v>0</v>
          </cell>
          <cell r="G90">
            <v>0</v>
          </cell>
          <cell r="H90">
            <v>69741</v>
          </cell>
          <cell r="I90">
            <v>613709</v>
          </cell>
          <cell r="J90">
            <v>0</v>
          </cell>
          <cell r="K90">
            <v>0</v>
          </cell>
        </row>
        <row r="91">
          <cell r="B91" t="str">
            <v>E4502EZ2</v>
          </cell>
          <cell r="C91" t="str">
            <v>Newcastle upon Tyne</v>
          </cell>
          <cell r="D91" t="str">
            <v>Newcastle Development Area</v>
          </cell>
          <cell r="E91">
            <v>6618157</v>
          </cell>
          <cell r="F91">
            <v>0</v>
          </cell>
          <cell r="G91">
            <v>-7935</v>
          </cell>
          <cell r="H91">
            <v>6021755</v>
          </cell>
          <cell r="I91">
            <v>588467</v>
          </cell>
          <cell r="J91">
            <v>0</v>
          </cell>
          <cell r="K91">
            <v>0</v>
          </cell>
        </row>
        <row r="92">
          <cell r="B92" t="str">
            <v>E3434EZ1</v>
          </cell>
          <cell r="C92" t="str">
            <v>Newcastle-under-Lyme</v>
          </cell>
          <cell r="D92" t="str">
            <v>Ceramic Valley: Chatterley Valley West</v>
          </cell>
          <cell r="E92">
            <v>0</v>
          </cell>
          <cell r="F92">
            <v>0</v>
          </cell>
          <cell r="G92">
            <v>0</v>
          </cell>
          <cell r="H92">
            <v>0</v>
          </cell>
          <cell r="I92">
            <v>0</v>
          </cell>
          <cell r="J92">
            <v>0</v>
          </cell>
          <cell r="K92">
            <v>0</v>
          </cell>
        </row>
        <row r="93">
          <cell r="B93" t="str">
            <v>E5045EZ1</v>
          </cell>
          <cell r="C93" t="str">
            <v>Newham</v>
          </cell>
          <cell r="D93" t="str">
            <v>Royal Docks</v>
          </cell>
          <cell r="E93">
            <v>-379416</v>
          </cell>
          <cell r="F93">
            <v>0</v>
          </cell>
          <cell r="G93">
            <v>0</v>
          </cell>
          <cell r="H93">
            <v>241749</v>
          </cell>
          <cell r="I93">
            <v>0</v>
          </cell>
          <cell r="J93">
            <v>0</v>
          </cell>
          <cell r="K93">
            <v>0</v>
          </cell>
        </row>
        <row r="94">
          <cell r="B94" t="str">
            <v>E2003EZ1</v>
          </cell>
          <cell r="C94" t="str">
            <v>North East Lincolnshire</v>
          </cell>
          <cell r="D94" t="str">
            <v>Humber Port Corridor North East Lincolnshire</v>
          </cell>
          <cell r="E94">
            <v>0</v>
          </cell>
          <cell r="F94">
            <v>0</v>
          </cell>
          <cell r="G94">
            <v>0</v>
          </cell>
          <cell r="H94">
            <v>0</v>
          </cell>
          <cell r="I94">
            <v>0</v>
          </cell>
          <cell r="J94">
            <v>65728</v>
          </cell>
          <cell r="K94">
            <v>66678.611570247929</v>
          </cell>
        </row>
        <row r="95">
          <cell r="B95" t="str">
            <v>E2003EZ2</v>
          </cell>
          <cell r="C95" t="str">
            <v>North East Lincolnshire</v>
          </cell>
          <cell r="D95" t="str">
            <v>Humber Enterprise Zone: Stallingborough Interchange</v>
          </cell>
          <cell r="E95">
            <v>0</v>
          </cell>
          <cell r="F95">
            <v>0</v>
          </cell>
          <cell r="G95">
            <v>0</v>
          </cell>
          <cell r="H95">
            <v>0</v>
          </cell>
          <cell r="I95">
            <v>0</v>
          </cell>
          <cell r="J95">
            <v>0</v>
          </cell>
          <cell r="K95">
            <v>0</v>
          </cell>
        </row>
        <row r="96">
          <cell r="B96" t="str">
            <v>E2003EZ3</v>
          </cell>
          <cell r="C96" t="str">
            <v>North East Lincolnshire</v>
          </cell>
          <cell r="D96" t="str">
            <v>Humber Enterprise Zone: Great Coates Business Park</v>
          </cell>
          <cell r="E96">
            <v>0</v>
          </cell>
          <cell r="F96">
            <v>0</v>
          </cell>
          <cell r="G96">
            <v>0</v>
          </cell>
          <cell r="H96">
            <v>0</v>
          </cell>
          <cell r="I96">
            <v>0</v>
          </cell>
          <cell r="J96">
            <v>0</v>
          </cell>
          <cell r="K96">
            <v>0</v>
          </cell>
        </row>
        <row r="97">
          <cell r="B97" t="str">
            <v>E2003EZ4</v>
          </cell>
          <cell r="C97" t="str">
            <v>North East Lincolnshire</v>
          </cell>
          <cell r="D97" t="str">
            <v>Humber Enterprise Zone: King’s Road</v>
          </cell>
          <cell r="E97">
            <v>0</v>
          </cell>
          <cell r="F97">
            <v>0</v>
          </cell>
          <cell r="G97">
            <v>0</v>
          </cell>
          <cell r="H97">
            <v>0</v>
          </cell>
          <cell r="I97">
            <v>0</v>
          </cell>
          <cell r="J97">
            <v>0</v>
          </cell>
          <cell r="K97">
            <v>0</v>
          </cell>
        </row>
        <row r="98">
          <cell r="B98" t="str">
            <v>E2003EZ5</v>
          </cell>
          <cell r="C98" t="str">
            <v>North East Lincolnshire</v>
          </cell>
          <cell r="D98" t="str">
            <v>Humber Enterprise Zone: Queen’s Road</v>
          </cell>
          <cell r="E98">
            <v>0</v>
          </cell>
          <cell r="F98">
            <v>0</v>
          </cell>
          <cell r="G98">
            <v>0</v>
          </cell>
          <cell r="H98">
            <v>0</v>
          </cell>
          <cell r="I98">
            <v>0</v>
          </cell>
          <cell r="J98">
            <v>0</v>
          </cell>
          <cell r="K98">
            <v>0</v>
          </cell>
        </row>
        <row r="99">
          <cell r="B99" t="str">
            <v>E2003EZ6</v>
          </cell>
          <cell r="C99" t="str">
            <v>North East Lincolnshire</v>
          </cell>
          <cell r="D99" t="str">
            <v>Humber Enterprise Zone: Abengoa</v>
          </cell>
          <cell r="E99">
            <v>0</v>
          </cell>
          <cell r="F99">
            <v>0</v>
          </cell>
          <cell r="G99">
            <v>0</v>
          </cell>
          <cell r="H99">
            <v>0</v>
          </cell>
          <cell r="I99">
            <v>0</v>
          </cell>
          <cell r="J99">
            <v>0</v>
          </cell>
          <cell r="K99">
            <v>0</v>
          </cell>
        </row>
        <row r="100">
          <cell r="B100" t="str">
            <v>E2003EZ7</v>
          </cell>
          <cell r="C100" t="str">
            <v>North East Lincolnshire</v>
          </cell>
          <cell r="D100" t="str">
            <v>Humber Enterprise Zone: Huntsman Tioxide</v>
          </cell>
          <cell r="E100">
            <v>0</v>
          </cell>
          <cell r="F100">
            <v>0</v>
          </cell>
          <cell r="G100">
            <v>0</v>
          </cell>
          <cell r="H100">
            <v>0</v>
          </cell>
          <cell r="I100">
            <v>0</v>
          </cell>
          <cell r="J100">
            <v>0</v>
          </cell>
          <cell r="K100">
            <v>0</v>
          </cell>
        </row>
        <row r="101">
          <cell r="B101" t="str">
            <v>E2004EZ1</v>
          </cell>
          <cell r="C101" t="str">
            <v>North Lincolnshire</v>
          </cell>
          <cell r="D101" t="str">
            <v>Humber Super Energy Cluster North Lincolnshire</v>
          </cell>
          <cell r="E101">
            <v>1140615</v>
          </cell>
          <cell r="F101">
            <v>0</v>
          </cell>
          <cell r="G101">
            <v>0</v>
          </cell>
          <cell r="H101">
            <v>983459</v>
          </cell>
          <cell r="I101">
            <v>157156</v>
          </cell>
          <cell r="J101">
            <v>0</v>
          </cell>
          <cell r="K101">
            <v>0</v>
          </cell>
        </row>
        <row r="102">
          <cell r="B102" t="str">
            <v>E2004EZ2</v>
          </cell>
          <cell r="C102" t="str">
            <v>North Lincolnshire</v>
          </cell>
          <cell r="D102" t="str">
            <v>Humber Enterprise Zone: Humberside Airport</v>
          </cell>
          <cell r="E102">
            <v>911428</v>
          </cell>
          <cell r="F102">
            <v>0</v>
          </cell>
          <cell r="G102">
            <v>-1072</v>
          </cell>
          <cell r="H102">
            <v>17551</v>
          </cell>
          <cell r="I102">
            <v>892805</v>
          </cell>
          <cell r="J102">
            <v>0</v>
          </cell>
          <cell r="K102">
            <v>0</v>
          </cell>
        </row>
        <row r="103">
          <cell r="B103" t="str">
            <v>E2635EZ1</v>
          </cell>
          <cell r="C103" t="str">
            <v>North Norfolk</v>
          </cell>
          <cell r="D103" t="str">
            <v>New Anglia: Scottow Enterprise Park</v>
          </cell>
          <cell r="E103">
            <v>0</v>
          </cell>
          <cell r="F103">
            <v>0</v>
          </cell>
          <cell r="G103">
            <v>0</v>
          </cell>
          <cell r="H103">
            <v>0</v>
          </cell>
          <cell r="I103">
            <v>0</v>
          </cell>
          <cell r="J103">
            <v>76138</v>
          </cell>
          <cell r="K103">
            <v>77239.169421487604</v>
          </cell>
        </row>
        <row r="104">
          <cell r="B104" t="str">
            <v>E2635EZ2</v>
          </cell>
          <cell r="C104" t="str">
            <v>North Norfolk</v>
          </cell>
          <cell r="D104" t="str">
            <v>New Anglia: Egmere Business Zone</v>
          </cell>
          <cell r="E104">
            <v>0</v>
          </cell>
          <cell r="F104">
            <v>0</v>
          </cell>
          <cell r="G104">
            <v>0</v>
          </cell>
          <cell r="H104">
            <v>0</v>
          </cell>
          <cell r="I104">
            <v>0</v>
          </cell>
          <cell r="J104">
            <v>0</v>
          </cell>
          <cell r="K104">
            <v>0</v>
          </cell>
        </row>
        <row r="105">
          <cell r="B105" t="str">
            <v>E0104EZ1</v>
          </cell>
          <cell r="C105" t="str">
            <v>North Somerset</v>
          </cell>
          <cell r="D105" t="str">
            <v>North Somerset</v>
          </cell>
          <cell r="E105">
            <v>726742</v>
          </cell>
          <cell r="F105">
            <v>0</v>
          </cell>
          <cell r="G105">
            <v>0</v>
          </cell>
          <cell r="H105">
            <v>200354</v>
          </cell>
          <cell r="I105">
            <v>526388</v>
          </cell>
          <cell r="J105">
            <v>0</v>
          </cell>
          <cell r="K105">
            <v>0</v>
          </cell>
        </row>
        <row r="106">
          <cell r="B106" t="str">
            <v>E4503EZ1</v>
          </cell>
          <cell r="C106" t="str">
            <v>North Tyneside</v>
          </cell>
          <cell r="D106" t="str">
            <v>North East North Tyneside</v>
          </cell>
          <cell r="E106">
            <v>650122</v>
          </cell>
          <cell r="F106">
            <v>0</v>
          </cell>
          <cell r="G106">
            <v>0</v>
          </cell>
          <cell r="H106">
            <v>555434</v>
          </cell>
          <cell r="I106">
            <v>94688</v>
          </cell>
          <cell r="J106">
            <v>63845</v>
          </cell>
          <cell r="K106">
            <v>64768.378099173555</v>
          </cell>
        </row>
        <row r="107">
          <cell r="B107" t="str">
            <v>E2835EZ1</v>
          </cell>
          <cell r="C107" t="str">
            <v>Northampton</v>
          </cell>
          <cell r="D107" t="str">
            <v>Northampton Waterside</v>
          </cell>
          <cell r="E107">
            <v>4872404</v>
          </cell>
          <cell r="F107">
            <v>0</v>
          </cell>
          <cell r="G107">
            <v>1900</v>
          </cell>
          <cell r="H107">
            <v>3435843</v>
          </cell>
          <cell r="I107">
            <v>1438461</v>
          </cell>
          <cell r="J107">
            <v>1977530</v>
          </cell>
          <cell r="K107">
            <v>2006130.6404958677</v>
          </cell>
        </row>
        <row r="108">
          <cell r="B108" t="str">
            <v>E2901EZ1</v>
          </cell>
          <cell r="C108" t="str">
            <v>Northumberland UA</v>
          </cell>
          <cell r="D108" t="str">
            <v>North East Northumberland</v>
          </cell>
          <cell r="E108">
            <v>41683</v>
          </cell>
          <cell r="F108">
            <v>0</v>
          </cell>
          <cell r="G108">
            <v>0</v>
          </cell>
          <cell r="H108">
            <v>11945</v>
          </cell>
          <cell r="I108">
            <v>29738</v>
          </cell>
          <cell r="J108">
            <v>140844</v>
          </cell>
          <cell r="K108">
            <v>142881</v>
          </cell>
        </row>
        <row r="109">
          <cell r="B109" t="str">
            <v>E3001EZ1</v>
          </cell>
          <cell r="C109" t="str">
            <v>Nottingham</v>
          </cell>
          <cell r="D109" t="str">
            <v>Nottingham City</v>
          </cell>
          <cell r="E109">
            <v>4015760</v>
          </cell>
          <cell r="F109">
            <v>0</v>
          </cell>
          <cell r="G109">
            <v>0</v>
          </cell>
          <cell r="H109">
            <v>4137735</v>
          </cell>
          <cell r="I109">
            <v>0</v>
          </cell>
          <cell r="J109">
            <v>0</v>
          </cell>
          <cell r="K109">
            <v>0</v>
          </cell>
        </row>
        <row r="110">
          <cell r="B110" t="str">
            <v>E3001EZ2</v>
          </cell>
          <cell r="C110" t="str">
            <v>Nottingham</v>
          </cell>
          <cell r="D110" t="str">
            <v>Nottingham Development Area</v>
          </cell>
          <cell r="E110">
            <v>5691469</v>
          </cell>
          <cell r="F110">
            <v>0</v>
          </cell>
          <cell r="G110">
            <v>-8411</v>
          </cell>
          <cell r="H110">
            <v>5904735</v>
          </cell>
          <cell r="I110">
            <v>0</v>
          </cell>
          <cell r="J110">
            <v>0</v>
          </cell>
          <cell r="K110">
            <v>0</v>
          </cell>
        </row>
        <row r="111">
          <cell r="B111" t="str">
            <v>E0703EZ1</v>
          </cell>
          <cell r="C111" t="str">
            <v>Redcar and Cleveland</v>
          </cell>
          <cell r="D111" t="str">
            <v>Tees Valley Redcar and Cleveland</v>
          </cell>
          <cell r="E111">
            <v>850326</v>
          </cell>
          <cell r="F111">
            <v>0</v>
          </cell>
          <cell r="G111">
            <v>0</v>
          </cell>
          <cell r="H111">
            <v>0</v>
          </cell>
          <cell r="I111">
            <v>850326</v>
          </cell>
          <cell r="J111">
            <v>0</v>
          </cell>
          <cell r="K111">
            <v>0</v>
          </cell>
        </row>
        <row r="112">
          <cell r="B112" t="str">
            <v>E2340EZ1</v>
          </cell>
          <cell r="C112" t="str">
            <v>Ribble Valley</v>
          </cell>
          <cell r="D112" t="str">
            <v>Lancashire Advanced Engineering and Manufacturing Ribble Valley</v>
          </cell>
          <cell r="E112">
            <v>1903510</v>
          </cell>
          <cell r="F112">
            <v>7157</v>
          </cell>
          <cell r="G112">
            <v>0</v>
          </cell>
          <cell r="H112">
            <v>1876823</v>
          </cell>
          <cell r="I112">
            <v>19530</v>
          </cell>
          <cell r="J112">
            <v>0</v>
          </cell>
          <cell r="K112">
            <v>0</v>
          </cell>
        </row>
        <row r="113">
          <cell r="B113" t="str">
            <v>E4403EZ1</v>
          </cell>
          <cell r="C113" t="str">
            <v>Rotherham</v>
          </cell>
          <cell r="D113" t="str">
            <v>Sheffield City Region Rotherham</v>
          </cell>
          <cell r="E113">
            <v>208356</v>
          </cell>
          <cell r="F113">
            <v>0</v>
          </cell>
          <cell r="G113">
            <v>0</v>
          </cell>
          <cell r="H113">
            <v>339626</v>
          </cell>
          <cell r="I113">
            <v>0</v>
          </cell>
          <cell r="J113">
            <v>398113</v>
          </cell>
          <cell r="K113">
            <v>403870.83264462813</v>
          </cell>
        </row>
        <row r="114">
          <cell r="B114" t="str">
            <v>E4404EZ1</v>
          </cell>
          <cell r="C114" t="str">
            <v>Sheffield</v>
          </cell>
          <cell r="D114" t="str">
            <v>Sheffield City Region Sheffield</v>
          </cell>
          <cell r="E114">
            <v>2478406</v>
          </cell>
          <cell r="F114">
            <v>0</v>
          </cell>
          <cell r="G114">
            <v>0</v>
          </cell>
          <cell r="H114">
            <v>1695299</v>
          </cell>
          <cell r="I114">
            <v>783107</v>
          </cell>
          <cell r="J114">
            <v>55000</v>
          </cell>
          <cell r="K114">
            <v>55795.454545454544</v>
          </cell>
        </row>
        <row r="115">
          <cell r="B115" t="str">
            <v>E4404EZ2</v>
          </cell>
          <cell r="C115" t="str">
            <v>Sheffield</v>
          </cell>
          <cell r="D115" t="str">
            <v>Sheffield Development Area</v>
          </cell>
          <cell r="E115">
            <v>1026494</v>
          </cell>
          <cell r="F115">
            <v>0</v>
          </cell>
          <cell r="G115">
            <v>1182</v>
          </cell>
          <cell r="H115">
            <v>1552510</v>
          </cell>
          <cell r="I115">
            <v>0</v>
          </cell>
          <cell r="J115">
            <v>0</v>
          </cell>
          <cell r="K115">
            <v>0</v>
          </cell>
        </row>
        <row r="116">
          <cell r="B116" t="str">
            <v>E0536EZ1</v>
          </cell>
          <cell r="C116" t="str">
            <v>South Cambridgeshire</v>
          </cell>
          <cell r="D116" t="str">
            <v>Cambridge Compass: Cambourne Business Park</v>
          </cell>
          <cell r="E116">
            <v>0</v>
          </cell>
          <cell r="F116">
            <v>0</v>
          </cell>
          <cell r="G116">
            <v>0</v>
          </cell>
          <cell r="H116">
            <v>0</v>
          </cell>
          <cell r="I116">
            <v>0</v>
          </cell>
          <cell r="J116">
            <v>0</v>
          </cell>
          <cell r="K116">
            <v>0</v>
          </cell>
        </row>
        <row r="117">
          <cell r="B117" t="str">
            <v>E0536EZ2</v>
          </cell>
          <cell r="C117" t="str">
            <v>South Cambridgeshire</v>
          </cell>
          <cell r="D117" t="str">
            <v>Cambridge Compass: Cambridge Research Park</v>
          </cell>
          <cell r="E117">
            <v>500157</v>
          </cell>
          <cell r="F117">
            <v>0</v>
          </cell>
          <cell r="G117">
            <v>0</v>
          </cell>
          <cell r="H117">
            <v>0</v>
          </cell>
          <cell r="I117">
            <v>500157</v>
          </cell>
          <cell r="J117">
            <v>0</v>
          </cell>
          <cell r="K117">
            <v>0</v>
          </cell>
        </row>
        <row r="118">
          <cell r="B118" t="str">
            <v>E0536EZ3</v>
          </cell>
          <cell r="C118" t="str">
            <v>South Cambridgeshire</v>
          </cell>
          <cell r="D118" t="str">
            <v>Cambridge Compass: Northstowe</v>
          </cell>
          <cell r="E118">
            <v>0</v>
          </cell>
          <cell r="F118">
            <v>0</v>
          </cell>
          <cell r="G118">
            <v>0</v>
          </cell>
          <cell r="H118">
            <v>0</v>
          </cell>
          <cell r="I118">
            <v>0</v>
          </cell>
          <cell r="J118">
            <v>0</v>
          </cell>
          <cell r="K118">
            <v>0</v>
          </cell>
        </row>
        <row r="119">
          <cell r="B119" t="str">
            <v>E0103EZ1</v>
          </cell>
          <cell r="C119" t="str">
            <v>South Gloucestershire</v>
          </cell>
          <cell r="D119" t="str">
            <v>South Gloucestershire</v>
          </cell>
          <cell r="E119">
            <v>5263789</v>
          </cell>
          <cell r="F119">
            <v>0</v>
          </cell>
          <cell r="G119">
            <v>0</v>
          </cell>
          <cell r="H119">
            <v>645974</v>
          </cell>
          <cell r="I119">
            <v>4617815</v>
          </cell>
          <cell r="J119">
            <v>0</v>
          </cell>
          <cell r="K119">
            <v>0</v>
          </cell>
        </row>
        <row r="120">
          <cell r="B120" t="str">
            <v>E2637EZ1</v>
          </cell>
          <cell r="C120" t="str">
            <v>South Norfolk</v>
          </cell>
          <cell r="D120" t="str">
            <v>New Anglia: Norwich Research Park</v>
          </cell>
          <cell r="E120">
            <v>-57757</v>
          </cell>
          <cell r="F120">
            <v>0</v>
          </cell>
          <cell r="G120">
            <v>0</v>
          </cell>
          <cell r="H120">
            <v>195392</v>
          </cell>
          <cell r="I120">
            <v>0</v>
          </cell>
          <cell r="J120">
            <v>119904</v>
          </cell>
          <cell r="K120">
            <v>121638.14876033057</v>
          </cell>
        </row>
        <row r="121">
          <cell r="B121" t="str">
            <v>E3133EZ1</v>
          </cell>
          <cell r="C121" t="str">
            <v>South Oxfordshire</v>
          </cell>
          <cell r="D121" t="str">
            <v>Oxford Didcot Growth Accelerator: Didcot A (South Oxfordshire)</v>
          </cell>
          <cell r="E121">
            <v>0</v>
          </cell>
          <cell r="F121">
            <v>0</v>
          </cell>
          <cell r="G121">
            <v>0</v>
          </cell>
          <cell r="H121">
            <v>0</v>
          </cell>
          <cell r="I121">
            <v>0</v>
          </cell>
          <cell r="J121">
            <v>0</v>
          </cell>
          <cell r="K121">
            <v>0</v>
          </cell>
        </row>
        <row r="122">
          <cell r="B122" t="str">
            <v>E3133EZ2</v>
          </cell>
          <cell r="C122" t="str">
            <v>South Oxfordshire</v>
          </cell>
          <cell r="D122" t="str">
            <v>Oxford Didcot Growth Accelerator: Southmead 1</v>
          </cell>
          <cell r="E122">
            <v>45227</v>
          </cell>
          <cell r="F122">
            <v>0</v>
          </cell>
          <cell r="G122">
            <v>0</v>
          </cell>
          <cell r="H122">
            <v>45237</v>
          </cell>
          <cell r="I122">
            <v>0</v>
          </cell>
          <cell r="J122">
            <v>0</v>
          </cell>
          <cell r="K122">
            <v>0</v>
          </cell>
        </row>
        <row r="123">
          <cell r="B123" t="str">
            <v>E3133EZ3</v>
          </cell>
          <cell r="C123" t="str">
            <v>South Oxfordshire</v>
          </cell>
          <cell r="D123" t="str">
            <v>Oxford Didcot Growth Accelerator: Southmead 2</v>
          </cell>
          <cell r="E123">
            <v>0</v>
          </cell>
          <cell r="F123">
            <v>0</v>
          </cell>
          <cell r="G123">
            <v>0</v>
          </cell>
          <cell r="H123">
            <v>0</v>
          </cell>
          <cell r="I123">
            <v>0</v>
          </cell>
          <cell r="J123">
            <v>0</v>
          </cell>
          <cell r="K123">
            <v>0</v>
          </cell>
        </row>
        <row r="124">
          <cell r="B124" t="str">
            <v>E3133EZ4</v>
          </cell>
          <cell r="C124" t="str">
            <v>South Oxfordshire</v>
          </cell>
          <cell r="D124" t="str">
            <v>Oxford Didcot Growth Accelerator: Southmead 3</v>
          </cell>
          <cell r="E124">
            <v>190848</v>
          </cell>
          <cell r="F124">
            <v>0</v>
          </cell>
          <cell r="G124">
            <v>0</v>
          </cell>
          <cell r="H124">
            <v>141790</v>
          </cell>
          <cell r="I124">
            <v>49058</v>
          </cell>
          <cell r="J124">
            <v>0</v>
          </cell>
          <cell r="K124">
            <v>0</v>
          </cell>
        </row>
        <row r="125">
          <cell r="B125" t="str">
            <v>E2342EZ1</v>
          </cell>
          <cell r="C125" t="str">
            <v>South Ribble</v>
          </cell>
          <cell r="D125" t="str">
            <v>Lancashire Advanced Engineering and Manufacturing South Ribble</v>
          </cell>
          <cell r="E125">
            <v>0</v>
          </cell>
          <cell r="F125">
            <v>0</v>
          </cell>
          <cell r="G125">
            <v>0</v>
          </cell>
          <cell r="H125">
            <v>0</v>
          </cell>
          <cell r="I125">
            <v>0</v>
          </cell>
          <cell r="J125">
            <v>0</v>
          </cell>
          <cell r="K125">
            <v>0</v>
          </cell>
        </row>
        <row r="126">
          <cell r="B126" t="str">
            <v>E3435EZ1</v>
          </cell>
          <cell r="C126" t="str">
            <v>South Staffordshire</v>
          </cell>
          <cell r="D126" t="str">
            <v>Black Country South Staffordshire</v>
          </cell>
          <cell r="E126">
            <v>2699665</v>
          </cell>
          <cell r="F126">
            <v>0</v>
          </cell>
          <cell r="G126">
            <v>0</v>
          </cell>
          <cell r="H126">
            <v>0</v>
          </cell>
          <cell r="I126">
            <v>2699665</v>
          </cell>
          <cell r="J126">
            <v>106422</v>
          </cell>
          <cell r="K126">
            <v>107961.16115702479</v>
          </cell>
        </row>
        <row r="127">
          <cell r="B127" t="str">
            <v>E3535EZ1</v>
          </cell>
          <cell r="C127" t="str">
            <v>St Edmundsbury</v>
          </cell>
          <cell r="D127" t="str">
            <v>Cambridge Compass: Haverhill Research Park</v>
          </cell>
          <cell r="E127">
            <v>0</v>
          </cell>
          <cell r="F127">
            <v>0</v>
          </cell>
          <cell r="G127">
            <v>0</v>
          </cell>
          <cell r="H127">
            <v>0</v>
          </cell>
          <cell r="I127">
            <v>0</v>
          </cell>
          <cell r="J127">
            <v>0</v>
          </cell>
          <cell r="K127">
            <v>0</v>
          </cell>
        </row>
        <row r="128">
          <cell r="B128" t="str">
            <v>E3535EZ2</v>
          </cell>
          <cell r="C128" t="str">
            <v>St Edmundsbury</v>
          </cell>
          <cell r="D128" t="str">
            <v>New Anglia: Suffolk Business Park</v>
          </cell>
          <cell r="E128">
            <v>0</v>
          </cell>
          <cell r="F128">
            <v>0</v>
          </cell>
          <cell r="G128">
            <v>0</v>
          </cell>
          <cell r="H128">
            <v>0</v>
          </cell>
          <cell r="I128">
            <v>0</v>
          </cell>
          <cell r="J128">
            <v>0</v>
          </cell>
          <cell r="K128">
            <v>0</v>
          </cell>
        </row>
        <row r="129">
          <cell r="B129" t="str">
            <v>E0704EZ1</v>
          </cell>
          <cell r="C129" t="str">
            <v>Stockton-on-Tees</v>
          </cell>
          <cell r="D129" t="str">
            <v>Tees Valley Stockton</v>
          </cell>
          <cell r="E129">
            <v>92211</v>
          </cell>
          <cell r="F129">
            <v>0</v>
          </cell>
          <cell r="G129">
            <v>0</v>
          </cell>
          <cell r="H129">
            <v>0</v>
          </cell>
          <cell r="I129">
            <v>92211</v>
          </cell>
          <cell r="J129">
            <v>37672</v>
          </cell>
          <cell r="K129">
            <v>38216.842975206615</v>
          </cell>
        </row>
        <row r="130">
          <cell r="B130" t="str">
            <v>E0704EZ2</v>
          </cell>
          <cell r="C130" t="str">
            <v>Stockton-on-Tees</v>
          </cell>
          <cell r="D130" t="str">
            <v>Tees Valley Growth Extension: Northshore</v>
          </cell>
          <cell r="E130">
            <v>0</v>
          </cell>
          <cell r="F130">
            <v>0</v>
          </cell>
          <cell r="G130">
            <v>0</v>
          </cell>
          <cell r="H130">
            <v>118803</v>
          </cell>
          <cell r="I130">
            <v>0</v>
          </cell>
          <cell r="J130">
            <v>0</v>
          </cell>
          <cell r="K130">
            <v>0</v>
          </cell>
        </row>
        <row r="131">
          <cell r="B131" t="str">
            <v>E3401EZ1</v>
          </cell>
          <cell r="C131" t="str">
            <v>Stoke-on-Trent</v>
          </cell>
          <cell r="D131" t="str">
            <v>Ceramic Valley: Chatterley Valley East</v>
          </cell>
          <cell r="E131">
            <v>327424</v>
          </cell>
          <cell r="F131">
            <v>0</v>
          </cell>
          <cell r="G131">
            <v>0</v>
          </cell>
          <cell r="H131">
            <v>337891</v>
          </cell>
          <cell r="I131">
            <v>0</v>
          </cell>
          <cell r="J131">
            <v>0</v>
          </cell>
          <cell r="K131">
            <v>0</v>
          </cell>
        </row>
        <row r="132">
          <cell r="B132" t="str">
            <v>E3401EZ2</v>
          </cell>
          <cell r="C132" t="str">
            <v>Stoke-on-Trent</v>
          </cell>
          <cell r="D132" t="str">
            <v>Ceramic Valley: Tunstall Arrow</v>
          </cell>
          <cell r="E132">
            <v>0</v>
          </cell>
          <cell r="F132">
            <v>0</v>
          </cell>
          <cell r="G132">
            <v>0</v>
          </cell>
          <cell r="H132">
            <v>0</v>
          </cell>
          <cell r="I132">
            <v>0</v>
          </cell>
          <cell r="J132">
            <v>0</v>
          </cell>
          <cell r="K132">
            <v>0</v>
          </cell>
        </row>
        <row r="133">
          <cell r="B133" t="str">
            <v>E3401EZ3</v>
          </cell>
          <cell r="C133" t="str">
            <v>Stoke-on-Trent</v>
          </cell>
          <cell r="D133" t="str">
            <v>Ceramic Valley: Highgate/Ravensdale</v>
          </cell>
          <cell r="E133">
            <v>42245</v>
          </cell>
          <cell r="F133">
            <v>0</v>
          </cell>
          <cell r="G133">
            <v>0</v>
          </cell>
          <cell r="H133">
            <v>42254</v>
          </cell>
          <cell r="I133">
            <v>0</v>
          </cell>
          <cell r="J133">
            <v>0</v>
          </cell>
          <cell r="K133">
            <v>0</v>
          </cell>
        </row>
        <row r="134">
          <cell r="B134" t="str">
            <v>E3401EZ4</v>
          </cell>
          <cell r="C134" t="str">
            <v>Stoke-on-Trent</v>
          </cell>
          <cell r="D134" t="str">
            <v>Ceramic Valley: Etruria Valley</v>
          </cell>
          <cell r="E134">
            <v>274012</v>
          </cell>
          <cell r="F134">
            <v>0</v>
          </cell>
          <cell r="G134">
            <v>0</v>
          </cell>
          <cell r="H134">
            <v>20257</v>
          </cell>
          <cell r="I134">
            <v>253755</v>
          </cell>
          <cell r="J134">
            <v>0</v>
          </cell>
          <cell r="K134">
            <v>0</v>
          </cell>
        </row>
        <row r="135">
          <cell r="B135" t="str">
            <v>E3401EZ5</v>
          </cell>
          <cell r="C135" t="str">
            <v>Stoke-on-Trent</v>
          </cell>
          <cell r="D135" t="str">
            <v>Ceramic Valley: Cliffe Vale</v>
          </cell>
          <cell r="E135">
            <v>28762</v>
          </cell>
          <cell r="F135">
            <v>0</v>
          </cell>
          <cell r="G135">
            <v>0</v>
          </cell>
          <cell r="H135">
            <v>30858</v>
          </cell>
          <cell r="I135">
            <v>0</v>
          </cell>
          <cell r="J135">
            <v>0</v>
          </cell>
          <cell r="K135">
            <v>0</v>
          </cell>
        </row>
        <row r="136">
          <cell r="B136" t="str">
            <v>E4505EZ1</v>
          </cell>
          <cell r="C136" t="str">
            <v>Sunderland</v>
          </cell>
          <cell r="D136" t="str">
            <v>North East Sunderland</v>
          </cell>
          <cell r="E136">
            <v>850914</v>
          </cell>
          <cell r="F136">
            <v>0</v>
          </cell>
          <cell r="G136">
            <v>0</v>
          </cell>
          <cell r="H136">
            <v>143840</v>
          </cell>
          <cell r="I136">
            <v>707074</v>
          </cell>
          <cell r="J136">
            <v>34790</v>
          </cell>
          <cell r="K136">
            <v>35293.161157024791</v>
          </cell>
        </row>
        <row r="137">
          <cell r="B137" t="str">
            <v>E3134EZ1</v>
          </cell>
          <cell r="C137" t="str">
            <v>Vale of White Horse</v>
          </cell>
          <cell r="D137" t="str">
            <v>Science Vale UK</v>
          </cell>
          <cell r="E137">
            <v>1668911</v>
          </cell>
          <cell r="F137">
            <v>0</v>
          </cell>
          <cell r="G137">
            <v>0</v>
          </cell>
          <cell r="H137">
            <v>1218664</v>
          </cell>
          <cell r="I137">
            <v>450247</v>
          </cell>
          <cell r="J137">
            <v>850328</v>
          </cell>
          <cell r="K137">
            <v>862626.132231405</v>
          </cell>
        </row>
        <row r="138">
          <cell r="B138" t="str">
            <v>E3134EZ2</v>
          </cell>
          <cell r="C138" t="str">
            <v>Vale of White Horse</v>
          </cell>
          <cell r="D138" t="str">
            <v>Oxford Didcot Growth Accelerator: Diageo Site</v>
          </cell>
          <cell r="E138">
            <v>358790</v>
          </cell>
          <cell r="F138">
            <v>0</v>
          </cell>
          <cell r="G138">
            <v>0</v>
          </cell>
          <cell r="H138">
            <v>545115</v>
          </cell>
          <cell r="I138">
            <v>0</v>
          </cell>
          <cell r="J138">
            <v>0</v>
          </cell>
          <cell r="K138">
            <v>0</v>
          </cell>
        </row>
        <row r="139">
          <cell r="B139" t="str">
            <v>E3134EZ3</v>
          </cell>
          <cell r="C139" t="str">
            <v>Vale of White Horse</v>
          </cell>
          <cell r="D139" t="str">
            <v>Oxford Didcot Growth Accelerator: Didcot A (Vale of White Horse)</v>
          </cell>
          <cell r="E139">
            <v>0</v>
          </cell>
          <cell r="F139">
            <v>0</v>
          </cell>
          <cell r="G139">
            <v>0</v>
          </cell>
          <cell r="H139">
            <v>0</v>
          </cell>
          <cell r="I139">
            <v>0</v>
          </cell>
          <cell r="J139">
            <v>0</v>
          </cell>
          <cell r="K139">
            <v>0</v>
          </cell>
        </row>
        <row r="140">
          <cell r="B140" t="str">
            <v>E3134EZ4</v>
          </cell>
          <cell r="C140" t="str">
            <v>Vale of White Horse</v>
          </cell>
          <cell r="D140" t="str">
            <v>Oxford Didcot Growth Accelerator: Didcot Park</v>
          </cell>
          <cell r="E140">
            <v>0</v>
          </cell>
          <cell r="F140">
            <v>0</v>
          </cell>
          <cell r="G140">
            <v>0</v>
          </cell>
          <cell r="H140">
            <v>0</v>
          </cell>
          <cell r="I140">
            <v>0</v>
          </cell>
          <cell r="J140">
            <v>0</v>
          </cell>
          <cell r="K140">
            <v>0</v>
          </cell>
        </row>
        <row r="141">
          <cell r="B141" t="str">
            <v>E3134EZ5</v>
          </cell>
          <cell r="C141" t="str">
            <v>Vale of White Horse</v>
          </cell>
          <cell r="D141" t="str">
            <v>Oxford Didcot Growth Accelerator: Milton Interchange</v>
          </cell>
          <cell r="E141">
            <v>0</v>
          </cell>
          <cell r="F141">
            <v>0</v>
          </cell>
          <cell r="G141">
            <v>0</v>
          </cell>
          <cell r="H141">
            <v>0</v>
          </cell>
          <cell r="I141">
            <v>0</v>
          </cell>
          <cell r="J141">
            <v>0</v>
          </cell>
          <cell r="K141">
            <v>0</v>
          </cell>
        </row>
        <row r="142">
          <cell r="B142" t="str">
            <v>E3134EZ6</v>
          </cell>
          <cell r="C142" t="str">
            <v>Vale of White Horse</v>
          </cell>
          <cell r="D142" t="str">
            <v>Milton Park Extension - Site A</v>
          </cell>
          <cell r="E142">
            <v>1162</v>
          </cell>
          <cell r="F142">
            <v>0</v>
          </cell>
          <cell r="G142">
            <v>0</v>
          </cell>
          <cell r="H142">
            <v>1162</v>
          </cell>
          <cell r="I142">
            <v>0</v>
          </cell>
          <cell r="J142">
            <v>0</v>
          </cell>
          <cell r="K142">
            <v>0</v>
          </cell>
        </row>
        <row r="143">
          <cell r="B143" t="str">
            <v>E3134EZ7</v>
          </cell>
          <cell r="C143" t="str">
            <v>Vale of White Horse</v>
          </cell>
          <cell r="D143" t="str">
            <v>Milton Park Extension - Site B</v>
          </cell>
          <cell r="E143">
            <v>38766</v>
          </cell>
          <cell r="F143">
            <v>0</v>
          </cell>
          <cell r="G143">
            <v>0</v>
          </cell>
          <cell r="H143">
            <v>46639</v>
          </cell>
          <cell r="I143">
            <v>0</v>
          </cell>
          <cell r="J143">
            <v>0</v>
          </cell>
          <cell r="K143">
            <v>0</v>
          </cell>
        </row>
        <row r="144">
          <cell r="B144" t="str">
            <v>E3134EZ8</v>
          </cell>
          <cell r="C144" t="str">
            <v>Vale of White Horse</v>
          </cell>
          <cell r="D144" t="str">
            <v>Milton Park Extension - Site C</v>
          </cell>
          <cell r="E144">
            <v>251525</v>
          </cell>
          <cell r="F144">
            <v>0</v>
          </cell>
          <cell r="G144">
            <v>0</v>
          </cell>
          <cell r="H144">
            <v>371104</v>
          </cell>
          <cell r="I144">
            <v>0</v>
          </cell>
          <cell r="J144">
            <v>118119</v>
          </cell>
          <cell r="K144">
            <v>119827.3326446281</v>
          </cell>
        </row>
        <row r="145">
          <cell r="B145" t="str">
            <v>E3134EZ9</v>
          </cell>
          <cell r="C145" t="str">
            <v>Vale of White Horse</v>
          </cell>
          <cell r="D145" t="str">
            <v>Milton Park Extension - Site D</v>
          </cell>
          <cell r="E145">
            <v>45933</v>
          </cell>
          <cell r="F145">
            <v>0</v>
          </cell>
          <cell r="G145">
            <v>0</v>
          </cell>
          <cell r="H145">
            <v>50208</v>
          </cell>
          <cell r="I145">
            <v>0</v>
          </cell>
          <cell r="J145">
            <v>0</v>
          </cell>
          <cell r="K145">
            <v>0</v>
          </cell>
        </row>
        <row r="146">
          <cell r="B146" t="str">
            <v>E3134EZ10</v>
          </cell>
          <cell r="C146" t="str">
            <v>Vale of White Horse</v>
          </cell>
          <cell r="D146" t="str">
            <v>Milton Park Extension - Site E</v>
          </cell>
          <cell r="E146">
            <v>149100</v>
          </cell>
          <cell r="F146">
            <v>0</v>
          </cell>
          <cell r="G146">
            <v>0</v>
          </cell>
          <cell r="H146">
            <v>149133</v>
          </cell>
          <cell r="I146">
            <v>0</v>
          </cell>
          <cell r="J146">
            <v>0</v>
          </cell>
          <cell r="K146">
            <v>0</v>
          </cell>
        </row>
        <row r="147">
          <cell r="B147" t="str">
            <v>E3134EZ11</v>
          </cell>
          <cell r="C147" t="str">
            <v>Vale of White Horse</v>
          </cell>
          <cell r="D147" t="str">
            <v>Milton Park Extension - Site F</v>
          </cell>
          <cell r="E147">
            <v>44978</v>
          </cell>
          <cell r="F147">
            <v>0</v>
          </cell>
          <cell r="G147">
            <v>0</v>
          </cell>
          <cell r="H147">
            <v>44989</v>
          </cell>
          <cell r="I147">
            <v>0</v>
          </cell>
          <cell r="J147">
            <v>0</v>
          </cell>
          <cell r="K147">
            <v>0</v>
          </cell>
        </row>
        <row r="148">
          <cell r="B148" t="str">
            <v>E4606EZ1</v>
          </cell>
          <cell r="C148" t="str">
            <v>Walsall</v>
          </cell>
          <cell r="D148" t="str">
            <v>Black Country Walsall</v>
          </cell>
          <cell r="E148">
            <v>202132</v>
          </cell>
          <cell r="F148">
            <v>0</v>
          </cell>
          <cell r="G148">
            <v>0</v>
          </cell>
          <cell r="H148">
            <v>177303</v>
          </cell>
          <cell r="I148">
            <v>24829</v>
          </cell>
          <cell r="J148">
            <v>0</v>
          </cell>
          <cell r="K148">
            <v>0</v>
          </cell>
        </row>
        <row r="149">
          <cell r="B149" t="str">
            <v>E5021EZ1</v>
          </cell>
          <cell r="C149" t="str">
            <v>Wandsworth</v>
          </cell>
          <cell r="D149" t="str">
            <v>Wandsworth Nine Elms and Battersea Power Station</v>
          </cell>
          <cell r="E149">
            <v>2860611</v>
          </cell>
          <cell r="F149">
            <v>0</v>
          </cell>
          <cell r="G149">
            <v>-151686</v>
          </cell>
          <cell r="H149">
            <v>4206450</v>
          </cell>
          <cell r="I149">
            <v>0</v>
          </cell>
          <cell r="J149">
            <v>0</v>
          </cell>
          <cell r="K149">
            <v>0</v>
          </cell>
        </row>
        <row r="150">
          <cell r="B150" t="str">
            <v>E0602EZ1</v>
          </cell>
          <cell r="C150" t="str">
            <v>Warrington</v>
          </cell>
          <cell r="D150" t="str">
            <v>Cheshire &amp; Warrington Science Corridor: Birchwood Sites</v>
          </cell>
          <cell r="E150">
            <v>976664</v>
          </cell>
          <cell r="F150">
            <v>0</v>
          </cell>
          <cell r="G150">
            <v>0</v>
          </cell>
          <cell r="H150">
            <v>1174032</v>
          </cell>
          <cell r="I150">
            <v>0</v>
          </cell>
          <cell r="J150">
            <v>0</v>
          </cell>
          <cell r="K150">
            <v>0</v>
          </cell>
        </row>
        <row r="151">
          <cell r="B151" t="str">
            <v>E3537EZ1</v>
          </cell>
          <cell r="C151" t="str">
            <v>Waveney</v>
          </cell>
          <cell r="D151" t="str">
            <v>New Anglia Waveney</v>
          </cell>
          <cell r="E151">
            <v>251692</v>
          </cell>
          <cell r="F151">
            <v>0</v>
          </cell>
          <cell r="G151">
            <v>0</v>
          </cell>
          <cell r="H151">
            <v>0</v>
          </cell>
          <cell r="I151">
            <v>251692</v>
          </cell>
          <cell r="J151">
            <v>163398</v>
          </cell>
          <cell r="K151">
            <v>165761.19421487604</v>
          </cell>
        </row>
        <row r="152">
          <cell r="B152" t="str">
            <v>E4305EZ1</v>
          </cell>
          <cell r="C152" t="str">
            <v>Wirral</v>
          </cell>
          <cell r="D152" t="str">
            <v>Mersey Waters Wirral</v>
          </cell>
          <cell r="E152">
            <v>5966</v>
          </cell>
          <cell r="F152">
            <v>0</v>
          </cell>
          <cell r="G152">
            <v>0</v>
          </cell>
          <cell r="H152">
            <v>2939</v>
          </cell>
          <cell r="I152">
            <v>3027</v>
          </cell>
          <cell r="J152">
            <v>0</v>
          </cell>
          <cell r="K152">
            <v>0</v>
          </cell>
        </row>
        <row r="153">
          <cell r="B153" t="str">
            <v>E4305EZ2</v>
          </cell>
          <cell r="C153" t="str">
            <v>Wirral</v>
          </cell>
          <cell r="D153" t="str">
            <v>Wirral Waters Enterprise Site</v>
          </cell>
          <cell r="E153">
            <v>1048862</v>
          </cell>
          <cell r="F153">
            <v>0</v>
          </cell>
          <cell r="G153">
            <v>0</v>
          </cell>
          <cell r="H153">
            <v>855907</v>
          </cell>
          <cell r="I153">
            <v>192955</v>
          </cell>
          <cell r="J153">
            <v>134162</v>
          </cell>
          <cell r="K153">
            <v>136102.35950413224</v>
          </cell>
        </row>
        <row r="154">
          <cell r="B154" t="str">
            <v>E4607EZ1</v>
          </cell>
          <cell r="C154" t="str">
            <v>Wolverhampton</v>
          </cell>
          <cell r="D154" t="str">
            <v>Black Country Wolverhampton</v>
          </cell>
          <cell r="E154">
            <v>135552</v>
          </cell>
          <cell r="F154">
            <v>0</v>
          </cell>
          <cell r="G154">
            <v>0</v>
          </cell>
          <cell r="H154">
            <v>89287</v>
          </cell>
          <cell r="I154">
            <v>46265</v>
          </cell>
          <cell r="J154">
            <v>0</v>
          </cell>
          <cell r="K154">
            <v>0</v>
          </cell>
        </row>
        <row r="155">
          <cell r="B155" t="str">
            <v>E2344EZ1</v>
          </cell>
          <cell r="C155" t="str">
            <v>Wyre</v>
          </cell>
          <cell r="D155" t="str">
            <v>Lancashire - Hillhouse Chemicals and Energy</v>
          </cell>
          <cell r="E155">
            <v>2581910</v>
          </cell>
          <cell r="F155">
            <v>0</v>
          </cell>
          <cell r="G155">
            <v>0</v>
          </cell>
          <cell r="H155">
            <v>2526621</v>
          </cell>
          <cell r="I155">
            <v>55289</v>
          </cell>
          <cell r="J155">
            <v>0</v>
          </cell>
          <cell r="K155">
            <v>0</v>
          </cell>
        </row>
      </sheetData>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national-non-domestic-rates-collected-by-council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44"/>
  <sheetViews>
    <sheetView showGridLines="0" zoomScale="70" zoomScaleNormal="70" workbookViewId="0"/>
  </sheetViews>
  <sheetFormatPr defaultRowHeight="12.75" x14ac:dyDescent="0.2"/>
  <cols>
    <col min="1" max="1" width="4" customWidth="1"/>
    <col min="2" max="2" width="13.42578125" customWidth="1"/>
  </cols>
  <sheetData>
    <row r="1" spans="2:22" ht="13.5" thickBot="1" x14ac:dyDescent="0.25"/>
    <row r="2" spans="2:22" x14ac:dyDescent="0.2">
      <c r="B2" s="617"/>
      <c r="C2" s="618"/>
      <c r="D2" s="618"/>
      <c r="E2" s="618"/>
      <c r="F2" s="618"/>
      <c r="G2" s="618"/>
      <c r="H2" s="618"/>
      <c r="I2" s="618"/>
      <c r="J2" s="618"/>
      <c r="K2" s="618"/>
      <c r="L2" s="618"/>
      <c r="M2" s="618"/>
      <c r="N2" s="618"/>
      <c r="O2" s="619"/>
    </row>
    <row r="3" spans="2:22" x14ac:dyDescent="0.2">
      <c r="B3" s="620"/>
      <c r="C3" s="44"/>
      <c r="D3" s="44"/>
      <c r="E3" s="44"/>
      <c r="F3" s="44"/>
      <c r="G3" s="44"/>
      <c r="H3" s="44"/>
      <c r="I3" s="44"/>
      <c r="J3" s="44"/>
      <c r="K3" s="44"/>
      <c r="L3" s="44"/>
      <c r="M3" s="44"/>
      <c r="N3" s="44"/>
      <c r="O3" s="621"/>
    </row>
    <row r="4" spans="2:22" x14ac:dyDescent="0.2">
      <c r="B4" s="620"/>
      <c r="C4" s="44"/>
      <c r="D4" s="44"/>
      <c r="E4" s="44"/>
      <c r="F4" s="44"/>
      <c r="G4" s="44"/>
      <c r="H4" s="44"/>
      <c r="I4" s="44"/>
      <c r="J4" s="44"/>
      <c r="K4" s="44"/>
      <c r="L4" s="44"/>
      <c r="M4" s="44"/>
      <c r="N4" s="44"/>
      <c r="O4" s="621"/>
    </row>
    <row r="5" spans="2:22" x14ac:dyDescent="0.2">
      <c r="B5" s="620"/>
      <c r="C5" s="44"/>
      <c r="D5" s="44"/>
      <c r="E5" s="44"/>
      <c r="F5" s="44"/>
      <c r="G5" s="44"/>
      <c r="H5" s="44"/>
      <c r="I5" s="44"/>
      <c r="J5" s="44"/>
      <c r="K5" s="44"/>
      <c r="L5" s="44"/>
      <c r="M5" s="44"/>
      <c r="N5" s="44"/>
      <c r="O5" s="621"/>
    </row>
    <row r="6" spans="2:22" x14ac:dyDescent="0.2">
      <c r="B6" s="620"/>
      <c r="C6" s="44"/>
      <c r="D6" s="44"/>
      <c r="E6" s="44"/>
      <c r="F6" s="44"/>
      <c r="G6" s="44"/>
      <c r="H6" s="44"/>
      <c r="I6" s="44"/>
      <c r="J6" s="44"/>
      <c r="K6" s="44"/>
      <c r="L6" s="44"/>
      <c r="M6" s="44"/>
      <c r="N6" s="44"/>
      <c r="O6" s="621"/>
    </row>
    <row r="7" spans="2:22" x14ac:dyDescent="0.2">
      <c r="B7" s="620"/>
      <c r="C7" s="44"/>
      <c r="D7" s="44"/>
      <c r="E7" s="44"/>
      <c r="F7" s="44"/>
      <c r="G7" s="44"/>
      <c r="H7" s="44"/>
      <c r="I7" s="44"/>
      <c r="J7" s="44"/>
      <c r="K7" s="44"/>
      <c r="L7" s="44"/>
      <c r="M7" s="44"/>
      <c r="N7" s="44"/>
      <c r="O7" s="621"/>
    </row>
    <row r="8" spans="2:22" x14ac:dyDescent="0.2">
      <c r="B8" s="620"/>
      <c r="C8" s="44"/>
      <c r="D8" s="44"/>
      <c r="E8" s="44"/>
      <c r="F8" s="44"/>
      <c r="G8" s="44"/>
      <c r="H8" s="44"/>
      <c r="I8" s="44"/>
      <c r="J8" s="44"/>
      <c r="K8" s="44"/>
      <c r="L8" s="44"/>
      <c r="M8" s="44"/>
      <c r="N8" s="44"/>
      <c r="O8" s="621"/>
    </row>
    <row r="9" spans="2:22" x14ac:dyDescent="0.2">
      <c r="B9" s="620"/>
      <c r="C9" s="44"/>
      <c r="D9" s="44"/>
      <c r="E9" s="44"/>
      <c r="F9" s="44"/>
      <c r="G9" s="44"/>
      <c r="H9" s="44"/>
      <c r="I9" s="44"/>
      <c r="J9" s="44"/>
      <c r="K9" s="44"/>
      <c r="L9" s="44"/>
      <c r="M9" s="44"/>
      <c r="N9" s="44"/>
      <c r="O9" s="621"/>
    </row>
    <row r="10" spans="2:22" x14ac:dyDescent="0.2">
      <c r="B10" s="622" t="s">
        <v>1194</v>
      </c>
      <c r="C10" s="44"/>
      <c r="D10" s="44"/>
      <c r="E10" s="44"/>
      <c r="F10" s="44"/>
      <c r="G10" s="44"/>
      <c r="H10" s="44"/>
      <c r="I10" s="44"/>
      <c r="J10" s="44"/>
      <c r="K10" s="44"/>
      <c r="L10" s="44"/>
      <c r="M10" s="44"/>
      <c r="N10" s="44"/>
      <c r="O10" s="621"/>
    </row>
    <row r="11" spans="2:22" ht="44.25" customHeight="1" x14ac:dyDescent="0.2">
      <c r="B11" s="752" t="s">
        <v>1212</v>
      </c>
      <c r="C11" s="753"/>
      <c r="D11" s="753"/>
      <c r="E11" s="753"/>
      <c r="F11" s="753"/>
      <c r="G11" s="753"/>
      <c r="H11" s="753"/>
      <c r="I11" s="753"/>
      <c r="J11" s="753"/>
      <c r="K11" s="753"/>
      <c r="L11" s="753"/>
      <c r="M11" s="753"/>
      <c r="N11" s="753"/>
      <c r="O11" s="621"/>
      <c r="V11" s="212"/>
    </row>
    <row r="12" spans="2:22" ht="16.5" customHeight="1" x14ac:dyDescent="0.2">
      <c r="B12" s="620"/>
      <c r="C12" s="623"/>
      <c r="D12" s="623"/>
      <c r="E12" s="623"/>
      <c r="F12" s="623"/>
      <c r="G12" s="623"/>
      <c r="H12" s="623"/>
      <c r="I12" s="623"/>
      <c r="J12" s="623"/>
      <c r="K12" s="623"/>
      <c r="L12" s="623"/>
      <c r="M12" s="623"/>
      <c r="N12" s="623"/>
      <c r="O12" s="624"/>
      <c r="V12" s="212"/>
    </row>
    <row r="13" spans="2:22" ht="26.25" customHeight="1" x14ac:dyDescent="0.2">
      <c r="B13" s="752" t="s">
        <v>1213</v>
      </c>
      <c r="C13" s="753"/>
      <c r="D13" s="753"/>
      <c r="E13" s="753"/>
      <c r="F13" s="753"/>
      <c r="G13" s="753"/>
      <c r="H13" s="753"/>
      <c r="I13" s="753"/>
      <c r="J13" s="753"/>
      <c r="K13" s="753"/>
      <c r="L13" s="753"/>
      <c r="M13" s="753"/>
      <c r="N13" s="753"/>
      <c r="O13" s="624"/>
      <c r="V13" s="212"/>
    </row>
    <row r="14" spans="2:22" ht="32.25" customHeight="1" x14ac:dyDescent="0.2">
      <c r="B14" s="754" t="s">
        <v>1198</v>
      </c>
      <c r="C14" s="755"/>
      <c r="D14" s="755"/>
      <c r="E14" s="755"/>
      <c r="F14" s="755"/>
      <c r="G14" s="755"/>
      <c r="H14" s="755"/>
      <c r="I14" s="755"/>
      <c r="J14" s="755"/>
      <c r="K14" s="755"/>
      <c r="L14" s="755"/>
      <c r="M14" s="755"/>
      <c r="N14" s="755"/>
      <c r="O14" s="624"/>
    </row>
    <row r="15" spans="2:22" x14ac:dyDescent="0.2">
      <c r="B15" s="756" t="s">
        <v>1199</v>
      </c>
      <c r="C15" s="757"/>
      <c r="D15" s="757"/>
      <c r="E15" s="757"/>
      <c r="F15" s="757"/>
      <c r="G15" s="757"/>
      <c r="H15" s="757"/>
      <c r="I15" s="757"/>
      <c r="J15" s="757"/>
      <c r="K15" s="757"/>
      <c r="L15" s="757"/>
      <c r="M15" s="757"/>
      <c r="N15" s="757"/>
      <c r="O15" s="624"/>
      <c r="V15" s="212"/>
    </row>
    <row r="16" spans="2:22" ht="23.25" customHeight="1" x14ac:dyDescent="0.2">
      <c r="B16" s="625" t="s">
        <v>1200</v>
      </c>
      <c r="C16" s="757" t="s">
        <v>1208</v>
      </c>
      <c r="D16" s="757"/>
      <c r="E16" s="757"/>
      <c r="F16" s="757"/>
      <c r="G16" s="757"/>
      <c r="H16" s="757"/>
      <c r="I16" s="757"/>
      <c r="J16" s="757"/>
      <c r="K16" s="757"/>
      <c r="L16" s="757"/>
      <c r="M16" s="757"/>
      <c r="N16" s="757"/>
      <c r="O16" s="624"/>
      <c r="V16" s="212"/>
    </row>
    <row r="17" spans="2:15" x14ac:dyDescent="0.2">
      <c r="B17" s="626"/>
      <c r="C17" s="623"/>
      <c r="D17" s="623"/>
      <c r="E17" s="623"/>
      <c r="F17" s="623"/>
      <c r="G17" s="623"/>
      <c r="H17" s="623"/>
      <c r="I17" s="623"/>
      <c r="J17" s="623"/>
      <c r="K17" s="623"/>
      <c r="L17" s="623"/>
      <c r="M17" s="623"/>
      <c r="N17" s="623"/>
      <c r="O17" s="624"/>
    </row>
    <row r="18" spans="2:15" ht="50.1" customHeight="1" x14ac:dyDescent="0.2">
      <c r="B18" s="625" t="s">
        <v>1201</v>
      </c>
      <c r="C18" s="757" t="s">
        <v>1214</v>
      </c>
      <c r="D18" s="757"/>
      <c r="E18" s="757"/>
      <c r="F18" s="757"/>
      <c r="G18" s="757"/>
      <c r="H18" s="757"/>
      <c r="I18" s="757"/>
      <c r="J18" s="757"/>
      <c r="K18" s="757"/>
      <c r="L18" s="757"/>
      <c r="M18" s="757"/>
      <c r="N18" s="757"/>
      <c r="O18" s="624"/>
    </row>
    <row r="19" spans="2:15" ht="12" customHeight="1" x14ac:dyDescent="0.2">
      <c r="B19" s="625"/>
      <c r="C19" s="747"/>
      <c r="D19" s="747"/>
      <c r="E19" s="747"/>
      <c r="F19" s="747"/>
      <c r="G19" s="747"/>
      <c r="H19" s="747"/>
      <c r="I19" s="747"/>
      <c r="J19" s="747"/>
      <c r="K19" s="747"/>
      <c r="L19" s="747"/>
      <c r="M19" s="747"/>
      <c r="N19" s="747"/>
      <c r="O19" s="624"/>
    </row>
    <row r="20" spans="2:15" ht="12" customHeight="1" x14ac:dyDescent="0.2">
      <c r="B20" s="625" t="s">
        <v>1490</v>
      </c>
      <c r="C20" s="757" t="s">
        <v>1491</v>
      </c>
      <c r="D20" s="758"/>
      <c r="E20" s="758"/>
      <c r="F20" s="758"/>
      <c r="G20" s="758"/>
      <c r="H20" s="758"/>
      <c r="I20" s="758"/>
      <c r="J20" s="758"/>
      <c r="K20" s="758"/>
      <c r="L20" s="758"/>
      <c r="M20" s="758"/>
      <c r="N20" s="758"/>
      <c r="O20" s="624"/>
    </row>
    <row r="21" spans="2:15" x14ac:dyDescent="0.2">
      <c r="B21" s="626"/>
      <c r="C21" s="623"/>
      <c r="D21" s="623"/>
      <c r="E21" s="623"/>
      <c r="F21" s="623"/>
      <c r="G21" s="623"/>
      <c r="H21" s="623"/>
      <c r="I21" s="623"/>
      <c r="J21" s="623"/>
      <c r="K21" s="623"/>
      <c r="L21" s="623"/>
      <c r="M21" s="623"/>
      <c r="N21" s="623"/>
      <c r="O21" s="624"/>
    </row>
    <row r="22" spans="2:15" ht="52.5" customHeight="1" x14ac:dyDescent="0.2">
      <c r="B22" s="625" t="s">
        <v>1202</v>
      </c>
      <c r="C22" s="757" t="s">
        <v>1205</v>
      </c>
      <c r="D22" s="757"/>
      <c r="E22" s="757"/>
      <c r="F22" s="757"/>
      <c r="G22" s="757"/>
      <c r="H22" s="757"/>
      <c r="I22" s="757"/>
      <c r="J22" s="757"/>
      <c r="K22" s="757"/>
      <c r="L22" s="757"/>
      <c r="M22" s="757"/>
      <c r="N22" s="757"/>
      <c r="O22" s="624"/>
    </row>
    <row r="23" spans="2:15" x14ac:dyDescent="0.2">
      <c r="B23" s="626"/>
      <c r="C23" s="623"/>
      <c r="D23" s="623"/>
      <c r="E23" s="623"/>
      <c r="F23" s="623"/>
      <c r="G23" s="623"/>
      <c r="H23" s="623"/>
      <c r="I23" s="623"/>
      <c r="J23" s="623"/>
      <c r="K23" s="623"/>
      <c r="L23" s="623"/>
      <c r="M23" s="623"/>
      <c r="N23" s="623"/>
      <c r="O23" s="624"/>
    </row>
    <row r="24" spans="2:15" x14ac:dyDescent="0.2">
      <c r="B24" s="625" t="s">
        <v>1203</v>
      </c>
      <c r="C24" s="757" t="s">
        <v>1206</v>
      </c>
      <c r="D24" s="757"/>
      <c r="E24" s="757"/>
      <c r="F24" s="757"/>
      <c r="G24" s="757"/>
      <c r="H24" s="757"/>
      <c r="I24" s="757"/>
      <c r="J24" s="757"/>
      <c r="K24" s="757"/>
      <c r="L24" s="757"/>
      <c r="M24" s="757"/>
      <c r="N24" s="757"/>
      <c r="O24" s="624"/>
    </row>
    <row r="25" spans="2:15" x14ac:dyDescent="0.2">
      <c r="B25" s="626"/>
      <c r="C25" s="623"/>
      <c r="D25" s="623"/>
      <c r="E25" s="623"/>
      <c r="F25" s="623"/>
      <c r="G25" s="623"/>
      <c r="H25" s="623"/>
      <c r="I25" s="623"/>
      <c r="J25" s="623"/>
      <c r="K25" s="623"/>
      <c r="L25" s="623"/>
      <c r="M25" s="623"/>
      <c r="N25" s="623"/>
      <c r="O25" s="624"/>
    </row>
    <row r="26" spans="2:15" ht="27" customHeight="1" x14ac:dyDescent="0.2">
      <c r="B26" s="625" t="s">
        <v>1204</v>
      </c>
      <c r="C26" s="757" t="s">
        <v>1207</v>
      </c>
      <c r="D26" s="757"/>
      <c r="E26" s="757"/>
      <c r="F26" s="757"/>
      <c r="G26" s="757"/>
      <c r="H26" s="757"/>
      <c r="I26" s="757"/>
      <c r="J26" s="757"/>
      <c r="K26" s="757"/>
      <c r="L26" s="757"/>
      <c r="M26" s="757"/>
      <c r="N26" s="757"/>
      <c r="O26" s="624"/>
    </row>
    <row r="27" spans="2:15" x14ac:dyDescent="0.2">
      <c r="B27" s="626"/>
      <c r="C27" s="623"/>
      <c r="D27" s="623"/>
      <c r="E27" s="623"/>
      <c r="F27" s="623"/>
      <c r="G27" s="623"/>
      <c r="H27" s="623"/>
      <c r="I27" s="623"/>
      <c r="J27" s="623"/>
      <c r="K27" s="623"/>
      <c r="L27" s="623"/>
      <c r="M27" s="623"/>
      <c r="N27" s="623"/>
      <c r="O27" s="624"/>
    </row>
    <row r="28" spans="2:15" x14ac:dyDescent="0.2">
      <c r="B28" s="616"/>
      <c r="C28" s="615"/>
      <c r="D28" s="615"/>
      <c r="E28" s="615"/>
      <c r="F28" s="615"/>
      <c r="G28" s="615"/>
      <c r="H28" s="615"/>
      <c r="I28" s="615"/>
      <c r="J28" s="615"/>
      <c r="K28" s="615"/>
      <c r="L28" s="615"/>
      <c r="M28" s="615"/>
      <c r="N28" s="44"/>
      <c r="O28" s="621"/>
    </row>
    <row r="29" spans="2:15" x14ac:dyDescent="0.2">
      <c r="B29" s="622" t="s">
        <v>1209</v>
      </c>
      <c r="C29" s="44"/>
      <c r="D29" s="44"/>
      <c r="E29" s="44"/>
      <c r="F29" s="44"/>
      <c r="G29" s="44"/>
      <c r="H29" s="44"/>
      <c r="I29" s="44"/>
      <c r="J29" s="44"/>
      <c r="K29" s="44"/>
      <c r="L29" s="44"/>
      <c r="M29" s="44"/>
      <c r="N29" s="44"/>
      <c r="O29" s="621"/>
    </row>
    <row r="30" spans="2:15" x14ac:dyDescent="0.2">
      <c r="B30" s="622"/>
      <c r="C30" s="44"/>
      <c r="D30" s="44"/>
      <c r="E30" s="44"/>
      <c r="F30" s="44"/>
      <c r="G30" s="44"/>
      <c r="H30" s="44"/>
      <c r="I30" s="44"/>
      <c r="J30" s="44"/>
      <c r="K30" s="44"/>
      <c r="L30" s="44"/>
      <c r="M30" s="44"/>
      <c r="N30" s="44"/>
      <c r="O30" s="621"/>
    </row>
    <row r="31" spans="2:15" ht="12.75" customHeight="1" x14ac:dyDescent="0.2">
      <c r="B31" s="752" t="s">
        <v>1215</v>
      </c>
      <c r="C31" s="753"/>
      <c r="D31" s="753"/>
      <c r="E31" s="753"/>
      <c r="F31" s="753"/>
      <c r="G31" s="753"/>
      <c r="H31" s="753"/>
      <c r="I31" s="753"/>
      <c r="J31" s="753"/>
      <c r="K31" s="753"/>
      <c r="L31" s="753"/>
      <c r="M31" s="753"/>
      <c r="N31" s="753"/>
      <c r="O31" s="621"/>
    </row>
    <row r="32" spans="2:15" x14ac:dyDescent="0.2">
      <c r="B32" s="616"/>
      <c r="C32" s="615"/>
      <c r="D32" s="615"/>
      <c r="E32" s="615"/>
      <c r="F32" s="615"/>
      <c r="G32" s="615"/>
      <c r="H32" s="615"/>
      <c r="I32" s="615"/>
      <c r="J32" s="615"/>
      <c r="K32" s="615"/>
      <c r="L32" s="615"/>
      <c r="M32" s="615"/>
      <c r="N32" s="44"/>
      <c r="O32" s="621"/>
    </row>
    <row r="33" spans="2:15" x14ac:dyDescent="0.2">
      <c r="B33" s="622" t="s">
        <v>1195</v>
      </c>
      <c r="C33" s="44"/>
      <c r="D33" s="44"/>
      <c r="E33" s="44"/>
      <c r="F33" s="44"/>
      <c r="G33" s="44"/>
      <c r="H33" s="44"/>
      <c r="I33" s="44"/>
      <c r="J33" s="44"/>
      <c r="K33" s="44"/>
      <c r="L33" s="44"/>
      <c r="M33" s="44"/>
      <c r="N33" s="44"/>
      <c r="O33" s="621"/>
    </row>
    <row r="34" spans="2:15" ht="15" x14ac:dyDescent="0.2">
      <c r="B34" s="627"/>
      <c r="C34" s="44"/>
      <c r="D34" s="44"/>
      <c r="E34" s="44"/>
      <c r="F34" s="44"/>
      <c r="G34" s="44"/>
      <c r="H34" s="44"/>
      <c r="I34" s="44"/>
      <c r="J34" s="44"/>
      <c r="K34" s="44"/>
      <c r="L34" s="44"/>
      <c r="M34" s="44"/>
      <c r="N34" s="44"/>
      <c r="O34" s="621"/>
    </row>
    <row r="35" spans="2:15" x14ac:dyDescent="0.2">
      <c r="B35" s="748" t="s">
        <v>1216</v>
      </c>
      <c r="C35" s="749"/>
      <c r="D35" s="749"/>
      <c r="E35" s="749"/>
      <c r="F35" s="749"/>
      <c r="G35" s="749"/>
      <c r="H35" s="749"/>
      <c r="I35" s="749"/>
      <c r="J35" s="749"/>
      <c r="K35" s="749"/>
      <c r="L35" s="749"/>
      <c r="M35" s="749"/>
      <c r="N35" s="749"/>
      <c r="O35" s="750"/>
    </row>
    <row r="36" spans="2:15" ht="27" customHeight="1" x14ac:dyDescent="0.2">
      <c r="B36" s="751"/>
      <c r="C36" s="749"/>
      <c r="D36" s="749"/>
      <c r="E36" s="749"/>
      <c r="F36" s="749"/>
      <c r="G36" s="749"/>
      <c r="H36" s="749"/>
      <c r="I36" s="749"/>
      <c r="J36" s="749"/>
      <c r="K36" s="749"/>
      <c r="L36" s="749"/>
      <c r="M36" s="749"/>
      <c r="N36" s="749"/>
      <c r="O36" s="750"/>
    </row>
    <row r="37" spans="2:15" x14ac:dyDescent="0.2">
      <c r="B37" s="620"/>
      <c r="C37" s="44"/>
      <c r="D37" s="44"/>
      <c r="E37" s="44"/>
      <c r="F37" s="44"/>
      <c r="G37" s="44"/>
      <c r="H37" s="44"/>
      <c r="I37" s="44"/>
      <c r="J37" s="44"/>
      <c r="K37" s="44"/>
      <c r="L37" s="44"/>
      <c r="M37" s="44"/>
      <c r="N37" s="44"/>
      <c r="O37" s="621"/>
    </row>
    <row r="38" spans="2:15" x14ac:dyDescent="0.2">
      <c r="B38" s="622" t="s">
        <v>1196</v>
      </c>
      <c r="C38" s="44"/>
      <c r="D38" s="44"/>
      <c r="E38" s="44"/>
      <c r="F38" s="44"/>
      <c r="G38" s="44"/>
      <c r="H38" s="44"/>
      <c r="I38" s="44"/>
      <c r="J38" s="44"/>
      <c r="K38" s="44"/>
      <c r="L38" s="44"/>
      <c r="M38" s="44"/>
      <c r="N38" s="44"/>
      <c r="O38" s="621"/>
    </row>
    <row r="39" spans="2:15" x14ac:dyDescent="0.2">
      <c r="B39" s="620"/>
      <c r="C39" s="44"/>
      <c r="D39" s="44"/>
      <c r="E39" s="44"/>
      <c r="F39" s="44"/>
      <c r="G39" s="44"/>
      <c r="H39" s="44"/>
      <c r="I39" s="44"/>
      <c r="J39" s="44"/>
      <c r="K39" s="44"/>
      <c r="L39" s="44"/>
      <c r="M39" s="44"/>
      <c r="N39" s="44"/>
      <c r="O39" s="621"/>
    </row>
    <row r="40" spans="2:15" x14ac:dyDescent="0.2">
      <c r="B40" s="628" t="s">
        <v>1197</v>
      </c>
      <c r="C40" s="44"/>
      <c r="D40" s="44"/>
      <c r="E40" s="44"/>
      <c r="F40" s="44"/>
      <c r="G40" s="44"/>
      <c r="H40" s="44"/>
      <c r="I40" s="44"/>
      <c r="J40" s="44"/>
      <c r="K40" s="44"/>
      <c r="L40" s="44"/>
      <c r="M40" s="44"/>
      <c r="N40" s="44"/>
      <c r="O40" s="621"/>
    </row>
    <row r="41" spans="2:15" x14ac:dyDescent="0.2">
      <c r="B41" s="620"/>
      <c r="C41" s="44"/>
      <c r="D41" s="44"/>
      <c r="E41" s="44"/>
      <c r="F41" s="44"/>
      <c r="G41" s="44"/>
      <c r="H41" s="44"/>
      <c r="I41" s="44"/>
      <c r="J41" s="44"/>
      <c r="K41" s="44"/>
      <c r="L41" s="44"/>
      <c r="M41" s="44"/>
      <c r="N41" s="44"/>
      <c r="O41" s="621"/>
    </row>
    <row r="42" spans="2:15" x14ac:dyDescent="0.2">
      <c r="B42" s="622" t="s">
        <v>1217</v>
      </c>
      <c r="C42" s="44"/>
      <c r="D42" s="44"/>
      <c r="E42" s="44"/>
      <c r="F42" s="44"/>
      <c r="G42" s="44"/>
      <c r="H42" s="44"/>
      <c r="I42" s="44"/>
      <c r="J42" s="44"/>
      <c r="K42" s="44"/>
      <c r="L42" s="44"/>
      <c r="M42" s="44"/>
      <c r="N42" s="44"/>
      <c r="O42" s="621"/>
    </row>
    <row r="43" spans="2:15" x14ac:dyDescent="0.2">
      <c r="B43" s="628" t="s">
        <v>1218</v>
      </c>
      <c r="C43" s="44"/>
      <c r="D43" s="44"/>
      <c r="E43" s="44"/>
      <c r="F43" s="44"/>
      <c r="G43" s="44"/>
      <c r="H43" s="44"/>
      <c r="I43" s="44"/>
      <c r="J43" s="44"/>
      <c r="K43" s="44"/>
      <c r="L43" s="44"/>
      <c r="M43" s="44"/>
      <c r="N43" s="44"/>
      <c r="O43" s="621"/>
    </row>
    <row r="44" spans="2:15" ht="13.5" thickBot="1" x14ac:dyDescent="0.25">
      <c r="B44" s="629"/>
      <c r="C44" s="630"/>
      <c r="D44" s="630"/>
      <c r="E44" s="630"/>
      <c r="F44" s="630"/>
      <c r="G44" s="630"/>
      <c r="H44" s="630"/>
      <c r="I44" s="630"/>
      <c r="J44" s="630"/>
      <c r="K44" s="630"/>
      <c r="L44" s="630"/>
      <c r="M44" s="630"/>
      <c r="N44" s="630"/>
      <c r="O44" s="631"/>
    </row>
  </sheetData>
  <mergeCells count="12">
    <mergeCell ref="B35:O36"/>
    <mergeCell ref="B11:N11"/>
    <mergeCell ref="B13:N13"/>
    <mergeCell ref="B14:N14"/>
    <mergeCell ref="B15:N15"/>
    <mergeCell ref="C16:N16"/>
    <mergeCell ref="C26:N26"/>
    <mergeCell ref="C24:N24"/>
    <mergeCell ref="C22:N22"/>
    <mergeCell ref="C18:N18"/>
    <mergeCell ref="B31:N31"/>
    <mergeCell ref="C20:N20"/>
  </mergeCells>
  <hyperlinks>
    <hyperlink ref="B14" r:id="rId1"/>
    <hyperlink ref="B26" location="'Part 5'!Print_Area" display="Part 5 –"/>
    <hyperlink ref="B24" location="'Part 4'!A1" display="Part 4 –"/>
    <hyperlink ref="B22" location="'Part 3'!A1" display="Part 3 –"/>
    <hyperlink ref="B18" location="'Part 2'!A1" display="Part 2 –"/>
    <hyperlink ref="B16" location="'Part 1'!A1" display="Part 1 – "/>
    <hyperlink ref="B20" location="'DA Summary'!A1" display="DA Summary"/>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3"/>
  <sheetViews>
    <sheetView workbookViewId="0"/>
  </sheetViews>
  <sheetFormatPr defaultRowHeight="12.75" x14ac:dyDescent="0.2"/>
  <cols>
    <col min="1" max="1" width="4.140625" style="214" customWidth="1"/>
    <col min="2" max="2" width="9.140625" style="214"/>
    <col min="3" max="3" width="31.5703125" style="214" customWidth="1"/>
    <col min="4" max="4" width="14.7109375" style="632" customWidth="1"/>
    <col min="5" max="5" width="13.5703125" style="632" customWidth="1"/>
    <col min="6" max="6" width="13.7109375" style="632" customWidth="1"/>
    <col min="7" max="7" width="11.85546875" style="632" customWidth="1"/>
    <col min="8" max="8" width="13.28515625" style="632" customWidth="1"/>
    <col min="9" max="9" width="13.42578125" style="632" customWidth="1"/>
    <col min="10" max="10" width="11" style="632" customWidth="1"/>
    <col min="11" max="11" width="12.28515625" style="632" customWidth="1"/>
    <col min="12" max="12" width="11.28515625" style="632" customWidth="1"/>
    <col min="13" max="13" width="16.140625" style="632" customWidth="1"/>
    <col min="14" max="14" width="15.85546875" style="632" customWidth="1"/>
    <col min="15" max="15" width="14" style="632" customWidth="1"/>
    <col min="16" max="16" width="14.28515625" style="214" customWidth="1"/>
    <col min="17" max="17" width="18.5703125" style="214" customWidth="1"/>
    <col min="18" max="18" width="30.85546875" style="214" customWidth="1"/>
    <col min="19" max="30" width="9.140625" style="214"/>
  </cols>
  <sheetData>
    <row r="1" spans="1:19" s="214" customFormat="1" x14ac:dyDescent="0.2">
      <c r="B1" s="633"/>
      <c r="C1" s="250"/>
      <c r="D1" s="635">
        <v>3</v>
      </c>
      <c r="E1" s="636">
        <v>4</v>
      </c>
      <c r="F1" s="636">
        <v>5</v>
      </c>
      <c r="G1" s="636">
        <v>6</v>
      </c>
      <c r="H1" s="636">
        <v>7</v>
      </c>
      <c r="I1" s="636">
        <v>8</v>
      </c>
      <c r="J1" s="636">
        <v>9</v>
      </c>
      <c r="K1" s="636">
        <v>10</v>
      </c>
      <c r="L1" s="636">
        <v>11</v>
      </c>
      <c r="M1" s="636">
        <v>12</v>
      </c>
      <c r="N1" s="636">
        <v>13</v>
      </c>
      <c r="O1" s="636">
        <v>14</v>
      </c>
    </row>
    <row r="2" spans="1:19" s="634" customFormat="1" ht="100.5" customHeight="1" x14ac:dyDescent="0.2">
      <c r="C2" s="613"/>
      <c r="D2" s="614" t="s">
        <v>1072</v>
      </c>
      <c r="E2" s="614" t="s">
        <v>1073</v>
      </c>
      <c r="F2" s="614" t="s">
        <v>1074</v>
      </c>
      <c r="G2" s="614" t="s">
        <v>1075</v>
      </c>
      <c r="H2" s="614" t="s">
        <v>1076</v>
      </c>
      <c r="I2" s="614" t="s">
        <v>1077</v>
      </c>
      <c r="J2" s="614" t="s">
        <v>1078</v>
      </c>
      <c r="K2" s="614" t="s">
        <v>1079</v>
      </c>
      <c r="L2" s="614" t="s">
        <v>1080</v>
      </c>
      <c r="M2" s="614" t="s">
        <v>1081</v>
      </c>
      <c r="N2" s="614" t="s">
        <v>1082</v>
      </c>
      <c r="O2" s="614" t="s">
        <v>1083</v>
      </c>
      <c r="P2" s="637"/>
    </row>
    <row r="3" spans="1:19" x14ac:dyDescent="0.2">
      <c r="C3" s="215" t="s">
        <v>1188</v>
      </c>
      <c r="D3" s="632">
        <v>1</v>
      </c>
      <c r="E3" s="632">
        <v>2</v>
      </c>
      <c r="F3" s="632">
        <v>3</v>
      </c>
      <c r="G3" s="632">
        <v>4</v>
      </c>
      <c r="H3" s="632">
        <v>5</v>
      </c>
      <c r="I3" s="632">
        <v>6</v>
      </c>
      <c r="J3" s="632">
        <v>7</v>
      </c>
      <c r="K3" s="632">
        <v>8</v>
      </c>
      <c r="L3" s="632">
        <v>9</v>
      </c>
      <c r="M3" s="632">
        <v>10</v>
      </c>
      <c r="N3" s="632">
        <v>11</v>
      </c>
      <c r="O3" s="632">
        <v>12</v>
      </c>
    </row>
    <row r="4" spans="1:19" x14ac:dyDescent="0.2">
      <c r="C4" s="214" t="s">
        <v>1084</v>
      </c>
      <c r="D4" s="632">
        <v>1</v>
      </c>
      <c r="E4" s="632">
        <v>1</v>
      </c>
      <c r="F4" s="632">
        <v>1</v>
      </c>
      <c r="G4" s="632">
        <v>1</v>
      </c>
      <c r="H4" s="632">
        <v>1</v>
      </c>
      <c r="I4" s="632">
        <v>1</v>
      </c>
      <c r="J4" s="632">
        <v>1</v>
      </c>
      <c r="K4" s="632">
        <v>1</v>
      </c>
      <c r="L4" s="632">
        <v>1</v>
      </c>
      <c r="M4" s="632">
        <v>1</v>
      </c>
      <c r="N4" s="632">
        <v>1</v>
      </c>
      <c r="O4" s="632">
        <v>1</v>
      </c>
      <c r="P4" s="215"/>
      <c r="Q4" s="215"/>
      <c r="R4" s="215"/>
      <c r="S4" s="215"/>
    </row>
    <row r="5" spans="1:19" x14ac:dyDescent="0.2">
      <c r="B5" s="638" t="s">
        <v>1085</v>
      </c>
      <c r="C5" s="638" t="s">
        <v>89</v>
      </c>
      <c r="P5" s="634" t="s">
        <v>21</v>
      </c>
      <c r="Q5" s="634" t="s">
        <v>1178</v>
      </c>
      <c r="R5" s="634" t="s">
        <v>1179</v>
      </c>
      <c r="S5" s="215" t="s">
        <v>1189</v>
      </c>
    </row>
    <row r="6" spans="1:19" x14ac:dyDescent="0.2">
      <c r="A6" s="214">
        <v>1</v>
      </c>
      <c r="B6" s="250" t="s">
        <v>94</v>
      </c>
      <c r="C6" s="250" t="s">
        <v>93</v>
      </c>
      <c r="D6" s="239">
        <v>18601367</v>
      </c>
      <c r="E6" s="239">
        <v>0</v>
      </c>
      <c r="F6" s="239">
        <v>1082156</v>
      </c>
      <c r="G6" s="239">
        <v>86697</v>
      </c>
      <c r="H6" s="239">
        <v>0</v>
      </c>
      <c r="I6" s="239">
        <v>86697</v>
      </c>
      <c r="J6" s="239">
        <v>0</v>
      </c>
      <c r="K6" s="239">
        <v>0</v>
      </c>
      <c r="L6" s="239">
        <v>0</v>
      </c>
      <c r="M6" s="239">
        <v>0</v>
      </c>
      <c r="N6" s="239">
        <v>0</v>
      </c>
      <c r="O6" s="239">
        <v>17432514</v>
      </c>
      <c r="P6" s="214" t="s">
        <v>93</v>
      </c>
      <c r="Q6" s="214" t="s">
        <v>763</v>
      </c>
      <c r="R6" s="214" t="s">
        <v>762</v>
      </c>
      <c r="S6" s="214" t="s">
        <v>1190</v>
      </c>
    </row>
    <row r="7" spans="1:19" x14ac:dyDescent="0.2">
      <c r="A7" s="214">
        <v>2</v>
      </c>
      <c r="B7" s="250" t="s">
        <v>96</v>
      </c>
      <c r="C7" s="250" t="s">
        <v>95</v>
      </c>
      <c r="D7" s="239">
        <v>27773297</v>
      </c>
      <c r="E7" s="239">
        <v>0</v>
      </c>
      <c r="F7" s="239">
        <v>47415</v>
      </c>
      <c r="G7" s="239">
        <v>182110</v>
      </c>
      <c r="H7" s="239">
        <v>0</v>
      </c>
      <c r="I7" s="239">
        <v>182110</v>
      </c>
      <c r="J7" s="239">
        <v>0</v>
      </c>
      <c r="K7" s="239">
        <v>0</v>
      </c>
      <c r="L7" s="239">
        <v>434386</v>
      </c>
      <c r="M7" s="239">
        <v>434386</v>
      </c>
      <c r="N7" s="239">
        <v>0</v>
      </c>
      <c r="O7" s="239">
        <v>27109386</v>
      </c>
      <c r="P7" s="214" t="s">
        <v>95</v>
      </c>
      <c r="Q7" s="214" t="s">
        <v>850</v>
      </c>
      <c r="R7" s="214" t="s">
        <v>762</v>
      </c>
      <c r="S7" s="214" t="s">
        <v>1190</v>
      </c>
    </row>
    <row r="8" spans="1:19" x14ac:dyDescent="0.2">
      <c r="A8" s="214">
        <v>3</v>
      </c>
      <c r="B8" s="250" t="s">
        <v>98</v>
      </c>
      <c r="C8" s="250" t="s">
        <v>97</v>
      </c>
      <c r="D8" s="239">
        <v>30309710</v>
      </c>
      <c r="E8" s="239">
        <v>9969</v>
      </c>
      <c r="F8" s="239">
        <v>0</v>
      </c>
      <c r="G8" s="239">
        <v>151716</v>
      </c>
      <c r="H8" s="239">
        <v>0</v>
      </c>
      <c r="I8" s="239">
        <v>151716</v>
      </c>
      <c r="J8" s="239">
        <v>0</v>
      </c>
      <c r="K8" s="239">
        <v>0</v>
      </c>
      <c r="L8" s="239">
        <v>8066</v>
      </c>
      <c r="M8" s="239">
        <v>8066</v>
      </c>
      <c r="N8" s="239">
        <v>0</v>
      </c>
      <c r="O8" s="239">
        <v>30159897</v>
      </c>
      <c r="P8" s="214" t="s">
        <v>97</v>
      </c>
      <c r="Q8" s="214" t="s">
        <v>857</v>
      </c>
      <c r="R8" s="214" t="s">
        <v>855</v>
      </c>
      <c r="S8" s="214" t="s">
        <v>1190</v>
      </c>
    </row>
    <row r="9" spans="1:19" x14ac:dyDescent="0.2">
      <c r="A9" s="214">
        <v>4</v>
      </c>
      <c r="B9" s="250" t="s">
        <v>100</v>
      </c>
      <c r="C9" s="250" t="s">
        <v>99</v>
      </c>
      <c r="D9" s="239">
        <v>37544539</v>
      </c>
      <c r="E9" s="239">
        <v>0</v>
      </c>
      <c r="F9" s="239">
        <v>92775</v>
      </c>
      <c r="G9" s="239">
        <v>177222</v>
      </c>
      <c r="H9" s="239">
        <v>0</v>
      </c>
      <c r="I9" s="239">
        <v>177222</v>
      </c>
      <c r="J9" s="239">
        <v>0</v>
      </c>
      <c r="K9" s="239">
        <v>0</v>
      </c>
      <c r="L9" s="239">
        <v>0</v>
      </c>
      <c r="M9" s="239">
        <v>0</v>
      </c>
      <c r="N9" s="239">
        <v>0</v>
      </c>
      <c r="O9" s="239">
        <v>37274542</v>
      </c>
      <c r="P9" s="214" t="s">
        <v>99</v>
      </c>
      <c r="Q9" s="214" t="s">
        <v>763</v>
      </c>
      <c r="R9" s="214" t="s">
        <v>762</v>
      </c>
      <c r="S9" s="214" t="s">
        <v>1190</v>
      </c>
    </row>
    <row r="10" spans="1:19" x14ac:dyDescent="0.2">
      <c r="A10" s="214">
        <v>5</v>
      </c>
      <c r="B10" s="250" t="s">
        <v>102</v>
      </c>
      <c r="C10" s="250" t="s">
        <v>101</v>
      </c>
      <c r="D10" s="239">
        <v>34904401</v>
      </c>
      <c r="E10" s="239">
        <v>0</v>
      </c>
      <c r="F10" s="239">
        <v>0</v>
      </c>
      <c r="G10" s="239">
        <v>132117</v>
      </c>
      <c r="H10" s="239">
        <v>0</v>
      </c>
      <c r="I10" s="239">
        <v>132117</v>
      </c>
      <c r="J10" s="239">
        <v>0</v>
      </c>
      <c r="K10" s="239">
        <v>0</v>
      </c>
      <c r="L10" s="239">
        <v>0</v>
      </c>
      <c r="M10" s="239">
        <v>0</v>
      </c>
      <c r="N10" s="239">
        <v>0</v>
      </c>
      <c r="O10" s="239">
        <v>34772284</v>
      </c>
      <c r="P10" s="214" t="s">
        <v>101</v>
      </c>
      <c r="Q10" s="214" t="s">
        <v>873</v>
      </c>
      <c r="R10" s="214" t="s">
        <v>871</v>
      </c>
      <c r="S10" s="214" t="s">
        <v>1190</v>
      </c>
    </row>
    <row r="11" spans="1:19" x14ac:dyDescent="0.2">
      <c r="A11" s="214">
        <v>6</v>
      </c>
      <c r="B11" s="250" t="s">
        <v>104</v>
      </c>
      <c r="C11" s="250" t="s">
        <v>103</v>
      </c>
      <c r="D11" s="239">
        <v>47606708</v>
      </c>
      <c r="E11" s="239">
        <v>0</v>
      </c>
      <c r="F11" s="239">
        <v>39219</v>
      </c>
      <c r="G11" s="239">
        <v>180852</v>
      </c>
      <c r="H11" s="239">
        <v>0</v>
      </c>
      <c r="I11" s="239">
        <v>180852</v>
      </c>
      <c r="J11" s="239">
        <v>0</v>
      </c>
      <c r="K11" s="239">
        <v>0</v>
      </c>
      <c r="L11" s="239">
        <v>100788</v>
      </c>
      <c r="M11" s="239">
        <v>100788</v>
      </c>
      <c r="N11" s="239">
        <v>0</v>
      </c>
      <c r="O11" s="239">
        <v>47285849</v>
      </c>
      <c r="P11" s="214" t="s">
        <v>103</v>
      </c>
      <c r="Q11" s="214" t="s">
        <v>825</v>
      </c>
      <c r="R11" s="214" t="s">
        <v>823</v>
      </c>
      <c r="S11" s="214" t="s">
        <v>1190</v>
      </c>
    </row>
    <row r="12" spans="1:19" x14ac:dyDescent="0.2">
      <c r="A12" s="214">
        <v>7</v>
      </c>
      <c r="B12" s="250" t="s">
        <v>106</v>
      </c>
      <c r="C12" s="250" t="s">
        <v>105</v>
      </c>
      <c r="D12" s="239">
        <v>54619156</v>
      </c>
      <c r="E12" s="239">
        <v>0</v>
      </c>
      <c r="F12" s="239">
        <v>37182</v>
      </c>
      <c r="G12" s="239">
        <v>227027</v>
      </c>
      <c r="H12" s="239">
        <v>0</v>
      </c>
      <c r="I12" s="239">
        <v>227027</v>
      </c>
      <c r="J12" s="239">
        <v>0</v>
      </c>
      <c r="K12" s="239">
        <v>208743</v>
      </c>
      <c r="L12" s="239">
        <v>0</v>
      </c>
      <c r="M12" s="239">
        <v>0</v>
      </c>
      <c r="N12" s="239">
        <v>0</v>
      </c>
      <c r="O12" s="239">
        <v>54146204</v>
      </c>
      <c r="P12" s="214" t="s">
        <v>105</v>
      </c>
      <c r="Q12" s="214" t="s">
        <v>760</v>
      </c>
      <c r="R12" s="214" t="s">
        <v>758</v>
      </c>
      <c r="S12" s="214" t="s">
        <v>1190</v>
      </c>
    </row>
    <row r="13" spans="1:19" x14ac:dyDescent="0.2">
      <c r="A13" s="214">
        <v>8</v>
      </c>
      <c r="B13" s="250" t="s">
        <v>108</v>
      </c>
      <c r="C13" s="250" t="s">
        <v>107</v>
      </c>
      <c r="D13" s="239">
        <v>24253407</v>
      </c>
      <c r="E13" s="239">
        <v>0</v>
      </c>
      <c r="F13" s="239">
        <v>43898</v>
      </c>
      <c r="G13" s="239">
        <v>128746</v>
      </c>
      <c r="H13" s="239">
        <v>0</v>
      </c>
      <c r="I13" s="239">
        <v>128746</v>
      </c>
      <c r="J13" s="239">
        <v>0</v>
      </c>
      <c r="K13" s="239">
        <v>0</v>
      </c>
      <c r="L13" s="239">
        <v>0</v>
      </c>
      <c r="M13" s="239">
        <v>0</v>
      </c>
      <c r="N13" s="239">
        <v>0</v>
      </c>
      <c r="O13" s="239">
        <v>24080763</v>
      </c>
      <c r="P13" s="214" t="s">
        <v>107</v>
      </c>
      <c r="Q13" s="214" t="s">
        <v>810</v>
      </c>
      <c r="R13" s="214" t="s">
        <v>762</v>
      </c>
      <c r="S13" s="214" t="s">
        <v>1190</v>
      </c>
    </row>
    <row r="14" spans="1:19" x14ac:dyDescent="0.2">
      <c r="A14" s="214">
        <v>9</v>
      </c>
      <c r="B14" s="250" t="s">
        <v>110</v>
      </c>
      <c r="C14" s="250" t="s">
        <v>109</v>
      </c>
      <c r="D14" s="239">
        <v>61290750</v>
      </c>
      <c r="E14" s="239">
        <v>0</v>
      </c>
      <c r="F14" s="239">
        <v>159026</v>
      </c>
      <c r="G14" s="239">
        <v>201892</v>
      </c>
      <c r="H14" s="239">
        <v>0</v>
      </c>
      <c r="I14" s="239">
        <v>201892</v>
      </c>
      <c r="J14" s="239">
        <v>0</v>
      </c>
      <c r="K14" s="239">
        <v>0</v>
      </c>
      <c r="L14" s="239">
        <v>0</v>
      </c>
      <c r="M14" s="239">
        <v>0</v>
      </c>
      <c r="N14" s="239">
        <v>0</v>
      </c>
      <c r="O14" s="239">
        <v>60929832</v>
      </c>
      <c r="P14" s="214" t="s">
        <v>926</v>
      </c>
      <c r="Q14" s="214" t="s">
        <v>789</v>
      </c>
      <c r="R14" s="214" t="s">
        <v>748</v>
      </c>
      <c r="S14" s="214" t="s">
        <v>1191</v>
      </c>
    </row>
    <row r="15" spans="1:19" x14ac:dyDescent="0.2">
      <c r="A15" s="214">
        <v>10</v>
      </c>
      <c r="B15" s="250" t="s">
        <v>112</v>
      </c>
      <c r="C15" s="250" t="s">
        <v>111</v>
      </c>
      <c r="D15" s="239">
        <v>108487442</v>
      </c>
      <c r="E15" s="239">
        <v>0</v>
      </c>
      <c r="F15" s="239">
        <v>243180</v>
      </c>
      <c r="G15" s="239">
        <v>415924</v>
      </c>
      <c r="H15" s="239">
        <v>0</v>
      </c>
      <c r="I15" s="239">
        <v>415924</v>
      </c>
      <c r="J15" s="239">
        <v>0</v>
      </c>
      <c r="K15" s="239">
        <v>0</v>
      </c>
      <c r="L15" s="239">
        <v>0</v>
      </c>
      <c r="M15" s="239">
        <v>0</v>
      </c>
      <c r="N15" s="239">
        <v>0</v>
      </c>
      <c r="O15" s="239">
        <v>107828338</v>
      </c>
      <c r="P15" s="214" t="s">
        <v>111</v>
      </c>
      <c r="Q15" s="214" t="s">
        <v>789</v>
      </c>
      <c r="R15" s="214" t="s">
        <v>748</v>
      </c>
      <c r="S15" s="214" t="s">
        <v>1191</v>
      </c>
    </row>
    <row r="16" spans="1:19" x14ac:dyDescent="0.2">
      <c r="A16" s="214">
        <v>11</v>
      </c>
      <c r="B16" s="250" t="s">
        <v>114</v>
      </c>
      <c r="C16" s="250" t="s">
        <v>113</v>
      </c>
      <c r="D16" s="239">
        <v>52795389</v>
      </c>
      <c r="E16" s="239">
        <v>0</v>
      </c>
      <c r="F16" s="239">
        <v>132240</v>
      </c>
      <c r="G16" s="239">
        <v>270426</v>
      </c>
      <c r="H16" s="239">
        <v>0</v>
      </c>
      <c r="I16" s="239">
        <v>270426</v>
      </c>
      <c r="J16" s="239">
        <v>0</v>
      </c>
      <c r="K16" s="239">
        <v>443008</v>
      </c>
      <c r="L16" s="239">
        <v>52682</v>
      </c>
      <c r="M16" s="239">
        <v>52682</v>
      </c>
      <c r="N16" s="239">
        <v>0</v>
      </c>
      <c r="O16" s="239">
        <v>51897033</v>
      </c>
      <c r="P16" s="214" t="s">
        <v>113</v>
      </c>
      <c r="Q16" s="214" t="s">
        <v>767</v>
      </c>
      <c r="R16" s="214" t="s">
        <v>864</v>
      </c>
      <c r="S16" s="214" t="s">
        <v>1192</v>
      </c>
    </row>
    <row r="17" spans="1:19" x14ac:dyDescent="0.2">
      <c r="A17" s="214">
        <v>12</v>
      </c>
      <c r="B17" s="250" t="s">
        <v>116</v>
      </c>
      <c r="C17" s="250" t="s">
        <v>115</v>
      </c>
      <c r="D17" s="239">
        <v>23256925</v>
      </c>
      <c r="E17" s="239">
        <v>0</v>
      </c>
      <c r="F17" s="239">
        <v>554669</v>
      </c>
      <c r="G17" s="239">
        <v>95866</v>
      </c>
      <c r="H17" s="239">
        <v>0</v>
      </c>
      <c r="I17" s="239">
        <v>95866</v>
      </c>
      <c r="J17" s="239">
        <v>0</v>
      </c>
      <c r="K17" s="239">
        <v>0</v>
      </c>
      <c r="L17" s="239">
        <v>92917</v>
      </c>
      <c r="M17" s="239">
        <v>92917</v>
      </c>
      <c r="N17" s="239">
        <v>0</v>
      </c>
      <c r="O17" s="239">
        <v>22513473</v>
      </c>
      <c r="P17" s="214" t="s">
        <v>115</v>
      </c>
      <c r="Q17" s="214" t="s">
        <v>850</v>
      </c>
      <c r="R17" s="214" t="s">
        <v>762</v>
      </c>
      <c r="S17" s="214" t="s">
        <v>1190</v>
      </c>
    </row>
    <row r="18" spans="1:19" x14ac:dyDescent="0.2">
      <c r="A18" s="214">
        <v>13</v>
      </c>
      <c r="B18" s="250" t="s">
        <v>118</v>
      </c>
      <c r="C18" s="250" t="s">
        <v>117</v>
      </c>
      <c r="D18" s="239">
        <v>92344155</v>
      </c>
      <c r="E18" s="239">
        <v>0</v>
      </c>
      <c r="F18" s="239">
        <v>226992</v>
      </c>
      <c r="G18" s="239">
        <v>234178</v>
      </c>
      <c r="H18" s="239">
        <v>10454</v>
      </c>
      <c r="I18" s="239">
        <v>244632</v>
      </c>
      <c r="J18" s="239">
        <v>0</v>
      </c>
      <c r="K18" s="239">
        <v>0</v>
      </c>
      <c r="L18" s="239">
        <v>55</v>
      </c>
      <c r="M18" s="239">
        <v>55</v>
      </c>
      <c r="N18" s="239">
        <v>0</v>
      </c>
      <c r="O18" s="239">
        <v>91872476</v>
      </c>
      <c r="P18" s="214" t="s">
        <v>117</v>
      </c>
      <c r="Q18" s="214" t="s">
        <v>821</v>
      </c>
      <c r="R18" s="214" t="s">
        <v>819</v>
      </c>
      <c r="S18" s="214" t="s">
        <v>1190</v>
      </c>
    </row>
    <row r="19" spans="1:19" x14ac:dyDescent="0.2">
      <c r="A19" s="214">
        <v>14</v>
      </c>
      <c r="B19" s="250" t="s">
        <v>120</v>
      </c>
      <c r="C19" s="250" t="s">
        <v>119</v>
      </c>
      <c r="D19" s="239">
        <v>74998768</v>
      </c>
      <c r="E19" s="239">
        <v>0</v>
      </c>
      <c r="F19" s="239">
        <v>868431</v>
      </c>
      <c r="G19" s="239">
        <v>203511</v>
      </c>
      <c r="H19" s="239">
        <v>0</v>
      </c>
      <c r="I19" s="239">
        <v>203511</v>
      </c>
      <c r="J19" s="239">
        <v>0</v>
      </c>
      <c r="K19" s="239">
        <v>0</v>
      </c>
      <c r="L19" s="239">
        <v>314205</v>
      </c>
      <c r="M19" s="239">
        <v>110379</v>
      </c>
      <c r="N19" s="239">
        <v>203826</v>
      </c>
      <c r="O19" s="239">
        <v>73612621</v>
      </c>
      <c r="P19" s="214" t="s">
        <v>119</v>
      </c>
      <c r="Q19" s="214" t="s">
        <v>778</v>
      </c>
      <c r="R19" s="214" t="s">
        <v>776</v>
      </c>
      <c r="S19" s="214" t="s">
        <v>1190</v>
      </c>
    </row>
    <row r="20" spans="1:19" x14ac:dyDescent="0.2">
      <c r="A20" s="214">
        <v>15</v>
      </c>
      <c r="B20" s="250" t="s">
        <v>122</v>
      </c>
      <c r="C20" s="250" t="s">
        <v>121</v>
      </c>
      <c r="D20" s="239">
        <v>52084955</v>
      </c>
      <c r="E20" s="239">
        <v>0</v>
      </c>
      <c r="F20" s="239">
        <v>201244</v>
      </c>
      <c r="G20" s="239">
        <v>174205</v>
      </c>
      <c r="H20" s="239">
        <v>0</v>
      </c>
      <c r="I20" s="239">
        <v>174205</v>
      </c>
      <c r="J20" s="239">
        <v>0</v>
      </c>
      <c r="K20" s="239">
        <v>0</v>
      </c>
      <c r="L20" s="239">
        <v>550009</v>
      </c>
      <c r="M20" s="239">
        <v>550009</v>
      </c>
      <c r="N20" s="239">
        <v>0</v>
      </c>
      <c r="O20" s="239">
        <v>51159497</v>
      </c>
      <c r="P20" s="214" t="s">
        <v>121</v>
      </c>
      <c r="Q20" s="214" t="s">
        <v>873</v>
      </c>
      <c r="R20" s="214" t="s">
        <v>871</v>
      </c>
      <c r="S20" s="214" t="s">
        <v>1190</v>
      </c>
    </row>
    <row r="21" spans="1:19" x14ac:dyDescent="0.2">
      <c r="A21" s="214">
        <v>16</v>
      </c>
      <c r="B21" s="250" t="s">
        <v>124</v>
      </c>
      <c r="C21" s="250" t="s">
        <v>123</v>
      </c>
      <c r="D21" s="239">
        <v>63627807</v>
      </c>
      <c r="E21" s="239">
        <v>0</v>
      </c>
      <c r="F21" s="239">
        <v>108687</v>
      </c>
      <c r="G21" s="239">
        <v>259777</v>
      </c>
      <c r="H21" s="239">
        <v>0</v>
      </c>
      <c r="I21" s="239">
        <v>259777</v>
      </c>
      <c r="J21" s="239">
        <v>0</v>
      </c>
      <c r="K21" s="239">
        <v>594870</v>
      </c>
      <c r="L21" s="239">
        <v>46472</v>
      </c>
      <c r="M21" s="239">
        <v>46472</v>
      </c>
      <c r="N21" s="239">
        <v>0</v>
      </c>
      <c r="O21" s="239">
        <v>62618001</v>
      </c>
      <c r="P21" s="214" t="s">
        <v>925</v>
      </c>
      <c r="Q21" s="214" t="s">
        <v>747</v>
      </c>
      <c r="R21" s="214" t="s">
        <v>852</v>
      </c>
      <c r="S21" s="214" t="s">
        <v>747</v>
      </c>
    </row>
    <row r="22" spans="1:19" x14ac:dyDescent="0.2">
      <c r="A22" s="214">
        <v>17</v>
      </c>
      <c r="B22" s="250" t="s">
        <v>126</v>
      </c>
      <c r="C22" s="250" t="s">
        <v>125</v>
      </c>
      <c r="D22" s="239">
        <v>66942173</v>
      </c>
      <c r="E22" s="239">
        <v>0</v>
      </c>
      <c r="F22" s="239">
        <v>45880</v>
      </c>
      <c r="G22" s="239">
        <v>231612</v>
      </c>
      <c r="H22" s="239">
        <v>0</v>
      </c>
      <c r="I22" s="239">
        <v>231612</v>
      </c>
      <c r="J22" s="239">
        <v>0</v>
      </c>
      <c r="K22" s="239">
        <v>0</v>
      </c>
      <c r="L22" s="239">
        <v>767999</v>
      </c>
      <c r="M22" s="239">
        <v>767999</v>
      </c>
      <c r="N22" s="239">
        <v>0</v>
      </c>
      <c r="O22" s="239">
        <v>65896682</v>
      </c>
      <c r="P22" s="214" t="s">
        <v>125</v>
      </c>
      <c r="Q22" s="214" t="s">
        <v>747</v>
      </c>
      <c r="R22" s="214" t="s">
        <v>897</v>
      </c>
      <c r="S22" s="214" t="s">
        <v>747</v>
      </c>
    </row>
    <row r="23" spans="1:19" x14ac:dyDescent="0.2">
      <c r="A23" s="214">
        <v>18</v>
      </c>
      <c r="B23" s="250" t="s">
        <v>128</v>
      </c>
      <c r="C23" s="250" t="s">
        <v>127</v>
      </c>
      <c r="D23" s="239">
        <v>72002109</v>
      </c>
      <c r="E23" s="239">
        <v>0</v>
      </c>
      <c r="F23" s="239">
        <v>22531</v>
      </c>
      <c r="G23" s="239">
        <v>253817</v>
      </c>
      <c r="H23" s="239">
        <v>0</v>
      </c>
      <c r="I23" s="239">
        <v>253817</v>
      </c>
      <c r="J23" s="239">
        <v>0</v>
      </c>
      <c r="K23" s="239">
        <v>0</v>
      </c>
      <c r="L23" s="239">
        <v>0</v>
      </c>
      <c r="M23" s="239">
        <v>0</v>
      </c>
      <c r="N23" s="239">
        <v>0</v>
      </c>
      <c r="O23" s="239">
        <v>71725761</v>
      </c>
      <c r="P23" s="214" t="s">
        <v>127</v>
      </c>
      <c r="Q23" s="214" t="s">
        <v>789</v>
      </c>
      <c r="R23" s="214" t="s">
        <v>748</v>
      </c>
      <c r="S23" s="214" t="s">
        <v>1191</v>
      </c>
    </row>
    <row r="24" spans="1:19" x14ac:dyDescent="0.2">
      <c r="A24" s="214">
        <v>19</v>
      </c>
      <c r="B24" s="250" t="s">
        <v>130</v>
      </c>
      <c r="C24" s="250" t="s">
        <v>129</v>
      </c>
      <c r="D24" s="239">
        <v>418687169</v>
      </c>
      <c r="E24" s="239">
        <v>0</v>
      </c>
      <c r="F24" s="239">
        <v>1678803</v>
      </c>
      <c r="G24" s="239">
        <v>1924036</v>
      </c>
      <c r="H24" s="239">
        <v>0</v>
      </c>
      <c r="I24" s="239">
        <v>1924036</v>
      </c>
      <c r="J24" s="239">
        <v>0</v>
      </c>
      <c r="K24" s="239">
        <v>3677010</v>
      </c>
      <c r="L24" s="239">
        <v>0</v>
      </c>
      <c r="M24" s="239">
        <v>0</v>
      </c>
      <c r="N24" s="239">
        <v>0</v>
      </c>
      <c r="O24" s="239">
        <v>411407320</v>
      </c>
      <c r="P24" s="214" t="s">
        <v>129</v>
      </c>
      <c r="Q24" s="214" t="s">
        <v>767</v>
      </c>
      <c r="R24" s="214" t="s">
        <v>765</v>
      </c>
      <c r="S24" s="214" t="s">
        <v>1192</v>
      </c>
    </row>
    <row r="25" spans="1:19" x14ac:dyDescent="0.2">
      <c r="A25" s="214">
        <v>20</v>
      </c>
      <c r="B25" s="250" t="s">
        <v>132</v>
      </c>
      <c r="C25" s="250" t="s">
        <v>131</v>
      </c>
      <c r="D25" s="239">
        <v>43682997</v>
      </c>
      <c r="E25" s="239">
        <v>0</v>
      </c>
      <c r="F25" s="239">
        <v>28906</v>
      </c>
      <c r="G25" s="239">
        <v>101202</v>
      </c>
      <c r="H25" s="239">
        <v>0</v>
      </c>
      <c r="I25" s="239">
        <v>101202</v>
      </c>
      <c r="J25" s="239">
        <v>0</v>
      </c>
      <c r="K25" s="239">
        <v>0</v>
      </c>
      <c r="L25" s="239">
        <v>0</v>
      </c>
      <c r="M25" s="239">
        <v>0</v>
      </c>
      <c r="N25" s="239">
        <v>0</v>
      </c>
      <c r="O25" s="239">
        <v>43552889</v>
      </c>
      <c r="P25" s="214" t="s">
        <v>131</v>
      </c>
      <c r="Q25" s="214" t="s">
        <v>883</v>
      </c>
      <c r="R25" s="214" t="s">
        <v>868</v>
      </c>
      <c r="S25" s="214" t="s">
        <v>1190</v>
      </c>
    </row>
    <row r="26" spans="1:19" x14ac:dyDescent="0.2">
      <c r="A26" s="214">
        <v>21</v>
      </c>
      <c r="B26" s="250" t="s">
        <v>134</v>
      </c>
      <c r="C26" s="250" t="s">
        <v>133</v>
      </c>
      <c r="D26" s="239">
        <v>46338322</v>
      </c>
      <c r="E26" s="239">
        <v>0</v>
      </c>
      <c r="F26" s="239">
        <v>93380</v>
      </c>
      <c r="G26" s="239">
        <v>255158</v>
      </c>
      <c r="H26" s="239">
        <v>0</v>
      </c>
      <c r="I26" s="239">
        <v>255158</v>
      </c>
      <c r="J26" s="239">
        <v>0</v>
      </c>
      <c r="K26" s="239">
        <v>0</v>
      </c>
      <c r="L26" s="239">
        <v>0</v>
      </c>
      <c r="M26" s="239">
        <v>0</v>
      </c>
      <c r="N26" s="239">
        <v>0</v>
      </c>
      <c r="O26" s="239">
        <v>45989784</v>
      </c>
      <c r="P26" s="214" t="s">
        <v>924</v>
      </c>
      <c r="Q26" s="214" t="s">
        <v>747</v>
      </c>
      <c r="R26" s="214" t="s">
        <v>754</v>
      </c>
      <c r="S26" s="214" t="s">
        <v>747</v>
      </c>
    </row>
    <row r="27" spans="1:19" x14ac:dyDescent="0.2">
      <c r="A27" s="214">
        <v>22</v>
      </c>
      <c r="B27" s="250" t="s">
        <v>136</v>
      </c>
      <c r="C27" s="250" t="s">
        <v>135</v>
      </c>
      <c r="D27" s="239">
        <v>51039524</v>
      </c>
      <c r="E27" s="239">
        <v>233872</v>
      </c>
      <c r="F27" s="239">
        <v>0</v>
      </c>
      <c r="G27" s="239">
        <v>270621</v>
      </c>
      <c r="H27" s="239">
        <v>0</v>
      </c>
      <c r="I27" s="239">
        <v>270621</v>
      </c>
      <c r="J27" s="239">
        <v>0</v>
      </c>
      <c r="K27" s="239">
        <v>0</v>
      </c>
      <c r="L27" s="239">
        <v>0</v>
      </c>
      <c r="M27" s="239">
        <v>0</v>
      </c>
      <c r="N27" s="239">
        <v>0</v>
      </c>
      <c r="O27" s="239">
        <v>51002775</v>
      </c>
      <c r="P27" s="214" t="s">
        <v>923</v>
      </c>
      <c r="Q27" s="214" t="s">
        <v>747</v>
      </c>
      <c r="R27" s="214" t="s">
        <v>754</v>
      </c>
      <c r="S27" s="214" t="s">
        <v>747</v>
      </c>
    </row>
    <row r="28" spans="1:19" x14ac:dyDescent="0.2">
      <c r="A28" s="214">
        <v>23</v>
      </c>
      <c r="B28" s="250" t="s">
        <v>138</v>
      </c>
      <c r="C28" s="250" t="s">
        <v>137</v>
      </c>
      <c r="D28" s="239">
        <v>27040995</v>
      </c>
      <c r="E28" s="239">
        <v>0</v>
      </c>
      <c r="F28" s="239">
        <v>519049</v>
      </c>
      <c r="G28" s="239">
        <v>95614</v>
      </c>
      <c r="H28" s="239">
        <v>0</v>
      </c>
      <c r="I28" s="239">
        <v>95614</v>
      </c>
      <c r="J28" s="239">
        <v>0</v>
      </c>
      <c r="K28" s="239">
        <v>0</v>
      </c>
      <c r="L28" s="239">
        <v>34210</v>
      </c>
      <c r="M28" s="239">
        <v>34210</v>
      </c>
      <c r="N28" s="239">
        <v>0</v>
      </c>
      <c r="O28" s="239">
        <v>26392122</v>
      </c>
      <c r="P28" s="214" t="s">
        <v>137</v>
      </c>
      <c r="Q28" s="214" t="s">
        <v>857</v>
      </c>
      <c r="R28" s="214" t="s">
        <v>855</v>
      </c>
      <c r="S28" s="214" t="s">
        <v>1190</v>
      </c>
    </row>
    <row r="29" spans="1:19" x14ac:dyDescent="0.2">
      <c r="A29" s="214">
        <v>24</v>
      </c>
      <c r="B29" s="250" t="s">
        <v>140</v>
      </c>
      <c r="C29" s="250" t="s">
        <v>139</v>
      </c>
      <c r="D29" s="239">
        <v>88102326</v>
      </c>
      <c r="E29" s="239">
        <v>0</v>
      </c>
      <c r="F29" s="239">
        <v>218821</v>
      </c>
      <c r="G29" s="239">
        <v>400997</v>
      </c>
      <c r="H29" s="239">
        <v>0</v>
      </c>
      <c r="I29" s="239">
        <v>400997</v>
      </c>
      <c r="J29" s="239">
        <v>0</v>
      </c>
      <c r="K29" s="239">
        <v>0</v>
      </c>
      <c r="L29" s="239">
        <v>0</v>
      </c>
      <c r="M29" s="239">
        <v>0</v>
      </c>
      <c r="N29" s="239">
        <v>0</v>
      </c>
      <c r="O29" s="239">
        <v>87482508</v>
      </c>
      <c r="P29" s="214" t="s">
        <v>139</v>
      </c>
      <c r="Q29" s="214" t="s">
        <v>767</v>
      </c>
      <c r="R29" s="214" t="s">
        <v>782</v>
      </c>
      <c r="S29" s="214" t="s">
        <v>1192</v>
      </c>
    </row>
    <row r="30" spans="1:19" x14ac:dyDescent="0.2">
      <c r="A30" s="214">
        <v>25</v>
      </c>
      <c r="B30" s="250" t="s">
        <v>142</v>
      </c>
      <c r="C30" s="250" t="s">
        <v>141</v>
      </c>
      <c r="D30" s="239">
        <v>20255428</v>
      </c>
      <c r="E30" s="239">
        <v>0</v>
      </c>
      <c r="F30" s="239">
        <v>122586</v>
      </c>
      <c r="G30" s="239">
        <v>90714</v>
      </c>
      <c r="H30" s="239">
        <v>0</v>
      </c>
      <c r="I30" s="239">
        <v>90714</v>
      </c>
      <c r="J30" s="239">
        <v>0</v>
      </c>
      <c r="K30" s="239">
        <v>0</v>
      </c>
      <c r="L30" s="239">
        <v>136280</v>
      </c>
      <c r="M30" s="239">
        <v>136280</v>
      </c>
      <c r="N30" s="239">
        <v>0</v>
      </c>
      <c r="O30" s="239">
        <v>19905848</v>
      </c>
      <c r="P30" s="214" t="s">
        <v>141</v>
      </c>
      <c r="Q30" s="214" t="s">
        <v>797</v>
      </c>
      <c r="R30" s="214" t="s">
        <v>762</v>
      </c>
      <c r="S30" s="214" t="s">
        <v>1190</v>
      </c>
    </row>
    <row r="31" spans="1:19" x14ac:dyDescent="0.2">
      <c r="A31" s="214">
        <v>26</v>
      </c>
      <c r="B31" s="250" t="s">
        <v>144</v>
      </c>
      <c r="C31" s="250" t="s">
        <v>143</v>
      </c>
      <c r="D31" s="239">
        <v>67611397.890000001</v>
      </c>
      <c r="E31" s="239">
        <v>0</v>
      </c>
      <c r="F31" s="239">
        <v>43431</v>
      </c>
      <c r="G31" s="239">
        <v>299908</v>
      </c>
      <c r="H31" s="239">
        <v>0</v>
      </c>
      <c r="I31" s="239">
        <v>299908</v>
      </c>
      <c r="J31" s="239">
        <v>0</v>
      </c>
      <c r="K31" s="239">
        <v>0</v>
      </c>
      <c r="L31" s="239">
        <v>190</v>
      </c>
      <c r="M31" s="239">
        <v>190</v>
      </c>
      <c r="N31" s="239">
        <v>0</v>
      </c>
      <c r="O31" s="239">
        <v>67267868.890000001</v>
      </c>
      <c r="P31" s="214" t="s">
        <v>922</v>
      </c>
      <c r="Q31" s="214" t="s">
        <v>747</v>
      </c>
      <c r="R31" s="214" t="s">
        <v>784</v>
      </c>
      <c r="S31" s="214" t="s">
        <v>747</v>
      </c>
    </row>
    <row r="32" spans="1:19" x14ac:dyDescent="0.2">
      <c r="A32" s="214">
        <v>27</v>
      </c>
      <c r="B32" s="250" t="s">
        <v>146</v>
      </c>
      <c r="C32" s="250" t="s">
        <v>145</v>
      </c>
      <c r="D32" s="239">
        <v>61334429</v>
      </c>
      <c r="E32" s="239">
        <v>134965</v>
      </c>
      <c r="F32" s="239">
        <v>0</v>
      </c>
      <c r="G32" s="239">
        <v>149777</v>
      </c>
      <c r="H32" s="239">
        <v>0</v>
      </c>
      <c r="I32" s="239">
        <v>149777</v>
      </c>
      <c r="J32" s="239">
        <v>0</v>
      </c>
      <c r="K32" s="239">
        <v>0</v>
      </c>
      <c r="L32" s="239">
        <v>765</v>
      </c>
      <c r="M32" s="239">
        <v>765</v>
      </c>
      <c r="N32" s="239">
        <v>0</v>
      </c>
      <c r="O32" s="239">
        <v>61318852</v>
      </c>
      <c r="P32" s="214" t="s">
        <v>921</v>
      </c>
      <c r="Q32" s="214" t="s">
        <v>747</v>
      </c>
      <c r="R32" s="214" t="s">
        <v>768</v>
      </c>
      <c r="S32" s="214" t="s">
        <v>747</v>
      </c>
    </row>
    <row r="33" spans="1:19" x14ac:dyDescent="0.2">
      <c r="A33" s="214">
        <v>28</v>
      </c>
      <c r="B33" s="250" t="s">
        <v>148</v>
      </c>
      <c r="C33" s="250" t="s">
        <v>147</v>
      </c>
      <c r="D33" s="239">
        <v>141490716</v>
      </c>
      <c r="E33" s="239">
        <v>0</v>
      </c>
      <c r="F33" s="239">
        <v>347206</v>
      </c>
      <c r="G33" s="239">
        <v>741111</v>
      </c>
      <c r="H33" s="239">
        <v>0</v>
      </c>
      <c r="I33" s="239">
        <v>741111</v>
      </c>
      <c r="J33" s="239">
        <v>0</v>
      </c>
      <c r="K33" s="239">
        <v>0</v>
      </c>
      <c r="L33" s="239">
        <v>0</v>
      </c>
      <c r="M33" s="239">
        <v>0</v>
      </c>
      <c r="N33" s="239">
        <v>0</v>
      </c>
      <c r="O33" s="239">
        <v>140402399</v>
      </c>
      <c r="P33" s="214" t="s">
        <v>147</v>
      </c>
      <c r="Q33" s="214" t="s">
        <v>767</v>
      </c>
      <c r="R33" s="214" t="s">
        <v>817</v>
      </c>
      <c r="S33" s="214" t="s">
        <v>1192</v>
      </c>
    </row>
    <row r="34" spans="1:19" x14ac:dyDescent="0.2">
      <c r="A34" s="214">
        <v>29</v>
      </c>
      <c r="B34" s="250" t="s">
        <v>150</v>
      </c>
      <c r="C34" s="250" t="s">
        <v>149</v>
      </c>
      <c r="D34" s="239">
        <v>44752169</v>
      </c>
      <c r="E34" s="239">
        <v>0</v>
      </c>
      <c r="F34" s="239">
        <v>78480</v>
      </c>
      <c r="G34" s="239">
        <v>194671</v>
      </c>
      <c r="H34" s="239">
        <v>0</v>
      </c>
      <c r="I34" s="239">
        <v>194671</v>
      </c>
      <c r="J34" s="239">
        <v>0</v>
      </c>
      <c r="K34" s="239">
        <v>0</v>
      </c>
      <c r="L34" s="239">
        <v>183890</v>
      </c>
      <c r="M34" s="239">
        <v>93933</v>
      </c>
      <c r="N34" s="239">
        <v>89957</v>
      </c>
      <c r="O34" s="239">
        <v>44295128</v>
      </c>
      <c r="P34" s="214" t="s">
        <v>149</v>
      </c>
      <c r="Q34" s="214" t="s">
        <v>821</v>
      </c>
      <c r="R34" s="214" t="s">
        <v>819</v>
      </c>
      <c r="S34" s="214" t="s">
        <v>1190</v>
      </c>
    </row>
    <row r="35" spans="1:19" x14ac:dyDescent="0.2">
      <c r="A35" s="214">
        <v>30</v>
      </c>
      <c r="B35" s="250" t="s">
        <v>152</v>
      </c>
      <c r="C35" s="250" t="s">
        <v>151</v>
      </c>
      <c r="D35" s="239">
        <v>30995774</v>
      </c>
      <c r="E35" s="239">
        <v>0</v>
      </c>
      <c r="F35" s="239">
        <v>134699</v>
      </c>
      <c r="G35" s="239">
        <v>165631</v>
      </c>
      <c r="H35" s="239">
        <v>0</v>
      </c>
      <c r="I35" s="239">
        <v>165631</v>
      </c>
      <c r="J35" s="239">
        <v>0</v>
      </c>
      <c r="K35" s="239">
        <v>0</v>
      </c>
      <c r="L35" s="239">
        <v>195073</v>
      </c>
      <c r="M35" s="239">
        <v>195073</v>
      </c>
      <c r="N35" s="239">
        <v>0</v>
      </c>
      <c r="O35" s="239">
        <v>30500371</v>
      </c>
      <c r="P35" s="214" t="s">
        <v>151</v>
      </c>
      <c r="Q35" s="214" t="s">
        <v>848</v>
      </c>
      <c r="R35" s="214" t="s">
        <v>762</v>
      </c>
      <c r="S35" s="214" t="s">
        <v>1190</v>
      </c>
    </row>
    <row r="36" spans="1:19" x14ac:dyDescent="0.2">
      <c r="A36" s="214">
        <v>31</v>
      </c>
      <c r="B36" s="250" t="s">
        <v>154</v>
      </c>
      <c r="C36" s="250" t="s">
        <v>153</v>
      </c>
      <c r="D36" s="239">
        <v>119768325</v>
      </c>
      <c r="E36" s="239">
        <v>0</v>
      </c>
      <c r="F36" s="239">
        <v>132652</v>
      </c>
      <c r="G36" s="239">
        <v>416161</v>
      </c>
      <c r="H36" s="239">
        <v>0</v>
      </c>
      <c r="I36" s="239">
        <v>416161</v>
      </c>
      <c r="J36" s="239">
        <v>0</v>
      </c>
      <c r="K36" s="239">
        <v>0</v>
      </c>
      <c r="L36" s="239">
        <v>0</v>
      </c>
      <c r="M36" s="239">
        <v>0</v>
      </c>
      <c r="N36" s="239">
        <v>0</v>
      </c>
      <c r="O36" s="239">
        <v>119219512</v>
      </c>
      <c r="P36" s="214" t="s">
        <v>153</v>
      </c>
      <c r="Q36" s="214" t="s">
        <v>789</v>
      </c>
      <c r="R36" s="214" t="s">
        <v>748</v>
      </c>
      <c r="S36" s="214" t="s">
        <v>1191</v>
      </c>
    </row>
    <row r="37" spans="1:19" x14ac:dyDescent="0.2">
      <c r="A37" s="214">
        <v>32</v>
      </c>
      <c r="B37" s="250" t="s">
        <v>156</v>
      </c>
      <c r="C37" s="250" t="s">
        <v>155</v>
      </c>
      <c r="D37" s="239">
        <v>30512876</v>
      </c>
      <c r="E37" s="239">
        <v>31816</v>
      </c>
      <c r="F37" s="239">
        <v>0</v>
      </c>
      <c r="G37" s="239">
        <v>107735</v>
      </c>
      <c r="H37" s="239">
        <v>0</v>
      </c>
      <c r="I37" s="239">
        <v>107735</v>
      </c>
      <c r="J37" s="239">
        <v>0</v>
      </c>
      <c r="K37" s="239">
        <v>0</v>
      </c>
      <c r="L37" s="239">
        <v>0</v>
      </c>
      <c r="M37" s="239">
        <v>0</v>
      </c>
      <c r="N37" s="239">
        <v>0</v>
      </c>
      <c r="O37" s="239">
        <v>30436957</v>
      </c>
      <c r="P37" s="214" t="s">
        <v>155</v>
      </c>
      <c r="Q37" s="214" t="s">
        <v>821</v>
      </c>
      <c r="R37" s="214" t="s">
        <v>819</v>
      </c>
      <c r="S37" s="214" t="s">
        <v>1190</v>
      </c>
    </row>
    <row r="38" spans="1:19" x14ac:dyDescent="0.2">
      <c r="A38" s="214">
        <v>33</v>
      </c>
      <c r="B38" s="250" t="s">
        <v>158</v>
      </c>
      <c r="C38" s="250" t="s">
        <v>157</v>
      </c>
      <c r="D38" s="239">
        <v>108510631</v>
      </c>
      <c r="E38" s="239">
        <v>0</v>
      </c>
      <c r="F38" s="239">
        <v>187218</v>
      </c>
      <c r="G38" s="239">
        <v>423529</v>
      </c>
      <c r="H38" s="239">
        <v>0</v>
      </c>
      <c r="I38" s="239">
        <v>423529</v>
      </c>
      <c r="J38" s="239">
        <v>0</v>
      </c>
      <c r="K38" s="239">
        <v>0</v>
      </c>
      <c r="L38" s="239">
        <v>0</v>
      </c>
      <c r="M38" s="239">
        <v>0</v>
      </c>
      <c r="N38" s="239">
        <v>0</v>
      </c>
      <c r="O38" s="239">
        <v>107899884</v>
      </c>
      <c r="P38" s="214" t="s">
        <v>920</v>
      </c>
      <c r="Q38" s="214" t="s">
        <v>747</v>
      </c>
      <c r="R38" s="214" t="s">
        <v>806</v>
      </c>
      <c r="S38" s="214" t="s">
        <v>747</v>
      </c>
    </row>
    <row r="39" spans="1:19" x14ac:dyDescent="0.2">
      <c r="A39" s="214">
        <v>34</v>
      </c>
      <c r="B39" s="250" t="s">
        <v>160</v>
      </c>
      <c r="C39" s="250" t="s">
        <v>159</v>
      </c>
      <c r="D39" s="239">
        <v>209286134</v>
      </c>
      <c r="E39" s="239">
        <v>0</v>
      </c>
      <c r="F39" s="239">
        <v>6545805</v>
      </c>
      <c r="G39" s="239">
        <v>721633</v>
      </c>
      <c r="H39" s="239">
        <v>0</v>
      </c>
      <c r="I39" s="239">
        <v>721633</v>
      </c>
      <c r="J39" s="239">
        <v>0</v>
      </c>
      <c r="K39" s="239">
        <v>4100911</v>
      </c>
      <c r="L39" s="239">
        <v>489167</v>
      </c>
      <c r="M39" s="239">
        <v>489167</v>
      </c>
      <c r="N39" s="239">
        <v>0</v>
      </c>
      <c r="O39" s="239">
        <v>197428618</v>
      </c>
      <c r="P39" s="214" t="s">
        <v>919</v>
      </c>
      <c r="Q39" s="214" t="s">
        <v>747</v>
      </c>
      <c r="R39" s="214" t="s">
        <v>852</v>
      </c>
      <c r="S39" s="214" t="s">
        <v>747</v>
      </c>
    </row>
    <row r="40" spans="1:19" x14ac:dyDescent="0.2">
      <c r="A40" s="214">
        <v>35</v>
      </c>
      <c r="B40" s="250" t="s">
        <v>162</v>
      </c>
      <c r="C40" s="250" t="s">
        <v>161</v>
      </c>
      <c r="D40" s="239">
        <v>30605869</v>
      </c>
      <c r="E40" s="239">
        <v>0</v>
      </c>
      <c r="F40" s="239">
        <v>72473</v>
      </c>
      <c r="G40" s="239">
        <v>138684</v>
      </c>
      <c r="H40" s="239">
        <v>0</v>
      </c>
      <c r="I40" s="239">
        <v>138684</v>
      </c>
      <c r="J40" s="239">
        <v>0</v>
      </c>
      <c r="K40" s="239">
        <v>0</v>
      </c>
      <c r="L40" s="239">
        <v>168099</v>
      </c>
      <c r="M40" s="239">
        <v>168099</v>
      </c>
      <c r="N40" s="239">
        <v>0</v>
      </c>
      <c r="O40" s="239">
        <v>30226613</v>
      </c>
      <c r="P40" s="214" t="s">
        <v>161</v>
      </c>
      <c r="Q40" s="214" t="s">
        <v>848</v>
      </c>
      <c r="R40" s="214" t="s">
        <v>762</v>
      </c>
      <c r="S40" s="214" t="s">
        <v>1190</v>
      </c>
    </row>
    <row r="41" spans="1:19" x14ac:dyDescent="0.2">
      <c r="A41" s="214">
        <v>36</v>
      </c>
      <c r="B41" s="250" t="s">
        <v>164</v>
      </c>
      <c r="C41" s="250" t="s">
        <v>163</v>
      </c>
      <c r="D41" s="239">
        <v>83355660</v>
      </c>
      <c r="E41" s="239">
        <v>0</v>
      </c>
      <c r="F41" s="239">
        <v>25833</v>
      </c>
      <c r="G41" s="239">
        <v>336932</v>
      </c>
      <c r="H41" s="239">
        <v>0</v>
      </c>
      <c r="I41" s="239">
        <v>336932</v>
      </c>
      <c r="J41" s="239">
        <v>0</v>
      </c>
      <c r="K41" s="239">
        <v>0</v>
      </c>
      <c r="L41" s="239">
        <v>0</v>
      </c>
      <c r="M41" s="239">
        <v>0</v>
      </c>
      <c r="N41" s="239">
        <v>0</v>
      </c>
      <c r="O41" s="239">
        <v>82992895</v>
      </c>
      <c r="P41" s="214" t="s">
        <v>163</v>
      </c>
      <c r="Q41" s="214" t="s">
        <v>789</v>
      </c>
      <c r="R41" s="214" t="s">
        <v>748</v>
      </c>
      <c r="S41" s="214" t="s">
        <v>1191</v>
      </c>
    </row>
    <row r="42" spans="1:19" x14ac:dyDescent="0.2">
      <c r="A42" s="214">
        <v>37</v>
      </c>
      <c r="B42" s="250" t="s">
        <v>166</v>
      </c>
      <c r="C42" s="250" t="s">
        <v>165</v>
      </c>
      <c r="D42" s="239">
        <v>27429006</v>
      </c>
      <c r="E42" s="239">
        <v>0</v>
      </c>
      <c r="F42" s="239">
        <v>436664</v>
      </c>
      <c r="G42" s="239">
        <v>123658</v>
      </c>
      <c r="H42" s="239">
        <v>0</v>
      </c>
      <c r="I42" s="239">
        <v>123658</v>
      </c>
      <c r="J42" s="239">
        <v>0</v>
      </c>
      <c r="K42" s="239">
        <v>0</v>
      </c>
      <c r="L42" s="239">
        <v>0</v>
      </c>
      <c r="M42" s="239">
        <v>0</v>
      </c>
      <c r="N42" s="239">
        <v>0</v>
      </c>
      <c r="O42" s="239">
        <v>26868684</v>
      </c>
      <c r="P42" s="214" t="s">
        <v>165</v>
      </c>
      <c r="Q42" s="214" t="s">
        <v>752</v>
      </c>
      <c r="R42" s="214" t="s">
        <v>750</v>
      </c>
      <c r="S42" s="214" t="s">
        <v>1190</v>
      </c>
    </row>
    <row r="43" spans="1:19" x14ac:dyDescent="0.2">
      <c r="A43" s="214">
        <v>38</v>
      </c>
      <c r="B43" s="250" t="s">
        <v>168</v>
      </c>
      <c r="C43" s="250" t="s">
        <v>167</v>
      </c>
      <c r="D43" s="239">
        <v>43655013</v>
      </c>
      <c r="E43" s="239">
        <v>0</v>
      </c>
      <c r="F43" s="239">
        <v>2806226</v>
      </c>
      <c r="G43" s="239">
        <v>116748</v>
      </c>
      <c r="H43" s="239">
        <v>0</v>
      </c>
      <c r="I43" s="239">
        <v>116748</v>
      </c>
      <c r="J43" s="239">
        <v>0</v>
      </c>
      <c r="K43" s="239">
        <v>0</v>
      </c>
      <c r="L43" s="239">
        <v>0</v>
      </c>
      <c r="M43" s="239">
        <v>0</v>
      </c>
      <c r="N43" s="239">
        <v>0</v>
      </c>
      <c r="O43" s="239">
        <v>40732039</v>
      </c>
      <c r="P43" s="214" t="s">
        <v>167</v>
      </c>
      <c r="Q43" s="214" t="s">
        <v>802</v>
      </c>
      <c r="R43" s="214" t="s">
        <v>762</v>
      </c>
      <c r="S43" s="214" t="s">
        <v>1190</v>
      </c>
    </row>
    <row r="44" spans="1:19" x14ac:dyDescent="0.2">
      <c r="A44" s="214">
        <v>39</v>
      </c>
      <c r="B44" s="250" t="s">
        <v>170</v>
      </c>
      <c r="C44" s="250" t="s">
        <v>169</v>
      </c>
      <c r="D44" s="239">
        <v>23235540</v>
      </c>
      <c r="E44" s="239">
        <v>9155</v>
      </c>
      <c r="F44" s="239">
        <v>0</v>
      </c>
      <c r="G44" s="239">
        <v>107528</v>
      </c>
      <c r="H44" s="239">
        <v>0</v>
      </c>
      <c r="I44" s="239">
        <v>107528</v>
      </c>
      <c r="J44" s="239">
        <v>0</v>
      </c>
      <c r="K44" s="239">
        <v>0</v>
      </c>
      <c r="L44" s="239">
        <v>0</v>
      </c>
      <c r="M44" s="239">
        <v>0</v>
      </c>
      <c r="N44" s="239">
        <v>0</v>
      </c>
      <c r="O44" s="239">
        <v>23137167</v>
      </c>
      <c r="P44" s="214" t="s">
        <v>169</v>
      </c>
      <c r="Q44" s="214" t="s">
        <v>873</v>
      </c>
      <c r="R44" s="214" t="s">
        <v>871</v>
      </c>
      <c r="S44" s="214" t="s">
        <v>1190</v>
      </c>
    </row>
    <row r="45" spans="1:19" x14ac:dyDescent="0.2">
      <c r="A45" s="214">
        <v>40</v>
      </c>
      <c r="B45" s="250" t="s">
        <v>172</v>
      </c>
      <c r="C45" s="250" t="s">
        <v>171</v>
      </c>
      <c r="D45" s="239">
        <v>29857217</v>
      </c>
      <c r="E45" s="239">
        <v>0</v>
      </c>
      <c r="F45" s="239">
        <v>14022</v>
      </c>
      <c r="G45" s="239">
        <v>151284</v>
      </c>
      <c r="H45" s="239">
        <v>0</v>
      </c>
      <c r="I45" s="239">
        <v>151284</v>
      </c>
      <c r="J45" s="239">
        <v>0</v>
      </c>
      <c r="K45" s="239">
        <v>0</v>
      </c>
      <c r="L45" s="239">
        <v>238391</v>
      </c>
      <c r="M45" s="239">
        <v>238391</v>
      </c>
      <c r="N45" s="239">
        <v>0</v>
      </c>
      <c r="O45" s="239">
        <v>29453520</v>
      </c>
      <c r="P45" s="214" t="s">
        <v>171</v>
      </c>
      <c r="Q45" s="214" t="s">
        <v>756</v>
      </c>
      <c r="R45" s="214" t="s">
        <v>754</v>
      </c>
      <c r="S45" s="214" t="s">
        <v>1190</v>
      </c>
    </row>
    <row r="46" spans="1:19" x14ac:dyDescent="0.2">
      <c r="A46" s="214">
        <v>41</v>
      </c>
      <c r="B46" s="250" t="s">
        <v>174</v>
      </c>
      <c r="C46" s="250" t="s">
        <v>173</v>
      </c>
      <c r="D46" s="239">
        <v>48452359</v>
      </c>
      <c r="E46" s="239">
        <v>133351</v>
      </c>
      <c r="F46" s="239">
        <v>0</v>
      </c>
      <c r="G46" s="239">
        <v>244147</v>
      </c>
      <c r="H46" s="239">
        <v>0</v>
      </c>
      <c r="I46" s="239">
        <v>244147</v>
      </c>
      <c r="J46" s="239">
        <v>0</v>
      </c>
      <c r="K46" s="239">
        <v>0</v>
      </c>
      <c r="L46" s="239">
        <v>0</v>
      </c>
      <c r="M46" s="239">
        <v>0</v>
      </c>
      <c r="N46" s="239">
        <v>0</v>
      </c>
      <c r="O46" s="239">
        <v>48341563</v>
      </c>
      <c r="P46" s="214" t="s">
        <v>173</v>
      </c>
      <c r="Q46" s="214" t="s">
        <v>767</v>
      </c>
      <c r="R46" s="214" t="s">
        <v>782</v>
      </c>
      <c r="S46" s="214" t="s">
        <v>1192</v>
      </c>
    </row>
    <row r="47" spans="1:19" x14ac:dyDescent="0.2">
      <c r="A47" s="214">
        <v>42</v>
      </c>
      <c r="B47" s="250" t="s">
        <v>176</v>
      </c>
      <c r="C47" s="250" t="s">
        <v>175</v>
      </c>
      <c r="D47" s="239">
        <v>56301035</v>
      </c>
      <c r="E47" s="239">
        <v>0</v>
      </c>
      <c r="F47" s="239">
        <v>501673</v>
      </c>
      <c r="G47" s="239">
        <v>356038</v>
      </c>
      <c r="H47" s="239">
        <v>0</v>
      </c>
      <c r="I47" s="239">
        <v>356038</v>
      </c>
      <c r="J47" s="239">
        <v>0</v>
      </c>
      <c r="K47" s="239">
        <v>0</v>
      </c>
      <c r="L47" s="239">
        <v>194824</v>
      </c>
      <c r="M47" s="239">
        <v>194824</v>
      </c>
      <c r="N47" s="239">
        <v>0</v>
      </c>
      <c r="O47" s="239">
        <v>55248500</v>
      </c>
      <c r="P47" s="214" t="s">
        <v>175</v>
      </c>
      <c r="Q47" s="214" t="s">
        <v>767</v>
      </c>
      <c r="R47" s="214" t="s">
        <v>817</v>
      </c>
      <c r="S47" s="214" t="s">
        <v>1192</v>
      </c>
    </row>
    <row r="48" spans="1:19" x14ac:dyDescent="0.2">
      <c r="A48" s="214">
        <v>43</v>
      </c>
      <c r="B48" s="250" t="s">
        <v>178</v>
      </c>
      <c r="C48" s="250" t="s">
        <v>177</v>
      </c>
      <c r="D48" s="239">
        <v>99705293</v>
      </c>
      <c r="E48" s="239">
        <v>0</v>
      </c>
      <c r="F48" s="239">
        <v>482907</v>
      </c>
      <c r="G48" s="239">
        <v>225956</v>
      </c>
      <c r="H48" s="239">
        <v>0</v>
      </c>
      <c r="I48" s="239">
        <v>225956</v>
      </c>
      <c r="J48" s="239">
        <v>0</v>
      </c>
      <c r="K48" s="239">
        <v>0</v>
      </c>
      <c r="L48" s="239">
        <v>0</v>
      </c>
      <c r="M48" s="239">
        <v>0</v>
      </c>
      <c r="N48" s="239">
        <v>0</v>
      </c>
      <c r="O48" s="239">
        <v>98996430</v>
      </c>
      <c r="P48" s="214" t="s">
        <v>177</v>
      </c>
      <c r="Q48" s="214" t="s">
        <v>861</v>
      </c>
      <c r="R48" s="214" t="s">
        <v>859</v>
      </c>
      <c r="S48" s="214" t="s">
        <v>1190</v>
      </c>
    </row>
    <row r="49" spans="1:19" x14ac:dyDescent="0.2">
      <c r="A49" s="214">
        <v>44</v>
      </c>
      <c r="B49" s="250" t="s">
        <v>180</v>
      </c>
      <c r="C49" s="250" t="s">
        <v>179</v>
      </c>
      <c r="D49" s="239">
        <v>520433715</v>
      </c>
      <c r="E49" s="239">
        <v>0</v>
      </c>
      <c r="F49" s="239">
        <v>2306427</v>
      </c>
      <c r="G49" s="239">
        <v>1168748</v>
      </c>
      <c r="H49" s="239">
        <v>0</v>
      </c>
      <c r="I49" s="239">
        <v>1168748</v>
      </c>
      <c r="J49" s="239">
        <v>0</v>
      </c>
      <c r="K49" s="239">
        <v>0</v>
      </c>
      <c r="L49" s="239">
        <v>0</v>
      </c>
      <c r="M49" s="239">
        <v>0</v>
      </c>
      <c r="N49" s="239">
        <v>0</v>
      </c>
      <c r="O49" s="239">
        <v>516958540</v>
      </c>
      <c r="P49" s="214" t="s">
        <v>179</v>
      </c>
      <c r="Q49" s="214" t="s">
        <v>789</v>
      </c>
      <c r="R49" s="214" t="s">
        <v>748</v>
      </c>
      <c r="S49" s="214" t="s">
        <v>1193</v>
      </c>
    </row>
    <row r="50" spans="1:19" x14ac:dyDescent="0.2">
      <c r="A50" s="214">
        <v>45</v>
      </c>
      <c r="B50" s="250" t="s">
        <v>182</v>
      </c>
      <c r="C50" s="250" t="s">
        <v>181</v>
      </c>
      <c r="D50" s="239">
        <v>34457030</v>
      </c>
      <c r="E50" s="239">
        <v>0</v>
      </c>
      <c r="F50" s="239">
        <v>0</v>
      </c>
      <c r="G50" s="239">
        <v>136708</v>
      </c>
      <c r="H50" s="239">
        <v>0</v>
      </c>
      <c r="I50" s="239">
        <v>136708</v>
      </c>
      <c r="J50" s="239">
        <v>0</v>
      </c>
      <c r="K50" s="239">
        <v>0</v>
      </c>
      <c r="L50" s="239">
        <v>0</v>
      </c>
      <c r="M50" s="239">
        <v>0</v>
      </c>
      <c r="N50" s="239">
        <v>0</v>
      </c>
      <c r="O50" s="239">
        <v>34320322</v>
      </c>
      <c r="P50" s="214" t="s">
        <v>181</v>
      </c>
      <c r="Q50" s="214" t="s">
        <v>837</v>
      </c>
      <c r="R50" s="214" t="s">
        <v>835</v>
      </c>
      <c r="S50" s="214" t="s">
        <v>1190</v>
      </c>
    </row>
    <row r="51" spans="1:19" x14ac:dyDescent="0.2">
      <c r="A51" s="214">
        <v>46</v>
      </c>
      <c r="B51" s="250" t="s">
        <v>184</v>
      </c>
      <c r="C51" s="250" t="s">
        <v>183</v>
      </c>
      <c r="D51" s="239">
        <v>53859718</v>
      </c>
      <c r="E51" s="239">
        <v>0</v>
      </c>
      <c r="F51" s="239">
        <v>52242</v>
      </c>
      <c r="G51" s="239">
        <v>232519</v>
      </c>
      <c r="H51" s="239">
        <v>0</v>
      </c>
      <c r="I51" s="239">
        <v>232519</v>
      </c>
      <c r="J51" s="239">
        <v>0</v>
      </c>
      <c r="K51" s="239">
        <v>0</v>
      </c>
      <c r="L51" s="239">
        <v>415910</v>
      </c>
      <c r="M51" s="239">
        <v>415910</v>
      </c>
      <c r="N51" s="239">
        <v>0</v>
      </c>
      <c r="O51" s="239">
        <v>53159047</v>
      </c>
      <c r="P51" s="214" t="s">
        <v>183</v>
      </c>
      <c r="Q51" s="214" t="s">
        <v>825</v>
      </c>
      <c r="R51" s="214" t="s">
        <v>823</v>
      </c>
      <c r="S51" s="214" t="s">
        <v>1190</v>
      </c>
    </row>
    <row r="52" spans="1:19" x14ac:dyDescent="0.2">
      <c r="A52" s="214">
        <v>47</v>
      </c>
      <c r="B52" s="250" t="s">
        <v>186</v>
      </c>
      <c r="C52" s="250" t="s">
        <v>185</v>
      </c>
      <c r="D52" s="239">
        <v>44398362</v>
      </c>
      <c r="E52" s="239">
        <v>0</v>
      </c>
      <c r="F52" s="239">
        <v>60727</v>
      </c>
      <c r="G52" s="239">
        <v>181291</v>
      </c>
      <c r="H52" s="239">
        <v>0</v>
      </c>
      <c r="I52" s="239">
        <v>181291</v>
      </c>
      <c r="J52" s="239">
        <v>0</v>
      </c>
      <c r="K52" s="239">
        <v>0</v>
      </c>
      <c r="L52" s="239">
        <v>53054</v>
      </c>
      <c r="M52" s="239">
        <v>53054</v>
      </c>
      <c r="N52" s="239">
        <v>0</v>
      </c>
      <c r="O52" s="239">
        <v>44103290</v>
      </c>
      <c r="P52" s="214" t="s">
        <v>185</v>
      </c>
      <c r="Q52" s="214" t="s">
        <v>850</v>
      </c>
      <c r="R52" s="214" t="s">
        <v>762</v>
      </c>
      <c r="S52" s="214" t="s">
        <v>1190</v>
      </c>
    </row>
    <row r="53" spans="1:19" x14ac:dyDescent="0.2">
      <c r="A53" s="214">
        <v>48</v>
      </c>
      <c r="B53" s="250" t="s">
        <v>188</v>
      </c>
      <c r="C53" s="250" t="s">
        <v>187</v>
      </c>
      <c r="D53" s="239">
        <v>15302666</v>
      </c>
      <c r="E53" s="239">
        <v>0</v>
      </c>
      <c r="F53" s="239">
        <v>69650</v>
      </c>
      <c r="G53" s="239">
        <v>81221</v>
      </c>
      <c r="H53" s="239">
        <v>0</v>
      </c>
      <c r="I53" s="239">
        <v>81221</v>
      </c>
      <c r="J53" s="239">
        <v>0</v>
      </c>
      <c r="K53" s="239">
        <v>0</v>
      </c>
      <c r="L53" s="239">
        <v>0</v>
      </c>
      <c r="M53" s="239">
        <v>0</v>
      </c>
      <c r="N53" s="239">
        <v>0</v>
      </c>
      <c r="O53" s="239">
        <v>15151795</v>
      </c>
      <c r="P53" s="214" t="s">
        <v>187</v>
      </c>
      <c r="Q53" s="214" t="s">
        <v>821</v>
      </c>
      <c r="R53" s="214" t="s">
        <v>819</v>
      </c>
      <c r="S53" s="214" t="s">
        <v>1190</v>
      </c>
    </row>
    <row r="54" spans="1:19" x14ac:dyDescent="0.2">
      <c r="A54" s="214">
        <v>49</v>
      </c>
      <c r="B54" s="250" t="s">
        <v>190</v>
      </c>
      <c r="C54" s="250" t="s">
        <v>189</v>
      </c>
      <c r="D54" s="239">
        <v>84334602</v>
      </c>
      <c r="E54" s="239">
        <v>0</v>
      </c>
      <c r="F54" s="239">
        <v>345154</v>
      </c>
      <c r="G54" s="239">
        <v>312185</v>
      </c>
      <c r="H54" s="239">
        <v>0</v>
      </c>
      <c r="I54" s="239">
        <v>312185</v>
      </c>
      <c r="J54" s="239">
        <v>0</v>
      </c>
      <c r="K54" s="239">
        <v>0</v>
      </c>
      <c r="L54" s="239">
        <v>391714</v>
      </c>
      <c r="M54" s="239">
        <v>391714</v>
      </c>
      <c r="N54" s="239">
        <v>0</v>
      </c>
      <c r="O54" s="239">
        <v>83285549</v>
      </c>
      <c r="P54" s="214" t="s">
        <v>189</v>
      </c>
      <c r="Q54" s="214" t="s">
        <v>747</v>
      </c>
      <c r="R54" s="214" t="s">
        <v>897</v>
      </c>
      <c r="S54" s="214" t="s">
        <v>747</v>
      </c>
    </row>
    <row r="55" spans="1:19" x14ac:dyDescent="0.2">
      <c r="A55" s="214">
        <v>50</v>
      </c>
      <c r="B55" s="250" t="s">
        <v>192</v>
      </c>
      <c r="C55" s="250" t="s">
        <v>191</v>
      </c>
      <c r="D55" s="239">
        <v>45621235</v>
      </c>
      <c r="E55" s="239">
        <v>0</v>
      </c>
      <c r="F55" s="239">
        <v>82123</v>
      </c>
      <c r="G55" s="239">
        <v>192135</v>
      </c>
      <c r="H55" s="239">
        <v>0</v>
      </c>
      <c r="I55" s="239">
        <v>192135</v>
      </c>
      <c r="J55" s="239">
        <v>0</v>
      </c>
      <c r="K55" s="239">
        <v>0</v>
      </c>
      <c r="L55" s="239">
        <v>164467</v>
      </c>
      <c r="M55" s="239">
        <v>164467</v>
      </c>
      <c r="N55" s="239">
        <v>0</v>
      </c>
      <c r="O55" s="239">
        <v>45182510</v>
      </c>
      <c r="P55" s="214" t="s">
        <v>191</v>
      </c>
      <c r="Q55" s="214" t="s">
        <v>883</v>
      </c>
      <c r="R55" s="214" t="s">
        <v>868</v>
      </c>
      <c r="S55" s="214" t="s">
        <v>1190</v>
      </c>
    </row>
    <row r="56" spans="1:19" x14ac:dyDescent="0.2">
      <c r="A56" s="214">
        <v>51</v>
      </c>
      <c r="B56" s="250" t="s">
        <v>194</v>
      </c>
      <c r="C56" s="250" t="s">
        <v>193</v>
      </c>
      <c r="D56" s="239">
        <v>82048910</v>
      </c>
      <c r="E56" s="239">
        <v>0</v>
      </c>
      <c r="F56" s="239">
        <v>170109</v>
      </c>
      <c r="G56" s="239">
        <v>224442</v>
      </c>
      <c r="H56" s="239">
        <v>0</v>
      </c>
      <c r="I56" s="239">
        <v>224442</v>
      </c>
      <c r="J56" s="239">
        <v>0</v>
      </c>
      <c r="K56" s="239">
        <v>0</v>
      </c>
      <c r="L56" s="239">
        <v>0</v>
      </c>
      <c r="M56" s="239">
        <v>0</v>
      </c>
      <c r="N56" s="239">
        <v>0</v>
      </c>
      <c r="O56" s="239">
        <v>81654359</v>
      </c>
      <c r="P56" s="214" t="s">
        <v>193</v>
      </c>
      <c r="Q56" s="214" t="s">
        <v>821</v>
      </c>
      <c r="R56" s="214" t="s">
        <v>819</v>
      </c>
      <c r="S56" s="214" t="s">
        <v>1190</v>
      </c>
    </row>
    <row r="57" spans="1:19" x14ac:dyDescent="0.2">
      <c r="A57" s="214">
        <v>52</v>
      </c>
      <c r="B57" s="250" t="s">
        <v>196</v>
      </c>
      <c r="C57" s="250" t="s">
        <v>195</v>
      </c>
      <c r="D57" s="239">
        <v>55173575</v>
      </c>
      <c r="E57" s="239">
        <v>0</v>
      </c>
      <c r="F57" s="239">
        <v>92086</v>
      </c>
      <c r="G57" s="239">
        <v>181383</v>
      </c>
      <c r="H57" s="239">
        <v>0</v>
      </c>
      <c r="I57" s="239">
        <v>181383</v>
      </c>
      <c r="J57" s="239">
        <v>0</v>
      </c>
      <c r="K57" s="239">
        <v>0</v>
      </c>
      <c r="L57" s="239">
        <v>0</v>
      </c>
      <c r="M57" s="239">
        <v>0</v>
      </c>
      <c r="N57" s="239">
        <v>0</v>
      </c>
      <c r="O57" s="239">
        <v>54900106</v>
      </c>
      <c r="P57" s="214" t="s">
        <v>195</v>
      </c>
      <c r="Q57" s="214" t="s">
        <v>830</v>
      </c>
      <c r="R57" s="214" t="s">
        <v>762</v>
      </c>
      <c r="S57" s="214" t="s">
        <v>1190</v>
      </c>
    </row>
    <row r="58" spans="1:19" x14ac:dyDescent="0.2">
      <c r="A58" s="214">
        <v>53</v>
      </c>
      <c r="B58" s="250" t="s">
        <v>198</v>
      </c>
      <c r="C58" s="250" t="s">
        <v>197</v>
      </c>
      <c r="D58" s="239">
        <v>75856365</v>
      </c>
      <c r="E58" s="239">
        <v>0</v>
      </c>
      <c r="F58" s="239">
        <v>188440</v>
      </c>
      <c r="G58" s="239">
        <v>222918</v>
      </c>
      <c r="H58" s="239">
        <v>0</v>
      </c>
      <c r="I58" s="239">
        <v>222918</v>
      </c>
      <c r="J58" s="239">
        <v>0</v>
      </c>
      <c r="K58" s="239">
        <v>0</v>
      </c>
      <c r="L58" s="239">
        <v>589129</v>
      </c>
      <c r="M58" s="239">
        <v>315779</v>
      </c>
      <c r="N58" s="239">
        <v>273350</v>
      </c>
      <c r="O58" s="239">
        <v>74855878</v>
      </c>
      <c r="P58" s="214" t="s">
        <v>197</v>
      </c>
      <c r="Q58" s="214" t="s">
        <v>795</v>
      </c>
      <c r="R58" s="214" t="s">
        <v>762</v>
      </c>
      <c r="S58" s="214" t="s">
        <v>1190</v>
      </c>
    </row>
    <row r="59" spans="1:19" x14ac:dyDescent="0.2">
      <c r="A59" s="214">
        <v>54</v>
      </c>
      <c r="B59" s="250" t="s">
        <v>200</v>
      </c>
      <c r="C59" s="250" t="s">
        <v>199</v>
      </c>
      <c r="D59" s="239">
        <v>146386469</v>
      </c>
      <c r="E59" s="239">
        <v>0</v>
      </c>
      <c r="F59" s="239">
        <v>326451</v>
      </c>
      <c r="G59" s="239">
        <v>562451</v>
      </c>
      <c r="H59" s="239">
        <v>0</v>
      </c>
      <c r="I59" s="239">
        <v>562451</v>
      </c>
      <c r="J59" s="239">
        <v>0</v>
      </c>
      <c r="K59" s="239">
        <v>994585</v>
      </c>
      <c r="L59" s="239">
        <v>132443</v>
      </c>
      <c r="M59" s="239">
        <v>132443</v>
      </c>
      <c r="N59" s="239">
        <v>0</v>
      </c>
      <c r="O59" s="239">
        <v>144370539</v>
      </c>
      <c r="P59" s="214" t="s">
        <v>199</v>
      </c>
      <c r="Q59" s="214" t="s">
        <v>747</v>
      </c>
      <c r="R59" s="214" t="s">
        <v>814</v>
      </c>
      <c r="S59" s="214" t="s">
        <v>747</v>
      </c>
    </row>
    <row r="60" spans="1:19" x14ac:dyDescent="0.2">
      <c r="A60" s="214">
        <v>55</v>
      </c>
      <c r="B60" s="250" t="s">
        <v>202</v>
      </c>
      <c r="C60" s="250" t="s">
        <v>918</v>
      </c>
      <c r="D60" s="239">
        <v>165263325</v>
      </c>
      <c r="E60" s="239">
        <v>0</v>
      </c>
      <c r="F60" s="239">
        <v>397084</v>
      </c>
      <c r="G60" s="239">
        <v>498103</v>
      </c>
      <c r="H60" s="239">
        <v>0</v>
      </c>
      <c r="I60" s="239">
        <v>498103</v>
      </c>
      <c r="J60" s="239">
        <v>0</v>
      </c>
      <c r="K60" s="239">
        <v>0</v>
      </c>
      <c r="L60" s="239">
        <v>0</v>
      </c>
      <c r="M60" s="239">
        <v>0</v>
      </c>
      <c r="N60" s="239">
        <v>0</v>
      </c>
      <c r="O60" s="239">
        <v>164368138</v>
      </c>
      <c r="P60" s="214" t="s">
        <v>918</v>
      </c>
      <c r="Q60" s="214" t="s">
        <v>747</v>
      </c>
      <c r="R60" s="214" t="s">
        <v>814</v>
      </c>
      <c r="S60" s="214" t="s">
        <v>747</v>
      </c>
    </row>
    <row r="61" spans="1:19" x14ac:dyDescent="0.2">
      <c r="A61" s="214">
        <v>56</v>
      </c>
      <c r="B61" s="250" t="s">
        <v>204</v>
      </c>
      <c r="C61" s="250" t="s">
        <v>203</v>
      </c>
      <c r="D61" s="239">
        <v>37246459</v>
      </c>
      <c r="E61" s="239">
        <v>0</v>
      </c>
      <c r="F61" s="239">
        <v>34398</v>
      </c>
      <c r="G61" s="239">
        <v>164110</v>
      </c>
      <c r="H61" s="239">
        <v>0</v>
      </c>
      <c r="I61" s="239">
        <v>164110</v>
      </c>
      <c r="J61" s="239">
        <v>0</v>
      </c>
      <c r="K61" s="239">
        <v>408357</v>
      </c>
      <c r="L61" s="239">
        <v>38854</v>
      </c>
      <c r="M61" s="239">
        <v>38854</v>
      </c>
      <c r="N61" s="239">
        <v>0</v>
      </c>
      <c r="O61" s="239">
        <v>36600740</v>
      </c>
      <c r="P61" s="214" t="s">
        <v>203</v>
      </c>
      <c r="Q61" s="214" t="s">
        <v>857</v>
      </c>
      <c r="R61" s="214" t="s">
        <v>855</v>
      </c>
      <c r="S61" s="214" t="s">
        <v>1190</v>
      </c>
    </row>
    <row r="62" spans="1:19" x14ac:dyDescent="0.2">
      <c r="A62" s="214">
        <v>57</v>
      </c>
      <c r="B62" s="250" t="s">
        <v>206</v>
      </c>
      <c r="C62" s="250" t="s">
        <v>205</v>
      </c>
      <c r="D62" s="239">
        <v>44777666</v>
      </c>
      <c r="E62" s="239">
        <v>0</v>
      </c>
      <c r="F62" s="239">
        <v>127083</v>
      </c>
      <c r="G62" s="239">
        <v>196828</v>
      </c>
      <c r="H62" s="239">
        <v>0</v>
      </c>
      <c r="I62" s="239">
        <v>196828</v>
      </c>
      <c r="J62" s="239">
        <v>0</v>
      </c>
      <c r="K62" s="239">
        <v>0</v>
      </c>
      <c r="L62" s="239">
        <v>140006</v>
      </c>
      <c r="M62" s="239">
        <v>120747</v>
      </c>
      <c r="N62" s="239">
        <v>19259</v>
      </c>
      <c r="O62" s="239">
        <v>44313749</v>
      </c>
      <c r="P62" s="214" t="s">
        <v>205</v>
      </c>
      <c r="Q62" s="214" t="s">
        <v>763</v>
      </c>
      <c r="R62" s="214" t="s">
        <v>762</v>
      </c>
      <c r="S62" s="214" t="s">
        <v>1190</v>
      </c>
    </row>
    <row r="63" spans="1:19" x14ac:dyDescent="0.2">
      <c r="A63" s="214">
        <v>58</v>
      </c>
      <c r="B63" s="250" t="s">
        <v>208</v>
      </c>
      <c r="C63" s="250" t="s">
        <v>207</v>
      </c>
      <c r="D63" s="239">
        <v>21739139</v>
      </c>
      <c r="E63" s="239">
        <v>13868</v>
      </c>
      <c r="F63" s="239">
        <v>0</v>
      </c>
      <c r="G63" s="239">
        <v>115183</v>
      </c>
      <c r="H63" s="239">
        <v>0</v>
      </c>
      <c r="I63" s="239">
        <v>115183</v>
      </c>
      <c r="J63" s="239">
        <v>0</v>
      </c>
      <c r="K63" s="239">
        <v>0</v>
      </c>
      <c r="L63" s="239">
        <v>0</v>
      </c>
      <c r="M63" s="239">
        <v>0</v>
      </c>
      <c r="N63" s="239">
        <v>0</v>
      </c>
      <c r="O63" s="239">
        <v>21637824</v>
      </c>
      <c r="P63" s="214" t="s">
        <v>207</v>
      </c>
      <c r="Q63" s="214" t="s">
        <v>760</v>
      </c>
      <c r="R63" s="214" t="s">
        <v>758</v>
      </c>
      <c r="S63" s="214" t="s">
        <v>1190</v>
      </c>
    </row>
    <row r="64" spans="1:19" x14ac:dyDescent="0.2">
      <c r="A64" s="214">
        <v>59</v>
      </c>
      <c r="B64" s="250" t="s">
        <v>210</v>
      </c>
      <c r="C64" s="250" t="s">
        <v>209</v>
      </c>
      <c r="D64" s="239">
        <v>29780240</v>
      </c>
      <c r="E64" s="239">
        <v>0</v>
      </c>
      <c r="F64" s="239">
        <v>34837</v>
      </c>
      <c r="G64" s="239">
        <v>136918</v>
      </c>
      <c r="H64" s="239">
        <v>0</v>
      </c>
      <c r="I64" s="239">
        <v>136918</v>
      </c>
      <c r="J64" s="239">
        <v>0</v>
      </c>
      <c r="K64" s="239">
        <v>0</v>
      </c>
      <c r="L64" s="239">
        <v>0</v>
      </c>
      <c r="M64" s="239">
        <v>0</v>
      </c>
      <c r="N64" s="239">
        <v>0</v>
      </c>
      <c r="O64" s="239">
        <v>29608485</v>
      </c>
      <c r="P64" s="214" t="s">
        <v>209</v>
      </c>
      <c r="Q64" s="214" t="s">
        <v>756</v>
      </c>
      <c r="R64" s="214" t="s">
        <v>754</v>
      </c>
      <c r="S64" s="214" t="s">
        <v>1190</v>
      </c>
    </row>
    <row r="65" spans="1:19" x14ac:dyDescent="0.2">
      <c r="A65" s="214">
        <v>60</v>
      </c>
      <c r="B65" s="250" t="s">
        <v>212</v>
      </c>
      <c r="C65" s="250" t="s">
        <v>211</v>
      </c>
      <c r="D65" s="239">
        <v>19380173</v>
      </c>
      <c r="E65" s="239">
        <v>4966</v>
      </c>
      <c r="F65" s="239">
        <v>0</v>
      </c>
      <c r="G65" s="239">
        <v>75810</v>
      </c>
      <c r="H65" s="239">
        <v>0</v>
      </c>
      <c r="I65" s="239">
        <v>75810</v>
      </c>
      <c r="J65" s="239">
        <v>0</v>
      </c>
      <c r="K65" s="239">
        <v>0</v>
      </c>
      <c r="L65" s="239">
        <v>339556</v>
      </c>
      <c r="M65" s="239">
        <v>339556</v>
      </c>
      <c r="N65" s="239">
        <v>0</v>
      </c>
      <c r="O65" s="239">
        <v>18969773</v>
      </c>
      <c r="P65" s="214" t="s">
        <v>211</v>
      </c>
      <c r="Q65" s="214" t="s">
        <v>786</v>
      </c>
      <c r="R65" s="214" t="s">
        <v>784</v>
      </c>
      <c r="S65" s="214" t="s">
        <v>1190</v>
      </c>
    </row>
    <row r="66" spans="1:19" x14ac:dyDescent="0.2">
      <c r="A66" s="214">
        <v>61</v>
      </c>
      <c r="B66" s="250" t="s">
        <v>214</v>
      </c>
      <c r="C66" s="250" t="s">
        <v>213</v>
      </c>
      <c r="D66" s="239">
        <v>785366305</v>
      </c>
      <c r="E66" s="239">
        <v>32481</v>
      </c>
      <c r="F66" s="239">
        <v>0</v>
      </c>
      <c r="G66" s="239">
        <v>1720295</v>
      </c>
      <c r="H66" s="239">
        <v>0</v>
      </c>
      <c r="I66" s="239">
        <v>1720295</v>
      </c>
      <c r="J66" s="239">
        <v>11039000</v>
      </c>
      <c r="K66" s="239">
        <v>0</v>
      </c>
      <c r="L66" s="239">
        <v>0</v>
      </c>
      <c r="M66" s="239">
        <v>0</v>
      </c>
      <c r="N66" s="239">
        <v>0</v>
      </c>
      <c r="O66" s="239">
        <v>772639491</v>
      </c>
      <c r="P66" s="214" t="s">
        <v>213</v>
      </c>
      <c r="Q66" s="214" t="s">
        <v>916</v>
      </c>
      <c r="R66" s="214" t="s">
        <v>748</v>
      </c>
      <c r="S66" s="214" t="s">
        <v>1193</v>
      </c>
    </row>
    <row r="67" spans="1:19" x14ac:dyDescent="0.2">
      <c r="A67" s="214">
        <v>62</v>
      </c>
      <c r="B67" s="250" t="s">
        <v>216</v>
      </c>
      <c r="C67" s="250" t="s">
        <v>215</v>
      </c>
      <c r="D67" s="239">
        <v>66666327</v>
      </c>
      <c r="E67" s="239">
        <v>0</v>
      </c>
      <c r="F67" s="239">
        <v>778610</v>
      </c>
      <c r="G67" s="239">
        <v>240074</v>
      </c>
      <c r="H67" s="239">
        <v>0</v>
      </c>
      <c r="I67" s="239">
        <v>240074</v>
      </c>
      <c r="J67" s="239">
        <v>0</v>
      </c>
      <c r="K67" s="239">
        <v>0</v>
      </c>
      <c r="L67" s="239">
        <v>0</v>
      </c>
      <c r="M67" s="239">
        <v>0</v>
      </c>
      <c r="N67" s="239">
        <v>0</v>
      </c>
      <c r="O67" s="239">
        <v>65647643</v>
      </c>
      <c r="P67" s="214" t="s">
        <v>215</v>
      </c>
      <c r="Q67" s="214" t="s">
        <v>821</v>
      </c>
      <c r="R67" s="214" t="s">
        <v>819</v>
      </c>
      <c r="S67" s="214" t="s">
        <v>1190</v>
      </c>
    </row>
    <row r="68" spans="1:19" x14ac:dyDescent="0.2">
      <c r="A68" s="214">
        <v>63</v>
      </c>
      <c r="B68" s="250" t="s">
        <v>218</v>
      </c>
      <c r="C68" s="250" t="s">
        <v>217</v>
      </c>
      <c r="D68" s="239">
        <v>42299006</v>
      </c>
      <c r="E68" s="239">
        <v>0</v>
      </c>
      <c r="F68" s="239">
        <v>40163</v>
      </c>
      <c r="G68" s="239">
        <v>111435</v>
      </c>
      <c r="H68" s="239">
        <v>0</v>
      </c>
      <c r="I68" s="239">
        <v>111435</v>
      </c>
      <c r="J68" s="239">
        <v>0</v>
      </c>
      <c r="K68" s="239">
        <v>0</v>
      </c>
      <c r="L68" s="239">
        <v>33333</v>
      </c>
      <c r="M68" s="239">
        <v>33333</v>
      </c>
      <c r="N68" s="239">
        <v>0</v>
      </c>
      <c r="O68" s="239">
        <v>42114075</v>
      </c>
      <c r="P68" s="214" t="s">
        <v>217</v>
      </c>
      <c r="Q68" s="214" t="s">
        <v>850</v>
      </c>
      <c r="R68" s="214" t="s">
        <v>762</v>
      </c>
      <c r="S68" s="214" t="s">
        <v>1190</v>
      </c>
    </row>
    <row r="69" spans="1:19" x14ac:dyDescent="0.2">
      <c r="A69" s="214">
        <v>64</v>
      </c>
      <c r="B69" s="250" t="s">
        <v>220</v>
      </c>
      <c r="C69" s="250" t="s">
        <v>219</v>
      </c>
      <c r="D69" s="239">
        <v>33494150</v>
      </c>
      <c r="E69" s="239">
        <v>0</v>
      </c>
      <c r="F69" s="239">
        <v>444</v>
      </c>
      <c r="G69" s="239">
        <v>89783</v>
      </c>
      <c r="H69" s="239">
        <v>0</v>
      </c>
      <c r="I69" s="239">
        <v>89783</v>
      </c>
      <c r="J69" s="239">
        <v>0</v>
      </c>
      <c r="K69" s="239">
        <v>0</v>
      </c>
      <c r="L69" s="239">
        <v>0</v>
      </c>
      <c r="M69" s="239">
        <v>0</v>
      </c>
      <c r="N69" s="239">
        <v>0</v>
      </c>
      <c r="O69" s="239">
        <v>33403923</v>
      </c>
      <c r="P69" s="214" t="s">
        <v>219</v>
      </c>
      <c r="Q69" s="214" t="s">
        <v>804</v>
      </c>
      <c r="R69" s="214" t="s">
        <v>762</v>
      </c>
      <c r="S69" s="214" t="s">
        <v>1190</v>
      </c>
    </row>
    <row r="70" spans="1:19" x14ac:dyDescent="0.2">
      <c r="A70" s="214">
        <v>65</v>
      </c>
      <c r="B70" s="250" t="s">
        <v>222</v>
      </c>
      <c r="C70" s="250" t="s">
        <v>221</v>
      </c>
      <c r="D70" s="239">
        <v>158765956</v>
      </c>
      <c r="E70" s="239">
        <v>0</v>
      </c>
      <c r="F70" s="239">
        <v>1306491</v>
      </c>
      <c r="G70" s="239">
        <v>1124554</v>
      </c>
      <c r="H70" s="239">
        <v>0</v>
      </c>
      <c r="I70" s="239">
        <v>1124554</v>
      </c>
      <c r="J70" s="239">
        <v>0</v>
      </c>
      <c r="K70" s="239">
        <v>16328</v>
      </c>
      <c r="L70" s="239">
        <v>1900148</v>
      </c>
      <c r="M70" s="239">
        <v>1900148</v>
      </c>
      <c r="N70" s="239">
        <v>0</v>
      </c>
      <c r="O70" s="239">
        <v>154418435</v>
      </c>
      <c r="P70" s="214" t="s">
        <v>221</v>
      </c>
      <c r="Q70" s="214" t="s">
        <v>747</v>
      </c>
      <c r="R70" s="214" t="s">
        <v>762</v>
      </c>
      <c r="S70" s="214" t="s">
        <v>747</v>
      </c>
    </row>
    <row r="71" spans="1:19" x14ac:dyDescent="0.2">
      <c r="A71" s="214">
        <v>66</v>
      </c>
      <c r="B71" s="250" t="s">
        <v>224</v>
      </c>
      <c r="C71" s="250" t="s">
        <v>223</v>
      </c>
      <c r="D71" s="239">
        <v>31584110</v>
      </c>
      <c r="E71" s="239">
        <v>0</v>
      </c>
      <c r="F71" s="239">
        <v>336993</v>
      </c>
      <c r="G71" s="239">
        <v>178689</v>
      </c>
      <c r="H71" s="239">
        <v>0</v>
      </c>
      <c r="I71" s="239">
        <v>178689</v>
      </c>
      <c r="J71" s="239">
        <v>0</v>
      </c>
      <c r="K71" s="239">
        <v>0</v>
      </c>
      <c r="L71" s="239">
        <v>78171</v>
      </c>
      <c r="M71" s="239">
        <v>78171</v>
      </c>
      <c r="N71" s="239">
        <v>0</v>
      </c>
      <c r="O71" s="239">
        <v>30990257</v>
      </c>
      <c r="P71" s="214" t="s">
        <v>223</v>
      </c>
      <c r="Q71" s="214" t="s">
        <v>830</v>
      </c>
      <c r="R71" s="214" t="s">
        <v>762</v>
      </c>
      <c r="S71" s="214" t="s">
        <v>1190</v>
      </c>
    </row>
    <row r="72" spans="1:19" x14ac:dyDescent="0.2">
      <c r="A72" s="214">
        <v>67</v>
      </c>
      <c r="B72" s="250" t="s">
        <v>226</v>
      </c>
      <c r="C72" s="250" t="s">
        <v>225</v>
      </c>
      <c r="D72" s="239">
        <v>123770111</v>
      </c>
      <c r="E72" s="239">
        <v>0</v>
      </c>
      <c r="F72" s="239">
        <v>125598</v>
      </c>
      <c r="G72" s="239">
        <v>379337</v>
      </c>
      <c r="H72" s="239">
        <v>0</v>
      </c>
      <c r="I72" s="239">
        <v>379337</v>
      </c>
      <c r="J72" s="239">
        <v>0</v>
      </c>
      <c r="K72" s="239">
        <v>0</v>
      </c>
      <c r="L72" s="239">
        <v>0</v>
      </c>
      <c r="M72" s="239">
        <v>0</v>
      </c>
      <c r="N72" s="239">
        <v>0</v>
      </c>
      <c r="O72" s="239">
        <v>123265176</v>
      </c>
      <c r="P72" s="214" t="s">
        <v>225</v>
      </c>
      <c r="Q72" s="214" t="s">
        <v>767</v>
      </c>
      <c r="R72" s="214" t="s">
        <v>765</v>
      </c>
      <c r="S72" s="214" t="s">
        <v>1192</v>
      </c>
    </row>
    <row r="73" spans="1:19" x14ac:dyDescent="0.2">
      <c r="A73" s="214">
        <v>68</v>
      </c>
      <c r="B73" s="250" t="s">
        <v>228</v>
      </c>
      <c r="C73" s="250" t="s">
        <v>227</v>
      </c>
      <c r="D73" s="239">
        <v>18637301</v>
      </c>
      <c r="E73" s="239">
        <v>0</v>
      </c>
      <c r="F73" s="239">
        <v>72912</v>
      </c>
      <c r="G73" s="239">
        <v>120297</v>
      </c>
      <c r="H73" s="239">
        <v>0</v>
      </c>
      <c r="I73" s="239">
        <v>120297</v>
      </c>
      <c r="J73" s="239">
        <v>0</v>
      </c>
      <c r="K73" s="239">
        <v>0</v>
      </c>
      <c r="L73" s="239">
        <v>0</v>
      </c>
      <c r="M73" s="239">
        <v>0</v>
      </c>
      <c r="N73" s="239">
        <v>0</v>
      </c>
      <c r="O73" s="239">
        <v>18444092</v>
      </c>
      <c r="P73" s="214" t="s">
        <v>227</v>
      </c>
      <c r="Q73" s="214" t="s">
        <v>866</v>
      </c>
      <c r="R73" s="214" t="s">
        <v>745</v>
      </c>
      <c r="S73" s="214" t="s">
        <v>1190</v>
      </c>
    </row>
    <row r="74" spans="1:19" x14ac:dyDescent="0.2">
      <c r="A74" s="214">
        <v>69</v>
      </c>
      <c r="B74" s="250" t="s">
        <v>230</v>
      </c>
      <c r="C74" s="250" t="s">
        <v>229</v>
      </c>
      <c r="D74" s="239">
        <v>121067083</v>
      </c>
      <c r="E74" s="239">
        <v>0</v>
      </c>
      <c r="F74" s="239">
        <v>280760</v>
      </c>
      <c r="G74" s="239">
        <v>206882</v>
      </c>
      <c r="H74" s="239">
        <v>0</v>
      </c>
      <c r="I74" s="239">
        <v>206882</v>
      </c>
      <c r="J74" s="239">
        <v>0</v>
      </c>
      <c r="K74" s="239">
        <v>0</v>
      </c>
      <c r="L74" s="239">
        <v>9940</v>
      </c>
      <c r="M74" s="239">
        <v>9940</v>
      </c>
      <c r="N74" s="239">
        <v>0</v>
      </c>
      <c r="O74" s="239">
        <v>120569501</v>
      </c>
      <c r="P74" s="214" t="s">
        <v>229</v>
      </c>
      <c r="Q74" s="214" t="s">
        <v>763</v>
      </c>
      <c r="R74" s="214" t="s">
        <v>762</v>
      </c>
      <c r="S74" s="214" t="s">
        <v>1190</v>
      </c>
    </row>
    <row r="75" spans="1:19" x14ac:dyDescent="0.2">
      <c r="A75" s="214">
        <v>70</v>
      </c>
      <c r="B75" s="250" t="s">
        <v>232</v>
      </c>
      <c r="C75" s="250" t="s">
        <v>231</v>
      </c>
      <c r="D75" s="239">
        <v>124360715</v>
      </c>
      <c r="E75" s="239">
        <v>0</v>
      </c>
      <c r="F75" s="239">
        <v>228947</v>
      </c>
      <c r="G75" s="239">
        <v>426913</v>
      </c>
      <c r="H75" s="239">
        <v>0</v>
      </c>
      <c r="I75" s="239">
        <v>426913</v>
      </c>
      <c r="J75" s="239">
        <v>0</v>
      </c>
      <c r="K75" s="239">
        <v>0</v>
      </c>
      <c r="L75" s="239">
        <v>0</v>
      </c>
      <c r="M75" s="239">
        <v>0</v>
      </c>
      <c r="N75" s="239">
        <v>0</v>
      </c>
      <c r="O75" s="239">
        <v>123704855</v>
      </c>
      <c r="P75" s="214" t="s">
        <v>231</v>
      </c>
      <c r="Q75" s="214" t="s">
        <v>789</v>
      </c>
      <c r="R75" s="214" t="s">
        <v>748</v>
      </c>
      <c r="S75" s="214" t="s">
        <v>1191</v>
      </c>
    </row>
    <row r="76" spans="1:19" x14ac:dyDescent="0.2">
      <c r="A76" s="214">
        <v>71</v>
      </c>
      <c r="B76" s="250" t="s">
        <v>234</v>
      </c>
      <c r="C76" s="250" t="s">
        <v>233</v>
      </c>
      <c r="D76" s="239">
        <v>62635788</v>
      </c>
      <c r="E76" s="239">
        <v>0</v>
      </c>
      <c r="F76" s="239">
        <v>222236</v>
      </c>
      <c r="G76" s="239">
        <v>217273</v>
      </c>
      <c r="H76" s="239">
        <v>0</v>
      </c>
      <c r="I76" s="239">
        <v>217273</v>
      </c>
      <c r="J76" s="239">
        <v>0</v>
      </c>
      <c r="K76" s="239">
        <v>0</v>
      </c>
      <c r="L76" s="239">
        <v>0</v>
      </c>
      <c r="M76" s="239">
        <v>0</v>
      </c>
      <c r="N76" s="239">
        <v>0</v>
      </c>
      <c r="O76" s="239">
        <v>62196279</v>
      </c>
      <c r="P76" s="214" t="s">
        <v>233</v>
      </c>
      <c r="Q76" s="214" t="s">
        <v>802</v>
      </c>
      <c r="R76" s="214" t="s">
        <v>762</v>
      </c>
      <c r="S76" s="214" t="s">
        <v>1190</v>
      </c>
    </row>
    <row r="77" spans="1:19" x14ac:dyDescent="0.2">
      <c r="A77" s="214">
        <v>72</v>
      </c>
      <c r="B77" s="250" t="s">
        <v>236</v>
      </c>
      <c r="C77" s="250" t="s">
        <v>235</v>
      </c>
      <c r="D77" s="239">
        <v>34131643</v>
      </c>
      <c r="E77" s="239">
        <v>0</v>
      </c>
      <c r="F77" s="239">
        <v>244844</v>
      </c>
      <c r="G77" s="239">
        <v>147463</v>
      </c>
      <c r="H77" s="239">
        <v>0</v>
      </c>
      <c r="I77" s="239">
        <v>147463</v>
      </c>
      <c r="J77" s="239">
        <v>0</v>
      </c>
      <c r="K77" s="239">
        <v>192983</v>
      </c>
      <c r="L77" s="239">
        <v>0</v>
      </c>
      <c r="M77" s="239">
        <v>0</v>
      </c>
      <c r="N77" s="239">
        <v>0</v>
      </c>
      <c r="O77" s="239">
        <v>33546353</v>
      </c>
      <c r="P77" s="214" t="s">
        <v>915</v>
      </c>
      <c r="Q77" s="214" t="s">
        <v>747</v>
      </c>
      <c r="R77" s="214" t="s">
        <v>912</v>
      </c>
      <c r="S77" s="214" t="s">
        <v>747</v>
      </c>
    </row>
    <row r="78" spans="1:19" x14ac:dyDescent="0.2">
      <c r="A78" s="214">
        <v>73</v>
      </c>
      <c r="B78" s="250" t="s">
        <v>238</v>
      </c>
      <c r="C78" s="250" t="s">
        <v>237</v>
      </c>
      <c r="D78" s="239">
        <v>88620426</v>
      </c>
      <c r="E78" s="239">
        <v>0</v>
      </c>
      <c r="F78" s="239">
        <v>92892</v>
      </c>
      <c r="G78" s="239">
        <v>175625</v>
      </c>
      <c r="H78" s="239">
        <v>0</v>
      </c>
      <c r="I78" s="239">
        <v>175625</v>
      </c>
      <c r="J78" s="239">
        <v>0</v>
      </c>
      <c r="K78" s="239">
        <v>0</v>
      </c>
      <c r="L78" s="239">
        <v>0</v>
      </c>
      <c r="M78" s="239">
        <v>0</v>
      </c>
      <c r="N78" s="239">
        <v>0</v>
      </c>
      <c r="O78" s="239">
        <v>88351909</v>
      </c>
      <c r="P78" s="214" t="s">
        <v>237</v>
      </c>
      <c r="Q78" s="214" t="s">
        <v>825</v>
      </c>
      <c r="R78" s="214" t="s">
        <v>823</v>
      </c>
      <c r="S78" s="214" t="s">
        <v>1190</v>
      </c>
    </row>
    <row r="79" spans="1:19" x14ac:dyDescent="0.2">
      <c r="A79" s="214">
        <v>74</v>
      </c>
      <c r="B79" s="250" t="s">
        <v>240</v>
      </c>
      <c r="C79" s="250" t="s">
        <v>239</v>
      </c>
      <c r="D79" s="239">
        <v>47170456</v>
      </c>
      <c r="E79" s="239">
        <v>0</v>
      </c>
      <c r="F79" s="239">
        <v>39959</v>
      </c>
      <c r="G79" s="239">
        <v>118572</v>
      </c>
      <c r="H79" s="239">
        <v>0</v>
      </c>
      <c r="I79" s="239">
        <v>118572</v>
      </c>
      <c r="J79" s="239">
        <v>0</v>
      </c>
      <c r="K79" s="239">
        <v>0</v>
      </c>
      <c r="L79" s="239">
        <v>782823</v>
      </c>
      <c r="M79" s="239">
        <v>782823</v>
      </c>
      <c r="N79" s="239">
        <v>0</v>
      </c>
      <c r="O79" s="239">
        <v>46229102</v>
      </c>
      <c r="P79" s="214" t="s">
        <v>239</v>
      </c>
      <c r="Q79" s="214" t="s">
        <v>804</v>
      </c>
      <c r="R79" s="214" t="s">
        <v>762</v>
      </c>
      <c r="S79" s="214" t="s">
        <v>1190</v>
      </c>
    </row>
    <row r="80" spans="1:19" x14ac:dyDescent="0.2">
      <c r="A80" s="214">
        <v>75</v>
      </c>
      <c r="B80" s="250" t="s">
        <v>242</v>
      </c>
      <c r="C80" s="250" t="s">
        <v>241</v>
      </c>
      <c r="D80" s="239">
        <v>88622871</v>
      </c>
      <c r="E80" s="239">
        <v>0</v>
      </c>
      <c r="F80" s="239">
        <v>150029</v>
      </c>
      <c r="G80" s="239">
        <v>319205</v>
      </c>
      <c r="H80" s="239">
        <v>0</v>
      </c>
      <c r="I80" s="239">
        <v>319205</v>
      </c>
      <c r="J80" s="239">
        <v>0</v>
      </c>
      <c r="K80" s="239">
        <v>63938</v>
      </c>
      <c r="L80" s="239">
        <v>730950</v>
      </c>
      <c r="M80" s="239">
        <v>730950</v>
      </c>
      <c r="N80" s="239">
        <v>0</v>
      </c>
      <c r="O80" s="239">
        <v>87358749</v>
      </c>
      <c r="P80" s="214" t="s">
        <v>914</v>
      </c>
      <c r="Q80" s="214" t="s">
        <v>747</v>
      </c>
      <c r="R80" s="214" t="s">
        <v>855</v>
      </c>
      <c r="S80" s="214" t="s">
        <v>747</v>
      </c>
    </row>
    <row r="81" spans="1:19" x14ac:dyDescent="0.2">
      <c r="A81" s="214">
        <v>76</v>
      </c>
      <c r="B81" s="250" t="s">
        <v>244</v>
      </c>
      <c r="C81" s="250" t="s">
        <v>243</v>
      </c>
      <c r="D81" s="239">
        <v>16649045</v>
      </c>
      <c r="E81" s="239">
        <v>26583</v>
      </c>
      <c r="F81" s="239">
        <v>0</v>
      </c>
      <c r="G81" s="239">
        <v>146145</v>
      </c>
      <c r="H81" s="239">
        <v>0</v>
      </c>
      <c r="I81" s="239">
        <v>146145</v>
      </c>
      <c r="J81" s="239">
        <v>0</v>
      </c>
      <c r="K81" s="239">
        <v>0</v>
      </c>
      <c r="L81" s="239">
        <v>142142</v>
      </c>
      <c r="M81" s="239">
        <v>142142</v>
      </c>
      <c r="N81" s="239">
        <v>0</v>
      </c>
      <c r="O81" s="239">
        <v>16387341</v>
      </c>
      <c r="P81" s="214" t="s">
        <v>243</v>
      </c>
      <c r="Q81" s="214" t="s">
        <v>857</v>
      </c>
      <c r="R81" s="214" t="s">
        <v>855</v>
      </c>
      <c r="S81" s="214" t="s">
        <v>1190</v>
      </c>
    </row>
    <row r="82" spans="1:19" x14ac:dyDescent="0.2">
      <c r="A82" s="214">
        <v>77</v>
      </c>
      <c r="B82" s="250" t="s">
        <v>246</v>
      </c>
      <c r="C82" s="250" t="s">
        <v>245</v>
      </c>
      <c r="D82" s="239">
        <v>95384919</v>
      </c>
      <c r="E82" s="239">
        <v>0</v>
      </c>
      <c r="F82" s="239">
        <v>119214</v>
      </c>
      <c r="G82" s="239">
        <v>373751</v>
      </c>
      <c r="H82" s="239">
        <v>0</v>
      </c>
      <c r="I82" s="239">
        <v>373751</v>
      </c>
      <c r="J82" s="239">
        <v>0</v>
      </c>
      <c r="K82" s="239">
        <v>0</v>
      </c>
      <c r="L82" s="239">
        <v>150287</v>
      </c>
      <c r="M82" s="239">
        <v>150287</v>
      </c>
      <c r="N82" s="239">
        <v>0</v>
      </c>
      <c r="O82" s="239">
        <v>94741667</v>
      </c>
      <c r="P82" s="214" t="s">
        <v>245</v>
      </c>
      <c r="Q82" s="214" t="s">
        <v>767</v>
      </c>
      <c r="R82" s="214" t="s">
        <v>864</v>
      </c>
      <c r="S82" s="214" t="s">
        <v>1192</v>
      </c>
    </row>
    <row r="83" spans="1:19" x14ac:dyDescent="0.2">
      <c r="A83" s="214">
        <v>78</v>
      </c>
      <c r="B83" s="250" t="s">
        <v>248</v>
      </c>
      <c r="C83" s="250" t="s">
        <v>247</v>
      </c>
      <c r="D83" s="239">
        <v>35223887</v>
      </c>
      <c r="E83" s="239">
        <v>0</v>
      </c>
      <c r="F83" s="239">
        <v>8121</v>
      </c>
      <c r="G83" s="239">
        <v>157828</v>
      </c>
      <c r="H83" s="239">
        <v>0</v>
      </c>
      <c r="I83" s="239">
        <v>157828</v>
      </c>
      <c r="J83" s="239">
        <v>0</v>
      </c>
      <c r="K83" s="239">
        <v>0</v>
      </c>
      <c r="L83" s="239">
        <v>44145</v>
      </c>
      <c r="M83" s="239">
        <v>44145</v>
      </c>
      <c r="N83" s="239">
        <v>0</v>
      </c>
      <c r="O83" s="239">
        <v>35013793</v>
      </c>
      <c r="P83" s="214" t="s">
        <v>247</v>
      </c>
      <c r="Q83" s="214" t="s">
        <v>825</v>
      </c>
      <c r="R83" s="214" t="s">
        <v>823</v>
      </c>
      <c r="S83" s="214" t="s">
        <v>1190</v>
      </c>
    </row>
    <row r="84" spans="1:19" x14ac:dyDescent="0.2">
      <c r="A84" s="214">
        <v>79</v>
      </c>
      <c r="B84" s="250" t="s">
        <v>250</v>
      </c>
      <c r="C84" s="250" t="s">
        <v>249</v>
      </c>
      <c r="D84" s="239">
        <v>91455230</v>
      </c>
      <c r="E84" s="239">
        <v>0</v>
      </c>
      <c r="F84" s="239">
        <v>748978</v>
      </c>
      <c r="G84" s="239">
        <v>427645</v>
      </c>
      <c r="H84" s="239">
        <v>0</v>
      </c>
      <c r="I84" s="239">
        <v>427645</v>
      </c>
      <c r="J84" s="239">
        <v>0</v>
      </c>
      <c r="K84" s="239">
        <v>0</v>
      </c>
      <c r="L84" s="239">
        <v>0</v>
      </c>
      <c r="M84" s="239">
        <v>0</v>
      </c>
      <c r="N84" s="239">
        <v>0</v>
      </c>
      <c r="O84" s="239">
        <v>90278607</v>
      </c>
      <c r="P84" s="214" t="s">
        <v>249</v>
      </c>
      <c r="Q84" s="214" t="s">
        <v>767</v>
      </c>
      <c r="R84" s="214" t="s">
        <v>765</v>
      </c>
      <c r="S84" s="214" t="s">
        <v>1192</v>
      </c>
    </row>
    <row r="85" spans="1:19" x14ac:dyDescent="0.2">
      <c r="A85" s="214">
        <v>80</v>
      </c>
      <c r="B85" s="250" t="s">
        <v>252</v>
      </c>
      <c r="C85" s="250" t="s">
        <v>251</v>
      </c>
      <c r="D85" s="239">
        <v>117383111</v>
      </c>
      <c r="E85" s="239">
        <v>0</v>
      </c>
      <c r="F85" s="239">
        <v>141819</v>
      </c>
      <c r="G85" s="239">
        <v>599673</v>
      </c>
      <c r="H85" s="239">
        <v>0</v>
      </c>
      <c r="I85" s="239">
        <v>599673</v>
      </c>
      <c r="J85" s="239">
        <v>0</v>
      </c>
      <c r="K85" s="239">
        <v>0</v>
      </c>
      <c r="L85" s="239">
        <v>100255</v>
      </c>
      <c r="M85" s="239">
        <v>100255</v>
      </c>
      <c r="N85" s="239">
        <v>0</v>
      </c>
      <c r="O85" s="239">
        <v>116541364</v>
      </c>
      <c r="P85" s="214" t="s">
        <v>251</v>
      </c>
      <c r="Q85" s="214" t="s">
        <v>747</v>
      </c>
      <c r="R85" s="214" t="s">
        <v>912</v>
      </c>
      <c r="S85" s="214" t="s">
        <v>747</v>
      </c>
    </row>
    <row r="86" spans="1:19" x14ac:dyDescent="0.2">
      <c r="A86" s="214">
        <v>81</v>
      </c>
      <c r="B86" s="250" t="s">
        <v>254</v>
      </c>
      <c r="C86" s="250" t="s">
        <v>253</v>
      </c>
      <c r="D86" s="239">
        <v>146504958</v>
      </c>
      <c r="E86" s="239">
        <v>0</v>
      </c>
      <c r="F86" s="239">
        <v>460928</v>
      </c>
      <c r="G86" s="239">
        <v>490136</v>
      </c>
      <c r="H86" s="239">
        <v>0</v>
      </c>
      <c r="I86" s="239">
        <v>490136</v>
      </c>
      <c r="J86" s="239">
        <v>0</v>
      </c>
      <c r="K86" s="239">
        <v>0</v>
      </c>
      <c r="L86" s="239">
        <v>0</v>
      </c>
      <c r="M86" s="239">
        <v>0</v>
      </c>
      <c r="N86" s="239">
        <v>0</v>
      </c>
      <c r="O86" s="239">
        <v>145553894</v>
      </c>
      <c r="P86" s="214" t="s">
        <v>253</v>
      </c>
      <c r="Q86" s="214" t="s">
        <v>789</v>
      </c>
      <c r="R86" s="214" t="s">
        <v>748</v>
      </c>
      <c r="S86" s="214" t="s">
        <v>1191</v>
      </c>
    </row>
    <row r="87" spans="1:19" x14ac:dyDescent="0.2">
      <c r="A87" s="214">
        <v>82</v>
      </c>
      <c r="B87" s="250" t="s">
        <v>256</v>
      </c>
      <c r="C87" s="250" t="s">
        <v>255</v>
      </c>
      <c r="D87" s="239">
        <v>19995019</v>
      </c>
      <c r="E87" s="239">
        <v>12794</v>
      </c>
      <c r="F87" s="239">
        <v>0</v>
      </c>
      <c r="G87" s="239">
        <v>94023</v>
      </c>
      <c r="H87" s="239">
        <v>0</v>
      </c>
      <c r="I87" s="239">
        <v>94023</v>
      </c>
      <c r="J87" s="239">
        <v>0</v>
      </c>
      <c r="K87" s="239">
        <v>0</v>
      </c>
      <c r="L87" s="239">
        <v>278565</v>
      </c>
      <c r="M87" s="239">
        <v>278565</v>
      </c>
      <c r="N87" s="239">
        <v>0</v>
      </c>
      <c r="O87" s="239">
        <v>19635225</v>
      </c>
      <c r="P87" s="214" t="s">
        <v>255</v>
      </c>
      <c r="Q87" s="214" t="s">
        <v>861</v>
      </c>
      <c r="R87" s="214" t="s">
        <v>859</v>
      </c>
      <c r="S87" s="214" t="s">
        <v>1190</v>
      </c>
    </row>
    <row r="88" spans="1:19" x14ac:dyDescent="0.2">
      <c r="A88" s="214">
        <v>83</v>
      </c>
      <c r="B88" s="250" t="s">
        <v>258</v>
      </c>
      <c r="C88" s="250" t="s">
        <v>257</v>
      </c>
      <c r="D88" s="239">
        <v>34979788</v>
      </c>
      <c r="E88" s="239">
        <v>0</v>
      </c>
      <c r="F88" s="239">
        <v>168302</v>
      </c>
      <c r="G88" s="239">
        <v>227426</v>
      </c>
      <c r="H88" s="239">
        <v>0</v>
      </c>
      <c r="I88" s="239">
        <v>227426</v>
      </c>
      <c r="J88" s="239">
        <v>0</v>
      </c>
      <c r="K88" s="239">
        <v>0</v>
      </c>
      <c r="L88" s="239">
        <v>241980</v>
      </c>
      <c r="M88" s="239">
        <v>241980</v>
      </c>
      <c r="N88" s="239">
        <v>0</v>
      </c>
      <c r="O88" s="239">
        <v>34342080</v>
      </c>
      <c r="P88" s="214" t="s">
        <v>257</v>
      </c>
      <c r="Q88" s="214" t="s">
        <v>799</v>
      </c>
      <c r="R88" s="214" t="s">
        <v>791</v>
      </c>
      <c r="S88" s="214" t="s">
        <v>1190</v>
      </c>
    </row>
    <row r="89" spans="1:19" x14ac:dyDescent="0.2">
      <c r="A89" s="214">
        <v>84</v>
      </c>
      <c r="B89" s="250" t="s">
        <v>260</v>
      </c>
      <c r="C89" s="250" t="s">
        <v>259</v>
      </c>
      <c r="D89" s="239">
        <v>22700206</v>
      </c>
      <c r="E89" s="239">
        <v>7526</v>
      </c>
      <c r="F89" s="239">
        <v>0</v>
      </c>
      <c r="G89" s="239">
        <v>109195</v>
      </c>
      <c r="H89" s="239">
        <v>0</v>
      </c>
      <c r="I89" s="239">
        <v>109195</v>
      </c>
      <c r="J89" s="239">
        <v>0</v>
      </c>
      <c r="K89" s="239">
        <v>0</v>
      </c>
      <c r="L89" s="239">
        <v>260420</v>
      </c>
      <c r="M89" s="239">
        <v>260420</v>
      </c>
      <c r="N89" s="239">
        <v>0</v>
      </c>
      <c r="O89" s="239">
        <v>22338117</v>
      </c>
      <c r="P89" s="214" t="s">
        <v>259</v>
      </c>
      <c r="Q89" s="214" t="s">
        <v>786</v>
      </c>
      <c r="R89" s="214" t="s">
        <v>784</v>
      </c>
      <c r="S89" s="214" t="s">
        <v>1190</v>
      </c>
    </row>
    <row r="90" spans="1:19" x14ac:dyDescent="0.2">
      <c r="A90" s="214">
        <v>85</v>
      </c>
      <c r="B90" s="250" t="s">
        <v>262</v>
      </c>
      <c r="C90" s="250" t="s">
        <v>261</v>
      </c>
      <c r="D90" s="239">
        <v>28186869</v>
      </c>
      <c r="E90" s="239">
        <v>0</v>
      </c>
      <c r="F90" s="239">
        <v>703692</v>
      </c>
      <c r="G90" s="239">
        <v>153391</v>
      </c>
      <c r="H90" s="239">
        <v>0</v>
      </c>
      <c r="I90" s="239">
        <v>153391</v>
      </c>
      <c r="J90" s="239">
        <v>0</v>
      </c>
      <c r="K90" s="239">
        <v>0</v>
      </c>
      <c r="L90" s="239">
        <v>0</v>
      </c>
      <c r="M90" s="239">
        <v>0</v>
      </c>
      <c r="N90" s="239">
        <v>0</v>
      </c>
      <c r="O90" s="239">
        <v>27329786</v>
      </c>
      <c r="P90" s="214" t="s">
        <v>261</v>
      </c>
      <c r="Q90" s="214" t="s">
        <v>778</v>
      </c>
      <c r="R90" s="214" t="s">
        <v>776</v>
      </c>
      <c r="S90" s="214" t="s">
        <v>1190</v>
      </c>
    </row>
    <row r="91" spans="1:19" x14ac:dyDescent="0.2">
      <c r="A91" s="214">
        <v>86</v>
      </c>
      <c r="B91" s="250" t="s">
        <v>264</v>
      </c>
      <c r="C91" s="250" t="s">
        <v>263</v>
      </c>
      <c r="D91" s="239">
        <v>44640852</v>
      </c>
      <c r="E91" s="239">
        <v>0</v>
      </c>
      <c r="F91" s="239">
        <v>309224</v>
      </c>
      <c r="G91" s="239">
        <v>193935</v>
      </c>
      <c r="H91" s="239">
        <v>0</v>
      </c>
      <c r="I91" s="239">
        <v>193935</v>
      </c>
      <c r="J91" s="239">
        <v>0</v>
      </c>
      <c r="K91" s="239">
        <v>0</v>
      </c>
      <c r="L91" s="239">
        <v>0</v>
      </c>
      <c r="M91" s="239">
        <v>0</v>
      </c>
      <c r="N91" s="239">
        <v>0</v>
      </c>
      <c r="O91" s="239">
        <v>44137693</v>
      </c>
      <c r="P91" s="214" t="s">
        <v>263</v>
      </c>
      <c r="Q91" s="214" t="s">
        <v>802</v>
      </c>
      <c r="R91" s="214" t="s">
        <v>762</v>
      </c>
      <c r="S91" s="214" t="s">
        <v>1190</v>
      </c>
    </row>
    <row r="92" spans="1:19" x14ac:dyDescent="0.2">
      <c r="A92" s="214">
        <v>87</v>
      </c>
      <c r="B92" s="250" t="s">
        <v>266</v>
      </c>
      <c r="C92" s="250" t="s">
        <v>265</v>
      </c>
      <c r="D92" s="239">
        <v>35861448</v>
      </c>
      <c r="E92" s="239">
        <v>0</v>
      </c>
      <c r="F92" s="239">
        <v>50701</v>
      </c>
      <c r="G92" s="239">
        <v>268877</v>
      </c>
      <c r="H92" s="239">
        <v>0</v>
      </c>
      <c r="I92" s="239">
        <v>268877</v>
      </c>
      <c r="J92" s="239">
        <v>0</v>
      </c>
      <c r="K92" s="239">
        <v>0</v>
      </c>
      <c r="L92" s="239">
        <v>616114</v>
      </c>
      <c r="M92" s="239">
        <v>560839</v>
      </c>
      <c r="N92" s="239">
        <v>55275</v>
      </c>
      <c r="O92" s="239">
        <v>34925756</v>
      </c>
      <c r="P92" s="214" t="s">
        <v>265</v>
      </c>
      <c r="Q92" s="214" t="s">
        <v>797</v>
      </c>
      <c r="R92" s="214" t="s">
        <v>762</v>
      </c>
      <c r="S92" s="214" t="s">
        <v>1190</v>
      </c>
    </row>
    <row r="93" spans="1:19" x14ac:dyDescent="0.2">
      <c r="A93" s="214">
        <v>88</v>
      </c>
      <c r="B93" s="250" t="s">
        <v>268</v>
      </c>
      <c r="C93" s="250" t="s">
        <v>267</v>
      </c>
      <c r="D93" s="239">
        <v>23592809</v>
      </c>
      <c r="E93" s="239">
        <v>0</v>
      </c>
      <c r="F93" s="239">
        <v>25768</v>
      </c>
      <c r="G93" s="239">
        <v>100187</v>
      </c>
      <c r="H93" s="239">
        <v>0</v>
      </c>
      <c r="I93" s="239">
        <v>100187</v>
      </c>
      <c r="J93" s="239">
        <v>0</v>
      </c>
      <c r="K93" s="239">
        <v>0</v>
      </c>
      <c r="L93" s="239">
        <v>468423</v>
      </c>
      <c r="M93" s="239">
        <v>468423</v>
      </c>
      <c r="N93" s="239">
        <v>0</v>
      </c>
      <c r="O93" s="239">
        <v>22998431</v>
      </c>
      <c r="P93" s="214" t="s">
        <v>267</v>
      </c>
      <c r="Q93" s="214" t="s">
        <v>804</v>
      </c>
      <c r="R93" s="214" t="s">
        <v>762</v>
      </c>
      <c r="S93" s="214" t="s">
        <v>1190</v>
      </c>
    </row>
    <row r="94" spans="1:19" x14ac:dyDescent="0.2">
      <c r="A94" s="214">
        <v>89</v>
      </c>
      <c r="B94" s="250" t="s">
        <v>270</v>
      </c>
      <c r="C94" s="250" t="s">
        <v>269</v>
      </c>
      <c r="D94" s="239">
        <v>109943155</v>
      </c>
      <c r="E94" s="239">
        <v>0</v>
      </c>
      <c r="F94" s="239">
        <v>108369</v>
      </c>
      <c r="G94" s="239">
        <v>445553</v>
      </c>
      <c r="H94" s="239">
        <v>0</v>
      </c>
      <c r="I94" s="239">
        <v>445553</v>
      </c>
      <c r="J94" s="239">
        <v>0</v>
      </c>
      <c r="K94" s="239">
        <v>883</v>
      </c>
      <c r="L94" s="239">
        <v>3754186</v>
      </c>
      <c r="M94" s="239">
        <v>3754186</v>
      </c>
      <c r="N94" s="239">
        <v>0</v>
      </c>
      <c r="O94" s="239">
        <v>105634164</v>
      </c>
      <c r="P94" s="214" t="s">
        <v>911</v>
      </c>
      <c r="Q94" s="214" t="s">
        <v>747</v>
      </c>
      <c r="R94" s="214" t="s">
        <v>889</v>
      </c>
      <c r="S94" s="214" t="s">
        <v>747</v>
      </c>
    </row>
    <row r="95" spans="1:19" x14ac:dyDescent="0.2">
      <c r="A95" s="214">
        <v>90</v>
      </c>
      <c r="B95" s="250" t="s">
        <v>272</v>
      </c>
      <c r="C95" s="250" t="s">
        <v>271</v>
      </c>
      <c r="D95" s="239">
        <v>57168992</v>
      </c>
      <c r="E95" s="239">
        <v>0</v>
      </c>
      <c r="F95" s="239">
        <v>179893</v>
      </c>
      <c r="G95" s="239">
        <v>179064</v>
      </c>
      <c r="H95" s="239">
        <v>0</v>
      </c>
      <c r="I95" s="239">
        <v>179064</v>
      </c>
      <c r="J95" s="239">
        <v>0</v>
      </c>
      <c r="K95" s="239">
        <v>0</v>
      </c>
      <c r="L95" s="239">
        <v>0</v>
      </c>
      <c r="M95" s="239">
        <v>0</v>
      </c>
      <c r="N95" s="239">
        <v>0</v>
      </c>
      <c r="O95" s="239">
        <v>56810035</v>
      </c>
      <c r="P95" s="214" t="s">
        <v>271</v>
      </c>
      <c r="Q95" s="214" t="s">
        <v>837</v>
      </c>
      <c r="R95" s="214" t="s">
        <v>835</v>
      </c>
      <c r="S95" s="214" t="s">
        <v>1190</v>
      </c>
    </row>
    <row r="96" spans="1:19" x14ac:dyDescent="0.2">
      <c r="A96" s="214">
        <v>91</v>
      </c>
      <c r="B96" s="250" t="s">
        <v>274</v>
      </c>
      <c r="C96" s="250" t="s">
        <v>273</v>
      </c>
      <c r="D96" s="239">
        <v>32801727</v>
      </c>
      <c r="E96" s="239">
        <v>0</v>
      </c>
      <c r="F96" s="239">
        <v>207838</v>
      </c>
      <c r="G96" s="239">
        <v>125728</v>
      </c>
      <c r="H96" s="239">
        <v>0</v>
      </c>
      <c r="I96" s="239">
        <v>125728</v>
      </c>
      <c r="J96" s="239">
        <v>0</v>
      </c>
      <c r="K96" s="239">
        <v>0</v>
      </c>
      <c r="L96" s="239">
        <v>0</v>
      </c>
      <c r="M96" s="239">
        <v>0</v>
      </c>
      <c r="N96" s="239">
        <v>0</v>
      </c>
      <c r="O96" s="239">
        <v>32468161</v>
      </c>
      <c r="P96" s="214" t="s">
        <v>273</v>
      </c>
      <c r="Q96" s="214" t="s">
        <v>808</v>
      </c>
      <c r="R96" s="214" t="s">
        <v>806</v>
      </c>
      <c r="S96" s="214" t="s">
        <v>1190</v>
      </c>
    </row>
    <row r="97" spans="1:19" x14ac:dyDescent="0.2">
      <c r="A97" s="214">
        <v>92</v>
      </c>
      <c r="B97" s="250" t="s">
        <v>276</v>
      </c>
      <c r="C97" s="250" t="s">
        <v>275</v>
      </c>
      <c r="D97" s="239">
        <v>59096166</v>
      </c>
      <c r="E97" s="239">
        <v>0</v>
      </c>
      <c r="F97" s="239">
        <v>282437</v>
      </c>
      <c r="G97" s="239">
        <v>150579</v>
      </c>
      <c r="H97" s="239">
        <v>0</v>
      </c>
      <c r="I97" s="239">
        <v>150579</v>
      </c>
      <c r="J97" s="239">
        <v>0</v>
      </c>
      <c r="K97" s="239">
        <v>0</v>
      </c>
      <c r="L97" s="239">
        <v>0</v>
      </c>
      <c r="M97" s="239">
        <v>0</v>
      </c>
      <c r="N97" s="239">
        <v>0</v>
      </c>
      <c r="O97" s="239">
        <v>58663150</v>
      </c>
      <c r="P97" s="214" t="s">
        <v>275</v>
      </c>
      <c r="Q97" s="214" t="s">
        <v>778</v>
      </c>
      <c r="R97" s="214" t="s">
        <v>776</v>
      </c>
      <c r="S97" s="214" t="s">
        <v>1190</v>
      </c>
    </row>
    <row r="98" spans="1:19" x14ac:dyDescent="0.2">
      <c r="A98" s="214">
        <v>93</v>
      </c>
      <c r="B98" s="250" t="s">
        <v>278</v>
      </c>
      <c r="C98" s="250" t="s">
        <v>277</v>
      </c>
      <c r="D98" s="239">
        <v>20127634</v>
      </c>
      <c r="E98" s="239">
        <v>0</v>
      </c>
      <c r="F98" s="239">
        <v>111447</v>
      </c>
      <c r="G98" s="239">
        <v>127788</v>
      </c>
      <c r="H98" s="239">
        <v>0</v>
      </c>
      <c r="I98" s="239">
        <v>127788</v>
      </c>
      <c r="J98" s="239">
        <v>0</v>
      </c>
      <c r="K98" s="239">
        <v>0</v>
      </c>
      <c r="L98" s="239">
        <v>0</v>
      </c>
      <c r="M98" s="239">
        <v>0</v>
      </c>
      <c r="N98" s="239">
        <v>0</v>
      </c>
      <c r="O98" s="239">
        <v>19888399</v>
      </c>
      <c r="P98" s="214" t="s">
        <v>277</v>
      </c>
      <c r="Q98" s="214" t="s">
        <v>850</v>
      </c>
      <c r="R98" s="214" t="s">
        <v>762</v>
      </c>
      <c r="S98" s="214" t="s">
        <v>1190</v>
      </c>
    </row>
    <row r="99" spans="1:19" x14ac:dyDescent="0.2">
      <c r="A99" s="214">
        <v>94</v>
      </c>
      <c r="B99" s="250" t="s">
        <v>280</v>
      </c>
      <c r="C99" s="250" t="s">
        <v>279</v>
      </c>
      <c r="D99" s="239">
        <v>54114370</v>
      </c>
      <c r="E99" s="239">
        <v>127806</v>
      </c>
      <c r="F99" s="239">
        <v>0</v>
      </c>
      <c r="G99" s="239">
        <v>178973</v>
      </c>
      <c r="H99" s="239">
        <v>0</v>
      </c>
      <c r="I99" s="239">
        <v>178973</v>
      </c>
      <c r="J99" s="239">
        <v>0</v>
      </c>
      <c r="K99" s="239">
        <v>0</v>
      </c>
      <c r="L99" s="239">
        <v>25223</v>
      </c>
      <c r="M99" s="239">
        <v>25223</v>
      </c>
      <c r="N99" s="239">
        <v>0</v>
      </c>
      <c r="O99" s="239">
        <v>54037980</v>
      </c>
      <c r="P99" s="214" t="s">
        <v>279</v>
      </c>
      <c r="Q99" s="214" t="s">
        <v>771</v>
      </c>
      <c r="R99" s="214" t="s">
        <v>762</v>
      </c>
      <c r="S99" s="214" t="s">
        <v>1190</v>
      </c>
    </row>
    <row r="100" spans="1:19" x14ac:dyDescent="0.2">
      <c r="A100" s="214">
        <v>95</v>
      </c>
      <c r="B100" s="250" t="s">
        <v>282</v>
      </c>
      <c r="C100" s="250" t="s">
        <v>281</v>
      </c>
      <c r="D100" s="239">
        <v>116241812</v>
      </c>
      <c r="E100" s="239">
        <v>0</v>
      </c>
      <c r="F100" s="239">
        <v>332057</v>
      </c>
      <c r="G100" s="239">
        <v>343642</v>
      </c>
      <c r="H100" s="239">
        <v>0</v>
      </c>
      <c r="I100" s="239">
        <v>343642</v>
      </c>
      <c r="J100" s="239">
        <v>0</v>
      </c>
      <c r="K100" s="239">
        <v>0</v>
      </c>
      <c r="L100" s="239">
        <v>0</v>
      </c>
      <c r="M100" s="239">
        <v>0</v>
      </c>
      <c r="N100" s="239">
        <v>0</v>
      </c>
      <c r="O100" s="239">
        <v>115566113</v>
      </c>
      <c r="P100" s="214" t="s">
        <v>281</v>
      </c>
      <c r="Q100" s="214" t="s">
        <v>789</v>
      </c>
      <c r="R100" s="214" t="s">
        <v>748</v>
      </c>
      <c r="S100" s="214" t="s">
        <v>1191</v>
      </c>
    </row>
    <row r="101" spans="1:19" x14ac:dyDescent="0.2">
      <c r="A101" s="214">
        <v>96</v>
      </c>
      <c r="B101" s="250" t="s">
        <v>284</v>
      </c>
      <c r="C101" s="250" t="s">
        <v>283</v>
      </c>
      <c r="D101" s="239">
        <v>36019033</v>
      </c>
      <c r="E101" s="239">
        <v>0</v>
      </c>
      <c r="F101" s="239">
        <v>44686</v>
      </c>
      <c r="G101" s="239">
        <v>172128</v>
      </c>
      <c r="H101" s="239">
        <v>0</v>
      </c>
      <c r="I101" s="239">
        <v>172128</v>
      </c>
      <c r="J101" s="239">
        <v>0</v>
      </c>
      <c r="K101" s="239">
        <v>0</v>
      </c>
      <c r="L101" s="239">
        <v>0</v>
      </c>
      <c r="M101" s="239">
        <v>0</v>
      </c>
      <c r="N101" s="239">
        <v>0</v>
      </c>
      <c r="O101" s="239">
        <v>35802219</v>
      </c>
      <c r="P101" s="214" t="s">
        <v>283</v>
      </c>
      <c r="Q101" s="214" t="s">
        <v>821</v>
      </c>
      <c r="R101" s="214" t="s">
        <v>819</v>
      </c>
      <c r="S101" s="214" t="s">
        <v>1190</v>
      </c>
    </row>
    <row r="102" spans="1:19" x14ac:dyDescent="0.2">
      <c r="A102" s="214">
        <v>97</v>
      </c>
      <c r="B102" s="250" t="s">
        <v>286</v>
      </c>
      <c r="C102" s="250" t="s">
        <v>285</v>
      </c>
      <c r="D102" s="239">
        <v>23285368</v>
      </c>
      <c r="E102" s="239">
        <v>0</v>
      </c>
      <c r="F102" s="239">
        <v>6439</v>
      </c>
      <c r="G102" s="239">
        <v>85351</v>
      </c>
      <c r="H102" s="239">
        <v>0</v>
      </c>
      <c r="I102" s="239">
        <v>85351</v>
      </c>
      <c r="J102" s="239">
        <v>0</v>
      </c>
      <c r="K102" s="239">
        <v>0</v>
      </c>
      <c r="L102" s="239">
        <v>0</v>
      </c>
      <c r="M102" s="239">
        <v>0</v>
      </c>
      <c r="N102" s="239">
        <v>0</v>
      </c>
      <c r="O102" s="239">
        <v>23193578</v>
      </c>
      <c r="P102" s="214" t="s">
        <v>285</v>
      </c>
      <c r="Q102" s="214" t="s">
        <v>771</v>
      </c>
      <c r="R102" s="214" t="s">
        <v>762</v>
      </c>
      <c r="S102" s="214" t="s">
        <v>1190</v>
      </c>
    </row>
    <row r="103" spans="1:19" x14ac:dyDescent="0.2">
      <c r="A103" s="214">
        <v>98</v>
      </c>
      <c r="B103" s="250" t="s">
        <v>288</v>
      </c>
      <c r="C103" s="250" t="s">
        <v>287</v>
      </c>
      <c r="D103" s="239">
        <v>23880773</v>
      </c>
      <c r="E103" s="239">
        <v>102025</v>
      </c>
      <c r="F103" s="239">
        <v>0</v>
      </c>
      <c r="G103" s="239">
        <v>136407</v>
      </c>
      <c r="H103" s="239">
        <v>0</v>
      </c>
      <c r="I103" s="239">
        <v>136407</v>
      </c>
      <c r="J103" s="239">
        <v>0</v>
      </c>
      <c r="K103" s="239">
        <v>0</v>
      </c>
      <c r="L103" s="239">
        <v>0</v>
      </c>
      <c r="M103" s="239">
        <v>0</v>
      </c>
      <c r="N103" s="239">
        <v>0</v>
      </c>
      <c r="O103" s="239">
        <v>23846391</v>
      </c>
      <c r="P103" s="214" t="s">
        <v>287</v>
      </c>
      <c r="Q103" s="214" t="s">
        <v>857</v>
      </c>
      <c r="R103" s="214" t="s">
        <v>855</v>
      </c>
      <c r="S103" s="214" t="s">
        <v>1190</v>
      </c>
    </row>
    <row r="104" spans="1:19" x14ac:dyDescent="0.2">
      <c r="A104" s="214">
        <v>99</v>
      </c>
      <c r="B104" s="250" t="s">
        <v>290</v>
      </c>
      <c r="C104" s="250" t="s">
        <v>289</v>
      </c>
      <c r="D104" s="239">
        <v>78609284</v>
      </c>
      <c r="E104" s="239">
        <v>0</v>
      </c>
      <c r="F104" s="239">
        <v>59441</v>
      </c>
      <c r="G104" s="239">
        <v>219686</v>
      </c>
      <c r="H104" s="239">
        <v>0</v>
      </c>
      <c r="I104" s="239">
        <v>219686</v>
      </c>
      <c r="J104" s="239">
        <v>0</v>
      </c>
      <c r="K104" s="239">
        <v>0</v>
      </c>
      <c r="L104" s="239">
        <v>0</v>
      </c>
      <c r="M104" s="239">
        <v>0</v>
      </c>
      <c r="N104" s="239">
        <v>0</v>
      </c>
      <c r="O104" s="239">
        <v>78330157</v>
      </c>
      <c r="P104" s="214" t="s">
        <v>289</v>
      </c>
      <c r="Q104" s="214" t="s">
        <v>799</v>
      </c>
      <c r="R104" s="214" t="s">
        <v>791</v>
      </c>
      <c r="S104" s="214" t="s">
        <v>1190</v>
      </c>
    </row>
    <row r="105" spans="1:19" x14ac:dyDescent="0.2">
      <c r="A105" s="214">
        <v>100</v>
      </c>
      <c r="B105" s="250" t="s">
        <v>292</v>
      </c>
      <c r="C105" s="250" t="s">
        <v>291</v>
      </c>
      <c r="D105" s="239">
        <v>43279221</v>
      </c>
      <c r="E105" s="239">
        <v>0</v>
      </c>
      <c r="F105" s="239">
        <v>33860</v>
      </c>
      <c r="G105" s="239">
        <v>142304</v>
      </c>
      <c r="H105" s="239">
        <v>0</v>
      </c>
      <c r="I105" s="239">
        <v>142304</v>
      </c>
      <c r="J105" s="239">
        <v>0</v>
      </c>
      <c r="K105" s="239">
        <v>0</v>
      </c>
      <c r="L105" s="239">
        <v>81582</v>
      </c>
      <c r="M105" s="239">
        <v>81582</v>
      </c>
      <c r="N105" s="239">
        <v>0</v>
      </c>
      <c r="O105" s="239">
        <v>43021475</v>
      </c>
      <c r="P105" s="214" t="s">
        <v>291</v>
      </c>
      <c r="Q105" s="214" t="s">
        <v>778</v>
      </c>
      <c r="R105" s="214" t="s">
        <v>776</v>
      </c>
      <c r="S105" s="214" t="s">
        <v>1190</v>
      </c>
    </row>
    <row r="106" spans="1:19" x14ac:dyDescent="0.2">
      <c r="A106" s="214">
        <v>101</v>
      </c>
      <c r="B106" s="250" t="s">
        <v>294</v>
      </c>
      <c r="C106" s="250" t="s">
        <v>293</v>
      </c>
      <c r="D106" s="239">
        <v>26401166</v>
      </c>
      <c r="E106" s="239">
        <v>0</v>
      </c>
      <c r="F106" s="239">
        <v>699592</v>
      </c>
      <c r="G106" s="239">
        <v>127876</v>
      </c>
      <c r="H106" s="239">
        <v>0</v>
      </c>
      <c r="I106" s="239">
        <v>127876</v>
      </c>
      <c r="J106" s="239">
        <v>0</v>
      </c>
      <c r="K106" s="239">
        <v>0</v>
      </c>
      <c r="L106" s="239">
        <v>221292</v>
      </c>
      <c r="M106" s="239">
        <v>221292</v>
      </c>
      <c r="N106" s="239">
        <v>0</v>
      </c>
      <c r="O106" s="239">
        <v>25352406</v>
      </c>
      <c r="P106" s="214" t="s">
        <v>293</v>
      </c>
      <c r="Q106" s="214" t="s">
        <v>861</v>
      </c>
      <c r="R106" s="214" t="s">
        <v>859</v>
      </c>
      <c r="S106" s="214" t="s">
        <v>1190</v>
      </c>
    </row>
    <row r="107" spans="1:19" x14ac:dyDescent="0.2">
      <c r="A107" s="214">
        <v>102</v>
      </c>
      <c r="B107" s="250" t="s">
        <v>296</v>
      </c>
      <c r="C107" s="250" t="s">
        <v>295</v>
      </c>
      <c r="D107" s="239">
        <v>23838065</v>
      </c>
      <c r="E107" s="239">
        <v>0</v>
      </c>
      <c r="F107" s="239">
        <v>35653</v>
      </c>
      <c r="G107" s="239">
        <v>90578</v>
      </c>
      <c r="H107" s="239">
        <v>0</v>
      </c>
      <c r="I107" s="239">
        <v>90578</v>
      </c>
      <c r="J107" s="239">
        <v>0</v>
      </c>
      <c r="K107" s="239">
        <v>0</v>
      </c>
      <c r="L107" s="239">
        <v>104853</v>
      </c>
      <c r="M107" s="239">
        <v>104853</v>
      </c>
      <c r="N107" s="239">
        <v>0</v>
      </c>
      <c r="O107" s="239">
        <v>23606981</v>
      </c>
      <c r="P107" s="214" t="s">
        <v>295</v>
      </c>
      <c r="Q107" s="214" t="s">
        <v>810</v>
      </c>
      <c r="R107" s="214" t="s">
        <v>762</v>
      </c>
      <c r="S107" s="214" t="s">
        <v>1190</v>
      </c>
    </row>
    <row r="108" spans="1:19" x14ac:dyDescent="0.2">
      <c r="A108" s="214">
        <v>103</v>
      </c>
      <c r="B108" s="250" t="s">
        <v>298</v>
      </c>
      <c r="C108" s="250" t="s">
        <v>297</v>
      </c>
      <c r="D108" s="239">
        <v>12317974</v>
      </c>
      <c r="E108" s="239">
        <v>0</v>
      </c>
      <c r="F108" s="239">
        <v>111039</v>
      </c>
      <c r="G108" s="239">
        <v>118856</v>
      </c>
      <c r="H108" s="239">
        <v>0</v>
      </c>
      <c r="I108" s="239">
        <v>118856</v>
      </c>
      <c r="J108" s="239">
        <v>0</v>
      </c>
      <c r="K108" s="239">
        <v>0</v>
      </c>
      <c r="L108" s="239">
        <v>86580</v>
      </c>
      <c r="M108" s="239">
        <v>86580</v>
      </c>
      <c r="N108" s="239">
        <v>0</v>
      </c>
      <c r="O108" s="239">
        <v>12001499</v>
      </c>
      <c r="P108" s="214" t="s">
        <v>297</v>
      </c>
      <c r="Q108" s="214" t="s">
        <v>830</v>
      </c>
      <c r="R108" s="214" t="s">
        <v>762</v>
      </c>
      <c r="S108" s="214" t="s">
        <v>1190</v>
      </c>
    </row>
    <row r="109" spans="1:19" x14ac:dyDescent="0.2">
      <c r="A109" s="214">
        <v>104</v>
      </c>
      <c r="B109" s="250" t="s">
        <v>300</v>
      </c>
      <c r="C109" s="250" t="s">
        <v>299</v>
      </c>
      <c r="D109" s="239">
        <v>31564631</v>
      </c>
      <c r="E109" s="239">
        <v>0</v>
      </c>
      <c r="F109" s="239">
        <v>285818</v>
      </c>
      <c r="G109" s="239">
        <v>112252</v>
      </c>
      <c r="H109" s="239">
        <v>0</v>
      </c>
      <c r="I109" s="239">
        <v>112252</v>
      </c>
      <c r="J109" s="239">
        <v>0</v>
      </c>
      <c r="K109" s="239">
        <v>0</v>
      </c>
      <c r="L109" s="239">
        <v>47587</v>
      </c>
      <c r="M109" s="239">
        <v>47587</v>
      </c>
      <c r="N109" s="239">
        <v>0</v>
      </c>
      <c r="O109" s="239">
        <v>31118974</v>
      </c>
      <c r="P109" s="214" t="s">
        <v>299</v>
      </c>
      <c r="Q109" s="214" t="s">
        <v>756</v>
      </c>
      <c r="R109" s="214" t="s">
        <v>754</v>
      </c>
      <c r="S109" s="214" t="s">
        <v>1190</v>
      </c>
    </row>
    <row r="110" spans="1:19" x14ac:dyDescent="0.2">
      <c r="A110" s="214">
        <v>105</v>
      </c>
      <c r="B110" s="250" t="s">
        <v>302</v>
      </c>
      <c r="C110" s="250" t="s">
        <v>301</v>
      </c>
      <c r="D110" s="239">
        <v>89545884</v>
      </c>
      <c r="E110" s="239">
        <v>0</v>
      </c>
      <c r="F110" s="239">
        <v>235077</v>
      </c>
      <c r="G110" s="239">
        <v>293350</v>
      </c>
      <c r="H110" s="239">
        <v>0</v>
      </c>
      <c r="I110" s="239">
        <v>293350</v>
      </c>
      <c r="J110" s="239">
        <v>0</v>
      </c>
      <c r="K110" s="239">
        <v>536956</v>
      </c>
      <c r="L110" s="239">
        <v>0</v>
      </c>
      <c r="M110" s="239">
        <v>0</v>
      </c>
      <c r="N110" s="239">
        <v>0</v>
      </c>
      <c r="O110" s="239">
        <v>88480501</v>
      </c>
      <c r="P110" s="214" t="s">
        <v>301</v>
      </c>
      <c r="Q110" s="214" t="s">
        <v>767</v>
      </c>
      <c r="R110" s="214" t="s">
        <v>840</v>
      </c>
      <c r="S110" s="214" t="s">
        <v>1192</v>
      </c>
    </row>
    <row r="111" spans="1:19" x14ac:dyDescent="0.2">
      <c r="A111" s="214">
        <v>106</v>
      </c>
      <c r="B111" s="250" t="s">
        <v>304</v>
      </c>
      <c r="C111" s="250" t="s">
        <v>303</v>
      </c>
      <c r="D111" s="239">
        <v>22119877</v>
      </c>
      <c r="E111" s="239">
        <v>0</v>
      </c>
      <c r="F111" s="239">
        <v>60471</v>
      </c>
      <c r="G111" s="239">
        <v>101234</v>
      </c>
      <c r="H111" s="239">
        <v>0</v>
      </c>
      <c r="I111" s="239">
        <v>101234</v>
      </c>
      <c r="J111" s="239">
        <v>0</v>
      </c>
      <c r="K111" s="239">
        <v>0</v>
      </c>
      <c r="L111" s="239">
        <v>81757</v>
      </c>
      <c r="M111" s="239">
        <v>81757</v>
      </c>
      <c r="N111" s="239">
        <v>0</v>
      </c>
      <c r="O111" s="239">
        <v>21876415</v>
      </c>
      <c r="P111" s="214" t="s">
        <v>303</v>
      </c>
      <c r="Q111" s="214" t="s">
        <v>873</v>
      </c>
      <c r="R111" s="214" t="s">
        <v>871</v>
      </c>
      <c r="S111" s="214" t="s">
        <v>1190</v>
      </c>
    </row>
    <row r="112" spans="1:19" x14ac:dyDescent="0.2">
      <c r="A112" s="214">
        <v>107</v>
      </c>
      <c r="B112" s="250" t="s">
        <v>306</v>
      </c>
      <c r="C112" s="250" t="s">
        <v>305</v>
      </c>
      <c r="D112" s="239">
        <v>51757260</v>
      </c>
      <c r="E112" s="239">
        <v>0</v>
      </c>
      <c r="F112" s="239">
        <v>160143</v>
      </c>
      <c r="G112" s="239">
        <v>179492</v>
      </c>
      <c r="H112" s="239">
        <v>0</v>
      </c>
      <c r="I112" s="239">
        <v>179492</v>
      </c>
      <c r="J112" s="239">
        <v>0</v>
      </c>
      <c r="K112" s="239">
        <v>0</v>
      </c>
      <c r="L112" s="239">
        <v>0</v>
      </c>
      <c r="M112" s="239">
        <v>0</v>
      </c>
      <c r="N112" s="239">
        <v>0</v>
      </c>
      <c r="O112" s="239">
        <v>51417625</v>
      </c>
      <c r="P112" s="214" t="s">
        <v>305</v>
      </c>
      <c r="Q112" s="214" t="s">
        <v>830</v>
      </c>
      <c r="R112" s="214" t="s">
        <v>762</v>
      </c>
      <c r="S112" s="214" t="s">
        <v>1190</v>
      </c>
    </row>
    <row r="113" spans="1:19" x14ac:dyDescent="0.2">
      <c r="A113" s="214">
        <v>108</v>
      </c>
      <c r="B113" s="250" t="s">
        <v>308</v>
      </c>
      <c r="C113" s="250" t="s">
        <v>307</v>
      </c>
      <c r="D113" s="239">
        <v>17008680</v>
      </c>
      <c r="E113" s="239">
        <v>0</v>
      </c>
      <c r="F113" s="239">
        <v>74092</v>
      </c>
      <c r="G113" s="239">
        <v>79768</v>
      </c>
      <c r="H113" s="239">
        <v>0</v>
      </c>
      <c r="I113" s="239">
        <v>79768</v>
      </c>
      <c r="J113" s="239">
        <v>0</v>
      </c>
      <c r="K113" s="239">
        <v>0</v>
      </c>
      <c r="L113" s="239">
        <v>0</v>
      </c>
      <c r="M113" s="239">
        <v>0</v>
      </c>
      <c r="N113" s="239">
        <v>0</v>
      </c>
      <c r="O113" s="239">
        <v>16854820</v>
      </c>
      <c r="P113" s="214" t="s">
        <v>307</v>
      </c>
      <c r="Q113" s="214" t="s">
        <v>778</v>
      </c>
      <c r="R113" s="214" t="s">
        <v>776</v>
      </c>
      <c r="S113" s="214" t="s">
        <v>1190</v>
      </c>
    </row>
    <row r="114" spans="1:19" x14ac:dyDescent="0.2">
      <c r="A114" s="214">
        <v>109</v>
      </c>
      <c r="B114" s="250" t="s">
        <v>310</v>
      </c>
      <c r="C114" s="250" t="s">
        <v>309</v>
      </c>
      <c r="D114" s="239">
        <v>24078962</v>
      </c>
      <c r="E114" s="239">
        <v>0</v>
      </c>
      <c r="F114" s="239">
        <v>78365</v>
      </c>
      <c r="G114" s="239">
        <v>96778</v>
      </c>
      <c r="H114" s="239">
        <v>0</v>
      </c>
      <c r="I114" s="239">
        <v>96778</v>
      </c>
      <c r="J114" s="239">
        <v>0</v>
      </c>
      <c r="K114" s="239">
        <v>0</v>
      </c>
      <c r="L114" s="239">
        <v>0</v>
      </c>
      <c r="M114" s="239">
        <v>0</v>
      </c>
      <c r="N114" s="239">
        <v>0</v>
      </c>
      <c r="O114" s="239">
        <v>23903819</v>
      </c>
      <c r="P114" s="214" t="s">
        <v>309</v>
      </c>
      <c r="Q114" s="214" t="s">
        <v>825</v>
      </c>
      <c r="R114" s="214" t="s">
        <v>823</v>
      </c>
      <c r="S114" s="214" t="s">
        <v>1190</v>
      </c>
    </row>
    <row r="115" spans="1:19" x14ac:dyDescent="0.2">
      <c r="A115" s="214">
        <v>110</v>
      </c>
      <c r="B115" s="250" t="s">
        <v>312</v>
      </c>
      <c r="C115" s="250" t="s">
        <v>311</v>
      </c>
      <c r="D115" s="239">
        <v>33471452</v>
      </c>
      <c r="E115" s="239">
        <v>36525</v>
      </c>
      <c r="F115" s="239">
        <v>0</v>
      </c>
      <c r="G115" s="239">
        <v>184873</v>
      </c>
      <c r="H115" s="239">
        <v>0</v>
      </c>
      <c r="I115" s="239">
        <v>184873</v>
      </c>
      <c r="J115" s="239">
        <v>0</v>
      </c>
      <c r="K115" s="239">
        <v>206776</v>
      </c>
      <c r="L115" s="239">
        <v>55664</v>
      </c>
      <c r="M115" s="239">
        <v>55664</v>
      </c>
      <c r="N115" s="239">
        <v>0</v>
      </c>
      <c r="O115" s="239">
        <v>33060664</v>
      </c>
      <c r="P115" s="214" t="s">
        <v>311</v>
      </c>
      <c r="Q115" s="214" t="s">
        <v>848</v>
      </c>
      <c r="R115" s="214" t="s">
        <v>762</v>
      </c>
      <c r="S115" s="214" t="s">
        <v>1190</v>
      </c>
    </row>
    <row r="116" spans="1:19" x14ac:dyDescent="0.2">
      <c r="A116" s="214">
        <v>111</v>
      </c>
      <c r="B116" s="250" t="s">
        <v>314</v>
      </c>
      <c r="C116" s="250" t="s">
        <v>313</v>
      </c>
      <c r="D116" s="239">
        <v>79813850</v>
      </c>
      <c r="E116" s="239">
        <v>0</v>
      </c>
      <c r="F116" s="239">
        <v>108190</v>
      </c>
      <c r="G116" s="239">
        <v>276508</v>
      </c>
      <c r="H116" s="239">
        <v>0</v>
      </c>
      <c r="I116" s="239">
        <v>276508</v>
      </c>
      <c r="J116" s="239">
        <v>0</v>
      </c>
      <c r="K116" s="239">
        <v>0</v>
      </c>
      <c r="L116" s="239">
        <v>0</v>
      </c>
      <c r="M116" s="239">
        <v>0</v>
      </c>
      <c r="N116" s="239">
        <v>0</v>
      </c>
      <c r="O116" s="239">
        <v>79429152</v>
      </c>
      <c r="P116" s="214" t="s">
        <v>313</v>
      </c>
      <c r="Q116" s="214" t="s">
        <v>789</v>
      </c>
      <c r="R116" s="214" t="s">
        <v>748</v>
      </c>
      <c r="S116" s="214" t="s">
        <v>1193</v>
      </c>
    </row>
    <row r="117" spans="1:19" x14ac:dyDescent="0.2">
      <c r="A117" s="214">
        <v>112</v>
      </c>
      <c r="B117" s="250" t="s">
        <v>316</v>
      </c>
      <c r="C117" s="250" t="s">
        <v>315</v>
      </c>
      <c r="D117" s="239">
        <v>87041280</v>
      </c>
      <c r="E117" s="239">
        <v>0</v>
      </c>
      <c r="F117" s="239">
        <v>375122</v>
      </c>
      <c r="G117" s="239">
        <v>232751</v>
      </c>
      <c r="H117" s="239">
        <v>0</v>
      </c>
      <c r="I117" s="239">
        <v>232751</v>
      </c>
      <c r="J117" s="239">
        <v>0</v>
      </c>
      <c r="K117" s="239">
        <v>0</v>
      </c>
      <c r="L117" s="239">
        <v>0</v>
      </c>
      <c r="M117" s="239">
        <v>0</v>
      </c>
      <c r="N117" s="239">
        <v>0</v>
      </c>
      <c r="O117" s="239">
        <v>86433407</v>
      </c>
      <c r="P117" s="214" t="s">
        <v>315</v>
      </c>
      <c r="Q117" s="214" t="s">
        <v>771</v>
      </c>
      <c r="R117" s="214" t="s">
        <v>762</v>
      </c>
      <c r="S117" s="214" t="s">
        <v>1190</v>
      </c>
    </row>
    <row r="118" spans="1:19" x14ac:dyDescent="0.2">
      <c r="A118" s="214">
        <v>113</v>
      </c>
      <c r="B118" s="250" t="s">
        <v>318</v>
      </c>
      <c r="C118" s="250" t="s">
        <v>317</v>
      </c>
      <c r="D118" s="239">
        <v>92625685</v>
      </c>
      <c r="E118" s="239">
        <v>0</v>
      </c>
      <c r="F118" s="239">
        <v>226830</v>
      </c>
      <c r="G118" s="239">
        <v>499664</v>
      </c>
      <c r="H118" s="239">
        <v>0</v>
      </c>
      <c r="I118" s="239">
        <v>499664</v>
      </c>
      <c r="J118" s="239">
        <v>0</v>
      </c>
      <c r="K118" s="239">
        <v>0</v>
      </c>
      <c r="L118" s="239">
        <v>0</v>
      </c>
      <c r="M118" s="239">
        <v>0</v>
      </c>
      <c r="N118" s="239">
        <v>0</v>
      </c>
      <c r="O118" s="239">
        <v>91899191</v>
      </c>
      <c r="P118" s="214" t="s">
        <v>317</v>
      </c>
      <c r="Q118" s="214" t="s">
        <v>789</v>
      </c>
      <c r="R118" s="214" t="s">
        <v>748</v>
      </c>
      <c r="S118" s="214" t="s">
        <v>1193</v>
      </c>
    </row>
    <row r="119" spans="1:19" x14ac:dyDescent="0.2">
      <c r="A119" s="214">
        <v>114</v>
      </c>
      <c r="B119" s="250" t="s">
        <v>320</v>
      </c>
      <c r="C119" s="250" t="s">
        <v>319</v>
      </c>
      <c r="D119" s="239">
        <v>60053926</v>
      </c>
      <c r="E119" s="239">
        <v>0</v>
      </c>
      <c r="F119" s="239">
        <v>85248</v>
      </c>
      <c r="G119" s="239">
        <v>165255</v>
      </c>
      <c r="H119" s="239">
        <v>0</v>
      </c>
      <c r="I119" s="239">
        <v>165255</v>
      </c>
      <c r="J119" s="239">
        <v>0</v>
      </c>
      <c r="K119" s="239">
        <v>0</v>
      </c>
      <c r="L119" s="239">
        <v>0</v>
      </c>
      <c r="M119" s="239">
        <v>0</v>
      </c>
      <c r="N119" s="239">
        <v>0</v>
      </c>
      <c r="O119" s="239">
        <v>59803423</v>
      </c>
      <c r="P119" s="214" t="s">
        <v>910</v>
      </c>
      <c r="Q119" s="214" t="s">
        <v>747</v>
      </c>
      <c r="R119" s="214" t="s">
        <v>814</v>
      </c>
      <c r="S119" s="214" t="s">
        <v>747</v>
      </c>
    </row>
    <row r="120" spans="1:19" x14ac:dyDescent="0.2">
      <c r="A120" s="214">
        <v>115</v>
      </c>
      <c r="B120" s="250" t="s">
        <v>322</v>
      </c>
      <c r="C120" s="250" t="s">
        <v>321</v>
      </c>
      <c r="D120" s="239">
        <v>27453521</v>
      </c>
      <c r="E120" s="239">
        <v>0</v>
      </c>
      <c r="F120" s="239">
        <v>56974</v>
      </c>
      <c r="G120" s="239">
        <v>156084</v>
      </c>
      <c r="H120" s="239">
        <v>0</v>
      </c>
      <c r="I120" s="239">
        <v>156084</v>
      </c>
      <c r="J120" s="239">
        <v>0</v>
      </c>
      <c r="K120" s="239">
        <v>0</v>
      </c>
      <c r="L120" s="239">
        <v>0</v>
      </c>
      <c r="M120" s="239">
        <v>0</v>
      </c>
      <c r="N120" s="239">
        <v>0</v>
      </c>
      <c r="O120" s="239">
        <v>27240463</v>
      </c>
      <c r="P120" s="214" t="s">
        <v>321</v>
      </c>
      <c r="Q120" s="214" t="s">
        <v>866</v>
      </c>
      <c r="R120" s="214" t="s">
        <v>745</v>
      </c>
      <c r="S120" s="214" t="s">
        <v>1190</v>
      </c>
    </row>
    <row r="121" spans="1:19" x14ac:dyDescent="0.2">
      <c r="A121" s="214">
        <v>116</v>
      </c>
      <c r="B121" s="250" t="s">
        <v>324</v>
      </c>
      <c r="C121" s="250" t="s">
        <v>323</v>
      </c>
      <c r="D121" s="239">
        <v>199096580</v>
      </c>
      <c r="E121" s="239">
        <v>0</v>
      </c>
      <c r="F121" s="239">
        <v>1539506</v>
      </c>
      <c r="G121" s="239">
        <v>556007</v>
      </c>
      <c r="H121" s="239">
        <v>0</v>
      </c>
      <c r="I121" s="239">
        <v>556007</v>
      </c>
      <c r="J121" s="239">
        <v>0</v>
      </c>
      <c r="K121" s="239">
        <v>0</v>
      </c>
      <c r="L121" s="239">
        <v>0</v>
      </c>
      <c r="M121" s="239">
        <v>0</v>
      </c>
      <c r="N121" s="239">
        <v>0</v>
      </c>
      <c r="O121" s="239">
        <v>197001067</v>
      </c>
      <c r="P121" s="214" t="s">
        <v>909</v>
      </c>
      <c r="Q121" s="214" t="s">
        <v>789</v>
      </c>
      <c r="R121" s="214" t="s">
        <v>748</v>
      </c>
      <c r="S121" s="214" t="s">
        <v>1193</v>
      </c>
    </row>
    <row r="122" spans="1:19" x14ac:dyDescent="0.2">
      <c r="A122" s="214">
        <v>117</v>
      </c>
      <c r="B122" s="250" t="s">
        <v>326</v>
      </c>
      <c r="C122" s="250" t="s">
        <v>325</v>
      </c>
      <c r="D122" s="239">
        <v>40397706</v>
      </c>
      <c r="E122" s="239">
        <v>0</v>
      </c>
      <c r="F122" s="239">
        <v>51722</v>
      </c>
      <c r="G122" s="239">
        <v>126674</v>
      </c>
      <c r="H122" s="239">
        <v>0</v>
      </c>
      <c r="I122" s="239">
        <v>126674</v>
      </c>
      <c r="J122" s="239">
        <v>0</v>
      </c>
      <c r="K122" s="239">
        <v>0</v>
      </c>
      <c r="L122" s="239">
        <v>21190</v>
      </c>
      <c r="M122" s="239">
        <v>21190</v>
      </c>
      <c r="N122" s="239">
        <v>0</v>
      </c>
      <c r="O122" s="239">
        <v>40198120</v>
      </c>
      <c r="P122" s="214" t="s">
        <v>325</v>
      </c>
      <c r="Q122" s="214" t="s">
        <v>883</v>
      </c>
      <c r="R122" s="214" t="s">
        <v>868</v>
      </c>
      <c r="S122" s="214" t="s">
        <v>1190</v>
      </c>
    </row>
    <row r="123" spans="1:19" x14ac:dyDescent="0.2">
      <c r="A123" s="214">
        <v>118</v>
      </c>
      <c r="B123" s="250" t="s">
        <v>328</v>
      </c>
      <c r="C123" s="250" t="s">
        <v>327</v>
      </c>
      <c r="D123" s="239">
        <v>68846954</v>
      </c>
      <c r="E123" s="239">
        <v>0</v>
      </c>
      <c r="F123" s="239">
        <v>367676</v>
      </c>
      <c r="G123" s="239">
        <v>305922</v>
      </c>
      <c r="H123" s="239">
        <v>0</v>
      </c>
      <c r="I123" s="239">
        <v>305922</v>
      </c>
      <c r="J123" s="239">
        <v>0</v>
      </c>
      <c r="K123" s="239">
        <v>0</v>
      </c>
      <c r="L123" s="239">
        <v>0</v>
      </c>
      <c r="M123" s="239">
        <v>0</v>
      </c>
      <c r="N123" s="239">
        <v>0</v>
      </c>
      <c r="O123" s="239">
        <v>68173356</v>
      </c>
      <c r="P123" s="214" t="s">
        <v>327</v>
      </c>
      <c r="Q123" s="214" t="s">
        <v>789</v>
      </c>
      <c r="R123" s="214" t="s">
        <v>748</v>
      </c>
      <c r="S123" s="214" t="s">
        <v>1191</v>
      </c>
    </row>
    <row r="124" spans="1:19" x14ac:dyDescent="0.2">
      <c r="A124" s="214">
        <v>119</v>
      </c>
      <c r="B124" s="250" t="s">
        <v>330</v>
      </c>
      <c r="C124" s="250" t="s">
        <v>329</v>
      </c>
      <c r="D124" s="239">
        <v>47693885</v>
      </c>
      <c r="E124" s="239">
        <v>0</v>
      </c>
      <c r="F124" s="239">
        <v>44151</v>
      </c>
      <c r="G124" s="239">
        <v>121903</v>
      </c>
      <c r="H124" s="239">
        <v>0</v>
      </c>
      <c r="I124" s="239">
        <v>121903</v>
      </c>
      <c r="J124" s="239">
        <v>0</v>
      </c>
      <c r="K124" s="239">
        <v>0</v>
      </c>
      <c r="L124" s="239">
        <v>0</v>
      </c>
      <c r="M124" s="239">
        <v>0</v>
      </c>
      <c r="N124" s="239">
        <v>0</v>
      </c>
      <c r="O124" s="239">
        <v>47527831</v>
      </c>
      <c r="P124" s="214" t="s">
        <v>329</v>
      </c>
      <c r="Q124" s="214" t="s">
        <v>821</v>
      </c>
      <c r="R124" s="214" t="s">
        <v>819</v>
      </c>
      <c r="S124" s="214" t="s">
        <v>1190</v>
      </c>
    </row>
    <row r="125" spans="1:19" x14ac:dyDescent="0.2">
      <c r="A125" s="214">
        <v>120</v>
      </c>
      <c r="B125" s="250" t="s">
        <v>332</v>
      </c>
      <c r="C125" s="250" t="s">
        <v>331</v>
      </c>
      <c r="D125" s="239">
        <v>62913862</v>
      </c>
      <c r="E125" s="239">
        <v>0</v>
      </c>
      <c r="F125" s="239">
        <v>51333</v>
      </c>
      <c r="G125" s="239">
        <v>287378</v>
      </c>
      <c r="H125" s="239">
        <v>0</v>
      </c>
      <c r="I125" s="239">
        <v>287378</v>
      </c>
      <c r="J125" s="239">
        <v>0</v>
      </c>
      <c r="K125" s="239">
        <v>0</v>
      </c>
      <c r="L125" s="239">
        <v>0</v>
      </c>
      <c r="M125" s="239">
        <v>0</v>
      </c>
      <c r="N125" s="239">
        <v>0</v>
      </c>
      <c r="O125" s="239">
        <v>62575151</v>
      </c>
      <c r="P125" s="214" t="s">
        <v>331</v>
      </c>
      <c r="Q125" s="214" t="s">
        <v>866</v>
      </c>
      <c r="R125" s="214" t="s">
        <v>745</v>
      </c>
      <c r="S125" s="214" t="s">
        <v>1190</v>
      </c>
    </row>
    <row r="126" spans="1:19" x14ac:dyDescent="0.2">
      <c r="A126" s="214">
        <v>121</v>
      </c>
      <c r="B126" s="250" t="s">
        <v>334</v>
      </c>
      <c r="C126" s="250" t="s">
        <v>333</v>
      </c>
      <c r="D126" s="239">
        <v>45950056</v>
      </c>
      <c r="E126" s="239">
        <v>0</v>
      </c>
      <c r="F126" s="239">
        <v>21331</v>
      </c>
      <c r="G126" s="239">
        <v>248795</v>
      </c>
      <c r="H126" s="239">
        <v>0</v>
      </c>
      <c r="I126" s="239">
        <v>248795</v>
      </c>
      <c r="J126" s="239">
        <v>0</v>
      </c>
      <c r="K126" s="239">
        <v>0</v>
      </c>
      <c r="L126" s="239">
        <v>0</v>
      </c>
      <c r="M126" s="239">
        <v>0</v>
      </c>
      <c r="N126" s="239">
        <v>0</v>
      </c>
      <c r="O126" s="239">
        <v>45679930</v>
      </c>
      <c r="P126" s="214" t="s">
        <v>333</v>
      </c>
      <c r="Q126" s="214" t="s">
        <v>789</v>
      </c>
      <c r="R126" s="214" t="s">
        <v>748</v>
      </c>
      <c r="S126" s="214" t="s">
        <v>1191</v>
      </c>
    </row>
    <row r="127" spans="1:19" x14ac:dyDescent="0.2">
      <c r="A127" s="214">
        <v>122</v>
      </c>
      <c r="B127" s="250" t="s">
        <v>336</v>
      </c>
      <c r="C127" s="250" t="s">
        <v>335</v>
      </c>
      <c r="D127" s="239">
        <v>29530059</v>
      </c>
      <c r="E127" s="239">
        <v>0</v>
      </c>
      <c r="F127" s="239">
        <v>827648</v>
      </c>
      <c r="G127" s="239">
        <v>98299</v>
      </c>
      <c r="H127" s="239">
        <v>0</v>
      </c>
      <c r="I127" s="239">
        <v>98299</v>
      </c>
      <c r="J127" s="239">
        <v>0</v>
      </c>
      <c r="K127" s="239">
        <v>0</v>
      </c>
      <c r="L127" s="239">
        <v>0</v>
      </c>
      <c r="M127" s="239">
        <v>0</v>
      </c>
      <c r="N127" s="239">
        <v>0</v>
      </c>
      <c r="O127" s="239">
        <v>28604112</v>
      </c>
      <c r="P127" s="214" t="s">
        <v>335</v>
      </c>
      <c r="Q127" s="214" t="s">
        <v>778</v>
      </c>
      <c r="R127" s="214" t="s">
        <v>776</v>
      </c>
      <c r="S127" s="214" t="s">
        <v>1190</v>
      </c>
    </row>
    <row r="128" spans="1:19" x14ac:dyDescent="0.2">
      <c r="A128" s="214">
        <v>123</v>
      </c>
      <c r="B128" s="250" t="s">
        <v>338</v>
      </c>
      <c r="C128" s="250" t="s">
        <v>337</v>
      </c>
      <c r="D128" s="239">
        <v>34632498</v>
      </c>
      <c r="E128" s="239">
        <v>0</v>
      </c>
      <c r="F128" s="239">
        <v>90034</v>
      </c>
      <c r="G128" s="239">
        <v>118845</v>
      </c>
      <c r="H128" s="239">
        <v>0</v>
      </c>
      <c r="I128" s="239">
        <v>118845</v>
      </c>
      <c r="J128" s="239">
        <v>0</v>
      </c>
      <c r="K128" s="239">
        <v>0</v>
      </c>
      <c r="L128" s="239">
        <v>0</v>
      </c>
      <c r="M128" s="239">
        <v>0</v>
      </c>
      <c r="N128" s="239">
        <v>0</v>
      </c>
      <c r="O128" s="239">
        <v>34423619</v>
      </c>
      <c r="P128" s="214" t="s">
        <v>908</v>
      </c>
      <c r="Q128" s="214" t="s">
        <v>747</v>
      </c>
      <c r="R128" s="214" t="s">
        <v>843</v>
      </c>
      <c r="S128" s="214" t="s">
        <v>747</v>
      </c>
    </row>
    <row r="129" spans="1:19" x14ac:dyDescent="0.2">
      <c r="A129" s="214">
        <v>124</v>
      </c>
      <c r="B129" s="250" t="s">
        <v>340</v>
      </c>
      <c r="C129" s="250" t="s">
        <v>339</v>
      </c>
      <c r="D129" s="239">
        <v>21110909</v>
      </c>
      <c r="E129" s="239">
        <v>0</v>
      </c>
      <c r="F129" s="239">
        <v>131986</v>
      </c>
      <c r="G129" s="239">
        <v>133943</v>
      </c>
      <c r="H129" s="239">
        <v>0</v>
      </c>
      <c r="I129" s="239">
        <v>133943</v>
      </c>
      <c r="J129" s="239">
        <v>0</v>
      </c>
      <c r="K129" s="239">
        <v>0</v>
      </c>
      <c r="L129" s="239">
        <v>0</v>
      </c>
      <c r="M129" s="239">
        <v>0</v>
      </c>
      <c r="N129" s="239">
        <v>0</v>
      </c>
      <c r="O129" s="239">
        <v>20844980</v>
      </c>
      <c r="P129" s="214" t="s">
        <v>339</v>
      </c>
      <c r="Q129" s="214" t="s">
        <v>808</v>
      </c>
      <c r="R129" s="214" t="s">
        <v>806</v>
      </c>
      <c r="S129" s="214" t="s">
        <v>1190</v>
      </c>
    </row>
    <row r="130" spans="1:19" x14ac:dyDescent="0.2">
      <c r="A130" s="214">
        <v>125</v>
      </c>
      <c r="B130" s="250" t="s">
        <v>342</v>
      </c>
      <c r="C130" s="250" t="s">
        <v>341</v>
      </c>
      <c r="D130" s="239">
        <v>33913611</v>
      </c>
      <c r="E130" s="239">
        <v>0</v>
      </c>
      <c r="F130" s="239">
        <v>326236</v>
      </c>
      <c r="G130" s="239">
        <v>140006</v>
      </c>
      <c r="H130" s="239">
        <v>0</v>
      </c>
      <c r="I130" s="239">
        <v>140006</v>
      </c>
      <c r="J130" s="239">
        <v>0</v>
      </c>
      <c r="K130" s="239">
        <v>0</v>
      </c>
      <c r="L130" s="239">
        <v>0</v>
      </c>
      <c r="M130" s="239">
        <v>0</v>
      </c>
      <c r="N130" s="239">
        <v>0</v>
      </c>
      <c r="O130" s="239">
        <v>33447369</v>
      </c>
      <c r="P130" s="214" t="s">
        <v>341</v>
      </c>
      <c r="Q130" s="214" t="s">
        <v>778</v>
      </c>
      <c r="R130" s="214" t="s">
        <v>776</v>
      </c>
      <c r="S130" s="214" t="s">
        <v>1190</v>
      </c>
    </row>
    <row r="131" spans="1:19" x14ac:dyDescent="0.2">
      <c r="A131" s="214">
        <v>126</v>
      </c>
      <c r="B131" s="250" t="s">
        <v>344</v>
      </c>
      <c r="C131" s="250" t="s">
        <v>343</v>
      </c>
      <c r="D131" s="239">
        <v>75456675</v>
      </c>
      <c r="E131" s="239">
        <v>0</v>
      </c>
      <c r="F131" s="239">
        <v>86862</v>
      </c>
      <c r="G131" s="239">
        <v>270688</v>
      </c>
      <c r="H131" s="239">
        <v>0</v>
      </c>
      <c r="I131" s="239">
        <v>270688</v>
      </c>
      <c r="J131" s="239">
        <v>0</v>
      </c>
      <c r="K131" s="239">
        <v>0</v>
      </c>
      <c r="L131" s="239">
        <v>0</v>
      </c>
      <c r="M131" s="239">
        <v>0</v>
      </c>
      <c r="N131" s="239">
        <v>0</v>
      </c>
      <c r="O131" s="239">
        <v>75099125</v>
      </c>
      <c r="P131" s="214" t="s">
        <v>343</v>
      </c>
      <c r="Q131" s="214" t="s">
        <v>789</v>
      </c>
      <c r="R131" s="214" t="s">
        <v>748</v>
      </c>
      <c r="S131" s="214" t="s">
        <v>1191</v>
      </c>
    </row>
    <row r="132" spans="1:19" x14ac:dyDescent="0.2">
      <c r="A132" s="214">
        <v>127</v>
      </c>
      <c r="B132" s="250" t="s">
        <v>346</v>
      </c>
      <c r="C132" s="250" t="s">
        <v>345</v>
      </c>
      <c r="D132" s="239">
        <v>48074870</v>
      </c>
      <c r="E132" s="239">
        <v>0</v>
      </c>
      <c r="F132" s="239">
        <v>9503</v>
      </c>
      <c r="G132" s="239">
        <v>304935</v>
      </c>
      <c r="H132" s="239">
        <v>0</v>
      </c>
      <c r="I132" s="239">
        <v>304935</v>
      </c>
      <c r="J132" s="239">
        <v>0</v>
      </c>
      <c r="K132" s="239">
        <v>66063</v>
      </c>
      <c r="L132" s="239">
        <v>100340</v>
      </c>
      <c r="M132" s="239">
        <v>100340</v>
      </c>
      <c r="N132" s="239">
        <v>0</v>
      </c>
      <c r="O132" s="239">
        <v>47594029</v>
      </c>
      <c r="P132" s="214" t="s">
        <v>907</v>
      </c>
      <c r="Q132" s="214" t="s">
        <v>747</v>
      </c>
      <c r="R132" s="214" t="s">
        <v>750</v>
      </c>
      <c r="S132" s="214" t="s">
        <v>747</v>
      </c>
    </row>
    <row r="133" spans="1:19" x14ac:dyDescent="0.2">
      <c r="A133" s="214">
        <v>128</v>
      </c>
      <c r="B133" s="250" t="s">
        <v>348</v>
      </c>
      <c r="C133" s="250" t="s">
        <v>347</v>
      </c>
      <c r="D133" s="239">
        <v>49556873</v>
      </c>
      <c r="E133" s="239">
        <v>0</v>
      </c>
      <c r="F133" s="239">
        <v>79472</v>
      </c>
      <c r="G133" s="239">
        <v>152119</v>
      </c>
      <c r="H133" s="239">
        <v>0</v>
      </c>
      <c r="I133" s="239">
        <v>152119</v>
      </c>
      <c r="J133" s="239">
        <v>0</v>
      </c>
      <c r="K133" s="239">
        <v>0</v>
      </c>
      <c r="L133" s="239">
        <v>0</v>
      </c>
      <c r="M133" s="239">
        <v>0</v>
      </c>
      <c r="N133" s="239">
        <v>0</v>
      </c>
      <c r="O133" s="239">
        <v>49325282</v>
      </c>
      <c r="P133" s="214" t="s">
        <v>347</v>
      </c>
      <c r="Q133" s="214" t="s">
        <v>802</v>
      </c>
      <c r="R133" s="214" t="s">
        <v>762</v>
      </c>
      <c r="S133" s="214" t="s">
        <v>1190</v>
      </c>
    </row>
    <row r="134" spans="1:19" x14ac:dyDescent="0.2">
      <c r="A134" s="214">
        <v>129</v>
      </c>
      <c r="B134" s="250" t="s">
        <v>350</v>
      </c>
      <c r="C134" s="250" t="s">
        <v>349</v>
      </c>
      <c r="D134" s="239">
        <v>24911293</v>
      </c>
      <c r="E134" s="239">
        <v>0</v>
      </c>
      <c r="F134" s="239">
        <v>2046</v>
      </c>
      <c r="G134" s="239">
        <v>135432</v>
      </c>
      <c r="H134" s="239">
        <v>0</v>
      </c>
      <c r="I134" s="239">
        <v>135432</v>
      </c>
      <c r="J134" s="239">
        <v>0</v>
      </c>
      <c r="K134" s="239">
        <v>0</v>
      </c>
      <c r="L134" s="239">
        <v>0</v>
      </c>
      <c r="M134" s="239">
        <v>0</v>
      </c>
      <c r="N134" s="239">
        <v>0</v>
      </c>
      <c r="O134" s="239">
        <v>24773815</v>
      </c>
      <c r="P134" s="214" t="s">
        <v>349</v>
      </c>
      <c r="Q134" s="214" t="s">
        <v>857</v>
      </c>
      <c r="R134" s="214" t="s">
        <v>855</v>
      </c>
      <c r="S134" s="214" t="s">
        <v>1190</v>
      </c>
    </row>
    <row r="135" spans="1:19" x14ac:dyDescent="0.2">
      <c r="A135" s="214">
        <v>130</v>
      </c>
      <c r="B135" s="250" t="s">
        <v>352</v>
      </c>
      <c r="C135" s="250" t="s">
        <v>351</v>
      </c>
      <c r="D135" s="239">
        <v>376018634</v>
      </c>
      <c r="E135" s="239">
        <v>0</v>
      </c>
      <c r="F135" s="239">
        <v>228361</v>
      </c>
      <c r="G135" s="239">
        <v>597680</v>
      </c>
      <c r="H135" s="239">
        <v>0</v>
      </c>
      <c r="I135" s="239">
        <v>597680</v>
      </c>
      <c r="J135" s="239">
        <v>0</v>
      </c>
      <c r="K135" s="239">
        <v>0</v>
      </c>
      <c r="L135" s="239">
        <v>0</v>
      </c>
      <c r="M135" s="239">
        <v>0</v>
      </c>
      <c r="N135" s="239">
        <v>0</v>
      </c>
      <c r="O135" s="239">
        <v>375192593</v>
      </c>
      <c r="P135" s="214" t="s">
        <v>351</v>
      </c>
      <c r="Q135" s="214" t="s">
        <v>789</v>
      </c>
      <c r="R135" s="214" t="s">
        <v>748</v>
      </c>
      <c r="S135" s="214" t="s">
        <v>1191</v>
      </c>
    </row>
    <row r="136" spans="1:19" x14ac:dyDescent="0.2">
      <c r="A136" s="214">
        <v>131</v>
      </c>
      <c r="B136" s="250" t="s">
        <v>354</v>
      </c>
      <c r="C136" s="250" t="s">
        <v>353</v>
      </c>
      <c r="D136" s="239">
        <v>32112603</v>
      </c>
      <c r="E136" s="239">
        <v>0</v>
      </c>
      <c r="F136" s="239">
        <v>7051</v>
      </c>
      <c r="G136" s="239">
        <v>124755</v>
      </c>
      <c r="H136" s="239">
        <v>0</v>
      </c>
      <c r="I136" s="239">
        <v>124755</v>
      </c>
      <c r="J136" s="239">
        <v>0</v>
      </c>
      <c r="K136" s="239">
        <v>27560</v>
      </c>
      <c r="L136" s="239">
        <v>119068</v>
      </c>
      <c r="M136" s="239">
        <v>119068</v>
      </c>
      <c r="N136" s="239">
        <v>0</v>
      </c>
      <c r="O136" s="239">
        <v>31834169</v>
      </c>
      <c r="P136" s="214" t="s">
        <v>906</v>
      </c>
      <c r="Q136" s="214" t="s">
        <v>883</v>
      </c>
      <c r="R136" s="214" t="s">
        <v>868</v>
      </c>
      <c r="S136" s="214" t="s">
        <v>1190</v>
      </c>
    </row>
    <row r="137" spans="1:19" x14ac:dyDescent="0.2">
      <c r="A137" s="214">
        <v>132</v>
      </c>
      <c r="B137" s="250" t="s">
        <v>356</v>
      </c>
      <c r="C137" s="250" t="s">
        <v>355</v>
      </c>
      <c r="D137" s="239">
        <v>41616709</v>
      </c>
      <c r="E137" s="239">
        <v>0</v>
      </c>
      <c r="F137" s="239">
        <v>184689</v>
      </c>
      <c r="G137" s="239">
        <v>178742</v>
      </c>
      <c r="H137" s="239">
        <v>0</v>
      </c>
      <c r="I137" s="239">
        <v>178742</v>
      </c>
      <c r="J137" s="239">
        <v>0</v>
      </c>
      <c r="K137" s="239">
        <v>0</v>
      </c>
      <c r="L137" s="239">
        <v>0</v>
      </c>
      <c r="M137" s="239">
        <v>0</v>
      </c>
      <c r="N137" s="239">
        <v>0</v>
      </c>
      <c r="O137" s="239">
        <v>41253278</v>
      </c>
      <c r="P137" s="214" t="s">
        <v>355</v>
      </c>
      <c r="Q137" s="214" t="s">
        <v>763</v>
      </c>
      <c r="R137" s="214" t="s">
        <v>762</v>
      </c>
      <c r="S137" s="214" t="s">
        <v>1190</v>
      </c>
    </row>
    <row r="138" spans="1:19" x14ac:dyDescent="0.2">
      <c r="A138" s="214">
        <v>133</v>
      </c>
      <c r="B138" s="250" t="s">
        <v>358</v>
      </c>
      <c r="C138" s="250" t="s">
        <v>357</v>
      </c>
      <c r="D138" s="239">
        <v>151343345</v>
      </c>
      <c r="E138" s="239">
        <v>0</v>
      </c>
      <c r="F138" s="239">
        <v>1049233</v>
      </c>
      <c r="G138" s="239">
        <v>399618</v>
      </c>
      <c r="H138" s="239">
        <v>0</v>
      </c>
      <c r="I138" s="239">
        <v>399618</v>
      </c>
      <c r="J138" s="239">
        <v>0</v>
      </c>
      <c r="K138" s="239">
        <v>0</v>
      </c>
      <c r="L138" s="239">
        <v>0</v>
      </c>
      <c r="M138" s="239">
        <v>0</v>
      </c>
      <c r="N138" s="239">
        <v>0</v>
      </c>
      <c r="O138" s="239">
        <v>149894494</v>
      </c>
      <c r="P138" s="214" t="s">
        <v>357</v>
      </c>
      <c r="Q138" s="214" t="s">
        <v>789</v>
      </c>
      <c r="R138" s="214" t="s">
        <v>748</v>
      </c>
      <c r="S138" s="214" t="s">
        <v>1191</v>
      </c>
    </row>
    <row r="139" spans="1:19" x14ac:dyDescent="0.2">
      <c r="A139" s="214">
        <v>134</v>
      </c>
      <c r="B139" s="250" t="s">
        <v>360</v>
      </c>
      <c r="C139" s="250" t="s">
        <v>359</v>
      </c>
      <c r="D139" s="239">
        <v>62342222</v>
      </c>
      <c r="E139" s="239">
        <v>0</v>
      </c>
      <c r="F139" s="239">
        <v>30388</v>
      </c>
      <c r="G139" s="239">
        <v>222458</v>
      </c>
      <c r="H139" s="239">
        <v>0</v>
      </c>
      <c r="I139" s="239">
        <v>222458</v>
      </c>
      <c r="J139" s="239">
        <v>0</v>
      </c>
      <c r="K139" s="239">
        <v>0</v>
      </c>
      <c r="L139" s="239">
        <v>874156</v>
      </c>
      <c r="M139" s="239">
        <v>874156</v>
      </c>
      <c r="N139" s="239">
        <v>0</v>
      </c>
      <c r="O139" s="239">
        <v>61215220</v>
      </c>
      <c r="P139" s="214" t="s">
        <v>359</v>
      </c>
      <c r="Q139" s="214" t="s">
        <v>861</v>
      </c>
      <c r="R139" s="214" t="s">
        <v>859</v>
      </c>
      <c r="S139" s="214" t="s">
        <v>1190</v>
      </c>
    </row>
    <row r="140" spans="1:19" x14ac:dyDescent="0.2">
      <c r="A140" s="214">
        <v>135</v>
      </c>
      <c r="B140" s="250" t="s">
        <v>362</v>
      </c>
      <c r="C140" s="250" t="s">
        <v>361</v>
      </c>
      <c r="D140" s="239">
        <v>21205518</v>
      </c>
      <c r="E140" s="239">
        <v>21502</v>
      </c>
      <c r="F140" s="239">
        <v>0</v>
      </c>
      <c r="G140" s="239">
        <v>130406</v>
      </c>
      <c r="H140" s="239">
        <v>0</v>
      </c>
      <c r="I140" s="239">
        <v>130406</v>
      </c>
      <c r="J140" s="239">
        <v>0</v>
      </c>
      <c r="K140" s="239">
        <v>0</v>
      </c>
      <c r="L140" s="239">
        <v>0</v>
      </c>
      <c r="M140" s="239">
        <v>0</v>
      </c>
      <c r="N140" s="239">
        <v>0</v>
      </c>
      <c r="O140" s="239">
        <v>21096614</v>
      </c>
      <c r="P140" s="214" t="s">
        <v>361</v>
      </c>
      <c r="Q140" s="214" t="s">
        <v>756</v>
      </c>
      <c r="R140" s="214" t="s">
        <v>754</v>
      </c>
      <c r="S140" s="214" t="s">
        <v>1190</v>
      </c>
    </row>
    <row r="141" spans="1:19" x14ac:dyDescent="0.2">
      <c r="A141" s="214">
        <v>136</v>
      </c>
      <c r="B141" s="250" t="s">
        <v>364</v>
      </c>
      <c r="C141" s="250" t="s">
        <v>363</v>
      </c>
      <c r="D141" s="239">
        <v>57514733</v>
      </c>
      <c r="E141" s="239">
        <v>0</v>
      </c>
      <c r="F141" s="239">
        <v>51621</v>
      </c>
      <c r="G141" s="239">
        <v>193418</v>
      </c>
      <c r="H141" s="239">
        <v>0</v>
      </c>
      <c r="I141" s="239">
        <v>193418</v>
      </c>
      <c r="J141" s="239">
        <v>0</v>
      </c>
      <c r="K141" s="239">
        <v>0</v>
      </c>
      <c r="L141" s="239">
        <v>0</v>
      </c>
      <c r="M141" s="239">
        <v>0</v>
      </c>
      <c r="N141" s="239">
        <v>0</v>
      </c>
      <c r="O141" s="239">
        <v>57269694</v>
      </c>
      <c r="P141" s="214" t="s">
        <v>363</v>
      </c>
      <c r="Q141" s="214" t="s">
        <v>810</v>
      </c>
      <c r="R141" s="214" t="s">
        <v>762</v>
      </c>
      <c r="S141" s="214" t="s">
        <v>1190</v>
      </c>
    </row>
    <row r="142" spans="1:19" x14ac:dyDescent="0.2">
      <c r="A142" s="214">
        <v>137</v>
      </c>
      <c r="B142" s="250" t="s">
        <v>366</v>
      </c>
      <c r="C142" s="250" t="s">
        <v>365</v>
      </c>
      <c r="D142" s="239">
        <v>35512950</v>
      </c>
      <c r="E142" s="239">
        <v>0</v>
      </c>
      <c r="F142" s="239">
        <v>256538</v>
      </c>
      <c r="G142" s="239">
        <v>257322</v>
      </c>
      <c r="H142" s="239">
        <v>0</v>
      </c>
      <c r="I142" s="239">
        <v>257322</v>
      </c>
      <c r="J142" s="239">
        <v>0</v>
      </c>
      <c r="K142" s="239">
        <v>0</v>
      </c>
      <c r="L142" s="239">
        <v>289194</v>
      </c>
      <c r="M142" s="239">
        <v>289194</v>
      </c>
      <c r="N142" s="239">
        <v>0</v>
      </c>
      <c r="O142" s="239">
        <v>34709896</v>
      </c>
      <c r="P142" s="214" t="s">
        <v>905</v>
      </c>
      <c r="Q142" s="214" t="s">
        <v>747</v>
      </c>
      <c r="R142" s="214" t="s">
        <v>762</v>
      </c>
      <c r="S142" s="214" t="s">
        <v>747</v>
      </c>
    </row>
    <row r="143" spans="1:19" x14ac:dyDescent="0.2">
      <c r="A143" s="214">
        <v>138</v>
      </c>
      <c r="B143" s="250" t="s">
        <v>368</v>
      </c>
      <c r="C143" s="250" t="s">
        <v>367</v>
      </c>
      <c r="D143" s="239">
        <v>1463852</v>
      </c>
      <c r="E143" s="239">
        <v>0</v>
      </c>
      <c r="F143" s="239">
        <v>0</v>
      </c>
      <c r="G143" s="239">
        <v>24540</v>
      </c>
      <c r="H143" s="239">
        <v>0</v>
      </c>
      <c r="I143" s="239">
        <v>24540</v>
      </c>
      <c r="J143" s="239">
        <v>0</v>
      </c>
      <c r="K143" s="239">
        <v>0</v>
      </c>
      <c r="L143" s="239">
        <v>0</v>
      </c>
      <c r="M143" s="239">
        <v>0</v>
      </c>
      <c r="N143" s="239">
        <v>0</v>
      </c>
      <c r="O143" s="239">
        <v>1439312</v>
      </c>
      <c r="P143" s="214" t="s">
        <v>367</v>
      </c>
      <c r="Q143" s="214" t="s">
        <v>747</v>
      </c>
      <c r="R143" s="214" t="s">
        <v>762</v>
      </c>
      <c r="S143" s="214" t="s">
        <v>747</v>
      </c>
    </row>
    <row r="144" spans="1:19" x14ac:dyDescent="0.2">
      <c r="A144" s="214">
        <v>139</v>
      </c>
      <c r="B144" s="250" t="s">
        <v>370</v>
      </c>
      <c r="C144" s="250" t="s">
        <v>369</v>
      </c>
      <c r="D144" s="239">
        <v>201971566</v>
      </c>
      <c r="E144" s="239">
        <v>0</v>
      </c>
      <c r="F144" s="239">
        <v>2365598</v>
      </c>
      <c r="G144" s="239">
        <v>644084</v>
      </c>
      <c r="H144" s="239">
        <v>0</v>
      </c>
      <c r="I144" s="239">
        <v>644084</v>
      </c>
      <c r="J144" s="239">
        <v>0</v>
      </c>
      <c r="K144" s="239">
        <v>0</v>
      </c>
      <c r="L144" s="239">
        <v>62040</v>
      </c>
      <c r="M144" s="239">
        <v>62040</v>
      </c>
      <c r="N144" s="239">
        <v>0</v>
      </c>
      <c r="O144" s="239">
        <v>198899844</v>
      </c>
      <c r="P144" s="214" t="s">
        <v>369</v>
      </c>
      <c r="Q144" s="214" t="s">
        <v>789</v>
      </c>
      <c r="R144" s="214" t="s">
        <v>748</v>
      </c>
      <c r="S144" s="214" t="s">
        <v>1193</v>
      </c>
    </row>
    <row r="145" spans="1:19" x14ac:dyDescent="0.2">
      <c r="A145" s="214">
        <v>140</v>
      </c>
      <c r="B145" s="250" t="s">
        <v>372</v>
      </c>
      <c r="C145" s="250" t="s">
        <v>371</v>
      </c>
      <c r="D145" s="239">
        <v>280680716</v>
      </c>
      <c r="E145" s="239">
        <v>134582</v>
      </c>
      <c r="F145" s="239">
        <v>0</v>
      </c>
      <c r="G145" s="239">
        <v>606852</v>
      </c>
      <c r="H145" s="239">
        <v>0</v>
      </c>
      <c r="I145" s="239">
        <v>606852</v>
      </c>
      <c r="J145" s="239">
        <v>0</v>
      </c>
      <c r="K145" s="239">
        <v>0</v>
      </c>
      <c r="L145" s="239">
        <v>0</v>
      </c>
      <c r="M145" s="239">
        <v>0</v>
      </c>
      <c r="N145" s="239">
        <v>0</v>
      </c>
      <c r="O145" s="239">
        <v>280208446</v>
      </c>
      <c r="P145" s="214" t="s">
        <v>904</v>
      </c>
      <c r="Q145" s="214" t="s">
        <v>789</v>
      </c>
      <c r="R145" s="214" t="s">
        <v>748</v>
      </c>
      <c r="S145" s="214" t="s">
        <v>1193</v>
      </c>
    </row>
    <row r="146" spans="1:19" x14ac:dyDescent="0.2">
      <c r="A146" s="214">
        <v>141</v>
      </c>
      <c r="B146" s="250" t="s">
        <v>374</v>
      </c>
      <c r="C146" s="250" t="s">
        <v>373</v>
      </c>
      <c r="D146" s="239">
        <v>30973678</v>
      </c>
      <c r="E146" s="239">
        <v>0</v>
      </c>
      <c r="F146" s="239">
        <v>82613</v>
      </c>
      <c r="G146" s="239">
        <v>112507</v>
      </c>
      <c r="H146" s="239">
        <v>0</v>
      </c>
      <c r="I146" s="239">
        <v>112507</v>
      </c>
      <c r="J146" s="239">
        <v>0</v>
      </c>
      <c r="K146" s="239">
        <v>0</v>
      </c>
      <c r="L146" s="239">
        <v>296709</v>
      </c>
      <c r="M146" s="239">
        <v>296709</v>
      </c>
      <c r="N146" s="239">
        <v>0</v>
      </c>
      <c r="O146" s="239">
        <v>30481849</v>
      </c>
      <c r="P146" s="214" t="s">
        <v>373</v>
      </c>
      <c r="Q146" s="214" t="s">
        <v>804</v>
      </c>
      <c r="R146" s="214" t="s">
        <v>762</v>
      </c>
      <c r="S146" s="214" t="s">
        <v>1190</v>
      </c>
    </row>
    <row r="147" spans="1:19" x14ac:dyDescent="0.2">
      <c r="A147" s="214">
        <v>142</v>
      </c>
      <c r="B147" s="250" t="s">
        <v>376</v>
      </c>
      <c r="C147" s="250" t="s">
        <v>375</v>
      </c>
      <c r="D147" s="239">
        <v>48712400</v>
      </c>
      <c r="E147" s="239">
        <v>0</v>
      </c>
      <c r="F147" s="239">
        <v>1193395</v>
      </c>
      <c r="G147" s="239">
        <v>220920</v>
      </c>
      <c r="H147" s="239">
        <v>0</v>
      </c>
      <c r="I147" s="239">
        <v>220920</v>
      </c>
      <c r="J147" s="239">
        <v>0</v>
      </c>
      <c r="K147" s="239">
        <v>0</v>
      </c>
      <c r="L147" s="239">
        <v>1170715</v>
      </c>
      <c r="M147" s="239">
        <v>1170715</v>
      </c>
      <c r="N147" s="239">
        <v>0</v>
      </c>
      <c r="O147" s="239">
        <v>46127370</v>
      </c>
      <c r="P147" s="214" t="s">
        <v>903</v>
      </c>
      <c r="Q147" s="214" t="s">
        <v>848</v>
      </c>
      <c r="R147" s="214" t="s">
        <v>762</v>
      </c>
      <c r="S147" s="214" t="s">
        <v>1190</v>
      </c>
    </row>
    <row r="148" spans="1:19" x14ac:dyDescent="0.2">
      <c r="A148" s="214">
        <v>143</v>
      </c>
      <c r="B148" s="250" t="s">
        <v>378</v>
      </c>
      <c r="C148" s="250" t="s">
        <v>377</v>
      </c>
      <c r="D148" s="239">
        <v>85029028</v>
      </c>
      <c r="E148" s="239">
        <v>150936</v>
      </c>
      <c r="F148" s="239">
        <v>0</v>
      </c>
      <c r="G148" s="239">
        <v>371663</v>
      </c>
      <c r="H148" s="239">
        <v>0</v>
      </c>
      <c r="I148" s="239">
        <v>371663</v>
      </c>
      <c r="J148" s="239">
        <v>0</v>
      </c>
      <c r="K148" s="239">
        <v>13514</v>
      </c>
      <c r="L148" s="239">
        <v>0</v>
      </c>
      <c r="M148" s="239">
        <v>0</v>
      </c>
      <c r="N148" s="239">
        <v>0</v>
      </c>
      <c r="O148" s="239">
        <v>84794787</v>
      </c>
      <c r="P148" s="214" t="s">
        <v>902</v>
      </c>
      <c r="Q148" s="214" t="s">
        <v>747</v>
      </c>
      <c r="R148" s="214" t="s">
        <v>889</v>
      </c>
      <c r="S148" s="214" t="s">
        <v>747</v>
      </c>
    </row>
    <row r="149" spans="1:19" x14ac:dyDescent="0.2">
      <c r="A149" s="214">
        <v>144</v>
      </c>
      <c r="B149" s="250" t="s">
        <v>380</v>
      </c>
      <c r="C149" s="250" t="s">
        <v>379</v>
      </c>
      <c r="D149" s="239">
        <v>83204907</v>
      </c>
      <c r="E149" s="239">
        <v>0</v>
      </c>
      <c r="F149" s="239">
        <v>193987</v>
      </c>
      <c r="G149" s="239">
        <v>251900</v>
      </c>
      <c r="H149" s="239">
        <v>0</v>
      </c>
      <c r="I149" s="239">
        <v>251900</v>
      </c>
      <c r="J149" s="239">
        <v>0</v>
      </c>
      <c r="K149" s="239">
        <v>0</v>
      </c>
      <c r="L149" s="239">
        <v>0</v>
      </c>
      <c r="M149" s="239">
        <v>0</v>
      </c>
      <c r="N149" s="239">
        <v>0</v>
      </c>
      <c r="O149" s="239">
        <v>82759020</v>
      </c>
      <c r="P149" s="214" t="s">
        <v>901</v>
      </c>
      <c r="Q149" s="214" t="s">
        <v>789</v>
      </c>
      <c r="R149" s="214" t="s">
        <v>748</v>
      </c>
      <c r="S149" s="214" t="s">
        <v>1191</v>
      </c>
    </row>
    <row r="150" spans="1:19" x14ac:dyDescent="0.2">
      <c r="A150" s="214">
        <v>145</v>
      </c>
      <c r="B150" s="250" t="s">
        <v>382</v>
      </c>
      <c r="C150" s="250" t="s">
        <v>381</v>
      </c>
      <c r="D150" s="239">
        <v>105142026</v>
      </c>
      <c r="E150" s="239">
        <v>0</v>
      </c>
      <c r="F150" s="239">
        <v>553000</v>
      </c>
      <c r="G150" s="239">
        <v>612897</v>
      </c>
      <c r="H150" s="239">
        <v>0</v>
      </c>
      <c r="I150" s="239">
        <v>612897</v>
      </c>
      <c r="J150" s="239">
        <v>0</v>
      </c>
      <c r="K150" s="239">
        <v>0</v>
      </c>
      <c r="L150" s="239">
        <v>0</v>
      </c>
      <c r="M150" s="239">
        <v>0</v>
      </c>
      <c r="N150" s="239">
        <v>0</v>
      </c>
      <c r="O150" s="239">
        <v>103976129</v>
      </c>
      <c r="P150" s="214" t="s">
        <v>381</v>
      </c>
      <c r="Q150" s="214" t="s">
        <v>767</v>
      </c>
      <c r="R150" s="214" t="s">
        <v>817</v>
      </c>
      <c r="S150" s="214" t="s">
        <v>1192</v>
      </c>
    </row>
    <row r="151" spans="1:19" x14ac:dyDescent="0.2">
      <c r="A151" s="214">
        <v>146</v>
      </c>
      <c r="B151" s="250" t="s">
        <v>384</v>
      </c>
      <c r="C151" s="250" t="s">
        <v>383</v>
      </c>
      <c r="D151" s="239">
        <v>42824231</v>
      </c>
      <c r="E151" s="239">
        <v>0</v>
      </c>
      <c r="F151" s="239">
        <v>54568</v>
      </c>
      <c r="G151" s="239">
        <v>142849</v>
      </c>
      <c r="H151" s="239">
        <v>0</v>
      </c>
      <c r="I151" s="239">
        <v>142849</v>
      </c>
      <c r="J151" s="239">
        <v>0</v>
      </c>
      <c r="K151" s="239">
        <v>0</v>
      </c>
      <c r="L151" s="239">
        <v>0</v>
      </c>
      <c r="M151" s="239">
        <v>0</v>
      </c>
      <c r="N151" s="239">
        <v>0</v>
      </c>
      <c r="O151" s="239">
        <v>42626814</v>
      </c>
      <c r="P151" s="214" t="s">
        <v>383</v>
      </c>
      <c r="Q151" s="214" t="s">
        <v>767</v>
      </c>
      <c r="R151" s="214" t="s">
        <v>773</v>
      </c>
      <c r="S151" s="214" t="s">
        <v>1192</v>
      </c>
    </row>
    <row r="152" spans="1:19" x14ac:dyDescent="0.2">
      <c r="A152" s="214">
        <v>147</v>
      </c>
      <c r="B152" s="250" t="s">
        <v>386</v>
      </c>
      <c r="C152" s="250" t="s">
        <v>385</v>
      </c>
      <c r="D152" s="239">
        <v>118411337</v>
      </c>
      <c r="E152" s="239">
        <v>0</v>
      </c>
      <c r="F152" s="239">
        <v>2020319</v>
      </c>
      <c r="G152" s="239">
        <v>486528</v>
      </c>
      <c r="H152" s="239">
        <v>0</v>
      </c>
      <c r="I152" s="239">
        <v>486528</v>
      </c>
      <c r="J152" s="239">
        <v>0</v>
      </c>
      <c r="K152" s="239">
        <v>520546</v>
      </c>
      <c r="L152" s="239">
        <v>0</v>
      </c>
      <c r="M152" s="239">
        <v>0</v>
      </c>
      <c r="N152" s="239">
        <v>0</v>
      </c>
      <c r="O152" s="239">
        <v>115383944</v>
      </c>
      <c r="P152" s="214" t="s">
        <v>385</v>
      </c>
      <c r="Q152" s="214" t="s">
        <v>789</v>
      </c>
      <c r="R152" s="214" t="s">
        <v>748</v>
      </c>
      <c r="S152" s="214" t="s">
        <v>1193</v>
      </c>
    </row>
    <row r="153" spans="1:19" x14ac:dyDescent="0.2">
      <c r="A153" s="214">
        <v>148</v>
      </c>
      <c r="B153" s="250" t="s">
        <v>388</v>
      </c>
      <c r="C153" s="250" t="s">
        <v>387</v>
      </c>
      <c r="D153" s="239">
        <v>89314660</v>
      </c>
      <c r="E153" s="239">
        <v>0</v>
      </c>
      <c r="F153" s="239">
        <v>4032387</v>
      </c>
      <c r="G153" s="239">
        <v>222663</v>
      </c>
      <c r="H153" s="239">
        <v>0</v>
      </c>
      <c r="I153" s="239">
        <v>222663</v>
      </c>
      <c r="J153" s="239">
        <v>0</v>
      </c>
      <c r="K153" s="239">
        <v>0</v>
      </c>
      <c r="L153" s="239">
        <v>958456</v>
      </c>
      <c r="M153" s="239">
        <v>958456</v>
      </c>
      <c r="N153" s="239">
        <v>0</v>
      </c>
      <c r="O153" s="239">
        <v>84101154</v>
      </c>
      <c r="P153" s="214" t="s">
        <v>387</v>
      </c>
      <c r="Q153" s="214" t="s">
        <v>756</v>
      </c>
      <c r="R153" s="214" t="s">
        <v>754</v>
      </c>
      <c r="S153" s="214" t="s">
        <v>1190</v>
      </c>
    </row>
    <row r="154" spans="1:19" x14ac:dyDescent="0.2">
      <c r="A154" s="214">
        <v>149</v>
      </c>
      <c r="B154" s="250" t="s">
        <v>390</v>
      </c>
      <c r="C154" s="250" t="s">
        <v>389</v>
      </c>
      <c r="D154" s="239">
        <v>370301133</v>
      </c>
      <c r="E154" s="239">
        <v>0</v>
      </c>
      <c r="F154" s="239">
        <v>2230918</v>
      </c>
      <c r="G154" s="239">
        <v>1231515</v>
      </c>
      <c r="H154" s="239">
        <v>0</v>
      </c>
      <c r="I154" s="239">
        <v>1231515</v>
      </c>
      <c r="J154" s="239">
        <v>0</v>
      </c>
      <c r="K154" s="239">
        <v>726336</v>
      </c>
      <c r="L154" s="239">
        <v>152118</v>
      </c>
      <c r="M154" s="239">
        <v>152118</v>
      </c>
      <c r="N154" s="239">
        <v>0</v>
      </c>
      <c r="O154" s="239">
        <v>365960246</v>
      </c>
      <c r="P154" s="214" t="s">
        <v>389</v>
      </c>
      <c r="Q154" s="214" t="s">
        <v>767</v>
      </c>
      <c r="R154" s="214" t="s">
        <v>817</v>
      </c>
      <c r="S154" s="214" t="s">
        <v>1192</v>
      </c>
    </row>
    <row r="155" spans="1:19" x14ac:dyDescent="0.2">
      <c r="A155" s="214">
        <v>150</v>
      </c>
      <c r="B155" s="250" t="s">
        <v>392</v>
      </c>
      <c r="C155" s="250" t="s">
        <v>391</v>
      </c>
      <c r="D155" s="239">
        <v>106487760</v>
      </c>
      <c r="E155" s="239">
        <v>0</v>
      </c>
      <c r="F155" s="239">
        <v>311180</v>
      </c>
      <c r="G155" s="239">
        <v>491654</v>
      </c>
      <c r="H155" s="239">
        <v>0</v>
      </c>
      <c r="I155" s="239">
        <v>491654</v>
      </c>
      <c r="J155" s="239">
        <v>0</v>
      </c>
      <c r="K155" s="239">
        <v>0</v>
      </c>
      <c r="L155" s="239">
        <v>0</v>
      </c>
      <c r="M155" s="239">
        <v>0</v>
      </c>
      <c r="N155" s="239">
        <v>0</v>
      </c>
      <c r="O155" s="239">
        <v>105684926</v>
      </c>
      <c r="P155" s="214" t="s">
        <v>900</v>
      </c>
      <c r="Q155" s="214" t="s">
        <v>747</v>
      </c>
      <c r="R155" s="214" t="s">
        <v>868</v>
      </c>
      <c r="S155" s="214" t="s">
        <v>747</v>
      </c>
    </row>
    <row r="156" spans="1:19" x14ac:dyDescent="0.2">
      <c r="A156" s="214">
        <v>151</v>
      </c>
      <c r="B156" s="250" t="s">
        <v>394</v>
      </c>
      <c r="C156" s="250" t="s">
        <v>393</v>
      </c>
      <c r="D156" s="239">
        <v>24765056</v>
      </c>
      <c r="E156" s="239">
        <v>12255</v>
      </c>
      <c r="F156" s="239">
        <v>0</v>
      </c>
      <c r="G156" s="239">
        <v>131056</v>
      </c>
      <c r="H156" s="239">
        <v>0</v>
      </c>
      <c r="I156" s="239">
        <v>131056</v>
      </c>
      <c r="J156" s="239">
        <v>0</v>
      </c>
      <c r="K156" s="239">
        <v>0</v>
      </c>
      <c r="L156" s="239">
        <v>0</v>
      </c>
      <c r="M156" s="239">
        <v>0</v>
      </c>
      <c r="N156" s="239">
        <v>0</v>
      </c>
      <c r="O156" s="239">
        <v>24646255</v>
      </c>
      <c r="P156" s="214" t="s">
        <v>393</v>
      </c>
      <c r="Q156" s="214" t="s">
        <v>808</v>
      </c>
      <c r="R156" s="214" t="s">
        <v>806</v>
      </c>
      <c r="S156" s="214" t="s">
        <v>1190</v>
      </c>
    </row>
    <row r="157" spans="1:19" x14ac:dyDescent="0.2">
      <c r="A157" s="214">
        <v>152</v>
      </c>
      <c r="B157" s="250" t="s">
        <v>396</v>
      </c>
      <c r="C157" s="250" t="s">
        <v>395</v>
      </c>
      <c r="D157" s="239">
        <v>53241736</v>
      </c>
      <c r="E157" s="239">
        <v>0</v>
      </c>
      <c r="F157" s="239">
        <v>754534</v>
      </c>
      <c r="G157" s="239">
        <v>303330</v>
      </c>
      <c r="H157" s="239">
        <v>0</v>
      </c>
      <c r="I157" s="239">
        <v>303330</v>
      </c>
      <c r="J157" s="239">
        <v>0</v>
      </c>
      <c r="K157" s="239">
        <v>0</v>
      </c>
      <c r="L157" s="239">
        <v>0</v>
      </c>
      <c r="M157" s="239">
        <v>0</v>
      </c>
      <c r="N157" s="239">
        <v>0</v>
      </c>
      <c r="O157" s="239">
        <v>52183872</v>
      </c>
      <c r="P157" s="214" t="s">
        <v>395</v>
      </c>
      <c r="Q157" s="214" t="s">
        <v>789</v>
      </c>
      <c r="R157" s="214" t="s">
        <v>748</v>
      </c>
      <c r="S157" s="214" t="s">
        <v>1193</v>
      </c>
    </row>
    <row r="158" spans="1:19" x14ac:dyDescent="0.2">
      <c r="A158" s="214">
        <v>153</v>
      </c>
      <c r="B158" s="250" t="s">
        <v>398</v>
      </c>
      <c r="C158" s="250" t="s">
        <v>397</v>
      </c>
      <c r="D158" s="239">
        <v>35435146</v>
      </c>
      <c r="E158" s="239">
        <v>0</v>
      </c>
      <c r="F158" s="239">
        <v>47807</v>
      </c>
      <c r="G158" s="239">
        <v>123642</v>
      </c>
      <c r="H158" s="239">
        <v>0</v>
      </c>
      <c r="I158" s="239">
        <v>123642</v>
      </c>
      <c r="J158" s="239">
        <v>0</v>
      </c>
      <c r="K158" s="239">
        <v>0</v>
      </c>
      <c r="L158" s="239">
        <v>0</v>
      </c>
      <c r="M158" s="239">
        <v>0</v>
      </c>
      <c r="N158" s="239">
        <v>0</v>
      </c>
      <c r="O158" s="239">
        <v>35263697</v>
      </c>
      <c r="P158" s="214" t="s">
        <v>397</v>
      </c>
      <c r="Q158" s="214" t="s">
        <v>837</v>
      </c>
      <c r="R158" s="214" t="s">
        <v>835</v>
      </c>
      <c r="S158" s="214" t="s">
        <v>1190</v>
      </c>
    </row>
    <row r="159" spans="1:19" x14ac:dyDescent="0.2">
      <c r="A159" s="214">
        <v>154</v>
      </c>
      <c r="B159" s="250" t="s">
        <v>400</v>
      </c>
      <c r="C159" s="250" t="s">
        <v>399</v>
      </c>
      <c r="D159" s="239">
        <v>41401707</v>
      </c>
      <c r="E159" s="239">
        <v>0</v>
      </c>
      <c r="F159" s="239">
        <v>97784</v>
      </c>
      <c r="G159" s="239">
        <v>148207</v>
      </c>
      <c r="H159" s="239">
        <v>0</v>
      </c>
      <c r="I159" s="239">
        <v>148207</v>
      </c>
      <c r="J159" s="239">
        <v>0</v>
      </c>
      <c r="K159" s="239">
        <v>0</v>
      </c>
      <c r="L159" s="239">
        <v>0</v>
      </c>
      <c r="M159" s="239">
        <v>0</v>
      </c>
      <c r="N159" s="239">
        <v>0</v>
      </c>
      <c r="O159" s="239">
        <v>41155716</v>
      </c>
      <c r="P159" s="214" t="s">
        <v>399</v>
      </c>
      <c r="Q159" s="214" t="s">
        <v>797</v>
      </c>
      <c r="R159" s="214" t="s">
        <v>762</v>
      </c>
      <c r="S159" s="214" t="s">
        <v>1190</v>
      </c>
    </row>
    <row r="160" spans="1:19" x14ac:dyDescent="0.2">
      <c r="A160" s="214">
        <v>155</v>
      </c>
      <c r="B160" s="250" t="s">
        <v>402</v>
      </c>
      <c r="C160" s="250" t="s">
        <v>401</v>
      </c>
      <c r="D160" s="239">
        <v>179126286</v>
      </c>
      <c r="E160" s="239">
        <v>0</v>
      </c>
      <c r="F160" s="239">
        <v>820924</v>
      </c>
      <c r="G160" s="239">
        <v>779426</v>
      </c>
      <c r="H160" s="239">
        <v>0</v>
      </c>
      <c r="I160" s="239">
        <v>779426</v>
      </c>
      <c r="J160" s="239">
        <v>0</v>
      </c>
      <c r="K160" s="239">
        <v>0</v>
      </c>
      <c r="L160" s="239">
        <v>0</v>
      </c>
      <c r="M160" s="239">
        <v>0</v>
      </c>
      <c r="N160" s="239">
        <v>0</v>
      </c>
      <c r="O160" s="239">
        <v>177525936</v>
      </c>
      <c r="P160" s="214" t="s">
        <v>401</v>
      </c>
      <c r="Q160" s="214" t="s">
        <v>767</v>
      </c>
      <c r="R160" s="214" t="s">
        <v>773</v>
      </c>
      <c r="S160" s="214" t="s">
        <v>1192</v>
      </c>
    </row>
    <row r="161" spans="1:19" x14ac:dyDescent="0.2">
      <c r="A161" s="214">
        <v>156</v>
      </c>
      <c r="B161" s="250" t="s">
        <v>404</v>
      </c>
      <c r="C161" s="250" t="s">
        <v>403</v>
      </c>
      <c r="D161" s="239">
        <v>73113868</v>
      </c>
      <c r="E161" s="239">
        <v>252290</v>
      </c>
      <c r="F161" s="239">
        <v>0</v>
      </c>
      <c r="G161" s="239">
        <v>255038</v>
      </c>
      <c r="H161" s="239">
        <v>0</v>
      </c>
      <c r="I161" s="239">
        <v>255038</v>
      </c>
      <c r="J161" s="239">
        <v>0</v>
      </c>
      <c r="K161" s="239">
        <v>0</v>
      </c>
      <c r="L161" s="239">
        <v>0</v>
      </c>
      <c r="M161" s="239">
        <v>0</v>
      </c>
      <c r="N161" s="239">
        <v>0</v>
      </c>
      <c r="O161" s="239">
        <v>73111120</v>
      </c>
      <c r="P161" s="214" t="s">
        <v>899</v>
      </c>
      <c r="Q161" s="214" t="s">
        <v>747</v>
      </c>
      <c r="R161" s="214" t="s">
        <v>897</v>
      </c>
      <c r="S161" s="214" t="s">
        <v>747</v>
      </c>
    </row>
    <row r="162" spans="1:19" x14ac:dyDescent="0.2">
      <c r="A162" s="214">
        <v>157</v>
      </c>
      <c r="B162" s="250" t="s">
        <v>406</v>
      </c>
      <c r="C162" s="250" t="s">
        <v>405</v>
      </c>
      <c r="D162" s="239">
        <v>57222551</v>
      </c>
      <c r="E162" s="239">
        <v>0</v>
      </c>
      <c r="F162" s="239">
        <v>93599</v>
      </c>
      <c r="G162" s="239">
        <v>206494</v>
      </c>
      <c r="H162" s="239">
        <v>0</v>
      </c>
      <c r="I162" s="239">
        <v>206494</v>
      </c>
      <c r="J162" s="239">
        <v>0</v>
      </c>
      <c r="K162" s="239">
        <v>0</v>
      </c>
      <c r="L162" s="239">
        <v>0</v>
      </c>
      <c r="M162" s="239">
        <v>0</v>
      </c>
      <c r="N162" s="239">
        <v>0</v>
      </c>
      <c r="O162" s="239">
        <v>56922458</v>
      </c>
      <c r="P162" s="214" t="s">
        <v>405</v>
      </c>
      <c r="Q162" s="214" t="s">
        <v>825</v>
      </c>
      <c r="R162" s="214" t="s">
        <v>823</v>
      </c>
      <c r="S162" s="214" t="s">
        <v>1190</v>
      </c>
    </row>
    <row r="163" spans="1:19" x14ac:dyDescent="0.2">
      <c r="A163" s="214">
        <v>158</v>
      </c>
      <c r="B163" s="250" t="s">
        <v>408</v>
      </c>
      <c r="C163" s="250" t="s">
        <v>407</v>
      </c>
      <c r="D163" s="239">
        <v>14813877</v>
      </c>
      <c r="E163" s="239">
        <v>0</v>
      </c>
      <c r="F163" s="239">
        <v>32495</v>
      </c>
      <c r="G163" s="239">
        <v>93784</v>
      </c>
      <c r="H163" s="239">
        <v>0</v>
      </c>
      <c r="I163" s="239">
        <v>93784</v>
      </c>
      <c r="J163" s="239">
        <v>0</v>
      </c>
      <c r="K163" s="239">
        <v>0</v>
      </c>
      <c r="L163" s="239">
        <v>538251</v>
      </c>
      <c r="M163" s="239">
        <v>538251</v>
      </c>
      <c r="N163" s="239">
        <v>0</v>
      </c>
      <c r="O163" s="239">
        <v>14149347</v>
      </c>
      <c r="P163" s="214" t="s">
        <v>407</v>
      </c>
      <c r="Q163" s="214" t="s">
        <v>821</v>
      </c>
      <c r="R163" s="214" t="s">
        <v>819</v>
      </c>
      <c r="S163" s="214" t="s">
        <v>1190</v>
      </c>
    </row>
    <row r="164" spans="1:19" x14ac:dyDescent="0.2">
      <c r="A164" s="214">
        <v>159</v>
      </c>
      <c r="B164" s="250" t="s">
        <v>410</v>
      </c>
      <c r="C164" s="250" t="s">
        <v>409</v>
      </c>
      <c r="D164" s="239">
        <v>15605551</v>
      </c>
      <c r="E164" s="239">
        <v>22412</v>
      </c>
      <c r="F164" s="239">
        <v>0</v>
      </c>
      <c r="G164" s="239">
        <v>107540</v>
      </c>
      <c r="H164" s="239">
        <v>0</v>
      </c>
      <c r="I164" s="239">
        <v>107540</v>
      </c>
      <c r="J164" s="239">
        <v>0</v>
      </c>
      <c r="K164" s="239">
        <v>0</v>
      </c>
      <c r="L164" s="239">
        <v>0</v>
      </c>
      <c r="M164" s="239">
        <v>0</v>
      </c>
      <c r="N164" s="239">
        <v>0</v>
      </c>
      <c r="O164" s="239">
        <v>15520423</v>
      </c>
      <c r="P164" s="214" t="s">
        <v>409</v>
      </c>
      <c r="Q164" s="214" t="s">
        <v>752</v>
      </c>
      <c r="R164" s="214" t="s">
        <v>750</v>
      </c>
      <c r="S164" s="214" t="s">
        <v>1190</v>
      </c>
    </row>
    <row r="165" spans="1:19" x14ac:dyDescent="0.2">
      <c r="A165" s="214">
        <v>160</v>
      </c>
      <c r="B165" s="250" t="s">
        <v>412</v>
      </c>
      <c r="C165" s="250" t="s">
        <v>411</v>
      </c>
      <c r="D165" s="239">
        <v>343318990</v>
      </c>
      <c r="E165" s="239">
        <v>0</v>
      </c>
      <c r="F165" s="239">
        <v>1981772</v>
      </c>
      <c r="G165" s="239">
        <v>1129905</v>
      </c>
      <c r="H165" s="239">
        <v>0</v>
      </c>
      <c r="I165" s="239">
        <v>1129905</v>
      </c>
      <c r="J165" s="239">
        <v>0</v>
      </c>
      <c r="K165" s="239">
        <v>0</v>
      </c>
      <c r="L165" s="239">
        <v>0</v>
      </c>
      <c r="M165" s="239">
        <v>0</v>
      </c>
      <c r="N165" s="239">
        <v>0</v>
      </c>
      <c r="O165" s="239">
        <v>340207313</v>
      </c>
      <c r="P165" s="214" t="s">
        <v>411</v>
      </c>
      <c r="Q165" s="214" t="s">
        <v>767</v>
      </c>
      <c r="R165" s="214" t="s">
        <v>782</v>
      </c>
      <c r="S165" s="214" t="s">
        <v>1192</v>
      </c>
    </row>
    <row r="166" spans="1:19" x14ac:dyDescent="0.2">
      <c r="A166" s="214">
        <v>161</v>
      </c>
      <c r="B166" s="250" t="s">
        <v>414</v>
      </c>
      <c r="C166" s="250" t="s">
        <v>413</v>
      </c>
      <c r="D166" s="239">
        <v>31688217</v>
      </c>
      <c r="E166" s="239">
        <v>0</v>
      </c>
      <c r="F166" s="239">
        <v>15460</v>
      </c>
      <c r="G166" s="239">
        <v>128223</v>
      </c>
      <c r="H166" s="239">
        <v>0</v>
      </c>
      <c r="I166" s="239">
        <v>128223</v>
      </c>
      <c r="J166" s="239">
        <v>0</v>
      </c>
      <c r="K166" s="239">
        <v>0</v>
      </c>
      <c r="L166" s="239">
        <v>35743</v>
      </c>
      <c r="M166" s="239">
        <v>35743</v>
      </c>
      <c r="N166" s="239">
        <v>0</v>
      </c>
      <c r="O166" s="239">
        <v>31508791</v>
      </c>
      <c r="P166" s="214" t="s">
        <v>413</v>
      </c>
      <c r="Q166" s="214" t="s">
        <v>873</v>
      </c>
      <c r="R166" s="214" t="s">
        <v>871</v>
      </c>
      <c r="S166" s="214" t="s">
        <v>1190</v>
      </c>
    </row>
    <row r="167" spans="1:19" x14ac:dyDescent="0.2">
      <c r="A167" s="214">
        <v>162</v>
      </c>
      <c r="B167" s="250" t="s">
        <v>416</v>
      </c>
      <c r="C167" s="250" t="s">
        <v>415</v>
      </c>
      <c r="D167" s="239">
        <v>91623587</v>
      </c>
      <c r="E167" s="239">
        <v>0</v>
      </c>
      <c r="F167" s="239">
        <v>822577</v>
      </c>
      <c r="G167" s="239">
        <v>283640</v>
      </c>
      <c r="H167" s="239">
        <v>0</v>
      </c>
      <c r="I167" s="239">
        <v>283640</v>
      </c>
      <c r="J167" s="239">
        <v>0</v>
      </c>
      <c r="K167" s="239">
        <v>0</v>
      </c>
      <c r="L167" s="239">
        <v>0</v>
      </c>
      <c r="M167" s="239">
        <v>0</v>
      </c>
      <c r="N167" s="239">
        <v>0</v>
      </c>
      <c r="O167" s="239">
        <v>90517370</v>
      </c>
      <c r="P167" s="214" t="s">
        <v>896</v>
      </c>
      <c r="Q167" s="214" t="s">
        <v>747</v>
      </c>
      <c r="R167" s="214" t="s">
        <v>823</v>
      </c>
      <c r="S167" s="214" t="s">
        <v>747</v>
      </c>
    </row>
    <row r="168" spans="1:19" x14ac:dyDescent="0.2">
      <c r="A168" s="214">
        <v>163</v>
      </c>
      <c r="B168" s="250" t="s">
        <v>418</v>
      </c>
      <c r="C168" s="250" t="s">
        <v>417</v>
      </c>
      <c r="D168" s="239">
        <v>14021956</v>
      </c>
      <c r="E168" s="239">
        <v>0</v>
      </c>
      <c r="F168" s="239">
        <v>14395</v>
      </c>
      <c r="G168" s="239">
        <v>63199</v>
      </c>
      <c r="H168" s="239">
        <v>0</v>
      </c>
      <c r="I168" s="239">
        <v>63199</v>
      </c>
      <c r="J168" s="239">
        <v>0</v>
      </c>
      <c r="K168" s="239">
        <v>0</v>
      </c>
      <c r="L168" s="239">
        <v>153858</v>
      </c>
      <c r="M168" s="239">
        <v>153858</v>
      </c>
      <c r="N168" s="239">
        <v>0</v>
      </c>
      <c r="O168" s="239">
        <v>13790504</v>
      </c>
      <c r="P168" s="214" t="s">
        <v>417</v>
      </c>
      <c r="Q168" s="214" t="s">
        <v>883</v>
      </c>
      <c r="R168" s="214" t="s">
        <v>868</v>
      </c>
      <c r="S168" s="214" t="s">
        <v>1190</v>
      </c>
    </row>
    <row r="169" spans="1:19" x14ac:dyDescent="0.2">
      <c r="A169" s="214">
        <v>164</v>
      </c>
      <c r="B169" s="250" t="s">
        <v>420</v>
      </c>
      <c r="C169" s="250" t="s">
        <v>419</v>
      </c>
      <c r="D169" s="239">
        <v>32345757</v>
      </c>
      <c r="E169" s="239">
        <v>0</v>
      </c>
      <c r="F169" s="239">
        <v>566647</v>
      </c>
      <c r="G169" s="239">
        <v>164724</v>
      </c>
      <c r="H169" s="239">
        <v>0</v>
      </c>
      <c r="I169" s="239">
        <v>164724</v>
      </c>
      <c r="J169" s="239">
        <v>0</v>
      </c>
      <c r="K169" s="239">
        <v>0</v>
      </c>
      <c r="L169" s="239">
        <v>150906</v>
      </c>
      <c r="M169" s="239">
        <v>150906</v>
      </c>
      <c r="N169" s="239">
        <v>0</v>
      </c>
      <c r="O169" s="239">
        <v>31463480</v>
      </c>
      <c r="P169" s="214" t="s">
        <v>419</v>
      </c>
      <c r="Q169" s="214" t="s">
        <v>793</v>
      </c>
      <c r="R169" s="214" t="s">
        <v>791</v>
      </c>
      <c r="S169" s="214" t="s">
        <v>1190</v>
      </c>
    </row>
    <row r="170" spans="1:19" x14ac:dyDescent="0.2">
      <c r="A170" s="214">
        <v>165</v>
      </c>
      <c r="B170" s="250" t="s">
        <v>422</v>
      </c>
      <c r="C170" s="250" t="s">
        <v>421</v>
      </c>
      <c r="D170" s="239">
        <v>86696750</v>
      </c>
      <c r="E170" s="239">
        <v>0</v>
      </c>
      <c r="F170" s="239">
        <v>733843</v>
      </c>
      <c r="G170" s="239">
        <v>272612</v>
      </c>
      <c r="H170" s="239">
        <v>0</v>
      </c>
      <c r="I170" s="239">
        <v>272612</v>
      </c>
      <c r="J170" s="239">
        <v>0</v>
      </c>
      <c r="K170" s="239">
        <v>0</v>
      </c>
      <c r="L170" s="239">
        <v>0</v>
      </c>
      <c r="M170" s="239">
        <v>0</v>
      </c>
      <c r="N170" s="239">
        <v>0</v>
      </c>
      <c r="O170" s="239">
        <v>85690295</v>
      </c>
      <c r="P170" s="214" t="s">
        <v>421</v>
      </c>
      <c r="Q170" s="214" t="s">
        <v>789</v>
      </c>
      <c r="R170" s="214" t="s">
        <v>748</v>
      </c>
      <c r="S170" s="214" t="s">
        <v>1191</v>
      </c>
    </row>
    <row r="171" spans="1:19" x14ac:dyDescent="0.2">
      <c r="A171" s="214">
        <v>166</v>
      </c>
      <c r="B171" s="250" t="s">
        <v>424</v>
      </c>
      <c r="C171" s="250" t="s">
        <v>423</v>
      </c>
      <c r="D171" s="239">
        <v>15719690</v>
      </c>
      <c r="E171" s="239">
        <v>0</v>
      </c>
      <c r="F171" s="239">
        <v>54917</v>
      </c>
      <c r="G171" s="239">
        <v>108005</v>
      </c>
      <c r="H171" s="239">
        <v>0</v>
      </c>
      <c r="I171" s="239">
        <v>108005</v>
      </c>
      <c r="J171" s="239">
        <v>0</v>
      </c>
      <c r="K171" s="239">
        <v>0</v>
      </c>
      <c r="L171" s="239">
        <v>135654</v>
      </c>
      <c r="M171" s="239">
        <v>135654</v>
      </c>
      <c r="N171" s="239">
        <v>0</v>
      </c>
      <c r="O171" s="239">
        <v>15421114</v>
      </c>
      <c r="P171" s="214" t="s">
        <v>423</v>
      </c>
      <c r="Q171" s="214" t="s">
        <v>799</v>
      </c>
      <c r="R171" s="214" t="s">
        <v>791</v>
      </c>
      <c r="S171" s="214" t="s">
        <v>1190</v>
      </c>
    </row>
    <row r="172" spans="1:19" x14ac:dyDescent="0.2">
      <c r="A172" s="214">
        <v>167</v>
      </c>
      <c r="B172" s="250" t="s">
        <v>426</v>
      </c>
      <c r="C172" s="250" t="s">
        <v>425</v>
      </c>
      <c r="D172" s="239">
        <v>22873748</v>
      </c>
      <c r="E172" s="239">
        <v>0</v>
      </c>
      <c r="F172" s="239">
        <v>61447</v>
      </c>
      <c r="G172" s="239">
        <v>128394</v>
      </c>
      <c r="H172" s="239">
        <v>0</v>
      </c>
      <c r="I172" s="239">
        <v>128394</v>
      </c>
      <c r="J172" s="239">
        <v>0</v>
      </c>
      <c r="K172" s="239">
        <v>0</v>
      </c>
      <c r="L172" s="239">
        <v>293607</v>
      </c>
      <c r="M172" s="239">
        <v>107232</v>
      </c>
      <c r="N172" s="239">
        <v>186375</v>
      </c>
      <c r="O172" s="239">
        <v>22390300</v>
      </c>
      <c r="P172" s="214" t="s">
        <v>425</v>
      </c>
      <c r="Q172" s="214" t="s">
        <v>810</v>
      </c>
      <c r="R172" s="214" t="s">
        <v>762</v>
      </c>
      <c r="S172" s="214" t="s">
        <v>1190</v>
      </c>
    </row>
    <row r="173" spans="1:19" x14ac:dyDescent="0.2">
      <c r="A173" s="214">
        <v>168</v>
      </c>
      <c r="B173" s="250" t="s">
        <v>428</v>
      </c>
      <c r="C173" s="250" t="s">
        <v>427</v>
      </c>
      <c r="D173" s="239">
        <v>41790342</v>
      </c>
      <c r="E173" s="239">
        <v>177709</v>
      </c>
      <c r="F173" s="239">
        <v>0</v>
      </c>
      <c r="G173" s="239">
        <v>175070</v>
      </c>
      <c r="H173" s="239">
        <v>0</v>
      </c>
      <c r="I173" s="239">
        <v>175070</v>
      </c>
      <c r="J173" s="239">
        <v>0</v>
      </c>
      <c r="K173" s="239">
        <v>0</v>
      </c>
      <c r="L173" s="239">
        <v>0</v>
      </c>
      <c r="M173" s="239">
        <v>0</v>
      </c>
      <c r="N173" s="239">
        <v>0</v>
      </c>
      <c r="O173" s="239">
        <v>41792981</v>
      </c>
      <c r="P173" s="214" t="s">
        <v>427</v>
      </c>
      <c r="Q173" s="214" t="s">
        <v>763</v>
      </c>
      <c r="R173" s="214" t="s">
        <v>762</v>
      </c>
      <c r="S173" s="214" t="s">
        <v>1190</v>
      </c>
    </row>
    <row r="174" spans="1:19" x14ac:dyDescent="0.2">
      <c r="A174" s="214">
        <v>169</v>
      </c>
      <c r="B174" s="250" t="s">
        <v>430</v>
      </c>
      <c r="C174" s="250" t="s">
        <v>429</v>
      </c>
      <c r="D174" s="239">
        <v>40156789</v>
      </c>
      <c r="E174" s="239">
        <v>0</v>
      </c>
      <c r="F174" s="239">
        <v>383215</v>
      </c>
      <c r="G174" s="239">
        <v>177304</v>
      </c>
      <c r="H174" s="239">
        <v>0</v>
      </c>
      <c r="I174" s="239">
        <v>177304</v>
      </c>
      <c r="J174" s="239">
        <v>0</v>
      </c>
      <c r="K174" s="239">
        <v>0</v>
      </c>
      <c r="L174" s="239">
        <v>0</v>
      </c>
      <c r="M174" s="239">
        <v>0</v>
      </c>
      <c r="N174" s="239">
        <v>0</v>
      </c>
      <c r="O174" s="239">
        <v>39596270</v>
      </c>
      <c r="P174" s="214" t="s">
        <v>895</v>
      </c>
      <c r="Q174" s="214" t="s">
        <v>747</v>
      </c>
      <c r="R174" s="214" t="s">
        <v>843</v>
      </c>
      <c r="S174" s="214" t="s">
        <v>747</v>
      </c>
    </row>
    <row r="175" spans="1:19" x14ac:dyDescent="0.2">
      <c r="A175" s="214">
        <v>170</v>
      </c>
      <c r="B175" s="250" t="s">
        <v>432</v>
      </c>
      <c r="C175" s="250" t="s">
        <v>431</v>
      </c>
      <c r="D175" s="239">
        <v>160308746</v>
      </c>
      <c r="E175" s="239">
        <v>115459</v>
      </c>
      <c r="F175" s="239">
        <v>0</v>
      </c>
      <c r="G175" s="239">
        <v>384606</v>
      </c>
      <c r="H175" s="239">
        <v>103000</v>
      </c>
      <c r="I175" s="239">
        <v>487606</v>
      </c>
      <c r="J175" s="239">
        <v>0</v>
      </c>
      <c r="K175" s="239">
        <v>0</v>
      </c>
      <c r="L175" s="239">
        <v>214298</v>
      </c>
      <c r="M175" s="239">
        <v>214298</v>
      </c>
      <c r="N175" s="239">
        <v>0</v>
      </c>
      <c r="O175" s="239">
        <v>159722301</v>
      </c>
      <c r="P175" s="214" t="s">
        <v>894</v>
      </c>
      <c r="Q175" s="214" t="s">
        <v>747</v>
      </c>
      <c r="R175" s="214" t="s">
        <v>758</v>
      </c>
      <c r="S175" s="214" t="s">
        <v>747</v>
      </c>
    </row>
    <row r="176" spans="1:19" x14ac:dyDescent="0.2">
      <c r="A176" s="214">
        <v>171</v>
      </c>
      <c r="B176" s="250" t="s">
        <v>434</v>
      </c>
      <c r="C176" s="250" t="s">
        <v>433</v>
      </c>
      <c r="D176" s="239">
        <v>35195704</v>
      </c>
      <c r="E176" s="239">
        <v>0</v>
      </c>
      <c r="F176" s="239">
        <v>43238</v>
      </c>
      <c r="G176" s="239">
        <v>152082</v>
      </c>
      <c r="H176" s="239">
        <v>0</v>
      </c>
      <c r="I176" s="239">
        <v>152082</v>
      </c>
      <c r="J176" s="239">
        <v>0</v>
      </c>
      <c r="K176" s="239">
        <v>0</v>
      </c>
      <c r="L176" s="239">
        <v>0</v>
      </c>
      <c r="M176" s="239">
        <v>0</v>
      </c>
      <c r="N176" s="239">
        <v>0</v>
      </c>
      <c r="O176" s="239">
        <v>35000384</v>
      </c>
      <c r="P176" s="214" t="s">
        <v>433</v>
      </c>
      <c r="Q176" s="214" t="s">
        <v>771</v>
      </c>
      <c r="R176" s="214" t="s">
        <v>762</v>
      </c>
      <c r="S176" s="214" t="s">
        <v>1190</v>
      </c>
    </row>
    <row r="177" spans="1:19" x14ac:dyDescent="0.2">
      <c r="A177" s="214">
        <v>172</v>
      </c>
      <c r="B177" s="250" t="s">
        <v>436</v>
      </c>
      <c r="C177" s="250" t="s">
        <v>435</v>
      </c>
      <c r="D177" s="239">
        <v>67261538</v>
      </c>
      <c r="E177" s="239">
        <v>36304</v>
      </c>
      <c r="F177" s="239">
        <v>0</v>
      </c>
      <c r="G177" s="239">
        <v>281907</v>
      </c>
      <c r="H177" s="239">
        <v>0</v>
      </c>
      <c r="I177" s="239">
        <v>281907</v>
      </c>
      <c r="J177" s="239">
        <v>0</v>
      </c>
      <c r="K177" s="239">
        <v>0</v>
      </c>
      <c r="L177" s="239">
        <v>25122</v>
      </c>
      <c r="M177" s="239">
        <v>25122</v>
      </c>
      <c r="N177" s="239">
        <v>0</v>
      </c>
      <c r="O177" s="239">
        <v>66990813</v>
      </c>
      <c r="P177" s="214" t="s">
        <v>435</v>
      </c>
      <c r="Q177" s="214" t="s">
        <v>778</v>
      </c>
      <c r="R177" s="214" t="s">
        <v>776</v>
      </c>
      <c r="S177" s="214" t="s">
        <v>1190</v>
      </c>
    </row>
    <row r="178" spans="1:19" x14ac:dyDescent="0.2">
      <c r="A178" s="214">
        <v>173</v>
      </c>
      <c r="B178" s="250" t="s">
        <v>438</v>
      </c>
      <c r="C178" s="250" t="s">
        <v>437</v>
      </c>
      <c r="D178" s="239">
        <v>34009935</v>
      </c>
      <c r="E178" s="239">
        <v>0</v>
      </c>
      <c r="F178" s="239">
        <v>31621</v>
      </c>
      <c r="G178" s="239">
        <v>164289</v>
      </c>
      <c r="H178" s="239">
        <v>0</v>
      </c>
      <c r="I178" s="239">
        <v>164289</v>
      </c>
      <c r="J178" s="239">
        <v>0</v>
      </c>
      <c r="K178" s="239">
        <v>0</v>
      </c>
      <c r="L178" s="239">
        <v>197873</v>
      </c>
      <c r="M178" s="239">
        <v>197873</v>
      </c>
      <c r="N178" s="239">
        <v>0</v>
      </c>
      <c r="O178" s="239">
        <v>33616152</v>
      </c>
      <c r="P178" s="214" t="s">
        <v>893</v>
      </c>
      <c r="Q178" s="214" t="s">
        <v>873</v>
      </c>
      <c r="R178" s="214" t="s">
        <v>871</v>
      </c>
      <c r="S178" s="214" t="s">
        <v>1190</v>
      </c>
    </row>
    <row r="179" spans="1:19" x14ac:dyDescent="0.2">
      <c r="A179" s="214">
        <v>174</v>
      </c>
      <c r="B179" s="250" t="s">
        <v>440</v>
      </c>
      <c r="C179" s="250" t="s">
        <v>1087</v>
      </c>
      <c r="D179" s="239">
        <v>147182253</v>
      </c>
      <c r="E179" s="239">
        <v>0</v>
      </c>
      <c r="F179" s="239">
        <v>941543</v>
      </c>
      <c r="G179" s="239">
        <v>472115</v>
      </c>
      <c r="H179" s="239">
        <v>0</v>
      </c>
      <c r="I179" s="239">
        <v>472115</v>
      </c>
      <c r="J179" s="239">
        <v>0</v>
      </c>
      <c r="K179" s="239">
        <v>1202176</v>
      </c>
      <c r="L179" s="239">
        <v>0</v>
      </c>
      <c r="M179" s="239">
        <v>0</v>
      </c>
      <c r="N179" s="239">
        <v>0</v>
      </c>
      <c r="O179" s="239">
        <v>144566419</v>
      </c>
      <c r="P179" s="214" t="s">
        <v>439</v>
      </c>
      <c r="Q179" s="214" t="s">
        <v>767</v>
      </c>
      <c r="R179" s="214" t="s">
        <v>840</v>
      </c>
      <c r="S179" s="214" t="s">
        <v>1192</v>
      </c>
    </row>
    <row r="180" spans="1:19" x14ac:dyDescent="0.2">
      <c r="A180" s="214">
        <v>175</v>
      </c>
      <c r="B180" s="250" t="s">
        <v>442</v>
      </c>
      <c r="C180" s="250" t="s">
        <v>441</v>
      </c>
      <c r="D180" s="239">
        <v>34350435</v>
      </c>
      <c r="E180" s="239">
        <v>0</v>
      </c>
      <c r="F180" s="239">
        <v>373775</v>
      </c>
      <c r="G180" s="239">
        <v>139651</v>
      </c>
      <c r="H180" s="239">
        <v>0</v>
      </c>
      <c r="I180" s="239">
        <v>139651</v>
      </c>
      <c r="J180" s="239">
        <v>0</v>
      </c>
      <c r="K180" s="239">
        <v>0</v>
      </c>
      <c r="L180" s="239">
        <v>0</v>
      </c>
      <c r="M180" s="239">
        <v>0</v>
      </c>
      <c r="N180" s="239">
        <v>0</v>
      </c>
      <c r="O180" s="239">
        <v>33837009</v>
      </c>
      <c r="P180" s="214" t="s">
        <v>441</v>
      </c>
      <c r="Q180" s="214" t="s">
        <v>837</v>
      </c>
      <c r="R180" s="214" t="s">
        <v>835</v>
      </c>
      <c r="S180" s="214" t="s">
        <v>1190</v>
      </c>
    </row>
    <row r="181" spans="1:19" x14ac:dyDescent="0.2">
      <c r="A181" s="214">
        <v>176</v>
      </c>
      <c r="B181" s="250" t="s">
        <v>444</v>
      </c>
      <c r="C181" s="250" t="s">
        <v>443</v>
      </c>
      <c r="D181" s="239">
        <v>130913646</v>
      </c>
      <c r="E181" s="239">
        <v>0</v>
      </c>
      <c r="F181" s="239">
        <v>626043</v>
      </c>
      <c r="G181" s="239">
        <v>373571</v>
      </c>
      <c r="H181" s="239">
        <v>0</v>
      </c>
      <c r="I181" s="239">
        <v>373571</v>
      </c>
      <c r="J181" s="239">
        <v>0</v>
      </c>
      <c r="K181" s="239">
        <v>0</v>
      </c>
      <c r="L181" s="239">
        <v>0</v>
      </c>
      <c r="M181" s="239">
        <v>0</v>
      </c>
      <c r="N181" s="239">
        <v>0</v>
      </c>
      <c r="O181" s="239">
        <v>129914032</v>
      </c>
      <c r="P181" s="214" t="s">
        <v>443</v>
      </c>
      <c r="Q181" s="214" t="s">
        <v>789</v>
      </c>
      <c r="R181" s="214" t="s">
        <v>748</v>
      </c>
      <c r="S181" s="214" t="s">
        <v>1191</v>
      </c>
    </row>
    <row r="182" spans="1:19" x14ac:dyDescent="0.2">
      <c r="A182" s="214">
        <v>177</v>
      </c>
      <c r="B182" s="250" t="s">
        <v>446</v>
      </c>
      <c r="C182" s="250" t="s">
        <v>445</v>
      </c>
      <c r="D182" s="239">
        <v>33065649</v>
      </c>
      <c r="E182" s="239">
        <v>0</v>
      </c>
      <c r="F182" s="239">
        <v>817053</v>
      </c>
      <c r="G182" s="239">
        <v>204326</v>
      </c>
      <c r="H182" s="239">
        <v>0</v>
      </c>
      <c r="I182" s="239">
        <v>204326</v>
      </c>
      <c r="J182" s="239">
        <v>0</v>
      </c>
      <c r="K182" s="239">
        <v>0</v>
      </c>
      <c r="L182" s="239">
        <v>311483</v>
      </c>
      <c r="M182" s="239">
        <v>311483</v>
      </c>
      <c r="N182" s="239">
        <v>0</v>
      </c>
      <c r="O182" s="239">
        <v>31732787</v>
      </c>
      <c r="P182" s="214" t="s">
        <v>445</v>
      </c>
      <c r="Q182" s="214" t="s">
        <v>799</v>
      </c>
      <c r="R182" s="214" t="s">
        <v>791</v>
      </c>
      <c r="S182" s="214" t="s">
        <v>1190</v>
      </c>
    </row>
    <row r="183" spans="1:19" x14ac:dyDescent="0.2">
      <c r="A183" s="214">
        <v>178</v>
      </c>
      <c r="B183" s="250" t="s">
        <v>448</v>
      </c>
      <c r="C183" s="250" t="s">
        <v>447</v>
      </c>
      <c r="D183" s="239">
        <v>12712321</v>
      </c>
      <c r="E183" s="239">
        <v>0</v>
      </c>
      <c r="F183" s="239">
        <v>33103</v>
      </c>
      <c r="G183" s="239">
        <v>92786</v>
      </c>
      <c r="H183" s="239">
        <v>0</v>
      </c>
      <c r="I183" s="239">
        <v>92786</v>
      </c>
      <c r="J183" s="239">
        <v>0</v>
      </c>
      <c r="K183" s="239">
        <v>0</v>
      </c>
      <c r="L183" s="239">
        <v>180940</v>
      </c>
      <c r="M183" s="239">
        <v>180940</v>
      </c>
      <c r="N183" s="239">
        <v>0</v>
      </c>
      <c r="O183" s="239">
        <v>12405492</v>
      </c>
      <c r="P183" s="214" t="s">
        <v>447</v>
      </c>
      <c r="Q183" s="214" t="s">
        <v>786</v>
      </c>
      <c r="R183" s="214" t="s">
        <v>784</v>
      </c>
      <c r="S183" s="214" t="s">
        <v>1190</v>
      </c>
    </row>
    <row r="184" spans="1:19" x14ac:dyDescent="0.2">
      <c r="A184" s="214">
        <v>179</v>
      </c>
      <c r="B184" s="250" t="s">
        <v>450</v>
      </c>
      <c r="C184" s="250" t="s">
        <v>449</v>
      </c>
      <c r="D184" s="239">
        <v>16687829</v>
      </c>
      <c r="E184" s="239">
        <v>0</v>
      </c>
      <c r="F184" s="239">
        <v>121706</v>
      </c>
      <c r="G184" s="239">
        <v>97755</v>
      </c>
      <c r="H184" s="239">
        <v>0</v>
      </c>
      <c r="I184" s="239">
        <v>97755</v>
      </c>
      <c r="J184" s="239">
        <v>0</v>
      </c>
      <c r="K184" s="239">
        <v>0</v>
      </c>
      <c r="L184" s="239">
        <v>0</v>
      </c>
      <c r="M184" s="239">
        <v>0</v>
      </c>
      <c r="N184" s="239">
        <v>0</v>
      </c>
      <c r="O184" s="239">
        <v>16468368</v>
      </c>
      <c r="P184" s="214" t="s">
        <v>449</v>
      </c>
      <c r="Q184" s="214" t="s">
        <v>857</v>
      </c>
      <c r="R184" s="214" t="s">
        <v>855</v>
      </c>
      <c r="S184" s="214" t="s">
        <v>1190</v>
      </c>
    </row>
    <row r="185" spans="1:19" x14ac:dyDescent="0.2">
      <c r="A185" s="214">
        <v>180</v>
      </c>
      <c r="B185" s="250" t="s">
        <v>452</v>
      </c>
      <c r="C185" s="250" t="s">
        <v>451</v>
      </c>
      <c r="D185" s="239">
        <v>66694355</v>
      </c>
      <c r="E185" s="239">
        <v>163060</v>
      </c>
      <c r="F185" s="239">
        <v>0</v>
      </c>
      <c r="G185" s="239">
        <v>235530</v>
      </c>
      <c r="H185" s="239">
        <v>0</v>
      </c>
      <c r="I185" s="239">
        <v>235530</v>
      </c>
      <c r="J185" s="239">
        <v>0</v>
      </c>
      <c r="K185" s="239">
        <v>0</v>
      </c>
      <c r="L185" s="239">
        <v>96790</v>
      </c>
      <c r="M185" s="239">
        <v>96790</v>
      </c>
      <c r="N185" s="239">
        <v>0</v>
      </c>
      <c r="O185" s="239">
        <v>66525095</v>
      </c>
      <c r="P185" s="214" t="s">
        <v>892</v>
      </c>
      <c r="Q185" s="214" t="s">
        <v>747</v>
      </c>
      <c r="R185" s="214" t="s">
        <v>889</v>
      </c>
      <c r="S185" s="214" t="s">
        <v>747</v>
      </c>
    </row>
    <row r="186" spans="1:19" x14ac:dyDescent="0.2">
      <c r="A186" s="214">
        <v>181</v>
      </c>
      <c r="B186" s="250" t="s">
        <v>454</v>
      </c>
      <c r="C186" s="250" t="s">
        <v>453</v>
      </c>
      <c r="D186" s="239">
        <v>38453085</v>
      </c>
      <c r="E186" s="239">
        <v>0</v>
      </c>
      <c r="F186" s="239">
        <v>48261</v>
      </c>
      <c r="G186" s="239">
        <v>180409</v>
      </c>
      <c r="H186" s="239">
        <v>0</v>
      </c>
      <c r="I186" s="239">
        <v>180409</v>
      </c>
      <c r="J186" s="239">
        <v>0</v>
      </c>
      <c r="K186" s="239">
        <v>0</v>
      </c>
      <c r="L186" s="239">
        <v>54086</v>
      </c>
      <c r="M186" s="239">
        <v>54086</v>
      </c>
      <c r="N186" s="239">
        <v>0</v>
      </c>
      <c r="O186" s="239">
        <v>38170329</v>
      </c>
      <c r="P186" s="214" t="s">
        <v>453</v>
      </c>
      <c r="Q186" s="214" t="s">
        <v>802</v>
      </c>
      <c r="R186" s="214" t="s">
        <v>762</v>
      </c>
      <c r="S186" s="214" t="s">
        <v>1190</v>
      </c>
    </row>
    <row r="187" spans="1:19" x14ac:dyDescent="0.2">
      <c r="A187" s="214">
        <v>182</v>
      </c>
      <c r="B187" s="250" t="s">
        <v>456</v>
      </c>
      <c r="C187" s="250" t="s">
        <v>455</v>
      </c>
      <c r="D187" s="239">
        <v>26056071</v>
      </c>
      <c r="E187" s="239">
        <v>0</v>
      </c>
      <c r="F187" s="239">
        <v>55256</v>
      </c>
      <c r="G187" s="239">
        <v>124592</v>
      </c>
      <c r="H187" s="239">
        <v>0</v>
      </c>
      <c r="I187" s="239">
        <v>124592</v>
      </c>
      <c r="J187" s="239">
        <v>0</v>
      </c>
      <c r="K187" s="239">
        <v>0</v>
      </c>
      <c r="L187" s="239">
        <v>1510963</v>
      </c>
      <c r="M187" s="239">
        <v>1377863</v>
      </c>
      <c r="N187" s="239">
        <v>133100</v>
      </c>
      <c r="O187" s="239">
        <v>24365260</v>
      </c>
      <c r="P187" s="214" t="s">
        <v>455</v>
      </c>
      <c r="Q187" s="214" t="s">
        <v>797</v>
      </c>
      <c r="R187" s="214" t="s">
        <v>762</v>
      </c>
      <c r="S187" s="214" t="s">
        <v>1190</v>
      </c>
    </row>
    <row r="188" spans="1:19" x14ac:dyDescent="0.2">
      <c r="A188" s="214">
        <v>183</v>
      </c>
      <c r="B188" s="250" t="s">
        <v>458</v>
      </c>
      <c r="C188" s="250" t="s">
        <v>457</v>
      </c>
      <c r="D188" s="239">
        <v>86898778</v>
      </c>
      <c r="E188" s="239">
        <v>0</v>
      </c>
      <c r="F188" s="239">
        <v>345128</v>
      </c>
      <c r="G188" s="239">
        <v>253641</v>
      </c>
      <c r="H188" s="239">
        <v>0</v>
      </c>
      <c r="I188" s="239">
        <v>253641</v>
      </c>
      <c r="J188" s="239">
        <v>0</v>
      </c>
      <c r="K188" s="239">
        <v>1049961</v>
      </c>
      <c r="L188" s="239">
        <v>2485795</v>
      </c>
      <c r="M188" s="239">
        <v>2485795</v>
      </c>
      <c r="N188" s="239">
        <v>0</v>
      </c>
      <c r="O188" s="239">
        <v>82764253</v>
      </c>
      <c r="P188" s="214" t="s">
        <v>891</v>
      </c>
      <c r="Q188" s="214" t="s">
        <v>747</v>
      </c>
      <c r="R188" s="214" t="s">
        <v>889</v>
      </c>
      <c r="S188" s="214" t="s">
        <v>747</v>
      </c>
    </row>
    <row r="189" spans="1:19" x14ac:dyDescent="0.2">
      <c r="A189" s="214">
        <v>184</v>
      </c>
      <c r="B189" s="250" t="s">
        <v>460</v>
      </c>
      <c r="C189" s="250" t="s">
        <v>459</v>
      </c>
      <c r="D189" s="239">
        <v>25646136</v>
      </c>
      <c r="E189" s="239">
        <v>0</v>
      </c>
      <c r="F189" s="239">
        <v>34898</v>
      </c>
      <c r="G189" s="239">
        <v>242025</v>
      </c>
      <c r="H189" s="239">
        <v>0</v>
      </c>
      <c r="I189" s="239">
        <v>242025</v>
      </c>
      <c r="J189" s="239">
        <v>0</v>
      </c>
      <c r="K189" s="239">
        <v>0</v>
      </c>
      <c r="L189" s="239">
        <v>599879</v>
      </c>
      <c r="M189" s="239">
        <v>599879</v>
      </c>
      <c r="N189" s="239">
        <v>0</v>
      </c>
      <c r="O189" s="239">
        <v>24769334</v>
      </c>
      <c r="P189" s="214" t="s">
        <v>459</v>
      </c>
      <c r="Q189" s="214" t="s">
        <v>848</v>
      </c>
      <c r="R189" s="214" t="s">
        <v>762</v>
      </c>
      <c r="S189" s="214" t="s">
        <v>1190</v>
      </c>
    </row>
    <row r="190" spans="1:19" x14ac:dyDescent="0.2">
      <c r="A190" s="214">
        <v>185</v>
      </c>
      <c r="B190" s="250" t="s">
        <v>462</v>
      </c>
      <c r="C190" s="250" t="s">
        <v>461</v>
      </c>
      <c r="D190" s="239">
        <v>63074908</v>
      </c>
      <c r="E190" s="239">
        <v>0</v>
      </c>
      <c r="F190" s="239">
        <v>84167</v>
      </c>
      <c r="G190" s="239">
        <v>262705</v>
      </c>
      <c r="H190" s="239">
        <v>0</v>
      </c>
      <c r="I190" s="239">
        <v>262705</v>
      </c>
      <c r="J190" s="239">
        <v>0</v>
      </c>
      <c r="K190" s="239">
        <v>526388</v>
      </c>
      <c r="L190" s="239">
        <v>167850</v>
      </c>
      <c r="M190" s="239">
        <v>167850</v>
      </c>
      <c r="N190" s="239">
        <v>0</v>
      </c>
      <c r="O190" s="239">
        <v>62033798</v>
      </c>
      <c r="P190" s="214" t="s">
        <v>888</v>
      </c>
      <c r="Q190" s="214" t="s">
        <v>747</v>
      </c>
      <c r="R190" s="214" t="s">
        <v>852</v>
      </c>
      <c r="S190" s="214" t="s">
        <v>747</v>
      </c>
    </row>
    <row r="191" spans="1:19" x14ac:dyDescent="0.2">
      <c r="A191" s="214">
        <v>186</v>
      </c>
      <c r="B191" s="250" t="s">
        <v>464</v>
      </c>
      <c r="C191" s="250" t="s">
        <v>463</v>
      </c>
      <c r="D191" s="239">
        <v>60147274</v>
      </c>
      <c r="E191" s="239">
        <v>0</v>
      </c>
      <c r="F191" s="239">
        <v>223596</v>
      </c>
      <c r="G191" s="239">
        <v>230884</v>
      </c>
      <c r="H191" s="239">
        <v>0</v>
      </c>
      <c r="I191" s="239">
        <v>230884</v>
      </c>
      <c r="J191" s="239">
        <v>0</v>
      </c>
      <c r="K191" s="239">
        <v>94688</v>
      </c>
      <c r="L191" s="239">
        <v>0</v>
      </c>
      <c r="M191" s="239">
        <v>0</v>
      </c>
      <c r="N191" s="239">
        <v>0</v>
      </c>
      <c r="O191" s="239">
        <v>59598106</v>
      </c>
      <c r="P191" s="214" t="s">
        <v>463</v>
      </c>
      <c r="Q191" s="214" t="s">
        <v>767</v>
      </c>
      <c r="R191" s="214" t="s">
        <v>840</v>
      </c>
      <c r="S191" s="214" t="s">
        <v>1192</v>
      </c>
    </row>
    <row r="192" spans="1:19" x14ac:dyDescent="0.2">
      <c r="A192" s="214">
        <v>187</v>
      </c>
      <c r="B192" s="250" t="s">
        <v>466</v>
      </c>
      <c r="C192" s="250" t="s">
        <v>465</v>
      </c>
      <c r="D192" s="239">
        <v>44213398</v>
      </c>
      <c r="E192" s="239">
        <v>0</v>
      </c>
      <c r="F192" s="239">
        <v>71420</v>
      </c>
      <c r="G192" s="239">
        <v>109891</v>
      </c>
      <c r="H192" s="239">
        <v>0</v>
      </c>
      <c r="I192" s="239">
        <v>109891</v>
      </c>
      <c r="J192" s="239">
        <v>0</v>
      </c>
      <c r="K192" s="239">
        <v>0</v>
      </c>
      <c r="L192" s="239">
        <v>0</v>
      </c>
      <c r="M192" s="239">
        <v>0</v>
      </c>
      <c r="N192" s="239">
        <v>0</v>
      </c>
      <c r="O192" s="239">
        <v>44032087</v>
      </c>
      <c r="P192" s="214" t="s">
        <v>465</v>
      </c>
      <c r="Q192" s="214" t="s">
        <v>812</v>
      </c>
      <c r="R192" s="214" t="s">
        <v>762</v>
      </c>
      <c r="S192" s="214" t="s">
        <v>1190</v>
      </c>
    </row>
    <row r="193" spans="1:19" x14ac:dyDescent="0.2">
      <c r="A193" s="214">
        <v>188</v>
      </c>
      <c r="B193" s="250" t="s">
        <v>468</v>
      </c>
      <c r="C193" s="250" t="s">
        <v>467</v>
      </c>
      <c r="D193" s="239">
        <v>52581412</v>
      </c>
      <c r="E193" s="239">
        <v>0</v>
      </c>
      <c r="F193" s="239">
        <v>62765</v>
      </c>
      <c r="G193" s="239">
        <v>145731</v>
      </c>
      <c r="H193" s="239">
        <v>0</v>
      </c>
      <c r="I193" s="239">
        <v>145731</v>
      </c>
      <c r="J193" s="239">
        <v>0</v>
      </c>
      <c r="K193" s="239">
        <v>0</v>
      </c>
      <c r="L193" s="239">
        <v>366299</v>
      </c>
      <c r="M193" s="239">
        <v>366299</v>
      </c>
      <c r="N193" s="239">
        <v>0</v>
      </c>
      <c r="O193" s="239">
        <v>52006617</v>
      </c>
      <c r="P193" s="214" t="s">
        <v>467</v>
      </c>
      <c r="Q193" s="214" t="s">
        <v>883</v>
      </c>
      <c r="R193" s="214" t="s">
        <v>868</v>
      </c>
      <c r="S193" s="214" t="s">
        <v>1190</v>
      </c>
    </row>
    <row r="194" spans="1:19" x14ac:dyDescent="0.2">
      <c r="A194" s="214">
        <v>189</v>
      </c>
      <c r="B194" s="250" t="s">
        <v>470</v>
      </c>
      <c r="C194" s="250" t="s">
        <v>469</v>
      </c>
      <c r="D194" s="239">
        <v>100471422</v>
      </c>
      <c r="E194" s="239">
        <v>471169</v>
      </c>
      <c r="F194" s="239">
        <v>0</v>
      </c>
      <c r="G194" s="239">
        <v>295579</v>
      </c>
      <c r="H194" s="239">
        <v>0</v>
      </c>
      <c r="I194" s="239">
        <v>295579</v>
      </c>
      <c r="J194" s="239">
        <v>0</v>
      </c>
      <c r="K194" s="239">
        <v>1438461</v>
      </c>
      <c r="L194" s="239">
        <v>0</v>
      </c>
      <c r="M194" s="239">
        <v>0</v>
      </c>
      <c r="N194" s="239">
        <v>0</v>
      </c>
      <c r="O194" s="239">
        <v>99208551</v>
      </c>
      <c r="P194" s="214" t="s">
        <v>469</v>
      </c>
      <c r="Q194" s="214" t="s">
        <v>804</v>
      </c>
      <c r="R194" s="214" t="s">
        <v>762</v>
      </c>
      <c r="S194" s="214" t="s">
        <v>1190</v>
      </c>
    </row>
    <row r="195" spans="1:19" x14ac:dyDescent="0.2">
      <c r="A195" s="214">
        <v>190</v>
      </c>
      <c r="B195" s="250" t="s">
        <v>472</v>
      </c>
      <c r="C195" s="250" t="s">
        <v>471</v>
      </c>
      <c r="D195" s="239">
        <v>77657927</v>
      </c>
      <c r="E195" s="239">
        <v>0</v>
      </c>
      <c r="F195" s="239">
        <v>72661</v>
      </c>
      <c r="G195" s="239">
        <v>478025</v>
      </c>
      <c r="H195" s="239">
        <v>0</v>
      </c>
      <c r="I195" s="239">
        <v>478025</v>
      </c>
      <c r="J195" s="239">
        <v>0</v>
      </c>
      <c r="K195" s="239">
        <v>29738</v>
      </c>
      <c r="L195" s="239">
        <v>1377191</v>
      </c>
      <c r="M195" s="239">
        <v>1377191</v>
      </c>
      <c r="N195" s="239">
        <v>0</v>
      </c>
      <c r="O195" s="239">
        <v>75700312</v>
      </c>
      <c r="P195" s="214" t="s">
        <v>471</v>
      </c>
      <c r="Q195" s="214" t="s">
        <v>747</v>
      </c>
      <c r="R195" s="214" t="s">
        <v>762</v>
      </c>
      <c r="S195" s="214" t="s">
        <v>747</v>
      </c>
    </row>
    <row r="196" spans="1:19" x14ac:dyDescent="0.2">
      <c r="A196" s="214">
        <v>191</v>
      </c>
      <c r="B196" s="250" t="s">
        <v>474</v>
      </c>
      <c r="C196" s="250" t="s">
        <v>473</v>
      </c>
      <c r="D196" s="239">
        <v>78090828</v>
      </c>
      <c r="E196" s="239">
        <v>0</v>
      </c>
      <c r="F196" s="239">
        <v>149647</v>
      </c>
      <c r="G196" s="239">
        <v>271241</v>
      </c>
      <c r="H196" s="239">
        <v>0</v>
      </c>
      <c r="I196" s="239">
        <v>271241</v>
      </c>
      <c r="J196" s="239">
        <v>0</v>
      </c>
      <c r="K196" s="239">
        <v>0</v>
      </c>
      <c r="L196" s="239">
        <v>0</v>
      </c>
      <c r="M196" s="239">
        <v>0</v>
      </c>
      <c r="N196" s="239">
        <v>0</v>
      </c>
      <c r="O196" s="239">
        <v>77669940</v>
      </c>
      <c r="P196" s="214" t="s">
        <v>473</v>
      </c>
      <c r="Q196" s="214" t="s">
        <v>848</v>
      </c>
      <c r="R196" s="214" t="s">
        <v>762</v>
      </c>
      <c r="S196" s="214" t="s">
        <v>1190</v>
      </c>
    </row>
    <row r="197" spans="1:19" x14ac:dyDescent="0.2">
      <c r="A197" s="214">
        <v>192</v>
      </c>
      <c r="B197" s="250" t="s">
        <v>476</v>
      </c>
      <c r="C197" s="250" t="s">
        <v>475</v>
      </c>
      <c r="D197" s="239">
        <v>133089471</v>
      </c>
      <c r="E197" s="239">
        <v>0</v>
      </c>
      <c r="F197" s="239">
        <v>497186</v>
      </c>
      <c r="G197" s="239">
        <v>488769</v>
      </c>
      <c r="H197" s="239">
        <v>0</v>
      </c>
      <c r="I197" s="239">
        <v>488769</v>
      </c>
      <c r="J197" s="239">
        <v>0</v>
      </c>
      <c r="K197" s="239">
        <v>0</v>
      </c>
      <c r="L197" s="239">
        <v>0</v>
      </c>
      <c r="M197" s="239">
        <v>0</v>
      </c>
      <c r="N197" s="239">
        <v>0</v>
      </c>
      <c r="O197" s="239">
        <v>132103516</v>
      </c>
      <c r="P197" s="214" t="s">
        <v>887</v>
      </c>
      <c r="Q197" s="214" t="s">
        <v>747</v>
      </c>
      <c r="R197" s="214" t="s">
        <v>871</v>
      </c>
      <c r="S197" s="214" t="s">
        <v>747</v>
      </c>
    </row>
    <row r="198" spans="1:19" x14ac:dyDescent="0.2">
      <c r="A198" s="214">
        <v>193</v>
      </c>
      <c r="B198" s="250" t="s">
        <v>478</v>
      </c>
      <c r="C198" s="250" t="s">
        <v>477</v>
      </c>
      <c r="D198" s="239">
        <v>36380350</v>
      </c>
      <c r="E198" s="239">
        <v>0</v>
      </c>
      <c r="F198" s="239">
        <v>33022</v>
      </c>
      <c r="G198" s="239">
        <v>133244</v>
      </c>
      <c r="H198" s="239">
        <v>0</v>
      </c>
      <c r="I198" s="239">
        <v>133244</v>
      </c>
      <c r="J198" s="239">
        <v>0</v>
      </c>
      <c r="K198" s="239">
        <v>0</v>
      </c>
      <c r="L198" s="239">
        <v>0</v>
      </c>
      <c r="M198" s="239">
        <v>0</v>
      </c>
      <c r="N198" s="239">
        <v>0</v>
      </c>
      <c r="O198" s="239">
        <v>36214084</v>
      </c>
      <c r="P198" s="214" t="s">
        <v>886</v>
      </c>
      <c r="Q198" s="214" t="s">
        <v>812</v>
      </c>
      <c r="R198" s="214" t="s">
        <v>762</v>
      </c>
      <c r="S198" s="214" t="s">
        <v>1190</v>
      </c>
    </row>
    <row r="199" spans="1:19" x14ac:dyDescent="0.2">
      <c r="A199" s="214">
        <v>194</v>
      </c>
      <c r="B199" s="250" t="s">
        <v>480</v>
      </c>
      <c r="C199" s="250" t="s">
        <v>479</v>
      </c>
      <c r="D199" s="239">
        <v>12159594</v>
      </c>
      <c r="E199" s="239">
        <v>2274</v>
      </c>
      <c r="F199" s="239">
        <v>0</v>
      </c>
      <c r="G199" s="239">
        <v>56547</v>
      </c>
      <c r="H199" s="239">
        <v>0</v>
      </c>
      <c r="I199" s="239">
        <v>56547</v>
      </c>
      <c r="J199" s="239">
        <v>0</v>
      </c>
      <c r="K199" s="239">
        <v>0</v>
      </c>
      <c r="L199" s="239">
        <v>14029</v>
      </c>
      <c r="M199" s="239">
        <v>14029</v>
      </c>
      <c r="N199" s="239">
        <v>0</v>
      </c>
      <c r="O199" s="239">
        <v>12091292</v>
      </c>
      <c r="P199" s="214" t="s">
        <v>885</v>
      </c>
      <c r="Q199" s="214" t="s">
        <v>883</v>
      </c>
      <c r="R199" s="214" t="s">
        <v>868</v>
      </c>
      <c r="S199" s="214" t="s">
        <v>1190</v>
      </c>
    </row>
    <row r="200" spans="1:19" x14ac:dyDescent="0.2">
      <c r="A200" s="214">
        <v>195</v>
      </c>
      <c r="B200" s="250" t="s">
        <v>482</v>
      </c>
      <c r="C200" s="250" t="s">
        <v>481</v>
      </c>
      <c r="D200" s="239">
        <v>57498788</v>
      </c>
      <c r="E200" s="239">
        <v>0</v>
      </c>
      <c r="F200" s="239">
        <v>1126263</v>
      </c>
      <c r="G200" s="239">
        <v>311406</v>
      </c>
      <c r="H200" s="239">
        <v>0</v>
      </c>
      <c r="I200" s="239">
        <v>311406</v>
      </c>
      <c r="J200" s="239">
        <v>0</v>
      </c>
      <c r="K200" s="239">
        <v>0</v>
      </c>
      <c r="L200" s="239">
        <v>1912</v>
      </c>
      <c r="M200" s="239">
        <v>1912</v>
      </c>
      <c r="N200" s="239">
        <v>0</v>
      </c>
      <c r="O200" s="239">
        <v>56059207</v>
      </c>
      <c r="P200" s="214" t="s">
        <v>481</v>
      </c>
      <c r="Q200" s="214" t="s">
        <v>767</v>
      </c>
      <c r="R200" s="214" t="s">
        <v>782</v>
      </c>
      <c r="S200" s="214" t="s">
        <v>1192</v>
      </c>
    </row>
    <row r="201" spans="1:19" x14ac:dyDescent="0.2">
      <c r="A201" s="214">
        <v>196</v>
      </c>
      <c r="B201" s="250" t="s">
        <v>484</v>
      </c>
      <c r="C201" s="250" t="s">
        <v>483</v>
      </c>
      <c r="D201" s="239">
        <v>87034792</v>
      </c>
      <c r="E201" s="239">
        <v>0</v>
      </c>
      <c r="F201" s="239">
        <v>511333</v>
      </c>
      <c r="G201" s="239">
        <v>220410</v>
      </c>
      <c r="H201" s="239">
        <v>0</v>
      </c>
      <c r="I201" s="239">
        <v>220410</v>
      </c>
      <c r="J201" s="239">
        <v>0</v>
      </c>
      <c r="K201" s="239">
        <v>0</v>
      </c>
      <c r="L201" s="239">
        <v>12052</v>
      </c>
      <c r="M201" s="239">
        <v>12052</v>
      </c>
      <c r="N201" s="239">
        <v>0</v>
      </c>
      <c r="O201" s="239">
        <v>86290997</v>
      </c>
      <c r="P201" s="214" t="s">
        <v>483</v>
      </c>
      <c r="Q201" s="214" t="s">
        <v>795</v>
      </c>
      <c r="R201" s="214" t="s">
        <v>762</v>
      </c>
      <c r="S201" s="214" t="s">
        <v>1190</v>
      </c>
    </row>
    <row r="202" spans="1:19" x14ac:dyDescent="0.2">
      <c r="A202" s="214">
        <v>197</v>
      </c>
      <c r="B202" s="250" t="s">
        <v>486</v>
      </c>
      <c r="C202" s="250" t="s">
        <v>485</v>
      </c>
      <c r="D202" s="239">
        <v>20840437</v>
      </c>
      <c r="E202" s="239">
        <v>0</v>
      </c>
      <c r="F202" s="239">
        <v>8497</v>
      </c>
      <c r="G202" s="239">
        <v>136498</v>
      </c>
      <c r="H202" s="239">
        <v>0</v>
      </c>
      <c r="I202" s="239">
        <v>136498</v>
      </c>
      <c r="J202" s="239">
        <v>0</v>
      </c>
      <c r="K202" s="239">
        <v>0</v>
      </c>
      <c r="L202" s="239">
        <v>0</v>
      </c>
      <c r="M202" s="239">
        <v>0</v>
      </c>
      <c r="N202" s="239">
        <v>0</v>
      </c>
      <c r="O202" s="239">
        <v>20695442</v>
      </c>
      <c r="P202" s="214" t="s">
        <v>485</v>
      </c>
      <c r="Q202" s="214" t="s">
        <v>756</v>
      </c>
      <c r="R202" s="214" t="s">
        <v>754</v>
      </c>
      <c r="S202" s="214" t="s">
        <v>1190</v>
      </c>
    </row>
    <row r="203" spans="1:19" x14ac:dyDescent="0.2">
      <c r="A203" s="214">
        <v>198</v>
      </c>
      <c r="B203" s="250" t="s">
        <v>488</v>
      </c>
      <c r="C203" s="250" t="s">
        <v>487</v>
      </c>
      <c r="D203" s="239">
        <v>99894673</v>
      </c>
      <c r="E203" s="239">
        <v>0</v>
      </c>
      <c r="F203" s="239">
        <v>1910298</v>
      </c>
      <c r="G203" s="239">
        <v>274686</v>
      </c>
      <c r="H203" s="239">
        <v>0</v>
      </c>
      <c r="I203" s="239">
        <v>274686</v>
      </c>
      <c r="J203" s="239">
        <v>0</v>
      </c>
      <c r="K203" s="239">
        <v>0</v>
      </c>
      <c r="L203" s="239">
        <v>323255</v>
      </c>
      <c r="M203" s="239">
        <v>323255</v>
      </c>
      <c r="N203" s="239">
        <v>0</v>
      </c>
      <c r="O203" s="239">
        <v>97386434</v>
      </c>
      <c r="P203" s="214" t="s">
        <v>882</v>
      </c>
      <c r="Q203" s="214" t="s">
        <v>747</v>
      </c>
      <c r="R203" s="214" t="s">
        <v>859</v>
      </c>
      <c r="S203" s="214" t="s">
        <v>747</v>
      </c>
    </row>
    <row r="204" spans="1:19" x14ac:dyDescent="0.2">
      <c r="A204" s="214">
        <v>199</v>
      </c>
      <c r="B204" s="250" t="s">
        <v>490</v>
      </c>
      <c r="C204" s="250" t="s">
        <v>489</v>
      </c>
      <c r="D204" s="239">
        <v>91023906</v>
      </c>
      <c r="E204" s="239">
        <v>0</v>
      </c>
      <c r="F204" s="239">
        <v>779037</v>
      </c>
      <c r="G204" s="239">
        <v>315039</v>
      </c>
      <c r="H204" s="239">
        <v>0</v>
      </c>
      <c r="I204" s="239">
        <v>315039</v>
      </c>
      <c r="J204" s="239">
        <v>0</v>
      </c>
      <c r="K204" s="239">
        <v>0</v>
      </c>
      <c r="L204" s="239">
        <v>235877</v>
      </c>
      <c r="M204" s="239">
        <v>235877</v>
      </c>
      <c r="N204" s="239">
        <v>0</v>
      </c>
      <c r="O204" s="239">
        <v>89693953</v>
      </c>
      <c r="P204" s="214" t="s">
        <v>881</v>
      </c>
      <c r="Q204" s="214" t="s">
        <v>747</v>
      </c>
      <c r="R204" s="214" t="s">
        <v>791</v>
      </c>
      <c r="S204" s="214" t="s">
        <v>747</v>
      </c>
    </row>
    <row r="205" spans="1:19" x14ac:dyDescent="0.2">
      <c r="A205" s="214">
        <v>200</v>
      </c>
      <c r="B205" s="250" t="s">
        <v>492</v>
      </c>
      <c r="C205" s="250" t="s">
        <v>491</v>
      </c>
      <c r="D205" s="239">
        <v>62504261</v>
      </c>
      <c r="E205" s="239">
        <v>55373</v>
      </c>
      <c r="F205" s="239">
        <v>0</v>
      </c>
      <c r="G205" s="239">
        <v>235170</v>
      </c>
      <c r="H205" s="239">
        <v>0</v>
      </c>
      <c r="I205" s="239">
        <v>235170</v>
      </c>
      <c r="J205" s="239">
        <v>0</v>
      </c>
      <c r="K205" s="239">
        <v>0</v>
      </c>
      <c r="L205" s="239">
        <v>0</v>
      </c>
      <c r="M205" s="239">
        <v>0</v>
      </c>
      <c r="N205" s="239">
        <v>0</v>
      </c>
      <c r="O205" s="239">
        <v>62324464</v>
      </c>
      <c r="P205" s="214" t="s">
        <v>880</v>
      </c>
      <c r="Q205" s="214" t="s">
        <v>747</v>
      </c>
      <c r="R205" s="214" t="s">
        <v>784</v>
      </c>
      <c r="S205" s="214" t="s">
        <v>747</v>
      </c>
    </row>
    <row r="206" spans="1:19" x14ac:dyDescent="0.2">
      <c r="A206" s="214">
        <v>201</v>
      </c>
      <c r="B206" s="250" t="s">
        <v>494</v>
      </c>
      <c r="C206" s="250" t="s">
        <v>493</v>
      </c>
      <c r="D206" s="239">
        <v>85081644</v>
      </c>
      <c r="E206" s="239">
        <v>0</v>
      </c>
      <c r="F206" s="239">
        <v>739624</v>
      </c>
      <c r="G206" s="239">
        <v>276989</v>
      </c>
      <c r="H206" s="239">
        <v>0</v>
      </c>
      <c r="I206" s="239">
        <v>276989</v>
      </c>
      <c r="J206" s="239">
        <v>0</v>
      </c>
      <c r="K206" s="239">
        <v>0</v>
      </c>
      <c r="L206" s="239">
        <v>0</v>
      </c>
      <c r="M206" s="239">
        <v>0</v>
      </c>
      <c r="N206" s="239">
        <v>0</v>
      </c>
      <c r="O206" s="239">
        <v>84065031</v>
      </c>
      <c r="P206" s="214" t="s">
        <v>879</v>
      </c>
      <c r="Q206" s="214" t="s">
        <v>747</v>
      </c>
      <c r="R206" s="214" t="s">
        <v>776</v>
      </c>
      <c r="S206" s="214" t="s">
        <v>747</v>
      </c>
    </row>
    <row r="207" spans="1:19" x14ac:dyDescent="0.2">
      <c r="A207" s="214">
        <v>202</v>
      </c>
      <c r="B207" s="250" t="s">
        <v>496</v>
      </c>
      <c r="C207" s="250" t="s">
        <v>495</v>
      </c>
      <c r="D207" s="239">
        <v>70263116</v>
      </c>
      <c r="E207" s="239">
        <v>0</v>
      </c>
      <c r="F207" s="239">
        <v>222689</v>
      </c>
      <c r="G207" s="239">
        <v>238529</v>
      </c>
      <c r="H207" s="239">
        <v>0</v>
      </c>
      <c r="I207" s="239">
        <v>238529</v>
      </c>
      <c r="J207" s="239">
        <v>0</v>
      </c>
      <c r="K207" s="239">
        <v>0</v>
      </c>
      <c r="L207" s="239">
        <v>18902</v>
      </c>
      <c r="M207" s="239">
        <v>18902</v>
      </c>
      <c r="N207" s="239">
        <v>0</v>
      </c>
      <c r="O207" s="239">
        <v>69782996</v>
      </c>
      <c r="P207" s="214" t="s">
        <v>495</v>
      </c>
      <c r="Q207" s="214" t="s">
        <v>756</v>
      </c>
      <c r="R207" s="214" t="s">
        <v>754</v>
      </c>
      <c r="S207" s="214" t="s">
        <v>1190</v>
      </c>
    </row>
    <row r="208" spans="1:19" x14ac:dyDescent="0.2">
      <c r="A208" s="214">
        <v>203</v>
      </c>
      <c r="B208" s="250" t="s">
        <v>498</v>
      </c>
      <c r="C208" s="250" t="s">
        <v>497</v>
      </c>
      <c r="D208" s="239">
        <v>12917526</v>
      </c>
      <c r="E208" s="239">
        <v>0</v>
      </c>
      <c r="F208" s="239">
        <v>2685192</v>
      </c>
      <c r="G208" s="239">
        <v>97816</v>
      </c>
      <c r="H208" s="239">
        <v>0</v>
      </c>
      <c r="I208" s="239">
        <v>97816</v>
      </c>
      <c r="J208" s="239">
        <v>0</v>
      </c>
      <c r="K208" s="239">
        <v>0</v>
      </c>
      <c r="L208" s="239">
        <v>150787</v>
      </c>
      <c r="M208" s="239">
        <v>150787</v>
      </c>
      <c r="N208" s="239">
        <v>0</v>
      </c>
      <c r="O208" s="239">
        <v>9983731</v>
      </c>
      <c r="P208" s="214" t="s">
        <v>497</v>
      </c>
      <c r="Q208" s="214" t="s">
        <v>786</v>
      </c>
      <c r="R208" s="214" t="s">
        <v>784</v>
      </c>
      <c r="S208" s="214" t="s">
        <v>1190</v>
      </c>
    </row>
    <row r="209" spans="1:19" x14ac:dyDescent="0.2">
      <c r="A209" s="214">
        <v>204</v>
      </c>
      <c r="B209" s="250" t="s">
        <v>500</v>
      </c>
      <c r="C209" s="250" t="s">
        <v>499</v>
      </c>
      <c r="D209" s="239">
        <v>118649600</v>
      </c>
      <c r="E209" s="239">
        <v>122450</v>
      </c>
      <c r="F209" s="239">
        <v>0</v>
      </c>
      <c r="G209" s="239">
        <v>272050</v>
      </c>
      <c r="H209" s="239">
        <v>0</v>
      </c>
      <c r="I209" s="239">
        <v>272050</v>
      </c>
      <c r="J209" s="239">
        <v>0</v>
      </c>
      <c r="K209" s="239">
        <v>0</v>
      </c>
      <c r="L209" s="239">
        <v>0</v>
      </c>
      <c r="M209" s="239">
        <v>0</v>
      </c>
      <c r="N209" s="239">
        <v>0</v>
      </c>
      <c r="O209" s="239">
        <v>118500000</v>
      </c>
      <c r="P209" s="214" t="s">
        <v>878</v>
      </c>
      <c r="Q209" s="214" t="s">
        <v>747</v>
      </c>
      <c r="R209" s="214" t="s">
        <v>768</v>
      </c>
      <c r="S209" s="214" t="s">
        <v>747</v>
      </c>
    </row>
    <row r="210" spans="1:19" x14ac:dyDescent="0.2">
      <c r="A210" s="214">
        <v>205</v>
      </c>
      <c r="B210" s="250" t="s">
        <v>502</v>
      </c>
      <c r="C210" s="250" t="s">
        <v>501</v>
      </c>
      <c r="D210" s="239">
        <v>54592311</v>
      </c>
      <c r="E210" s="239">
        <v>0</v>
      </c>
      <c r="F210" s="239">
        <v>70305</v>
      </c>
      <c r="G210" s="239">
        <v>282286</v>
      </c>
      <c r="H210" s="239">
        <v>0</v>
      </c>
      <c r="I210" s="239">
        <v>282286</v>
      </c>
      <c r="J210" s="239">
        <v>0</v>
      </c>
      <c r="K210" s="239">
        <v>0</v>
      </c>
      <c r="L210" s="239">
        <v>0</v>
      </c>
      <c r="M210" s="239">
        <v>0</v>
      </c>
      <c r="N210" s="239">
        <v>0</v>
      </c>
      <c r="O210" s="239">
        <v>54239720</v>
      </c>
      <c r="P210" s="214" t="s">
        <v>501</v>
      </c>
      <c r="Q210" s="214" t="s">
        <v>789</v>
      </c>
      <c r="R210" s="214" t="s">
        <v>748</v>
      </c>
      <c r="S210" s="214" t="s">
        <v>1191</v>
      </c>
    </row>
    <row r="211" spans="1:19" x14ac:dyDescent="0.2">
      <c r="A211" s="214">
        <v>206</v>
      </c>
      <c r="B211" s="250" t="s">
        <v>504</v>
      </c>
      <c r="C211" s="250" t="s">
        <v>503</v>
      </c>
      <c r="D211" s="239">
        <v>37275144</v>
      </c>
      <c r="E211" s="239">
        <v>0</v>
      </c>
      <c r="F211" s="239">
        <v>70777</v>
      </c>
      <c r="G211" s="239">
        <v>168457</v>
      </c>
      <c r="H211" s="239">
        <v>0</v>
      </c>
      <c r="I211" s="239">
        <v>168457</v>
      </c>
      <c r="J211" s="239">
        <v>0</v>
      </c>
      <c r="K211" s="239">
        <v>850326</v>
      </c>
      <c r="L211" s="239">
        <v>0</v>
      </c>
      <c r="M211" s="239">
        <v>0</v>
      </c>
      <c r="N211" s="239">
        <v>0</v>
      </c>
      <c r="O211" s="239">
        <v>36185584</v>
      </c>
      <c r="P211" s="214" t="s">
        <v>877</v>
      </c>
      <c r="Q211" s="214" t="s">
        <v>747</v>
      </c>
      <c r="R211" s="214" t="s">
        <v>843</v>
      </c>
      <c r="S211" s="214" t="s">
        <v>747</v>
      </c>
    </row>
    <row r="212" spans="1:19" x14ac:dyDescent="0.2">
      <c r="A212" s="214">
        <v>207</v>
      </c>
      <c r="B212" s="250" t="s">
        <v>506</v>
      </c>
      <c r="C212" s="250" t="s">
        <v>505</v>
      </c>
      <c r="D212" s="239">
        <v>36777191</v>
      </c>
      <c r="E212" s="239">
        <v>0</v>
      </c>
      <c r="F212" s="239">
        <v>34100</v>
      </c>
      <c r="G212" s="239">
        <v>110398</v>
      </c>
      <c r="H212" s="239">
        <v>0</v>
      </c>
      <c r="I212" s="239">
        <v>110398</v>
      </c>
      <c r="J212" s="239">
        <v>0</v>
      </c>
      <c r="K212" s="239">
        <v>0</v>
      </c>
      <c r="L212" s="239">
        <v>0</v>
      </c>
      <c r="M212" s="239">
        <v>0</v>
      </c>
      <c r="N212" s="239">
        <v>0</v>
      </c>
      <c r="O212" s="239">
        <v>36632693</v>
      </c>
      <c r="P212" s="214" t="s">
        <v>505</v>
      </c>
      <c r="Q212" s="214" t="s">
        <v>752</v>
      </c>
      <c r="R212" s="214" t="s">
        <v>750</v>
      </c>
      <c r="S212" s="214" t="s">
        <v>1190</v>
      </c>
    </row>
    <row r="213" spans="1:19" x14ac:dyDescent="0.2">
      <c r="A213" s="214">
        <v>208</v>
      </c>
      <c r="B213" s="250" t="s">
        <v>508</v>
      </c>
      <c r="C213" s="250" t="s">
        <v>507</v>
      </c>
      <c r="D213" s="239">
        <v>49939765</v>
      </c>
      <c r="E213" s="239">
        <v>0</v>
      </c>
      <c r="F213" s="239">
        <v>47945</v>
      </c>
      <c r="G213" s="239">
        <v>172098</v>
      </c>
      <c r="H213" s="239">
        <v>0</v>
      </c>
      <c r="I213" s="239">
        <v>172098</v>
      </c>
      <c r="J213" s="239">
        <v>0</v>
      </c>
      <c r="K213" s="239">
        <v>0</v>
      </c>
      <c r="L213" s="239">
        <v>0</v>
      </c>
      <c r="M213" s="239">
        <v>0</v>
      </c>
      <c r="N213" s="239">
        <v>0</v>
      </c>
      <c r="O213" s="239">
        <v>49719722</v>
      </c>
      <c r="P213" s="214" t="s">
        <v>876</v>
      </c>
      <c r="Q213" s="214" t="s">
        <v>771</v>
      </c>
      <c r="R213" s="214" t="s">
        <v>762</v>
      </c>
      <c r="S213" s="214" t="s">
        <v>1190</v>
      </c>
    </row>
    <row r="214" spans="1:19" x14ac:dyDescent="0.2">
      <c r="A214" s="214">
        <v>209</v>
      </c>
      <c r="B214" s="250" t="s">
        <v>510</v>
      </c>
      <c r="C214" s="250" t="s">
        <v>509</v>
      </c>
      <c r="D214" s="239">
        <v>15044258</v>
      </c>
      <c r="E214" s="239">
        <v>0</v>
      </c>
      <c r="F214" s="239">
        <v>96424</v>
      </c>
      <c r="G214" s="239">
        <v>89974</v>
      </c>
      <c r="H214" s="239">
        <v>0</v>
      </c>
      <c r="I214" s="239">
        <v>89974</v>
      </c>
      <c r="J214" s="239">
        <v>0</v>
      </c>
      <c r="K214" s="239">
        <v>19530</v>
      </c>
      <c r="L214" s="239">
        <v>32681</v>
      </c>
      <c r="M214" s="239">
        <v>32681</v>
      </c>
      <c r="N214" s="239">
        <v>0</v>
      </c>
      <c r="O214" s="239">
        <v>14805649</v>
      </c>
      <c r="P214" s="214" t="s">
        <v>509</v>
      </c>
      <c r="Q214" s="214" t="s">
        <v>756</v>
      </c>
      <c r="R214" s="214" t="s">
        <v>754</v>
      </c>
      <c r="S214" s="214" t="s">
        <v>1190</v>
      </c>
    </row>
    <row r="215" spans="1:19" x14ac:dyDescent="0.2">
      <c r="A215" s="214">
        <v>210</v>
      </c>
      <c r="B215" s="250" t="s">
        <v>512</v>
      </c>
      <c r="C215" s="250" t="s">
        <v>511</v>
      </c>
      <c r="D215" s="239">
        <v>83287056</v>
      </c>
      <c r="E215" s="239">
        <v>0</v>
      </c>
      <c r="F215" s="239">
        <v>0</v>
      </c>
      <c r="G215" s="239">
        <v>292908</v>
      </c>
      <c r="H215" s="239">
        <v>0</v>
      </c>
      <c r="I215" s="239">
        <v>292908</v>
      </c>
      <c r="J215" s="239">
        <v>0</v>
      </c>
      <c r="K215" s="239">
        <v>0</v>
      </c>
      <c r="L215" s="239">
        <v>0</v>
      </c>
      <c r="M215" s="239">
        <v>0</v>
      </c>
      <c r="N215" s="239">
        <v>0</v>
      </c>
      <c r="O215" s="239">
        <v>82994148</v>
      </c>
      <c r="P215" s="214" t="s">
        <v>875</v>
      </c>
      <c r="Q215" s="214" t="s">
        <v>789</v>
      </c>
      <c r="R215" s="214" t="s">
        <v>748</v>
      </c>
      <c r="S215" s="214" t="s">
        <v>1191</v>
      </c>
    </row>
    <row r="216" spans="1:19" x14ac:dyDescent="0.2">
      <c r="A216" s="214">
        <v>211</v>
      </c>
      <c r="B216" s="250" t="s">
        <v>514</v>
      </c>
      <c r="C216" s="250" t="s">
        <v>513</v>
      </c>
      <c r="D216" s="239">
        <v>12756415</v>
      </c>
      <c r="E216" s="239">
        <v>0</v>
      </c>
      <c r="F216" s="239">
        <v>123812</v>
      </c>
      <c r="G216" s="239">
        <v>97217</v>
      </c>
      <c r="H216" s="239">
        <v>0</v>
      </c>
      <c r="I216" s="239">
        <v>97217</v>
      </c>
      <c r="J216" s="239">
        <v>0</v>
      </c>
      <c r="K216" s="239">
        <v>0</v>
      </c>
      <c r="L216" s="239">
        <v>0</v>
      </c>
      <c r="M216" s="239">
        <v>0</v>
      </c>
      <c r="N216" s="239">
        <v>0</v>
      </c>
      <c r="O216" s="239">
        <v>12535386</v>
      </c>
      <c r="P216" s="214" t="s">
        <v>513</v>
      </c>
      <c r="Q216" s="214" t="s">
        <v>866</v>
      </c>
      <c r="R216" s="214" t="s">
        <v>745</v>
      </c>
      <c r="S216" s="214" t="s">
        <v>1190</v>
      </c>
    </row>
    <row r="217" spans="1:19" x14ac:dyDescent="0.2">
      <c r="A217" s="214">
        <v>212</v>
      </c>
      <c r="B217" s="250" t="s">
        <v>516</v>
      </c>
      <c r="C217" s="250" t="s">
        <v>515</v>
      </c>
      <c r="D217" s="239">
        <v>63327801</v>
      </c>
      <c r="E217" s="239">
        <v>0</v>
      </c>
      <c r="F217" s="239">
        <v>3039</v>
      </c>
      <c r="G217" s="239">
        <v>287386</v>
      </c>
      <c r="H217" s="239">
        <v>0</v>
      </c>
      <c r="I217" s="239">
        <v>287386</v>
      </c>
      <c r="J217" s="239">
        <v>0</v>
      </c>
      <c r="K217" s="239">
        <v>0</v>
      </c>
      <c r="L217" s="239">
        <v>674022</v>
      </c>
      <c r="M217" s="239">
        <v>674022</v>
      </c>
      <c r="N217" s="239">
        <v>0</v>
      </c>
      <c r="O217" s="239">
        <v>62363354</v>
      </c>
      <c r="P217" s="214" t="s">
        <v>515</v>
      </c>
      <c r="Q217" s="214" t="s">
        <v>767</v>
      </c>
      <c r="R217" s="214" t="s">
        <v>782</v>
      </c>
      <c r="S217" s="214" t="s">
        <v>1192</v>
      </c>
    </row>
    <row r="218" spans="1:19" x14ac:dyDescent="0.2">
      <c r="A218" s="214">
        <v>213</v>
      </c>
      <c r="B218" s="250" t="s">
        <v>518</v>
      </c>
      <c r="C218" s="250" t="s">
        <v>517</v>
      </c>
      <c r="D218" s="239">
        <v>15430019</v>
      </c>
      <c r="E218" s="239">
        <v>0</v>
      </c>
      <c r="F218" s="239">
        <v>2581</v>
      </c>
      <c r="G218" s="239">
        <v>85715</v>
      </c>
      <c r="H218" s="239">
        <v>0</v>
      </c>
      <c r="I218" s="239">
        <v>85715</v>
      </c>
      <c r="J218" s="239">
        <v>0</v>
      </c>
      <c r="K218" s="239">
        <v>0</v>
      </c>
      <c r="L218" s="239">
        <v>35348</v>
      </c>
      <c r="M218" s="239">
        <v>35348</v>
      </c>
      <c r="N218" s="239">
        <v>0</v>
      </c>
      <c r="O218" s="239">
        <v>15306375</v>
      </c>
      <c r="P218" s="214" t="s">
        <v>517</v>
      </c>
      <c r="Q218" s="214" t="s">
        <v>821</v>
      </c>
      <c r="R218" s="214" t="s">
        <v>819</v>
      </c>
      <c r="S218" s="214" t="s">
        <v>1190</v>
      </c>
    </row>
    <row r="219" spans="1:19" x14ac:dyDescent="0.2">
      <c r="A219" s="214">
        <v>214</v>
      </c>
      <c r="B219" s="250" t="s">
        <v>520</v>
      </c>
      <c r="C219" s="250" t="s">
        <v>519</v>
      </c>
      <c r="D219" s="239">
        <v>14376599</v>
      </c>
      <c r="E219" s="239">
        <v>0</v>
      </c>
      <c r="F219" s="239">
        <v>4249</v>
      </c>
      <c r="G219" s="239">
        <v>99066</v>
      </c>
      <c r="H219" s="239">
        <v>0</v>
      </c>
      <c r="I219" s="239">
        <v>99066</v>
      </c>
      <c r="J219" s="239">
        <v>0</v>
      </c>
      <c r="K219" s="239">
        <v>0</v>
      </c>
      <c r="L219" s="239">
        <v>241714</v>
      </c>
      <c r="M219" s="239">
        <v>241714</v>
      </c>
      <c r="N219" s="239">
        <v>0</v>
      </c>
      <c r="O219" s="239">
        <v>14031570</v>
      </c>
      <c r="P219" s="214" t="s">
        <v>519</v>
      </c>
      <c r="Q219" s="214" t="s">
        <v>756</v>
      </c>
      <c r="R219" s="214" t="s">
        <v>754</v>
      </c>
      <c r="S219" s="214" t="s">
        <v>1190</v>
      </c>
    </row>
    <row r="220" spans="1:19" x14ac:dyDescent="0.2">
      <c r="A220" s="214">
        <v>215</v>
      </c>
      <c r="B220" s="250" t="s">
        <v>522</v>
      </c>
      <c r="C220" s="250" t="s">
        <v>521</v>
      </c>
      <c r="D220" s="239">
        <v>17594326</v>
      </c>
      <c r="E220" s="239">
        <v>0</v>
      </c>
      <c r="F220" s="239">
        <v>48142</v>
      </c>
      <c r="G220" s="239">
        <v>146592</v>
      </c>
      <c r="H220" s="239">
        <v>0</v>
      </c>
      <c r="I220" s="239">
        <v>146592</v>
      </c>
      <c r="J220" s="239">
        <v>0</v>
      </c>
      <c r="K220" s="239">
        <v>0</v>
      </c>
      <c r="L220" s="239">
        <v>0</v>
      </c>
      <c r="M220" s="239">
        <v>0</v>
      </c>
      <c r="N220" s="239">
        <v>0</v>
      </c>
      <c r="O220" s="239">
        <v>17399592</v>
      </c>
      <c r="P220" s="214" t="s">
        <v>521</v>
      </c>
      <c r="Q220" s="214" t="s">
        <v>808</v>
      </c>
      <c r="R220" s="214" t="s">
        <v>806</v>
      </c>
      <c r="S220" s="214" t="s">
        <v>1190</v>
      </c>
    </row>
    <row r="221" spans="1:19" x14ac:dyDescent="0.2">
      <c r="A221" s="214">
        <v>216</v>
      </c>
      <c r="B221" s="250" t="s">
        <v>524</v>
      </c>
      <c r="C221" s="250" t="s">
        <v>523</v>
      </c>
      <c r="D221" s="239">
        <v>78052382</v>
      </c>
      <c r="E221" s="239">
        <v>0</v>
      </c>
      <c r="F221" s="239">
        <v>467721</v>
      </c>
      <c r="G221" s="239">
        <v>311541</v>
      </c>
      <c r="H221" s="239">
        <v>0</v>
      </c>
      <c r="I221" s="239">
        <v>311541</v>
      </c>
      <c r="J221" s="239">
        <v>0</v>
      </c>
      <c r="K221" s="239">
        <v>0</v>
      </c>
      <c r="L221" s="239">
        <v>169291</v>
      </c>
      <c r="M221" s="239">
        <v>169291</v>
      </c>
      <c r="N221" s="239">
        <v>0</v>
      </c>
      <c r="O221" s="239">
        <v>77103829</v>
      </c>
      <c r="P221" s="214" t="s">
        <v>523</v>
      </c>
      <c r="Q221" s="214" t="s">
        <v>767</v>
      </c>
      <c r="R221" s="214" t="s">
        <v>864</v>
      </c>
      <c r="S221" s="214" t="s">
        <v>1192</v>
      </c>
    </row>
    <row r="222" spans="1:19" x14ac:dyDescent="0.2">
      <c r="A222" s="214">
        <v>217</v>
      </c>
      <c r="B222" s="250" t="s">
        <v>526</v>
      </c>
      <c r="C222" s="250" t="s">
        <v>525</v>
      </c>
      <c r="D222" s="239">
        <v>47945381</v>
      </c>
      <c r="E222" s="239">
        <v>0</v>
      </c>
      <c r="F222" s="239">
        <v>2979</v>
      </c>
      <c r="G222" s="239">
        <v>137063</v>
      </c>
      <c r="H222" s="239">
        <v>0</v>
      </c>
      <c r="I222" s="239">
        <v>137063</v>
      </c>
      <c r="J222" s="239">
        <v>0</v>
      </c>
      <c r="K222" s="239">
        <v>0</v>
      </c>
      <c r="L222" s="239">
        <v>0</v>
      </c>
      <c r="M222" s="239">
        <v>0</v>
      </c>
      <c r="N222" s="239">
        <v>0</v>
      </c>
      <c r="O222" s="239">
        <v>47805339</v>
      </c>
      <c r="P222" s="214" t="s">
        <v>525</v>
      </c>
      <c r="Q222" s="214" t="s">
        <v>812</v>
      </c>
      <c r="R222" s="214" t="s">
        <v>762</v>
      </c>
      <c r="S222" s="214" t="s">
        <v>1190</v>
      </c>
    </row>
    <row r="223" spans="1:19" x14ac:dyDescent="0.2">
      <c r="A223" s="214">
        <v>218</v>
      </c>
      <c r="B223" s="250" t="s">
        <v>528</v>
      </c>
      <c r="C223" s="250" t="s">
        <v>527</v>
      </c>
      <c r="D223" s="239">
        <v>44816767</v>
      </c>
      <c r="E223" s="239">
        <v>7402</v>
      </c>
      <c r="F223" s="239">
        <v>0</v>
      </c>
      <c r="G223" s="239">
        <v>126790</v>
      </c>
      <c r="H223" s="239">
        <v>0</v>
      </c>
      <c r="I223" s="239">
        <v>126790</v>
      </c>
      <c r="J223" s="239">
        <v>0</v>
      </c>
      <c r="K223" s="239">
        <v>0</v>
      </c>
      <c r="L223" s="239">
        <v>0</v>
      </c>
      <c r="M223" s="239">
        <v>0</v>
      </c>
      <c r="N223" s="239">
        <v>0</v>
      </c>
      <c r="O223" s="239">
        <v>44697379</v>
      </c>
      <c r="P223" s="214" t="s">
        <v>527</v>
      </c>
      <c r="Q223" s="214" t="s">
        <v>771</v>
      </c>
      <c r="R223" s="214" t="s">
        <v>762</v>
      </c>
      <c r="S223" s="214" t="s">
        <v>1190</v>
      </c>
    </row>
    <row r="224" spans="1:19" x14ac:dyDescent="0.2">
      <c r="A224" s="214">
        <v>219</v>
      </c>
      <c r="B224" s="250" t="s">
        <v>530</v>
      </c>
      <c r="C224" s="250" t="s">
        <v>529</v>
      </c>
      <c r="D224" s="239">
        <v>27578540</v>
      </c>
      <c r="E224" s="239">
        <v>0</v>
      </c>
      <c r="F224" s="239">
        <v>70571</v>
      </c>
      <c r="G224" s="239">
        <v>111538</v>
      </c>
      <c r="H224" s="239">
        <v>0</v>
      </c>
      <c r="I224" s="239">
        <v>111538</v>
      </c>
      <c r="J224" s="239">
        <v>0</v>
      </c>
      <c r="K224" s="239">
        <v>0</v>
      </c>
      <c r="L224" s="239">
        <v>144846</v>
      </c>
      <c r="M224" s="239">
        <v>144846</v>
      </c>
      <c r="N224" s="239">
        <v>0</v>
      </c>
      <c r="O224" s="239">
        <v>27251585</v>
      </c>
      <c r="P224" s="214" t="s">
        <v>529</v>
      </c>
      <c r="Q224" s="214" t="s">
        <v>873</v>
      </c>
      <c r="R224" s="214" t="s">
        <v>871</v>
      </c>
      <c r="S224" s="214" t="s">
        <v>1190</v>
      </c>
    </row>
    <row r="225" spans="1:19" x14ac:dyDescent="0.2">
      <c r="A225" s="214">
        <v>220</v>
      </c>
      <c r="B225" s="250" t="s">
        <v>532</v>
      </c>
      <c r="C225" s="250" t="s">
        <v>531</v>
      </c>
      <c r="D225" s="239">
        <v>46761493</v>
      </c>
      <c r="E225" s="239">
        <v>0</v>
      </c>
      <c r="F225" s="239">
        <v>36836</v>
      </c>
      <c r="G225" s="239">
        <v>121838</v>
      </c>
      <c r="H225" s="239">
        <v>0</v>
      </c>
      <c r="I225" s="239">
        <v>121838</v>
      </c>
      <c r="J225" s="239">
        <v>0</v>
      </c>
      <c r="K225" s="239">
        <v>0</v>
      </c>
      <c r="L225" s="239">
        <v>0</v>
      </c>
      <c r="M225" s="239">
        <v>0</v>
      </c>
      <c r="N225" s="239">
        <v>0</v>
      </c>
      <c r="O225" s="239">
        <v>46602819</v>
      </c>
      <c r="P225" s="214" t="s">
        <v>531</v>
      </c>
      <c r="Q225" s="214" t="s">
        <v>778</v>
      </c>
      <c r="R225" s="214" t="s">
        <v>776</v>
      </c>
      <c r="S225" s="214" t="s">
        <v>1190</v>
      </c>
    </row>
    <row r="226" spans="1:19" x14ac:dyDescent="0.2">
      <c r="A226" s="214">
        <v>221</v>
      </c>
      <c r="B226" s="250" t="s">
        <v>534</v>
      </c>
      <c r="C226" s="250" t="s">
        <v>533</v>
      </c>
      <c r="D226" s="239">
        <v>10697312</v>
      </c>
      <c r="E226" s="239">
        <v>13799</v>
      </c>
      <c r="F226" s="239">
        <v>0</v>
      </c>
      <c r="G226" s="239">
        <v>57455</v>
      </c>
      <c r="H226" s="239">
        <v>0</v>
      </c>
      <c r="I226" s="239">
        <v>57455</v>
      </c>
      <c r="J226" s="239">
        <v>0</v>
      </c>
      <c r="K226" s="239">
        <v>0</v>
      </c>
      <c r="L226" s="239">
        <v>35908</v>
      </c>
      <c r="M226" s="239">
        <v>35908</v>
      </c>
      <c r="N226" s="239">
        <v>0</v>
      </c>
      <c r="O226" s="239">
        <v>10617748</v>
      </c>
      <c r="P226" s="214" t="s">
        <v>870</v>
      </c>
      <c r="Q226" s="214" t="s">
        <v>747</v>
      </c>
      <c r="R226" s="214" t="s">
        <v>868</v>
      </c>
      <c r="S226" s="214" t="s">
        <v>747</v>
      </c>
    </row>
    <row r="227" spans="1:19" x14ac:dyDescent="0.2">
      <c r="A227" s="214">
        <v>222</v>
      </c>
      <c r="B227" s="250" t="s">
        <v>536</v>
      </c>
      <c r="C227" s="250" t="s">
        <v>535</v>
      </c>
      <c r="D227" s="239">
        <v>16642587</v>
      </c>
      <c r="E227" s="239">
        <v>0</v>
      </c>
      <c r="F227" s="239">
        <v>142201</v>
      </c>
      <c r="G227" s="239">
        <v>110406</v>
      </c>
      <c r="H227" s="239">
        <v>0</v>
      </c>
      <c r="I227" s="239">
        <v>110406</v>
      </c>
      <c r="J227" s="239">
        <v>0</v>
      </c>
      <c r="K227" s="239">
        <v>0</v>
      </c>
      <c r="L227" s="239">
        <v>40891</v>
      </c>
      <c r="M227" s="239">
        <v>40891</v>
      </c>
      <c r="N227" s="239">
        <v>0</v>
      </c>
      <c r="O227" s="239">
        <v>16349089</v>
      </c>
      <c r="P227" s="214" t="s">
        <v>535</v>
      </c>
      <c r="Q227" s="214" t="s">
        <v>866</v>
      </c>
      <c r="R227" s="214" t="s">
        <v>745</v>
      </c>
      <c r="S227" s="214" t="s">
        <v>1190</v>
      </c>
    </row>
    <row r="228" spans="1:19" x14ac:dyDescent="0.2">
      <c r="A228" s="214">
        <v>223</v>
      </c>
      <c r="B228" s="250" t="s">
        <v>538</v>
      </c>
      <c r="C228" s="250" t="s">
        <v>537</v>
      </c>
      <c r="D228" s="239">
        <v>93104835</v>
      </c>
      <c r="E228" s="239">
        <v>0</v>
      </c>
      <c r="F228" s="239">
        <v>549093</v>
      </c>
      <c r="G228" s="239">
        <v>447971</v>
      </c>
      <c r="H228" s="239">
        <v>0</v>
      </c>
      <c r="I228" s="239">
        <v>447971</v>
      </c>
      <c r="J228" s="239">
        <v>0</v>
      </c>
      <c r="K228" s="239">
        <v>0</v>
      </c>
      <c r="L228" s="239">
        <v>0</v>
      </c>
      <c r="M228" s="239">
        <v>0</v>
      </c>
      <c r="N228" s="239">
        <v>0</v>
      </c>
      <c r="O228" s="239">
        <v>92107771</v>
      </c>
      <c r="P228" s="214" t="s">
        <v>537</v>
      </c>
      <c r="Q228" s="214" t="s">
        <v>767</v>
      </c>
      <c r="R228" s="214" t="s">
        <v>782</v>
      </c>
      <c r="S228" s="214" t="s">
        <v>1192</v>
      </c>
    </row>
    <row r="229" spans="1:19" x14ac:dyDescent="0.2">
      <c r="A229" s="214">
        <v>224</v>
      </c>
      <c r="B229" s="250" t="s">
        <v>540</v>
      </c>
      <c r="C229" s="250" t="s">
        <v>539</v>
      </c>
      <c r="D229" s="239">
        <v>101826678</v>
      </c>
      <c r="E229" s="239">
        <v>0</v>
      </c>
      <c r="F229" s="239">
        <v>343981</v>
      </c>
      <c r="G229" s="239">
        <v>452663</v>
      </c>
      <c r="H229" s="239">
        <v>0</v>
      </c>
      <c r="I229" s="239">
        <v>452663</v>
      </c>
      <c r="J229" s="239">
        <v>0</v>
      </c>
      <c r="K229" s="239">
        <v>0</v>
      </c>
      <c r="L229" s="239">
        <v>0</v>
      </c>
      <c r="M229" s="239">
        <v>0</v>
      </c>
      <c r="N229" s="239">
        <v>0</v>
      </c>
      <c r="O229" s="239">
        <v>101030034</v>
      </c>
      <c r="P229" s="214" t="s">
        <v>539</v>
      </c>
      <c r="Q229" s="214" t="s">
        <v>767</v>
      </c>
      <c r="R229" s="214" t="s">
        <v>765</v>
      </c>
      <c r="S229" s="214" t="s">
        <v>1192</v>
      </c>
    </row>
    <row r="230" spans="1:19" x14ac:dyDescent="0.2">
      <c r="A230" s="214">
        <v>225</v>
      </c>
      <c r="B230" s="250" t="s">
        <v>542</v>
      </c>
      <c r="C230" s="250" t="s">
        <v>541</v>
      </c>
      <c r="D230" s="239">
        <v>34187318</v>
      </c>
      <c r="E230" s="239">
        <v>0</v>
      </c>
      <c r="F230" s="239">
        <v>136015</v>
      </c>
      <c r="G230" s="239">
        <v>257962</v>
      </c>
      <c r="H230" s="239">
        <v>0</v>
      </c>
      <c r="I230" s="239">
        <v>257962</v>
      </c>
      <c r="J230" s="239">
        <v>0</v>
      </c>
      <c r="K230" s="239">
        <v>0</v>
      </c>
      <c r="L230" s="239">
        <v>0</v>
      </c>
      <c r="M230" s="239">
        <v>0</v>
      </c>
      <c r="N230" s="239">
        <v>0</v>
      </c>
      <c r="O230" s="239">
        <v>33793341</v>
      </c>
      <c r="P230" s="214" t="s">
        <v>541</v>
      </c>
      <c r="Q230" s="214" t="s">
        <v>866</v>
      </c>
      <c r="R230" s="214" t="s">
        <v>745</v>
      </c>
      <c r="S230" s="214" t="s">
        <v>1190</v>
      </c>
    </row>
    <row r="231" spans="1:19" x14ac:dyDescent="0.2">
      <c r="A231" s="214">
        <v>226</v>
      </c>
      <c r="B231" s="250" t="s">
        <v>544</v>
      </c>
      <c r="C231" s="250" t="s">
        <v>543</v>
      </c>
      <c r="D231" s="239">
        <v>39495766</v>
      </c>
      <c r="E231" s="239">
        <v>0</v>
      </c>
      <c r="F231" s="239">
        <v>157871</v>
      </c>
      <c r="G231" s="239">
        <v>161084</v>
      </c>
      <c r="H231" s="239">
        <v>0</v>
      </c>
      <c r="I231" s="239">
        <v>161084</v>
      </c>
      <c r="J231" s="239">
        <v>0</v>
      </c>
      <c r="K231" s="239">
        <v>0</v>
      </c>
      <c r="L231" s="239">
        <v>227233</v>
      </c>
      <c r="M231" s="239">
        <v>227233</v>
      </c>
      <c r="N231" s="239">
        <v>0</v>
      </c>
      <c r="O231" s="239">
        <v>38949578</v>
      </c>
      <c r="P231" s="214" t="s">
        <v>543</v>
      </c>
      <c r="Q231" s="214" t="s">
        <v>793</v>
      </c>
      <c r="R231" s="214" t="s">
        <v>791</v>
      </c>
      <c r="S231" s="214" t="s">
        <v>1190</v>
      </c>
    </row>
    <row r="232" spans="1:19" x14ac:dyDescent="0.2">
      <c r="A232" s="214">
        <v>227</v>
      </c>
      <c r="B232" s="250" t="s">
        <v>546</v>
      </c>
      <c r="C232" s="250" t="s">
        <v>545</v>
      </c>
      <c r="D232" s="239">
        <v>66479411</v>
      </c>
      <c r="E232" s="239">
        <v>0</v>
      </c>
      <c r="F232" s="239">
        <v>69945</v>
      </c>
      <c r="G232" s="239">
        <v>328553</v>
      </c>
      <c r="H232" s="239">
        <v>0</v>
      </c>
      <c r="I232" s="239">
        <v>328553</v>
      </c>
      <c r="J232" s="239">
        <v>0</v>
      </c>
      <c r="K232" s="239">
        <v>0</v>
      </c>
      <c r="L232" s="239">
        <v>0</v>
      </c>
      <c r="M232" s="239">
        <v>0</v>
      </c>
      <c r="N232" s="239">
        <v>0</v>
      </c>
      <c r="O232" s="239">
        <v>66080913</v>
      </c>
      <c r="P232" s="214" t="s">
        <v>545</v>
      </c>
      <c r="Q232" s="214" t="s">
        <v>767</v>
      </c>
      <c r="R232" s="214" t="s">
        <v>773</v>
      </c>
      <c r="S232" s="214" t="s">
        <v>1192</v>
      </c>
    </row>
    <row r="233" spans="1:19" x14ac:dyDescent="0.2">
      <c r="A233" s="214">
        <v>228</v>
      </c>
      <c r="B233" s="250" t="s">
        <v>548</v>
      </c>
      <c r="C233" s="250" t="s">
        <v>547</v>
      </c>
      <c r="D233" s="239">
        <v>41051000</v>
      </c>
      <c r="E233" s="239">
        <v>0</v>
      </c>
      <c r="F233" s="239">
        <v>106312</v>
      </c>
      <c r="G233" s="239">
        <v>118443</v>
      </c>
      <c r="H233" s="239">
        <v>0</v>
      </c>
      <c r="I233" s="239">
        <v>118443</v>
      </c>
      <c r="J233" s="239">
        <v>0</v>
      </c>
      <c r="K233" s="239">
        <v>0</v>
      </c>
      <c r="L233" s="239">
        <v>6421601</v>
      </c>
      <c r="M233" s="239">
        <v>6421601</v>
      </c>
      <c r="N233" s="239">
        <v>0</v>
      </c>
      <c r="O233" s="239">
        <v>34404644</v>
      </c>
      <c r="P233" s="214" t="s">
        <v>547</v>
      </c>
      <c r="Q233" s="214" t="s">
        <v>866</v>
      </c>
      <c r="R233" s="214" t="s">
        <v>745</v>
      </c>
      <c r="S233" s="214" t="s">
        <v>1190</v>
      </c>
    </row>
    <row r="234" spans="1:19" x14ac:dyDescent="0.2">
      <c r="A234" s="214">
        <v>229</v>
      </c>
      <c r="B234" s="250" t="s">
        <v>550</v>
      </c>
      <c r="C234" s="250" t="s">
        <v>549</v>
      </c>
      <c r="D234" s="239">
        <v>36296452</v>
      </c>
      <c r="E234" s="239">
        <v>0</v>
      </c>
      <c r="F234" s="239">
        <v>30854</v>
      </c>
      <c r="G234" s="239">
        <v>165079</v>
      </c>
      <c r="H234" s="239">
        <v>0</v>
      </c>
      <c r="I234" s="239">
        <v>165079</v>
      </c>
      <c r="J234" s="239">
        <v>0</v>
      </c>
      <c r="K234" s="239">
        <v>0</v>
      </c>
      <c r="L234" s="239">
        <v>0</v>
      </c>
      <c r="M234" s="239">
        <v>0</v>
      </c>
      <c r="N234" s="239">
        <v>0</v>
      </c>
      <c r="O234" s="239">
        <v>36100519</v>
      </c>
      <c r="P234" s="214" t="s">
        <v>549</v>
      </c>
      <c r="Q234" s="214" t="s">
        <v>825</v>
      </c>
      <c r="R234" s="214" t="s">
        <v>823</v>
      </c>
      <c r="S234" s="214" t="s">
        <v>1190</v>
      </c>
    </row>
    <row r="235" spans="1:19" x14ac:dyDescent="0.2">
      <c r="A235" s="214">
        <v>230</v>
      </c>
      <c r="B235" s="250" t="s">
        <v>552</v>
      </c>
      <c r="C235" s="250" t="s">
        <v>551</v>
      </c>
      <c r="D235" s="239">
        <v>210670940</v>
      </c>
      <c r="E235" s="239">
        <v>0</v>
      </c>
      <c r="F235" s="239">
        <v>506337</v>
      </c>
      <c r="G235" s="239">
        <v>777710</v>
      </c>
      <c r="H235" s="239">
        <v>0</v>
      </c>
      <c r="I235" s="239">
        <v>777710</v>
      </c>
      <c r="J235" s="239">
        <v>0</v>
      </c>
      <c r="K235" s="239">
        <v>783107</v>
      </c>
      <c r="L235" s="239">
        <v>1068550</v>
      </c>
      <c r="M235" s="239">
        <v>1068550</v>
      </c>
      <c r="N235" s="239">
        <v>0</v>
      </c>
      <c r="O235" s="239">
        <v>207535236</v>
      </c>
      <c r="P235" s="214" t="s">
        <v>551</v>
      </c>
      <c r="Q235" s="214" t="s">
        <v>767</v>
      </c>
      <c r="R235" s="214" t="s">
        <v>864</v>
      </c>
      <c r="S235" s="214" t="s">
        <v>1192</v>
      </c>
    </row>
    <row r="236" spans="1:19" x14ac:dyDescent="0.2">
      <c r="A236" s="214">
        <v>231</v>
      </c>
      <c r="B236" s="250" t="s">
        <v>554</v>
      </c>
      <c r="C236" s="250" t="s">
        <v>553</v>
      </c>
      <c r="D236" s="239">
        <v>28669708</v>
      </c>
      <c r="E236" s="239">
        <v>0</v>
      </c>
      <c r="F236" s="239">
        <v>66138</v>
      </c>
      <c r="G236" s="239">
        <v>149886</v>
      </c>
      <c r="H236" s="239">
        <v>0</v>
      </c>
      <c r="I236" s="239">
        <v>149886</v>
      </c>
      <c r="J236" s="239">
        <v>0</v>
      </c>
      <c r="K236" s="239">
        <v>0</v>
      </c>
      <c r="L236" s="239">
        <v>0</v>
      </c>
      <c r="M236" s="239">
        <v>0</v>
      </c>
      <c r="N236" s="239">
        <v>0</v>
      </c>
      <c r="O236" s="239">
        <v>28453684</v>
      </c>
      <c r="P236" s="214" t="s">
        <v>553</v>
      </c>
      <c r="Q236" s="214" t="s">
        <v>825</v>
      </c>
      <c r="R236" s="214" t="s">
        <v>823</v>
      </c>
      <c r="S236" s="214" t="s">
        <v>1190</v>
      </c>
    </row>
    <row r="237" spans="1:19" x14ac:dyDescent="0.2">
      <c r="A237" s="214">
        <v>232</v>
      </c>
      <c r="B237" s="250" t="s">
        <v>556</v>
      </c>
      <c r="C237" s="250" t="s">
        <v>555</v>
      </c>
      <c r="D237" s="239">
        <v>80993797</v>
      </c>
      <c r="E237" s="239">
        <v>0</v>
      </c>
      <c r="F237" s="239">
        <v>25693</v>
      </c>
      <c r="G237" s="239">
        <v>462718</v>
      </c>
      <c r="H237" s="239">
        <v>0</v>
      </c>
      <c r="I237" s="239">
        <v>462718</v>
      </c>
      <c r="J237" s="239">
        <v>0</v>
      </c>
      <c r="K237" s="239">
        <v>0</v>
      </c>
      <c r="L237" s="239">
        <v>481243</v>
      </c>
      <c r="M237" s="239">
        <v>481243</v>
      </c>
      <c r="N237" s="239">
        <v>0</v>
      </c>
      <c r="O237" s="239">
        <v>80024143</v>
      </c>
      <c r="P237" s="214" t="s">
        <v>555</v>
      </c>
      <c r="Q237" s="214" t="s">
        <v>747</v>
      </c>
      <c r="R237" s="214" t="s">
        <v>832</v>
      </c>
      <c r="S237" s="214" t="s">
        <v>747</v>
      </c>
    </row>
    <row r="238" spans="1:19" x14ac:dyDescent="0.2">
      <c r="A238" s="214">
        <v>233</v>
      </c>
      <c r="B238" s="250" t="s">
        <v>558</v>
      </c>
      <c r="C238" s="250" t="s">
        <v>557</v>
      </c>
      <c r="D238" s="239">
        <v>97812479</v>
      </c>
      <c r="E238" s="239">
        <v>1102</v>
      </c>
      <c r="F238" s="239">
        <v>0</v>
      </c>
      <c r="G238" s="239">
        <v>210222</v>
      </c>
      <c r="H238" s="239">
        <v>0</v>
      </c>
      <c r="I238" s="239">
        <v>210222</v>
      </c>
      <c r="J238" s="239">
        <v>0</v>
      </c>
      <c r="K238" s="239">
        <v>0</v>
      </c>
      <c r="L238" s="239">
        <v>0</v>
      </c>
      <c r="M238" s="239">
        <v>0</v>
      </c>
      <c r="N238" s="239">
        <v>0</v>
      </c>
      <c r="O238" s="239">
        <v>97603359</v>
      </c>
      <c r="P238" s="214" t="s">
        <v>863</v>
      </c>
      <c r="Q238" s="214" t="s">
        <v>747</v>
      </c>
      <c r="R238" s="214" t="s">
        <v>768</v>
      </c>
      <c r="S238" s="214" t="s">
        <v>747</v>
      </c>
    </row>
    <row r="239" spans="1:19" x14ac:dyDescent="0.2">
      <c r="A239" s="214">
        <v>234</v>
      </c>
      <c r="B239" s="250" t="s">
        <v>560</v>
      </c>
      <c r="C239" s="250" t="s">
        <v>559</v>
      </c>
      <c r="D239" s="239">
        <v>114003822</v>
      </c>
      <c r="E239" s="239">
        <v>0</v>
      </c>
      <c r="F239" s="239">
        <v>1953463</v>
      </c>
      <c r="G239" s="239">
        <v>252068</v>
      </c>
      <c r="H239" s="239">
        <v>0</v>
      </c>
      <c r="I239" s="239">
        <v>252068</v>
      </c>
      <c r="J239" s="239">
        <v>0</v>
      </c>
      <c r="K239" s="239">
        <v>0</v>
      </c>
      <c r="L239" s="239">
        <v>0</v>
      </c>
      <c r="M239" s="239">
        <v>0</v>
      </c>
      <c r="N239" s="239">
        <v>0</v>
      </c>
      <c r="O239" s="239">
        <v>111798291</v>
      </c>
      <c r="P239" s="214" t="s">
        <v>559</v>
      </c>
      <c r="Q239" s="214" t="s">
        <v>767</v>
      </c>
      <c r="R239" s="214" t="s">
        <v>765</v>
      </c>
      <c r="S239" s="214" t="s">
        <v>1192</v>
      </c>
    </row>
    <row r="240" spans="1:19" x14ac:dyDescent="0.2">
      <c r="A240" s="214">
        <v>235</v>
      </c>
      <c r="B240" s="250" t="s">
        <v>562</v>
      </c>
      <c r="C240" s="250" t="s">
        <v>561</v>
      </c>
      <c r="D240" s="239">
        <v>30946326</v>
      </c>
      <c r="E240" s="239">
        <v>541</v>
      </c>
      <c r="F240" s="239">
        <v>0</v>
      </c>
      <c r="G240" s="239">
        <v>97762</v>
      </c>
      <c r="H240" s="239">
        <v>0</v>
      </c>
      <c r="I240" s="239">
        <v>97762</v>
      </c>
      <c r="J240" s="239">
        <v>0</v>
      </c>
      <c r="K240" s="239">
        <v>0</v>
      </c>
      <c r="L240" s="239">
        <v>0</v>
      </c>
      <c r="M240" s="239">
        <v>0</v>
      </c>
      <c r="N240" s="239">
        <v>0</v>
      </c>
      <c r="O240" s="239">
        <v>30849105</v>
      </c>
      <c r="P240" s="214" t="s">
        <v>561</v>
      </c>
      <c r="Q240" s="214" t="s">
        <v>760</v>
      </c>
      <c r="R240" s="214" t="s">
        <v>758</v>
      </c>
      <c r="S240" s="214" t="s">
        <v>1190</v>
      </c>
    </row>
    <row r="241" spans="1:19" x14ac:dyDescent="0.2">
      <c r="A241" s="214">
        <v>236</v>
      </c>
      <c r="B241" s="250" t="s">
        <v>564</v>
      </c>
      <c r="C241" s="250" t="s">
        <v>563</v>
      </c>
      <c r="D241" s="239">
        <v>78386900</v>
      </c>
      <c r="E241" s="239">
        <v>0</v>
      </c>
      <c r="F241" s="239">
        <v>362776</v>
      </c>
      <c r="G241" s="239">
        <v>223204</v>
      </c>
      <c r="H241" s="239">
        <v>0</v>
      </c>
      <c r="I241" s="239">
        <v>223204</v>
      </c>
      <c r="J241" s="239">
        <v>0</v>
      </c>
      <c r="K241" s="239">
        <v>500157</v>
      </c>
      <c r="L241" s="239">
        <v>1009805</v>
      </c>
      <c r="M241" s="239">
        <v>1009805</v>
      </c>
      <c r="N241" s="239">
        <v>0</v>
      </c>
      <c r="O241" s="239">
        <v>76290958</v>
      </c>
      <c r="P241" s="214" t="s">
        <v>563</v>
      </c>
      <c r="Q241" s="214" t="s">
        <v>861</v>
      </c>
      <c r="R241" s="214" t="s">
        <v>859</v>
      </c>
      <c r="S241" s="214" t="s">
        <v>1190</v>
      </c>
    </row>
    <row r="242" spans="1:19" x14ac:dyDescent="0.2">
      <c r="A242" s="214">
        <v>237</v>
      </c>
      <c r="B242" s="250" t="s">
        <v>566</v>
      </c>
      <c r="C242" s="250" t="s">
        <v>565</v>
      </c>
      <c r="D242" s="239">
        <v>23249237</v>
      </c>
      <c r="E242" s="239">
        <v>0</v>
      </c>
      <c r="F242" s="239">
        <v>14857</v>
      </c>
      <c r="G242" s="239">
        <v>91482</v>
      </c>
      <c r="H242" s="239">
        <v>0</v>
      </c>
      <c r="I242" s="239">
        <v>91482</v>
      </c>
      <c r="J242" s="239">
        <v>0</v>
      </c>
      <c r="K242" s="239">
        <v>0</v>
      </c>
      <c r="L242" s="239">
        <v>0</v>
      </c>
      <c r="M242" s="239">
        <v>0</v>
      </c>
      <c r="N242" s="239">
        <v>0</v>
      </c>
      <c r="O242" s="239">
        <v>23142898</v>
      </c>
      <c r="P242" s="214" t="s">
        <v>565</v>
      </c>
      <c r="Q242" s="214" t="s">
        <v>857</v>
      </c>
      <c r="R242" s="214" t="s">
        <v>855</v>
      </c>
      <c r="S242" s="214" t="s">
        <v>1190</v>
      </c>
    </row>
    <row r="243" spans="1:19" x14ac:dyDescent="0.2">
      <c r="A243" s="214">
        <v>238</v>
      </c>
      <c r="B243" s="250" t="s">
        <v>568</v>
      </c>
      <c r="C243" s="250" t="s">
        <v>567</v>
      </c>
      <c r="D243" s="239">
        <v>140396863</v>
      </c>
      <c r="E243" s="239">
        <v>0</v>
      </c>
      <c r="F243" s="239">
        <v>450366</v>
      </c>
      <c r="G243" s="239">
        <v>336111</v>
      </c>
      <c r="H243" s="239">
        <v>0</v>
      </c>
      <c r="I243" s="239">
        <v>336111</v>
      </c>
      <c r="J243" s="239">
        <v>0</v>
      </c>
      <c r="K243" s="239">
        <v>4617815</v>
      </c>
      <c r="L243" s="239">
        <v>239306</v>
      </c>
      <c r="M243" s="239">
        <v>239306</v>
      </c>
      <c r="N243" s="239">
        <v>0</v>
      </c>
      <c r="O243" s="239">
        <v>134753265</v>
      </c>
      <c r="P243" s="214" t="s">
        <v>854</v>
      </c>
      <c r="Q243" s="214" t="s">
        <v>747</v>
      </c>
      <c r="R243" s="214" t="s">
        <v>852</v>
      </c>
      <c r="S243" s="214" t="s">
        <v>747</v>
      </c>
    </row>
    <row r="244" spans="1:19" x14ac:dyDescent="0.2">
      <c r="A244" s="214">
        <v>239</v>
      </c>
      <c r="B244" s="250" t="s">
        <v>570</v>
      </c>
      <c r="C244" s="250" t="s">
        <v>569</v>
      </c>
      <c r="D244" s="239">
        <v>57649890</v>
      </c>
      <c r="E244" s="239">
        <v>0</v>
      </c>
      <c r="F244" s="239">
        <v>835153</v>
      </c>
      <c r="G244" s="239">
        <v>208295</v>
      </c>
      <c r="H244" s="239">
        <v>0</v>
      </c>
      <c r="I244" s="239">
        <v>208295</v>
      </c>
      <c r="J244" s="239">
        <v>0</v>
      </c>
      <c r="K244" s="239">
        <v>0</v>
      </c>
      <c r="L244" s="239">
        <v>0</v>
      </c>
      <c r="M244" s="239">
        <v>0</v>
      </c>
      <c r="N244" s="239">
        <v>0</v>
      </c>
      <c r="O244" s="239">
        <v>56606442</v>
      </c>
      <c r="P244" s="214" t="s">
        <v>569</v>
      </c>
      <c r="Q244" s="214" t="s">
        <v>799</v>
      </c>
      <c r="R244" s="214" t="s">
        <v>791</v>
      </c>
      <c r="S244" s="214" t="s">
        <v>1190</v>
      </c>
    </row>
    <row r="245" spans="1:19" x14ac:dyDescent="0.2">
      <c r="A245" s="214">
        <v>240</v>
      </c>
      <c r="B245" s="250" t="s">
        <v>572</v>
      </c>
      <c r="C245" s="250" t="s">
        <v>571</v>
      </c>
      <c r="D245" s="239">
        <v>26032525</v>
      </c>
      <c r="E245" s="239">
        <v>0</v>
      </c>
      <c r="F245" s="239">
        <v>2413739</v>
      </c>
      <c r="G245" s="239">
        <v>111638</v>
      </c>
      <c r="H245" s="239">
        <v>0</v>
      </c>
      <c r="I245" s="239">
        <v>111638</v>
      </c>
      <c r="J245" s="239">
        <v>0</v>
      </c>
      <c r="K245" s="239">
        <v>0</v>
      </c>
      <c r="L245" s="239">
        <v>242898</v>
      </c>
      <c r="M245" s="239">
        <v>242898</v>
      </c>
      <c r="N245" s="239">
        <v>0</v>
      </c>
      <c r="O245" s="239">
        <v>23264250</v>
      </c>
      <c r="P245" s="214" t="s">
        <v>571</v>
      </c>
      <c r="Q245" s="214" t="s">
        <v>797</v>
      </c>
      <c r="R245" s="214" t="s">
        <v>762</v>
      </c>
      <c r="S245" s="214" t="s">
        <v>1190</v>
      </c>
    </row>
    <row r="246" spans="1:19" x14ac:dyDescent="0.2">
      <c r="A246" s="214">
        <v>241</v>
      </c>
      <c r="B246" s="250" t="s">
        <v>574</v>
      </c>
      <c r="C246" s="250" t="s">
        <v>573</v>
      </c>
      <c r="D246" s="239">
        <v>41188809</v>
      </c>
      <c r="E246" s="239">
        <v>59373</v>
      </c>
      <c r="F246" s="239">
        <v>0</v>
      </c>
      <c r="G246" s="239">
        <v>178909</v>
      </c>
      <c r="H246" s="239">
        <v>0</v>
      </c>
      <c r="I246" s="239">
        <v>178909</v>
      </c>
      <c r="J246" s="239">
        <v>0</v>
      </c>
      <c r="K246" s="239">
        <v>0</v>
      </c>
      <c r="L246" s="239">
        <v>21517</v>
      </c>
      <c r="M246" s="239">
        <v>21517</v>
      </c>
      <c r="N246" s="239">
        <v>0</v>
      </c>
      <c r="O246" s="239">
        <v>41047756</v>
      </c>
      <c r="P246" s="214" t="s">
        <v>573</v>
      </c>
      <c r="Q246" s="214" t="s">
        <v>797</v>
      </c>
      <c r="R246" s="214" t="s">
        <v>762</v>
      </c>
      <c r="S246" s="214" t="s">
        <v>1190</v>
      </c>
    </row>
    <row r="247" spans="1:19" x14ac:dyDescent="0.2">
      <c r="A247" s="214">
        <v>242</v>
      </c>
      <c r="B247" s="250" t="s">
        <v>576</v>
      </c>
      <c r="C247" s="250" t="s">
        <v>575</v>
      </c>
      <c r="D247" s="239">
        <v>40036082</v>
      </c>
      <c r="E247" s="239">
        <v>0</v>
      </c>
      <c r="F247" s="239">
        <v>25671</v>
      </c>
      <c r="G247" s="239">
        <v>301317</v>
      </c>
      <c r="H247" s="239">
        <v>0</v>
      </c>
      <c r="I247" s="239">
        <v>301317</v>
      </c>
      <c r="J247" s="239">
        <v>0</v>
      </c>
      <c r="K247" s="239">
        <v>0</v>
      </c>
      <c r="L247" s="239">
        <v>0</v>
      </c>
      <c r="M247" s="239">
        <v>0</v>
      </c>
      <c r="N247" s="239">
        <v>0</v>
      </c>
      <c r="O247" s="239">
        <v>39709094</v>
      </c>
      <c r="P247" s="214" t="s">
        <v>575</v>
      </c>
      <c r="Q247" s="214" t="s">
        <v>850</v>
      </c>
      <c r="R247" s="214" t="s">
        <v>762</v>
      </c>
      <c r="S247" s="214" t="s">
        <v>1190</v>
      </c>
    </row>
    <row r="248" spans="1:19" x14ac:dyDescent="0.2">
      <c r="A248" s="214">
        <v>243</v>
      </c>
      <c r="B248" s="250" t="s">
        <v>578</v>
      </c>
      <c r="C248" s="250" t="s">
        <v>577</v>
      </c>
      <c r="D248" s="239">
        <v>29909994</v>
      </c>
      <c r="E248" s="239">
        <v>2718</v>
      </c>
      <c r="F248" s="239">
        <v>0</v>
      </c>
      <c r="G248" s="239">
        <v>161387</v>
      </c>
      <c r="H248" s="239">
        <v>0</v>
      </c>
      <c r="I248" s="239">
        <v>161387</v>
      </c>
      <c r="J248" s="239">
        <v>0</v>
      </c>
      <c r="K248" s="239">
        <v>0</v>
      </c>
      <c r="L248" s="239">
        <v>160655</v>
      </c>
      <c r="M248" s="239">
        <v>160655</v>
      </c>
      <c r="N248" s="239">
        <v>0</v>
      </c>
      <c r="O248" s="239">
        <v>29590670</v>
      </c>
      <c r="P248" s="214" t="s">
        <v>577</v>
      </c>
      <c r="Q248" s="214" t="s">
        <v>848</v>
      </c>
      <c r="R248" s="214" t="s">
        <v>762</v>
      </c>
      <c r="S248" s="214" t="s">
        <v>1190</v>
      </c>
    </row>
    <row r="249" spans="1:19" x14ac:dyDescent="0.2">
      <c r="A249" s="214">
        <v>244</v>
      </c>
      <c r="B249" s="250" t="s">
        <v>580</v>
      </c>
      <c r="C249" s="250" t="s">
        <v>579</v>
      </c>
      <c r="D249" s="239">
        <v>23077208</v>
      </c>
      <c r="E249" s="239">
        <v>41985</v>
      </c>
      <c r="F249" s="239">
        <v>0</v>
      </c>
      <c r="G249" s="239">
        <v>106539</v>
      </c>
      <c r="H249" s="239">
        <v>0</v>
      </c>
      <c r="I249" s="239">
        <v>106539</v>
      </c>
      <c r="J249" s="239">
        <v>0</v>
      </c>
      <c r="K249" s="239">
        <v>0</v>
      </c>
      <c r="L249" s="239">
        <v>363983</v>
      </c>
      <c r="M249" s="239">
        <v>363983</v>
      </c>
      <c r="N249" s="239">
        <v>0</v>
      </c>
      <c r="O249" s="239">
        <v>22648671</v>
      </c>
      <c r="P249" s="214" t="s">
        <v>579</v>
      </c>
      <c r="Q249" s="214" t="s">
        <v>804</v>
      </c>
      <c r="R249" s="214" t="s">
        <v>762</v>
      </c>
      <c r="S249" s="214" t="s">
        <v>1190</v>
      </c>
    </row>
    <row r="250" spans="1:19" x14ac:dyDescent="0.2">
      <c r="A250" s="214">
        <v>245</v>
      </c>
      <c r="B250" s="250" t="s">
        <v>582</v>
      </c>
      <c r="C250" s="250" t="s">
        <v>581</v>
      </c>
      <c r="D250" s="239">
        <v>42976107</v>
      </c>
      <c r="E250" s="239">
        <v>132125</v>
      </c>
      <c r="F250" s="239">
        <v>0</v>
      </c>
      <c r="G250" s="239">
        <v>185761</v>
      </c>
      <c r="H250" s="239">
        <v>0</v>
      </c>
      <c r="I250" s="239">
        <v>185761</v>
      </c>
      <c r="J250" s="239">
        <v>0</v>
      </c>
      <c r="K250" s="239">
        <v>49058</v>
      </c>
      <c r="L250" s="239">
        <v>187803</v>
      </c>
      <c r="M250" s="239">
        <v>187803</v>
      </c>
      <c r="N250" s="239">
        <v>0</v>
      </c>
      <c r="O250" s="239">
        <v>42685610</v>
      </c>
      <c r="P250" s="214" t="s">
        <v>581</v>
      </c>
      <c r="Q250" s="214" t="s">
        <v>795</v>
      </c>
      <c r="R250" s="214" t="s">
        <v>762</v>
      </c>
      <c r="S250" s="214" t="s">
        <v>1190</v>
      </c>
    </row>
    <row r="251" spans="1:19" x14ac:dyDescent="0.2">
      <c r="A251" s="214">
        <v>246</v>
      </c>
      <c r="B251" s="250" t="s">
        <v>584</v>
      </c>
      <c r="C251" s="250" t="s">
        <v>583</v>
      </c>
      <c r="D251" s="239">
        <v>39696974</v>
      </c>
      <c r="E251" s="239">
        <v>25777</v>
      </c>
      <c r="F251" s="239">
        <v>0</v>
      </c>
      <c r="G251" s="239">
        <v>127679</v>
      </c>
      <c r="H251" s="239">
        <v>0</v>
      </c>
      <c r="I251" s="239">
        <v>127679</v>
      </c>
      <c r="J251" s="239">
        <v>0</v>
      </c>
      <c r="K251" s="239">
        <v>0</v>
      </c>
      <c r="L251" s="239">
        <v>0</v>
      </c>
      <c r="M251" s="239">
        <v>0</v>
      </c>
      <c r="N251" s="239">
        <v>0</v>
      </c>
      <c r="O251" s="239">
        <v>39595072</v>
      </c>
      <c r="P251" s="214" t="s">
        <v>583</v>
      </c>
      <c r="Q251" s="214" t="s">
        <v>756</v>
      </c>
      <c r="R251" s="214" t="s">
        <v>754</v>
      </c>
      <c r="S251" s="214" t="s">
        <v>1190</v>
      </c>
    </row>
    <row r="252" spans="1:19" x14ac:dyDescent="0.2">
      <c r="A252" s="214">
        <v>247</v>
      </c>
      <c r="B252" s="250" t="s">
        <v>586</v>
      </c>
      <c r="C252" s="250" t="s">
        <v>585</v>
      </c>
      <c r="D252" s="239">
        <v>45438230</v>
      </c>
      <c r="E252" s="239">
        <v>0</v>
      </c>
      <c r="F252" s="239">
        <v>101938</v>
      </c>
      <c r="G252" s="239">
        <v>224152</v>
      </c>
      <c r="H252" s="239">
        <v>0</v>
      </c>
      <c r="I252" s="239">
        <v>224152</v>
      </c>
      <c r="J252" s="239">
        <v>0</v>
      </c>
      <c r="K252" s="239">
        <v>0</v>
      </c>
      <c r="L252" s="239">
        <v>306877</v>
      </c>
      <c r="M252" s="239">
        <v>306877</v>
      </c>
      <c r="N252" s="239">
        <v>0</v>
      </c>
      <c r="O252" s="239">
        <v>44805263</v>
      </c>
      <c r="P252" s="214" t="s">
        <v>585</v>
      </c>
      <c r="Q252" s="214" t="s">
        <v>793</v>
      </c>
      <c r="R252" s="214" t="s">
        <v>791</v>
      </c>
      <c r="S252" s="214" t="s">
        <v>1190</v>
      </c>
    </row>
    <row r="253" spans="1:19" x14ac:dyDescent="0.2">
      <c r="A253" s="214">
        <v>248</v>
      </c>
      <c r="B253" s="250" t="s">
        <v>588</v>
      </c>
      <c r="C253" s="250" t="s">
        <v>587</v>
      </c>
      <c r="D253" s="239">
        <v>24907758</v>
      </c>
      <c r="E253" s="239">
        <v>0</v>
      </c>
      <c r="F253" s="239">
        <v>36181</v>
      </c>
      <c r="G253" s="239">
        <v>104360</v>
      </c>
      <c r="H253" s="239">
        <v>0</v>
      </c>
      <c r="I253" s="239">
        <v>104360</v>
      </c>
      <c r="J253" s="239">
        <v>0</v>
      </c>
      <c r="K253" s="239">
        <v>2699665</v>
      </c>
      <c r="L253" s="239">
        <v>255091</v>
      </c>
      <c r="M253" s="239">
        <v>37654</v>
      </c>
      <c r="N253" s="239">
        <v>217437</v>
      </c>
      <c r="O253" s="239">
        <v>21812461</v>
      </c>
      <c r="P253" s="214" t="s">
        <v>587</v>
      </c>
      <c r="Q253" s="214" t="s">
        <v>837</v>
      </c>
      <c r="R253" s="214" t="s">
        <v>835</v>
      </c>
      <c r="S253" s="214" t="s">
        <v>1190</v>
      </c>
    </row>
    <row r="254" spans="1:19" x14ac:dyDescent="0.2">
      <c r="A254" s="214">
        <v>249</v>
      </c>
      <c r="B254" s="250" t="s">
        <v>590</v>
      </c>
      <c r="C254" s="250" t="s">
        <v>589</v>
      </c>
      <c r="D254" s="239">
        <v>31103147</v>
      </c>
      <c r="E254" s="239">
        <v>0</v>
      </c>
      <c r="F254" s="239">
        <v>34214</v>
      </c>
      <c r="G254" s="239">
        <v>153992</v>
      </c>
      <c r="H254" s="239">
        <v>0</v>
      </c>
      <c r="I254" s="239">
        <v>153992</v>
      </c>
      <c r="J254" s="239">
        <v>0</v>
      </c>
      <c r="K254" s="239">
        <v>0</v>
      </c>
      <c r="L254" s="239">
        <v>0</v>
      </c>
      <c r="M254" s="239">
        <v>0</v>
      </c>
      <c r="N254" s="239">
        <v>0</v>
      </c>
      <c r="O254" s="239">
        <v>30914941</v>
      </c>
      <c r="P254" s="214" t="s">
        <v>589</v>
      </c>
      <c r="Q254" s="214" t="s">
        <v>767</v>
      </c>
      <c r="R254" s="214" t="s">
        <v>840</v>
      </c>
      <c r="S254" s="214" t="s">
        <v>1192</v>
      </c>
    </row>
    <row r="255" spans="1:19" x14ac:dyDescent="0.2">
      <c r="A255" s="214">
        <v>250</v>
      </c>
      <c r="B255" s="250" t="s">
        <v>592</v>
      </c>
      <c r="C255" s="250" t="s">
        <v>591</v>
      </c>
      <c r="D255" s="239">
        <v>101489014</v>
      </c>
      <c r="E255" s="239">
        <v>218087</v>
      </c>
      <c r="F255" s="239">
        <v>0</v>
      </c>
      <c r="G255" s="239">
        <v>315452</v>
      </c>
      <c r="H255" s="239">
        <v>0</v>
      </c>
      <c r="I255" s="239">
        <v>315452</v>
      </c>
      <c r="J255" s="239">
        <v>0</v>
      </c>
      <c r="K255" s="239">
        <v>0</v>
      </c>
      <c r="L255" s="239">
        <v>0</v>
      </c>
      <c r="M255" s="239">
        <v>0</v>
      </c>
      <c r="N255" s="239">
        <v>0</v>
      </c>
      <c r="O255" s="239">
        <v>101391649</v>
      </c>
      <c r="P255" s="214" t="s">
        <v>847</v>
      </c>
      <c r="Q255" s="214" t="s">
        <v>747</v>
      </c>
      <c r="R255" s="214" t="s">
        <v>776</v>
      </c>
      <c r="S255" s="214" t="s">
        <v>747</v>
      </c>
    </row>
    <row r="256" spans="1:19" x14ac:dyDescent="0.2">
      <c r="A256" s="214">
        <v>251</v>
      </c>
      <c r="B256" s="250" t="s">
        <v>594</v>
      </c>
      <c r="C256" s="250" t="s">
        <v>593</v>
      </c>
      <c r="D256" s="239">
        <v>46824025</v>
      </c>
      <c r="E256" s="239">
        <v>0</v>
      </c>
      <c r="F256" s="239">
        <v>68934</v>
      </c>
      <c r="G256" s="239">
        <v>238425</v>
      </c>
      <c r="H256" s="239">
        <v>0</v>
      </c>
      <c r="I256" s="239">
        <v>238425</v>
      </c>
      <c r="J256" s="239">
        <v>0</v>
      </c>
      <c r="K256" s="239">
        <v>0</v>
      </c>
      <c r="L256" s="239">
        <v>0</v>
      </c>
      <c r="M256" s="239">
        <v>0</v>
      </c>
      <c r="N256" s="239">
        <v>0</v>
      </c>
      <c r="O256" s="239">
        <v>46516666</v>
      </c>
      <c r="P256" s="214" t="s">
        <v>846</v>
      </c>
      <c r="Q256" s="214" t="s">
        <v>747</v>
      </c>
      <c r="R256" s="214" t="s">
        <v>819</v>
      </c>
      <c r="S256" s="214" t="s">
        <v>747</v>
      </c>
    </row>
    <row r="257" spans="1:19" x14ac:dyDescent="0.2">
      <c r="A257" s="214">
        <v>252</v>
      </c>
      <c r="B257" s="250" t="s">
        <v>596</v>
      </c>
      <c r="C257" s="250" t="s">
        <v>595</v>
      </c>
      <c r="D257" s="239">
        <v>232245497</v>
      </c>
      <c r="E257" s="239">
        <v>0</v>
      </c>
      <c r="F257" s="239">
        <v>446346</v>
      </c>
      <c r="G257" s="239">
        <v>659318</v>
      </c>
      <c r="H257" s="239">
        <v>0</v>
      </c>
      <c r="I257" s="239">
        <v>659318</v>
      </c>
      <c r="J257" s="239">
        <v>0</v>
      </c>
      <c r="K257" s="239">
        <v>0</v>
      </c>
      <c r="L257" s="239">
        <v>0</v>
      </c>
      <c r="M257" s="239">
        <v>0</v>
      </c>
      <c r="N257" s="239">
        <v>0</v>
      </c>
      <c r="O257" s="239">
        <v>231139833</v>
      </c>
      <c r="P257" s="214" t="s">
        <v>595</v>
      </c>
      <c r="Q257" s="214" t="s">
        <v>789</v>
      </c>
      <c r="R257" s="214" t="s">
        <v>748</v>
      </c>
      <c r="S257" s="214" t="s">
        <v>1193</v>
      </c>
    </row>
    <row r="258" spans="1:19" x14ac:dyDescent="0.2">
      <c r="A258" s="214">
        <v>253</v>
      </c>
      <c r="B258" s="250" t="s">
        <v>598</v>
      </c>
      <c r="C258" s="250" t="s">
        <v>597</v>
      </c>
      <c r="D258" s="239">
        <v>43066688</v>
      </c>
      <c r="E258" s="239">
        <v>13800</v>
      </c>
      <c r="F258" s="239">
        <v>0</v>
      </c>
      <c r="G258" s="239">
        <v>128984</v>
      </c>
      <c r="H258" s="239">
        <v>0</v>
      </c>
      <c r="I258" s="239">
        <v>128984</v>
      </c>
      <c r="J258" s="239">
        <v>0</v>
      </c>
      <c r="K258" s="239">
        <v>0</v>
      </c>
      <c r="L258" s="239">
        <v>0</v>
      </c>
      <c r="M258" s="239">
        <v>0</v>
      </c>
      <c r="N258" s="239">
        <v>0</v>
      </c>
      <c r="O258" s="239">
        <v>42951504</v>
      </c>
      <c r="P258" s="214" t="s">
        <v>597</v>
      </c>
      <c r="Q258" s="214" t="s">
        <v>771</v>
      </c>
      <c r="R258" s="214" t="s">
        <v>762</v>
      </c>
      <c r="S258" s="214" t="s">
        <v>1190</v>
      </c>
    </row>
    <row r="259" spans="1:19" x14ac:dyDescent="0.2">
      <c r="A259" s="214">
        <v>254</v>
      </c>
      <c r="B259" s="250" t="s">
        <v>600</v>
      </c>
      <c r="C259" s="250" t="s">
        <v>599</v>
      </c>
      <c r="D259" s="239">
        <v>61189782</v>
      </c>
      <c r="E259" s="239">
        <v>0</v>
      </c>
      <c r="F259" s="239">
        <v>481253</v>
      </c>
      <c r="G259" s="239">
        <v>194644</v>
      </c>
      <c r="H259" s="239">
        <v>0</v>
      </c>
      <c r="I259" s="239">
        <v>194644</v>
      </c>
      <c r="J259" s="239">
        <v>0</v>
      </c>
      <c r="K259" s="239">
        <v>0</v>
      </c>
      <c r="L259" s="239">
        <v>0</v>
      </c>
      <c r="M259" s="239">
        <v>0</v>
      </c>
      <c r="N259" s="239">
        <v>0</v>
      </c>
      <c r="O259" s="239">
        <v>60513885</v>
      </c>
      <c r="P259" s="214" t="s">
        <v>599</v>
      </c>
      <c r="Q259" s="214" t="s">
        <v>802</v>
      </c>
      <c r="R259" s="214" t="s">
        <v>762</v>
      </c>
      <c r="S259" s="214" t="s">
        <v>1190</v>
      </c>
    </row>
    <row r="260" spans="1:19" x14ac:dyDescent="0.2">
      <c r="A260" s="214">
        <v>255</v>
      </c>
      <c r="B260" s="250" t="s">
        <v>602</v>
      </c>
      <c r="C260" s="250" t="s">
        <v>601</v>
      </c>
      <c r="D260" s="239">
        <v>48982275</v>
      </c>
      <c r="E260" s="239">
        <v>0</v>
      </c>
      <c r="F260" s="239">
        <v>37809</v>
      </c>
      <c r="G260" s="239">
        <v>161644</v>
      </c>
      <c r="H260" s="239">
        <v>0</v>
      </c>
      <c r="I260" s="239">
        <v>161644</v>
      </c>
      <c r="J260" s="239">
        <v>0</v>
      </c>
      <c r="K260" s="239">
        <v>0</v>
      </c>
      <c r="L260" s="239">
        <v>262168</v>
      </c>
      <c r="M260" s="239">
        <v>262168</v>
      </c>
      <c r="N260" s="239">
        <v>0</v>
      </c>
      <c r="O260" s="239">
        <v>48520654</v>
      </c>
      <c r="P260" s="214" t="s">
        <v>601</v>
      </c>
      <c r="Q260" s="214" t="s">
        <v>810</v>
      </c>
      <c r="R260" s="214" t="s">
        <v>762</v>
      </c>
      <c r="S260" s="214" t="s">
        <v>1190</v>
      </c>
    </row>
    <row r="261" spans="1:19" x14ac:dyDescent="0.2">
      <c r="A261" s="214">
        <v>256</v>
      </c>
      <c r="B261" s="250" t="s">
        <v>604</v>
      </c>
      <c r="C261" s="250" t="s">
        <v>603</v>
      </c>
      <c r="D261" s="239">
        <v>50616296</v>
      </c>
      <c r="E261" s="239">
        <v>0</v>
      </c>
      <c r="F261" s="239">
        <v>75292</v>
      </c>
      <c r="G261" s="239">
        <v>197099</v>
      </c>
      <c r="H261" s="239">
        <v>0</v>
      </c>
      <c r="I261" s="239">
        <v>197099</v>
      </c>
      <c r="J261" s="239">
        <v>0</v>
      </c>
      <c r="K261" s="239">
        <v>0</v>
      </c>
      <c r="L261" s="239">
        <v>0</v>
      </c>
      <c r="M261" s="239">
        <v>0</v>
      </c>
      <c r="N261" s="239">
        <v>0</v>
      </c>
      <c r="O261" s="239">
        <v>50343905</v>
      </c>
      <c r="P261" s="214" t="s">
        <v>603</v>
      </c>
      <c r="Q261" s="214" t="s">
        <v>767</v>
      </c>
      <c r="R261" s="214" t="s">
        <v>773</v>
      </c>
      <c r="S261" s="214" t="s">
        <v>1192</v>
      </c>
    </row>
    <row r="262" spans="1:19" x14ac:dyDescent="0.2">
      <c r="A262" s="214">
        <v>257</v>
      </c>
      <c r="B262" s="250" t="s">
        <v>606</v>
      </c>
      <c r="C262" s="250" t="s">
        <v>605</v>
      </c>
      <c r="D262" s="239">
        <v>46908732</v>
      </c>
      <c r="E262" s="239">
        <v>0</v>
      </c>
      <c r="F262" s="239">
        <v>0</v>
      </c>
      <c r="G262" s="239">
        <v>170009</v>
      </c>
      <c r="H262" s="239">
        <v>0</v>
      </c>
      <c r="I262" s="239">
        <v>170009</v>
      </c>
      <c r="J262" s="239">
        <v>0</v>
      </c>
      <c r="K262" s="239">
        <v>0</v>
      </c>
      <c r="L262" s="239">
        <v>0</v>
      </c>
      <c r="M262" s="239">
        <v>0</v>
      </c>
      <c r="N262" s="239">
        <v>0</v>
      </c>
      <c r="O262" s="239">
        <v>46738723</v>
      </c>
      <c r="P262" s="214" t="s">
        <v>605</v>
      </c>
      <c r="Q262" s="214" t="s">
        <v>837</v>
      </c>
      <c r="R262" s="214" t="s">
        <v>835</v>
      </c>
      <c r="S262" s="214" t="s">
        <v>1190</v>
      </c>
    </row>
    <row r="263" spans="1:19" x14ac:dyDescent="0.2">
      <c r="A263" s="214">
        <v>258</v>
      </c>
      <c r="B263" s="250" t="s">
        <v>608</v>
      </c>
      <c r="C263" s="250" t="s">
        <v>607</v>
      </c>
      <c r="D263" s="239">
        <v>18673347</v>
      </c>
      <c r="E263" s="239">
        <v>0</v>
      </c>
      <c r="F263" s="239">
        <v>17684</v>
      </c>
      <c r="G263" s="239">
        <v>115447</v>
      </c>
      <c r="H263" s="239">
        <v>0</v>
      </c>
      <c r="I263" s="239">
        <v>115447</v>
      </c>
      <c r="J263" s="239">
        <v>0</v>
      </c>
      <c r="K263" s="239">
        <v>0</v>
      </c>
      <c r="L263" s="239">
        <v>0</v>
      </c>
      <c r="M263" s="239">
        <v>0</v>
      </c>
      <c r="N263" s="239">
        <v>0</v>
      </c>
      <c r="O263" s="239">
        <v>18540216</v>
      </c>
      <c r="P263" s="214" t="s">
        <v>607</v>
      </c>
      <c r="Q263" s="214" t="s">
        <v>837</v>
      </c>
      <c r="R263" s="214" t="s">
        <v>835</v>
      </c>
      <c r="S263" s="214" t="s">
        <v>1190</v>
      </c>
    </row>
    <row r="264" spans="1:19" x14ac:dyDescent="0.2">
      <c r="A264" s="214">
        <v>259</v>
      </c>
      <c r="B264" s="250" t="s">
        <v>610</v>
      </c>
      <c r="C264" s="250" t="s">
        <v>609</v>
      </c>
      <c r="D264" s="239">
        <v>47469138</v>
      </c>
      <c r="E264" s="239">
        <v>0</v>
      </c>
      <c r="F264" s="239">
        <v>174763</v>
      </c>
      <c r="G264" s="239">
        <v>112692</v>
      </c>
      <c r="H264" s="239">
        <v>0</v>
      </c>
      <c r="I264" s="239">
        <v>112692</v>
      </c>
      <c r="J264" s="239">
        <v>0</v>
      </c>
      <c r="K264" s="239">
        <v>0</v>
      </c>
      <c r="L264" s="239">
        <v>0</v>
      </c>
      <c r="M264" s="239">
        <v>0</v>
      </c>
      <c r="N264" s="239">
        <v>0</v>
      </c>
      <c r="O264" s="239">
        <v>47181683</v>
      </c>
      <c r="P264" s="214" t="s">
        <v>609</v>
      </c>
      <c r="Q264" s="214" t="s">
        <v>802</v>
      </c>
      <c r="R264" s="214" t="s">
        <v>762</v>
      </c>
      <c r="S264" s="214" t="s">
        <v>1190</v>
      </c>
    </row>
    <row r="265" spans="1:19" x14ac:dyDescent="0.2">
      <c r="A265" s="214">
        <v>260</v>
      </c>
      <c r="B265" s="250" t="s">
        <v>612</v>
      </c>
      <c r="C265" s="250" t="s">
        <v>611</v>
      </c>
      <c r="D265" s="239">
        <v>95921894</v>
      </c>
      <c r="E265" s="239">
        <v>0</v>
      </c>
      <c r="F265" s="239">
        <v>81149</v>
      </c>
      <c r="G265" s="239">
        <v>437845</v>
      </c>
      <c r="H265" s="239">
        <v>0</v>
      </c>
      <c r="I265" s="239">
        <v>437845</v>
      </c>
      <c r="J265" s="239">
        <v>0</v>
      </c>
      <c r="K265" s="239">
        <v>0</v>
      </c>
      <c r="L265" s="239">
        <v>0</v>
      </c>
      <c r="M265" s="239">
        <v>0</v>
      </c>
      <c r="N265" s="239">
        <v>0</v>
      </c>
      <c r="O265" s="239">
        <v>95402900</v>
      </c>
      <c r="P265" s="214" t="s">
        <v>611</v>
      </c>
      <c r="Q265" s="214" t="s">
        <v>767</v>
      </c>
      <c r="R265" s="214" t="s">
        <v>782</v>
      </c>
      <c r="S265" s="214" t="s">
        <v>1192</v>
      </c>
    </row>
    <row r="266" spans="1:19" x14ac:dyDescent="0.2">
      <c r="A266" s="214">
        <v>261</v>
      </c>
      <c r="B266" s="250" t="s">
        <v>614</v>
      </c>
      <c r="C266" s="250" t="s">
        <v>613</v>
      </c>
      <c r="D266" s="239">
        <v>88450996</v>
      </c>
      <c r="E266" s="239">
        <v>0</v>
      </c>
      <c r="F266" s="239">
        <v>271353</v>
      </c>
      <c r="G266" s="239">
        <v>239900</v>
      </c>
      <c r="H266" s="239">
        <v>0</v>
      </c>
      <c r="I266" s="239">
        <v>239900</v>
      </c>
      <c r="J266" s="239">
        <v>0</v>
      </c>
      <c r="K266" s="239">
        <v>92211</v>
      </c>
      <c r="L266" s="239">
        <v>25140</v>
      </c>
      <c r="M266" s="239">
        <v>25140</v>
      </c>
      <c r="N266" s="239">
        <v>0</v>
      </c>
      <c r="O266" s="239">
        <v>87822392</v>
      </c>
      <c r="P266" s="214" t="s">
        <v>845</v>
      </c>
      <c r="Q266" s="214" t="s">
        <v>747</v>
      </c>
      <c r="R266" s="214" t="s">
        <v>843</v>
      </c>
      <c r="S266" s="214" t="s">
        <v>747</v>
      </c>
    </row>
    <row r="267" spans="1:19" x14ac:dyDescent="0.2">
      <c r="A267" s="214">
        <v>262</v>
      </c>
      <c r="B267" s="250" t="s">
        <v>616</v>
      </c>
      <c r="C267" s="250" t="s">
        <v>615</v>
      </c>
      <c r="D267" s="239">
        <v>92904709</v>
      </c>
      <c r="E267" s="239">
        <v>0</v>
      </c>
      <c r="F267" s="239">
        <v>172364</v>
      </c>
      <c r="G267" s="239">
        <v>366260</v>
      </c>
      <c r="H267" s="239">
        <v>0</v>
      </c>
      <c r="I267" s="239">
        <v>366260</v>
      </c>
      <c r="J267" s="239">
        <v>0</v>
      </c>
      <c r="K267" s="239">
        <v>253755</v>
      </c>
      <c r="L267" s="239">
        <v>0</v>
      </c>
      <c r="M267" s="239">
        <v>0</v>
      </c>
      <c r="N267" s="239">
        <v>0</v>
      </c>
      <c r="O267" s="239">
        <v>92112330</v>
      </c>
      <c r="P267" s="214" t="s">
        <v>842</v>
      </c>
      <c r="Q267" s="214" t="s">
        <v>747</v>
      </c>
      <c r="R267" s="214" t="s">
        <v>835</v>
      </c>
      <c r="S267" s="214" t="s">
        <v>747</v>
      </c>
    </row>
    <row r="268" spans="1:19" x14ac:dyDescent="0.2">
      <c r="A268" s="214">
        <v>263</v>
      </c>
      <c r="B268" s="250" t="s">
        <v>618</v>
      </c>
      <c r="C268" s="250" t="s">
        <v>617</v>
      </c>
      <c r="D268" s="239">
        <v>55469567</v>
      </c>
      <c r="E268" s="239">
        <v>0</v>
      </c>
      <c r="F268" s="239">
        <v>40834</v>
      </c>
      <c r="G268" s="239">
        <v>217909</v>
      </c>
      <c r="H268" s="239">
        <v>0</v>
      </c>
      <c r="I268" s="239">
        <v>217909</v>
      </c>
      <c r="J268" s="239">
        <v>0</v>
      </c>
      <c r="K268" s="239">
        <v>0</v>
      </c>
      <c r="L268" s="239">
        <v>41002</v>
      </c>
      <c r="M268" s="239">
        <v>41002</v>
      </c>
      <c r="N268" s="239">
        <v>0</v>
      </c>
      <c r="O268" s="239">
        <v>55169822</v>
      </c>
      <c r="P268" s="214" t="s">
        <v>617</v>
      </c>
      <c r="Q268" s="214" t="s">
        <v>812</v>
      </c>
      <c r="R268" s="214" t="s">
        <v>762</v>
      </c>
      <c r="S268" s="214" t="s">
        <v>1190</v>
      </c>
    </row>
    <row r="269" spans="1:19" x14ac:dyDescent="0.2">
      <c r="A269" s="214">
        <v>264</v>
      </c>
      <c r="B269" s="250" t="s">
        <v>620</v>
      </c>
      <c r="C269" s="250" t="s">
        <v>619</v>
      </c>
      <c r="D269" s="239">
        <v>27829829</v>
      </c>
      <c r="E269" s="239">
        <v>0</v>
      </c>
      <c r="F269" s="239">
        <v>440658</v>
      </c>
      <c r="G269" s="239">
        <v>160071</v>
      </c>
      <c r="H269" s="239">
        <v>0</v>
      </c>
      <c r="I269" s="239">
        <v>160071</v>
      </c>
      <c r="J269" s="239">
        <v>0</v>
      </c>
      <c r="K269" s="239">
        <v>0</v>
      </c>
      <c r="L269" s="239">
        <v>110085</v>
      </c>
      <c r="M269" s="239">
        <v>110085</v>
      </c>
      <c r="N269" s="239">
        <v>0</v>
      </c>
      <c r="O269" s="239">
        <v>27119015</v>
      </c>
      <c r="P269" s="214" t="s">
        <v>619</v>
      </c>
      <c r="Q269" s="214" t="s">
        <v>830</v>
      </c>
      <c r="R269" s="214" t="s">
        <v>762</v>
      </c>
      <c r="S269" s="214" t="s">
        <v>1190</v>
      </c>
    </row>
    <row r="270" spans="1:19" x14ac:dyDescent="0.2">
      <c r="A270" s="214">
        <v>265</v>
      </c>
      <c r="B270" s="250" t="s">
        <v>622</v>
      </c>
      <c r="C270" s="250" t="s">
        <v>621</v>
      </c>
      <c r="D270" s="239">
        <v>68536715</v>
      </c>
      <c r="E270" s="239">
        <v>0</v>
      </c>
      <c r="F270" s="239">
        <v>14367</v>
      </c>
      <c r="G270" s="239">
        <v>277015</v>
      </c>
      <c r="H270" s="239">
        <v>0</v>
      </c>
      <c r="I270" s="239">
        <v>277015</v>
      </c>
      <c r="J270" s="239">
        <v>0</v>
      </c>
      <c r="K270" s="239">
        <v>0</v>
      </c>
      <c r="L270" s="239">
        <v>206605</v>
      </c>
      <c r="M270" s="239">
        <v>206605</v>
      </c>
      <c r="N270" s="239">
        <v>0</v>
      </c>
      <c r="O270" s="239">
        <v>68038728</v>
      </c>
      <c r="P270" s="214" t="s">
        <v>621</v>
      </c>
      <c r="Q270" s="214" t="s">
        <v>810</v>
      </c>
      <c r="R270" s="214" t="s">
        <v>762</v>
      </c>
      <c r="S270" s="214" t="s">
        <v>1190</v>
      </c>
    </row>
    <row r="271" spans="1:19" x14ac:dyDescent="0.2">
      <c r="A271" s="214">
        <v>266</v>
      </c>
      <c r="B271" s="250" t="s">
        <v>624</v>
      </c>
      <c r="C271" s="250" t="s">
        <v>623</v>
      </c>
      <c r="D271" s="239">
        <v>90641372</v>
      </c>
      <c r="E271" s="239">
        <v>0</v>
      </c>
      <c r="F271" s="239">
        <v>491299</v>
      </c>
      <c r="G271" s="239">
        <v>342824</v>
      </c>
      <c r="H271" s="239">
        <v>0</v>
      </c>
      <c r="I271" s="239">
        <v>342824</v>
      </c>
      <c r="J271" s="239">
        <v>0</v>
      </c>
      <c r="K271" s="239">
        <v>707074</v>
      </c>
      <c r="L271" s="239">
        <v>0</v>
      </c>
      <c r="M271" s="239">
        <v>0</v>
      </c>
      <c r="N271" s="239">
        <v>0</v>
      </c>
      <c r="O271" s="239">
        <v>89100175</v>
      </c>
      <c r="P271" s="214" t="s">
        <v>623</v>
      </c>
      <c r="Q271" s="214" t="s">
        <v>767</v>
      </c>
      <c r="R271" s="214" t="s">
        <v>840</v>
      </c>
      <c r="S271" s="214" t="s">
        <v>1192</v>
      </c>
    </row>
    <row r="272" spans="1:19" x14ac:dyDescent="0.2">
      <c r="A272" s="214">
        <v>267</v>
      </c>
      <c r="B272" s="250" t="s">
        <v>626</v>
      </c>
      <c r="C272" s="250" t="s">
        <v>625</v>
      </c>
      <c r="D272" s="239">
        <v>38537386</v>
      </c>
      <c r="E272" s="239">
        <v>0</v>
      </c>
      <c r="F272" s="239">
        <v>135597</v>
      </c>
      <c r="G272" s="239">
        <v>126119</v>
      </c>
      <c r="H272" s="239">
        <v>0</v>
      </c>
      <c r="I272" s="239">
        <v>126119</v>
      </c>
      <c r="J272" s="239">
        <v>0</v>
      </c>
      <c r="K272" s="239">
        <v>0</v>
      </c>
      <c r="L272" s="239">
        <v>0</v>
      </c>
      <c r="M272" s="239">
        <v>0</v>
      </c>
      <c r="N272" s="239">
        <v>0</v>
      </c>
      <c r="O272" s="239">
        <v>38275670</v>
      </c>
      <c r="P272" s="214" t="s">
        <v>625</v>
      </c>
      <c r="Q272" s="214" t="s">
        <v>771</v>
      </c>
      <c r="R272" s="214" t="s">
        <v>762</v>
      </c>
      <c r="S272" s="214" t="s">
        <v>1190</v>
      </c>
    </row>
    <row r="273" spans="1:19" x14ac:dyDescent="0.2">
      <c r="A273" s="214">
        <v>268</v>
      </c>
      <c r="B273" s="250" t="s">
        <v>628</v>
      </c>
      <c r="C273" s="250" t="s">
        <v>627</v>
      </c>
      <c r="D273" s="239">
        <v>50567335</v>
      </c>
      <c r="E273" s="239">
        <v>969886</v>
      </c>
      <c r="F273" s="239">
        <v>0</v>
      </c>
      <c r="G273" s="239">
        <v>200296</v>
      </c>
      <c r="H273" s="239">
        <v>0</v>
      </c>
      <c r="I273" s="239">
        <v>200296</v>
      </c>
      <c r="J273" s="239">
        <v>0</v>
      </c>
      <c r="K273" s="239">
        <v>0</v>
      </c>
      <c r="L273" s="239">
        <v>0</v>
      </c>
      <c r="M273" s="239">
        <v>0</v>
      </c>
      <c r="N273" s="239">
        <v>0</v>
      </c>
      <c r="O273" s="239">
        <v>51336925</v>
      </c>
      <c r="P273" s="214" t="s">
        <v>627</v>
      </c>
      <c r="Q273" s="214" t="s">
        <v>789</v>
      </c>
      <c r="R273" s="214" t="s">
        <v>748</v>
      </c>
      <c r="S273" s="214" t="s">
        <v>1191</v>
      </c>
    </row>
    <row r="274" spans="1:19" x14ac:dyDescent="0.2">
      <c r="A274" s="214">
        <v>269</v>
      </c>
      <c r="B274" s="250" t="s">
        <v>630</v>
      </c>
      <c r="C274" s="250" t="s">
        <v>629</v>
      </c>
      <c r="D274" s="239">
        <v>47019994</v>
      </c>
      <c r="E274" s="239">
        <v>0</v>
      </c>
      <c r="F274" s="239">
        <v>5533</v>
      </c>
      <c r="G274" s="239">
        <v>183983</v>
      </c>
      <c r="H274" s="239">
        <v>0</v>
      </c>
      <c r="I274" s="239">
        <v>183983</v>
      </c>
      <c r="J274" s="239">
        <v>0</v>
      </c>
      <c r="K274" s="239">
        <v>0</v>
      </c>
      <c r="L274" s="239">
        <v>1055177</v>
      </c>
      <c r="M274" s="239">
        <v>339497</v>
      </c>
      <c r="N274" s="239">
        <v>715680</v>
      </c>
      <c r="O274" s="239">
        <v>45775301</v>
      </c>
      <c r="P274" s="214" t="s">
        <v>629</v>
      </c>
      <c r="Q274" s="214" t="s">
        <v>825</v>
      </c>
      <c r="R274" s="214" t="s">
        <v>823</v>
      </c>
      <c r="S274" s="214" t="s">
        <v>1190</v>
      </c>
    </row>
    <row r="275" spans="1:19" x14ac:dyDescent="0.2">
      <c r="A275" s="214">
        <v>270</v>
      </c>
      <c r="B275" s="250" t="s">
        <v>632</v>
      </c>
      <c r="C275" s="250" t="s">
        <v>631</v>
      </c>
      <c r="D275" s="239">
        <v>108679261</v>
      </c>
      <c r="E275" s="239">
        <v>0</v>
      </c>
      <c r="F275" s="239">
        <v>716799</v>
      </c>
      <c r="G275" s="239">
        <v>276655</v>
      </c>
      <c r="H275" s="239">
        <v>0</v>
      </c>
      <c r="I275" s="239">
        <v>276655</v>
      </c>
      <c r="J275" s="239">
        <v>0</v>
      </c>
      <c r="K275" s="239">
        <v>0</v>
      </c>
      <c r="L275" s="239">
        <v>650951</v>
      </c>
      <c r="M275" s="239">
        <v>650951</v>
      </c>
      <c r="N275" s="239">
        <v>0</v>
      </c>
      <c r="O275" s="239">
        <v>107034856</v>
      </c>
      <c r="P275" s="214" t="s">
        <v>839</v>
      </c>
      <c r="Q275" s="214" t="s">
        <v>747</v>
      </c>
      <c r="R275" s="214" t="s">
        <v>780</v>
      </c>
      <c r="S275" s="214" t="s">
        <v>747</v>
      </c>
    </row>
    <row r="276" spans="1:19" x14ac:dyDescent="0.2">
      <c r="A276" s="214">
        <v>271</v>
      </c>
      <c r="B276" s="250" t="s">
        <v>634</v>
      </c>
      <c r="C276" s="250" t="s">
        <v>633</v>
      </c>
      <c r="D276" s="239">
        <v>55734874</v>
      </c>
      <c r="E276" s="239">
        <v>0</v>
      </c>
      <c r="F276" s="239">
        <v>123116</v>
      </c>
      <c r="G276" s="239">
        <v>300706</v>
      </c>
      <c r="H276" s="239">
        <v>0</v>
      </c>
      <c r="I276" s="239">
        <v>300706</v>
      </c>
      <c r="J276" s="239">
        <v>0</v>
      </c>
      <c r="K276" s="239">
        <v>0</v>
      </c>
      <c r="L276" s="239">
        <v>0</v>
      </c>
      <c r="M276" s="239">
        <v>0</v>
      </c>
      <c r="N276" s="239">
        <v>0</v>
      </c>
      <c r="O276" s="239">
        <v>55311052</v>
      </c>
      <c r="P276" s="214" t="s">
        <v>633</v>
      </c>
      <c r="Q276" s="214" t="s">
        <v>767</v>
      </c>
      <c r="R276" s="214" t="s">
        <v>782</v>
      </c>
      <c r="S276" s="214" t="s">
        <v>1192</v>
      </c>
    </row>
    <row r="277" spans="1:19" x14ac:dyDescent="0.2">
      <c r="A277" s="214">
        <v>272</v>
      </c>
      <c r="B277" s="250" t="s">
        <v>636</v>
      </c>
      <c r="C277" s="250" t="s">
        <v>635</v>
      </c>
      <c r="D277" s="239">
        <v>34455904</v>
      </c>
      <c r="E277" s="239">
        <v>0</v>
      </c>
      <c r="F277" s="239">
        <v>23213</v>
      </c>
      <c r="G277" s="239">
        <v>91702</v>
      </c>
      <c r="H277" s="239">
        <v>0</v>
      </c>
      <c r="I277" s="239">
        <v>91702</v>
      </c>
      <c r="J277" s="239">
        <v>0</v>
      </c>
      <c r="K277" s="239">
        <v>0</v>
      </c>
      <c r="L277" s="239">
        <v>0</v>
      </c>
      <c r="M277" s="239">
        <v>0</v>
      </c>
      <c r="N277" s="239">
        <v>0</v>
      </c>
      <c r="O277" s="239">
        <v>34340989</v>
      </c>
      <c r="P277" s="214" t="s">
        <v>635</v>
      </c>
      <c r="Q277" s="214" t="s">
        <v>837</v>
      </c>
      <c r="R277" s="214" t="s">
        <v>835</v>
      </c>
      <c r="S277" s="214" t="s">
        <v>1190</v>
      </c>
    </row>
    <row r="278" spans="1:19" x14ac:dyDescent="0.2">
      <c r="A278" s="214">
        <v>273</v>
      </c>
      <c r="B278" s="250" t="s">
        <v>638</v>
      </c>
      <c r="C278" s="250" t="s">
        <v>637</v>
      </c>
      <c r="D278" s="239">
        <v>17912258</v>
      </c>
      <c r="E278" s="239">
        <v>0</v>
      </c>
      <c r="F278" s="239">
        <v>172394</v>
      </c>
      <c r="G278" s="239">
        <v>125449</v>
      </c>
      <c r="H278" s="239">
        <v>0</v>
      </c>
      <c r="I278" s="239">
        <v>125449</v>
      </c>
      <c r="J278" s="239">
        <v>0</v>
      </c>
      <c r="K278" s="239">
        <v>0</v>
      </c>
      <c r="L278" s="239">
        <v>0</v>
      </c>
      <c r="M278" s="239">
        <v>0</v>
      </c>
      <c r="N278" s="239">
        <v>0</v>
      </c>
      <c r="O278" s="239">
        <v>17614415</v>
      </c>
      <c r="P278" s="214" t="s">
        <v>637</v>
      </c>
      <c r="Q278" s="214" t="s">
        <v>771</v>
      </c>
      <c r="R278" s="214" t="s">
        <v>762</v>
      </c>
      <c r="S278" s="214" t="s">
        <v>1190</v>
      </c>
    </row>
    <row r="279" spans="1:19" x14ac:dyDescent="0.2">
      <c r="A279" s="214">
        <v>274</v>
      </c>
      <c r="B279" s="250" t="s">
        <v>640</v>
      </c>
      <c r="C279" s="250" t="s">
        <v>639</v>
      </c>
      <c r="D279" s="239">
        <v>42372590</v>
      </c>
      <c r="E279" s="239">
        <v>0</v>
      </c>
      <c r="F279" s="239">
        <v>250985</v>
      </c>
      <c r="G279" s="239">
        <v>165399</v>
      </c>
      <c r="H279" s="239">
        <v>0</v>
      </c>
      <c r="I279" s="239">
        <v>165399</v>
      </c>
      <c r="J279" s="239">
        <v>0</v>
      </c>
      <c r="K279" s="239">
        <v>0</v>
      </c>
      <c r="L279" s="239">
        <v>231822</v>
      </c>
      <c r="M279" s="239">
        <v>231822</v>
      </c>
      <c r="N279" s="239">
        <v>0</v>
      </c>
      <c r="O279" s="239">
        <v>41724384</v>
      </c>
      <c r="P279" s="214" t="s">
        <v>639</v>
      </c>
      <c r="Q279" s="214" t="s">
        <v>793</v>
      </c>
      <c r="R279" s="214" t="s">
        <v>791</v>
      </c>
      <c r="S279" s="214" t="s">
        <v>1190</v>
      </c>
    </row>
    <row r="280" spans="1:19" x14ac:dyDescent="0.2">
      <c r="A280" s="214">
        <v>275</v>
      </c>
      <c r="B280" s="250" t="s">
        <v>642</v>
      </c>
      <c r="C280" s="250" t="s">
        <v>641</v>
      </c>
      <c r="D280" s="239">
        <v>32084269</v>
      </c>
      <c r="E280" s="239">
        <v>0</v>
      </c>
      <c r="F280" s="239">
        <v>333079</v>
      </c>
      <c r="G280" s="239">
        <v>191736</v>
      </c>
      <c r="H280" s="239">
        <v>0</v>
      </c>
      <c r="I280" s="239">
        <v>191736</v>
      </c>
      <c r="J280" s="239">
        <v>0</v>
      </c>
      <c r="K280" s="239">
        <v>0</v>
      </c>
      <c r="L280" s="239">
        <v>185139</v>
      </c>
      <c r="M280" s="239">
        <v>185139</v>
      </c>
      <c r="N280" s="239">
        <v>0</v>
      </c>
      <c r="O280" s="239">
        <v>31374315</v>
      </c>
      <c r="P280" s="214" t="s">
        <v>641</v>
      </c>
      <c r="Q280" s="214" t="s">
        <v>799</v>
      </c>
      <c r="R280" s="214" t="s">
        <v>791</v>
      </c>
      <c r="S280" s="214" t="s">
        <v>1190</v>
      </c>
    </row>
    <row r="281" spans="1:19" x14ac:dyDescent="0.2">
      <c r="A281" s="214">
        <v>276</v>
      </c>
      <c r="B281" s="250" t="s">
        <v>644</v>
      </c>
      <c r="C281" s="250" t="s">
        <v>643</v>
      </c>
      <c r="D281" s="239">
        <v>72137314</v>
      </c>
      <c r="E281" s="239">
        <v>0</v>
      </c>
      <c r="F281" s="239">
        <v>287234</v>
      </c>
      <c r="G281" s="239">
        <v>217929</v>
      </c>
      <c r="H281" s="239">
        <v>0</v>
      </c>
      <c r="I281" s="239">
        <v>217929</v>
      </c>
      <c r="J281" s="239">
        <v>0</v>
      </c>
      <c r="K281" s="239">
        <v>0</v>
      </c>
      <c r="L281" s="239">
        <v>120823</v>
      </c>
      <c r="M281" s="239">
        <v>120823</v>
      </c>
      <c r="N281" s="239">
        <v>0</v>
      </c>
      <c r="O281" s="239">
        <v>71511328</v>
      </c>
      <c r="P281" s="214" t="s">
        <v>834</v>
      </c>
      <c r="Q281" s="214" t="s">
        <v>747</v>
      </c>
      <c r="R281" s="214" t="s">
        <v>832</v>
      </c>
      <c r="S281" s="214" t="s">
        <v>747</v>
      </c>
    </row>
    <row r="282" spans="1:19" x14ac:dyDescent="0.2">
      <c r="A282" s="214">
        <v>277</v>
      </c>
      <c r="B282" s="250" t="s">
        <v>646</v>
      </c>
      <c r="C282" s="250" t="s">
        <v>645</v>
      </c>
      <c r="D282" s="239">
        <v>27045187</v>
      </c>
      <c r="E282" s="239">
        <v>0</v>
      </c>
      <c r="F282" s="239">
        <v>136191</v>
      </c>
      <c r="G282" s="239">
        <v>295093</v>
      </c>
      <c r="H282" s="239">
        <v>0</v>
      </c>
      <c r="I282" s="239">
        <v>295093</v>
      </c>
      <c r="J282" s="239">
        <v>0</v>
      </c>
      <c r="K282" s="239">
        <v>0</v>
      </c>
      <c r="L282" s="239">
        <v>296709</v>
      </c>
      <c r="M282" s="239">
        <v>296709</v>
      </c>
      <c r="N282" s="239">
        <v>0</v>
      </c>
      <c r="O282" s="239">
        <v>26317194</v>
      </c>
      <c r="P282" s="214" t="s">
        <v>645</v>
      </c>
      <c r="Q282" s="214" t="s">
        <v>821</v>
      </c>
      <c r="R282" s="214" t="s">
        <v>819</v>
      </c>
      <c r="S282" s="214" t="s">
        <v>1190</v>
      </c>
    </row>
    <row r="283" spans="1:19" x14ac:dyDescent="0.2">
      <c r="A283" s="214">
        <v>278</v>
      </c>
      <c r="B283" s="250" t="s">
        <v>648</v>
      </c>
      <c r="C283" s="250" t="s">
        <v>647</v>
      </c>
      <c r="D283" s="239">
        <v>49404216</v>
      </c>
      <c r="E283" s="239">
        <v>0</v>
      </c>
      <c r="F283" s="239">
        <v>474141</v>
      </c>
      <c r="G283" s="239">
        <v>188777</v>
      </c>
      <c r="H283" s="239">
        <v>0</v>
      </c>
      <c r="I283" s="239">
        <v>188777</v>
      </c>
      <c r="J283" s="239">
        <v>0</v>
      </c>
      <c r="K283" s="239">
        <v>0</v>
      </c>
      <c r="L283" s="239">
        <v>567520</v>
      </c>
      <c r="M283" s="239">
        <v>567520</v>
      </c>
      <c r="N283" s="239">
        <v>0</v>
      </c>
      <c r="O283" s="239">
        <v>48173778</v>
      </c>
      <c r="P283" s="214" t="s">
        <v>647</v>
      </c>
      <c r="Q283" s="214" t="s">
        <v>778</v>
      </c>
      <c r="R283" s="214" t="s">
        <v>776</v>
      </c>
      <c r="S283" s="214" t="s">
        <v>1190</v>
      </c>
    </row>
    <row r="284" spans="1:19" x14ac:dyDescent="0.2">
      <c r="A284" s="214">
        <v>279</v>
      </c>
      <c r="B284" s="250" t="s">
        <v>650</v>
      </c>
      <c r="C284" s="250" t="s">
        <v>649</v>
      </c>
      <c r="D284" s="239">
        <v>32036747</v>
      </c>
      <c r="E284" s="239">
        <v>0</v>
      </c>
      <c r="F284" s="239">
        <v>62068</v>
      </c>
      <c r="G284" s="239">
        <v>124501</v>
      </c>
      <c r="H284" s="239">
        <v>0</v>
      </c>
      <c r="I284" s="239">
        <v>124501</v>
      </c>
      <c r="J284" s="239">
        <v>0</v>
      </c>
      <c r="K284" s="239">
        <v>0</v>
      </c>
      <c r="L284" s="239">
        <v>0</v>
      </c>
      <c r="M284" s="239">
        <v>0</v>
      </c>
      <c r="N284" s="239">
        <v>0</v>
      </c>
      <c r="O284" s="239">
        <v>31850178</v>
      </c>
      <c r="P284" s="214" t="s">
        <v>649</v>
      </c>
      <c r="Q284" s="214" t="s">
        <v>830</v>
      </c>
      <c r="R284" s="214" t="s">
        <v>762</v>
      </c>
      <c r="S284" s="214" t="s">
        <v>1190</v>
      </c>
    </row>
    <row r="285" spans="1:19" x14ac:dyDescent="0.2">
      <c r="A285" s="214">
        <v>280</v>
      </c>
      <c r="B285" s="250" t="s">
        <v>652</v>
      </c>
      <c r="C285" s="250" t="s">
        <v>651</v>
      </c>
      <c r="D285" s="239">
        <v>33911324</v>
      </c>
      <c r="E285" s="239">
        <v>0</v>
      </c>
      <c r="F285" s="239">
        <v>44382</v>
      </c>
      <c r="G285" s="239">
        <v>192176</v>
      </c>
      <c r="H285" s="239">
        <v>0</v>
      </c>
      <c r="I285" s="239">
        <v>192176</v>
      </c>
      <c r="J285" s="239">
        <v>0</v>
      </c>
      <c r="K285" s="239">
        <v>0</v>
      </c>
      <c r="L285" s="239">
        <v>0</v>
      </c>
      <c r="M285" s="239">
        <v>0</v>
      </c>
      <c r="N285" s="239">
        <v>0</v>
      </c>
      <c r="O285" s="239">
        <v>33674766</v>
      </c>
      <c r="P285" s="214" t="s">
        <v>651</v>
      </c>
      <c r="Q285" s="214" t="s">
        <v>825</v>
      </c>
      <c r="R285" s="214" t="s">
        <v>823</v>
      </c>
      <c r="S285" s="214" t="s">
        <v>1190</v>
      </c>
    </row>
    <row r="286" spans="1:19" x14ac:dyDescent="0.2">
      <c r="A286" s="214">
        <v>281</v>
      </c>
      <c r="B286" s="250" t="s">
        <v>654</v>
      </c>
      <c r="C286" s="250" t="s">
        <v>653</v>
      </c>
      <c r="D286" s="239">
        <v>30536061</v>
      </c>
      <c r="E286" s="239">
        <v>0</v>
      </c>
      <c r="F286" s="239">
        <v>67797</v>
      </c>
      <c r="G286" s="239">
        <v>94955</v>
      </c>
      <c r="H286" s="239">
        <v>0</v>
      </c>
      <c r="I286" s="239">
        <v>94955</v>
      </c>
      <c r="J286" s="239">
        <v>0</v>
      </c>
      <c r="K286" s="239">
        <v>0</v>
      </c>
      <c r="L286" s="239">
        <v>0</v>
      </c>
      <c r="M286" s="239">
        <v>0</v>
      </c>
      <c r="N286" s="239">
        <v>0</v>
      </c>
      <c r="O286" s="239">
        <v>30373309</v>
      </c>
      <c r="P286" s="214" t="s">
        <v>653</v>
      </c>
      <c r="Q286" s="214" t="s">
        <v>802</v>
      </c>
      <c r="R286" s="214" t="s">
        <v>762</v>
      </c>
      <c r="S286" s="214" t="s">
        <v>1190</v>
      </c>
    </row>
    <row r="287" spans="1:19" x14ac:dyDescent="0.2">
      <c r="A287" s="214">
        <v>282</v>
      </c>
      <c r="B287" s="250" t="s">
        <v>656</v>
      </c>
      <c r="C287" s="250" t="s">
        <v>655</v>
      </c>
      <c r="D287" s="239">
        <v>111089902</v>
      </c>
      <c r="E287" s="239">
        <v>0</v>
      </c>
      <c r="F287" s="239">
        <v>451314</v>
      </c>
      <c r="G287" s="239">
        <v>234481</v>
      </c>
      <c r="H287" s="239">
        <v>0</v>
      </c>
      <c r="I287" s="239">
        <v>234481</v>
      </c>
      <c r="J287" s="239">
        <v>0</v>
      </c>
      <c r="K287" s="239">
        <v>0</v>
      </c>
      <c r="L287" s="239">
        <v>0</v>
      </c>
      <c r="M287" s="239">
        <v>0</v>
      </c>
      <c r="N287" s="239">
        <v>0</v>
      </c>
      <c r="O287" s="239">
        <v>110404107</v>
      </c>
      <c r="P287" s="214" t="s">
        <v>829</v>
      </c>
      <c r="Q287" s="214" t="s">
        <v>747</v>
      </c>
      <c r="R287" s="214" t="s">
        <v>819</v>
      </c>
      <c r="S287" s="214" t="s">
        <v>747</v>
      </c>
    </row>
    <row r="288" spans="1:19" x14ac:dyDescent="0.2">
      <c r="A288" s="214">
        <v>283</v>
      </c>
      <c r="B288" s="250" t="s">
        <v>658</v>
      </c>
      <c r="C288" s="250" t="s">
        <v>657</v>
      </c>
      <c r="D288" s="239">
        <v>53798140</v>
      </c>
      <c r="E288" s="239">
        <v>0</v>
      </c>
      <c r="F288" s="239">
        <v>401387</v>
      </c>
      <c r="G288" s="239">
        <v>165827</v>
      </c>
      <c r="H288" s="239">
        <v>0</v>
      </c>
      <c r="I288" s="239">
        <v>165827</v>
      </c>
      <c r="J288" s="239">
        <v>0</v>
      </c>
      <c r="K288" s="239">
        <v>0</v>
      </c>
      <c r="L288" s="239">
        <v>0</v>
      </c>
      <c r="M288" s="239">
        <v>0</v>
      </c>
      <c r="N288" s="239">
        <v>0</v>
      </c>
      <c r="O288" s="239">
        <v>53230926</v>
      </c>
      <c r="P288" s="214" t="s">
        <v>828</v>
      </c>
      <c r="Q288" s="214" t="s">
        <v>825</v>
      </c>
      <c r="R288" s="214" t="s">
        <v>823</v>
      </c>
      <c r="S288" s="214" t="s">
        <v>1190</v>
      </c>
    </row>
    <row r="289" spans="1:19" x14ac:dyDescent="0.2">
      <c r="A289" s="214">
        <v>284</v>
      </c>
      <c r="B289" s="250" t="s">
        <v>660</v>
      </c>
      <c r="C289" s="250" t="s">
        <v>659</v>
      </c>
      <c r="D289" s="239">
        <v>37902702</v>
      </c>
      <c r="E289" s="239">
        <v>0</v>
      </c>
      <c r="F289" s="239">
        <v>244090</v>
      </c>
      <c r="G289" s="239">
        <v>201543</v>
      </c>
      <c r="H289" s="239">
        <v>0</v>
      </c>
      <c r="I289" s="239">
        <v>201543</v>
      </c>
      <c r="J289" s="239">
        <v>0</v>
      </c>
      <c r="K289" s="239">
        <v>0</v>
      </c>
      <c r="L289" s="239">
        <v>0</v>
      </c>
      <c r="M289" s="239">
        <v>0</v>
      </c>
      <c r="N289" s="239">
        <v>0</v>
      </c>
      <c r="O289" s="239">
        <v>37457069</v>
      </c>
      <c r="P289" s="214" t="s">
        <v>827</v>
      </c>
      <c r="Q289" s="214" t="s">
        <v>747</v>
      </c>
      <c r="R289" s="214" t="s">
        <v>791</v>
      </c>
      <c r="S289" s="214" t="s">
        <v>747</v>
      </c>
    </row>
    <row r="290" spans="1:19" x14ac:dyDescent="0.2">
      <c r="A290" s="214">
        <v>285</v>
      </c>
      <c r="B290" s="250" t="s">
        <v>662</v>
      </c>
      <c r="C290" s="250" t="s">
        <v>661</v>
      </c>
      <c r="D290" s="239">
        <v>11011254</v>
      </c>
      <c r="E290" s="239">
        <v>0</v>
      </c>
      <c r="F290" s="239">
        <v>213038</v>
      </c>
      <c r="G290" s="239">
        <v>131975</v>
      </c>
      <c r="H290" s="239">
        <v>0</v>
      </c>
      <c r="I290" s="239">
        <v>131975</v>
      </c>
      <c r="J290" s="239">
        <v>0</v>
      </c>
      <c r="K290" s="239">
        <v>0</v>
      </c>
      <c r="L290" s="239">
        <v>567661</v>
      </c>
      <c r="M290" s="239">
        <v>567661</v>
      </c>
      <c r="N290" s="239">
        <v>0</v>
      </c>
      <c r="O290" s="239">
        <v>10098580</v>
      </c>
      <c r="P290" s="214" t="s">
        <v>661</v>
      </c>
      <c r="Q290" s="214" t="s">
        <v>799</v>
      </c>
      <c r="R290" s="214" t="s">
        <v>791</v>
      </c>
      <c r="S290" s="214" t="s">
        <v>1190</v>
      </c>
    </row>
    <row r="291" spans="1:19" x14ac:dyDescent="0.2">
      <c r="A291" s="214">
        <v>286</v>
      </c>
      <c r="B291" s="250" t="s">
        <v>664</v>
      </c>
      <c r="C291" s="250" t="s">
        <v>663</v>
      </c>
      <c r="D291" s="239">
        <v>394618392</v>
      </c>
      <c r="E291" s="239">
        <v>0</v>
      </c>
      <c r="F291" s="239">
        <v>755138</v>
      </c>
      <c r="G291" s="239">
        <v>962576</v>
      </c>
      <c r="H291" s="239">
        <v>0</v>
      </c>
      <c r="I291" s="239">
        <v>962576</v>
      </c>
      <c r="J291" s="239">
        <v>0</v>
      </c>
      <c r="K291" s="239">
        <v>0</v>
      </c>
      <c r="L291" s="239">
        <v>0</v>
      </c>
      <c r="M291" s="239">
        <v>0</v>
      </c>
      <c r="N291" s="239">
        <v>0</v>
      </c>
      <c r="O291" s="239">
        <v>392900678</v>
      </c>
      <c r="P291" s="214" t="s">
        <v>663</v>
      </c>
      <c r="Q291" s="214" t="s">
        <v>789</v>
      </c>
      <c r="R291" s="214" t="s">
        <v>748</v>
      </c>
      <c r="S291" s="214" t="s">
        <v>1193</v>
      </c>
    </row>
    <row r="292" spans="1:19" x14ac:dyDescent="0.2">
      <c r="A292" s="214">
        <v>287</v>
      </c>
      <c r="B292" s="250" t="s">
        <v>666</v>
      </c>
      <c r="C292" s="250" t="s">
        <v>665</v>
      </c>
      <c r="D292" s="239">
        <v>157706612</v>
      </c>
      <c r="E292" s="239">
        <v>0</v>
      </c>
      <c r="F292" s="239">
        <v>618462</v>
      </c>
      <c r="G292" s="239">
        <v>460679</v>
      </c>
      <c r="H292" s="239">
        <v>0</v>
      </c>
      <c r="I292" s="239">
        <v>460679</v>
      </c>
      <c r="J292" s="239">
        <v>0</v>
      </c>
      <c r="K292" s="239">
        <v>0</v>
      </c>
      <c r="L292" s="239">
        <v>77532</v>
      </c>
      <c r="M292" s="239">
        <v>77532</v>
      </c>
      <c r="N292" s="239">
        <v>0</v>
      </c>
      <c r="O292" s="239">
        <v>156549939</v>
      </c>
      <c r="P292" s="214" t="s">
        <v>665</v>
      </c>
      <c r="Q292" s="214" t="s">
        <v>767</v>
      </c>
      <c r="R292" s="214" t="s">
        <v>782</v>
      </c>
      <c r="S292" s="214" t="s">
        <v>1192</v>
      </c>
    </row>
    <row r="293" spans="1:19" x14ac:dyDescent="0.2">
      <c r="A293" s="214">
        <v>288</v>
      </c>
      <c r="B293" s="250" t="s">
        <v>668</v>
      </c>
      <c r="C293" s="250" t="s">
        <v>667</v>
      </c>
      <c r="D293" s="239">
        <v>52830765</v>
      </c>
      <c r="E293" s="239">
        <v>0</v>
      </c>
      <c r="F293" s="239">
        <v>202452</v>
      </c>
      <c r="G293" s="239">
        <v>176880</v>
      </c>
      <c r="H293" s="239">
        <v>0</v>
      </c>
      <c r="I293" s="239">
        <v>176880</v>
      </c>
      <c r="J293" s="239">
        <v>0</v>
      </c>
      <c r="K293" s="239">
        <v>0</v>
      </c>
      <c r="L293" s="239">
        <v>0</v>
      </c>
      <c r="M293" s="239">
        <v>0</v>
      </c>
      <c r="N293" s="239">
        <v>0</v>
      </c>
      <c r="O293" s="239">
        <v>52451433</v>
      </c>
      <c r="P293" s="214" t="s">
        <v>667</v>
      </c>
      <c r="Q293" s="214" t="s">
        <v>825</v>
      </c>
      <c r="R293" s="214" t="s">
        <v>823</v>
      </c>
      <c r="S293" s="214" t="s">
        <v>1190</v>
      </c>
    </row>
    <row r="294" spans="1:19" x14ac:dyDescent="0.2">
      <c r="A294" s="214">
        <v>289</v>
      </c>
      <c r="B294" s="250" t="s">
        <v>670</v>
      </c>
      <c r="C294" s="250" t="s">
        <v>669</v>
      </c>
      <c r="D294" s="239">
        <v>40694031</v>
      </c>
      <c r="E294" s="239">
        <v>0</v>
      </c>
      <c r="F294" s="239">
        <v>476413</v>
      </c>
      <c r="G294" s="239">
        <v>137627</v>
      </c>
      <c r="H294" s="239">
        <v>0</v>
      </c>
      <c r="I294" s="239">
        <v>137627</v>
      </c>
      <c r="J294" s="239">
        <v>0</v>
      </c>
      <c r="K294" s="239">
        <v>0</v>
      </c>
      <c r="L294" s="239">
        <v>149280</v>
      </c>
      <c r="M294" s="239">
        <v>149280</v>
      </c>
      <c r="N294" s="239">
        <v>0</v>
      </c>
      <c r="O294" s="239">
        <v>39930711</v>
      </c>
      <c r="P294" s="214" t="s">
        <v>669</v>
      </c>
      <c r="Q294" s="214" t="s">
        <v>821</v>
      </c>
      <c r="R294" s="214" t="s">
        <v>819</v>
      </c>
      <c r="S294" s="214" t="s">
        <v>1190</v>
      </c>
    </row>
    <row r="295" spans="1:19" x14ac:dyDescent="0.2">
      <c r="A295" s="214">
        <v>290</v>
      </c>
      <c r="B295" s="250" t="s">
        <v>672</v>
      </c>
      <c r="C295" s="250" t="s">
        <v>671</v>
      </c>
      <c r="D295" s="239">
        <v>57963669</v>
      </c>
      <c r="E295" s="239">
        <v>0</v>
      </c>
      <c r="F295" s="239">
        <v>102729</v>
      </c>
      <c r="G295" s="239">
        <v>184498</v>
      </c>
      <c r="H295" s="239">
        <v>0</v>
      </c>
      <c r="I295" s="239">
        <v>184498</v>
      </c>
      <c r="J295" s="239">
        <v>0</v>
      </c>
      <c r="K295" s="239">
        <v>450247</v>
      </c>
      <c r="L295" s="239">
        <v>247217</v>
      </c>
      <c r="M295" s="239">
        <v>247217</v>
      </c>
      <c r="N295" s="239">
        <v>0</v>
      </c>
      <c r="O295" s="239">
        <v>56978978</v>
      </c>
      <c r="P295" s="214" t="s">
        <v>671</v>
      </c>
      <c r="Q295" s="214" t="s">
        <v>795</v>
      </c>
      <c r="R295" s="214" t="s">
        <v>762</v>
      </c>
      <c r="S295" s="214" t="s">
        <v>1190</v>
      </c>
    </row>
    <row r="296" spans="1:19" x14ac:dyDescent="0.2">
      <c r="A296" s="214">
        <v>291</v>
      </c>
      <c r="B296" s="250" t="s">
        <v>674</v>
      </c>
      <c r="C296" s="250" t="s">
        <v>673</v>
      </c>
      <c r="D296" s="239">
        <v>122695864</v>
      </c>
      <c r="E296" s="239">
        <v>0</v>
      </c>
      <c r="F296" s="239">
        <v>68194</v>
      </c>
      <c r="G296" s="239">
        <v>462307</v>
      </c>
      <c r="H296" s="239">
        <v>0</v>
      </c>
      <c r="I296" s="239">
        <v>462307</v>
      </c>
      <c r="J296" s="239">
        <v>0</v>
      </c>
      <c r="K296" s="239">
        <v>0</v>
      </c>
      <c r="L296" s="239">
        <v>896486</v>
      </c>
      <c r="M296" s="239">
        <v>896486</v>
      </c>
      <c r="N296" s="239">
        <v>0</v>
      </c>
      <c r="O296" s="239">
        <v>121268877</v>
      </c>
      <c r="P296" s="214" t="s">
        <v>673</v>
      </c>
      <c r="Q296" s="214" t="s">
        <v>767</v>
      </c>
      <c r="R296" s="214" t="s">
        <v>817</v>
      </c>
      <c r="S296" s="214" t="s">
        <v>1192</v>
      </c>
    </row>
    <row r="297" spans="1:19" x14ac:dyDescent="0.2">
      <c r="A297" s="214">
        <v>292</v>
      </c>
      <c r="B297" s="250" t="s">
        <v>676</v>
      </c>
      <c r="C297" s="250" t="s">
        <v>675</v>
      </c>
      <c r="D297" s="239">
        <v>70571933</v>
      </c>
      <c r="E297" s="239">
        <v>0</v>
      </c>
      <c r="F297" s="239">
        <v>105707</v>
      </c>
      <c r="G297" s="239">
        <v>339364</v>
      </c>
      <c r="H297" s="239">
        <v>0</v>
      </c>
      <c r="I297" s="239">
        <v>339364</v>
      </c>
      <c r="J297" s="239">
        <v>0</v>
      </c>
      <c r="K297" s="239">
        <v>24829</v>
      </c>
      <c r="L297" s="239">
        <v>0</v>
      </c>
      <c r="M297" s="239">
        <v>0</v>
      </c>
      <c r="N297" s="239">
        <v>0</v>
      </c>
      <c r="O297" s="239">
        <v>70102033</v>
      </c>
      <c r="P297" s="214" t="s">
        <v>675</v>
      </c>
      <c r="Q297" s="214" t="s">
        <v>767</v>
      </c>
      <c r="R297" s="214" t="s">
        <v>765</v>
      </c>
      <c r="S297" s="214" t="s">
        <v>1192</v>
      </c>
    </row>
    <row r="298" spans="1:19" x14ac:dyDescent="0.2">
      <c r="A298" s="214">
        <v>293</v>
      </c>
      <c r="B298" s="250" t="s">
        <v>678</v>
      </c>
      <c r="C298" s="250" t="s">
        <v>677</v>
      </c>
      <c r="D298" s="239">
        <v>53554469</v>
      </c>
      <c r="E298" s="239">
        <v>0</v>
      </c>
      <c r="F298" s="239">
        <v>673284</v>
      </c>
      <c r="G298" s="239">
        <v>288618</v>
      </c>
      <c r="H298" s="239">
        <v>0</v>
      </c>
      <c r="I298" s="239">
        <v>288618</v>
      </c>
      <c r="J298" s="239">
        <v>0</v>
      </c>
      <c r="K298" s="239">
        <v>0</v>
      </c>
      <c r="L298" s="239">
        <v>0</v>
      </c>
      <c r="M298" s="239">
        <v>0</v>
      </c>
      <c r="N298" s="239">
        <v>0</v>
      </c>
      <c r="O298" s="239">
        <v>52592567</v>
      </c>
      <c r="P298" s="214" t="s">
        <v>677</v>
      </c>
      <c r="Q298" s="214" t="s">
        <v>789</v>
      </c>
      <c r="R298" s="214" t="s">
        <v>748</v>
      </c>
      <c r="S298" s="214" t="s">
        <v>1191</v>
      </c>
    </row>
    <row r="299" spans="1:19" x14ac:dyDescent="0.2">
      <c r="A299" s="214">
        <v>294</v>
      </c>
      <c r="B299" s="250" t="s">
        <v>680</v>
      </c>
      <c r="C299" s="250" t="s">
        <v>679</v>
      </c>
      <c r="D299" s="239">
        <v>102524883</v>
      </c>
      <c r="E299" s="239">
        <v>0</v>
      </c>
      <c r="F299" s="239">
        <v>286706</v>
      </c>
      <c r="G299" s="239">
        <v>462876</v>
      </c>
      <c r="H299" s="239">
        <v>0</v>
      </c>
      <c r="I299" s="239">
        <v>462876</v>
      </c>
      <c r="J299" s="239">
        <v>0</v>
      </c>
      <c r="K299" s="239">
        <v>0</v>
      </c>
      <c r="L299" s="239">
        <v>0</v>
      </c>
      <c r="M299" s="239">
        <v>0</v>
      </c>
      <c r="N299" s="239">
        <v>0</v>
      </c>
      <c r="O299" s="239">
        <v>101775301</v>
      </c>
      <c r="P299" s="214" t="s">
        <v>679</v>
      </c>
      <c r="Q299" s="214" t="s">
        <v>789</v>
      </c>
      <c r="R299" s="214" t="s">
        <v>748</v>
      </c>
      <c r="S299" s="214" t="s">
        <v>1193</v>
      </c>
    </row>
    <row r="300" spans="1:19" x14ac:dyDescent="0.2">
      <c r="A300" s="214">
        <v>295</v>
      </c>
      <c r="B300" s="250" t="s">
        <v>682</v>
      </c>
      <c r="C300" s="250" t="s">
        <v>681</v>
      </c>
      <c r="D300" s="239">
        <v>108573402</v>
      </c>
      <c r="E300" s="239">
        <v>43113</v>
      </c>
      <c r="F300" s="239">
        <v>0</v>
      </c>
      <c r="G300" s="239">
        <v>308089</v>
      </c>
      <c r="H300" s="239">
        <v>0</v>
      </c>
      <c r="I300" s="239">
        <v>308089</v>
      </c>
      <c r="J300" s="239">
        <v>0</v>
      </c>
      <c r="K300" s="239">
        <v>0</v>
      </c>
      <c r="L300" s="239">
        <v>0</v>
      </c>
      <c r="M300" s="239">
        <v>0</v>
      </c>
      <c r="N300" s="239">
        <v>0</v>
      </c>
      <c r="O300" s="239">
        <v>108308426</v>
      </c>
      <c r="P300" s="214" t="s">
        <v>816</v>
      </c>
      <c r="Q300" s="214" t="s">
        <v>747</v>
      </c>
      <c r="R300" s="214" t="s">
        <v>814</v>
      </c>
      <c r="S300" s="214" t="s">
        <v>747</v>
      </c>
    </row>
    <row r="301" spans="1:19" x14ac:dyDescent="0.2">
      <c r="A301" s="214">
        <v>296</v>
      </c>
      <c r="B301" s="250" t="s">
        <v>684</v>
      </c>
      <c r="C301" s="250" t="s">
        <v>683</v>
      </c>
      <c r="D301" s="239">
        <v>70482074</v>
      </c>
      <c r="E301" s="239">
        <v>731</v>
      </c>
      <c r="F301" s="239">
        <v>0</v>
      </c>
      <c r="G301" s="239">
        <v>214443</v>
      </c>
      <c r="H301" s="239">
        <v>0</v>
      </c>
      <c r="I301" s="239">
        <v>214443</v>
      </c>
      <c r="J301" s="239">
        <v>0</v>
      </c>
      <c r="K301" s="239">
        <v>0</v>
      </c>
      <c r="L301" s="239">
        <v>15034</v>
      </c>
      <c r="M301" s="239">
        <v>15034</v>
      </c>
      <c r="N301" s="239">
        <v>0</v>
      </c>
      <c r="O301" s="239">
        <v>70253328</v>
      </c>
      <c r="P301" s="214" t="s">
        <v>683</v>
      </c>
      <c r="Q301" s="214" t="s">
        <v>812</v>
      </c>
      <c r="R301" s="214" t="s">
        <v>762</v>
      </c>
      <c r="S301" s="214" t="s">
        <v>1190</v>
      </c>
    </row>
    <row r="302" spans="1:19" x14ac:dyDescent="0.2">
      <c r="A302" s="214">
        <v>297</v>
      </c>
      <c r="B302" s="250" t="s">
        <v>686</v>
      </c>
      <c r="C302" s="250" t="s">
        <v>685</v>
      </c>
      <c r="D302" s="239">
        <v>73171170</v>
      </c>
      <c r="E302" s="239">
        <v>0</v>
      </c>
      <c r="F302" s="239">
        <v>907844</v>
      </c>
      <c r="G302" s="239">
        <v>171747</v>
      </c>
      <c r="H302" s="239">
        <v>0</v>
      </c>
      <c r="I302" s="239">
        <v>171747</v>
      </c>
      <c r="J302" s="239">
        <v>0</v>
      </c>
      <c r="K302" s="239">
        <v>0</v>
      </c>
      <c r="L302" s="239">
        <v>0</v>
      </c>
      <c r="M302" s="239">
        <v>0</v>
      </c>
      <c r="N302" s="239">
        <v>0</v>
      </c>
      <c r="O302" s="239">
        <v>72091579</v>
      </c>
      <c r="P302" s="214" t="s">
        <v>685</v>
      </c>
      <c r="Q302" s="214" t="s">
        <v>802</v>
      </c>
      <c r="R302" s="214" t="s">
        <v>762</v>
      </c>
      <c r="S302" s="214" t="s">
        <v>1190</v>
      </c>
    </row>
    <row r="303" spans="1:19" x14ac:dyDescent="0.2">
      <c r="A303" s="214">
        <v>298</v>
      </c>
      <c r="B303" s="250" t="s">
        <v>688</v>
      </c>
      <c r="C303" s="250" t="s">
        <v>687</v>
      </c>
      <c r="D303" s="239">
        <v>27525892</v>
      </c>
      <c r="E303" s="239">
        <v>0</v>
      </c>
      <c r="F303" s="239">
        <v>31736</v>
      </c>
      <c r="G303" s="239">
        <v>204024</v>
      </c>
      <c r="H303" s="239">
        <v>0</v>
      </c>
      <c r="I303" s="239">
        <v>204024</v>
      </c>
      <c r="J303" s="239">
        <v>0</v>
      </c>
      <c r="K303" s="239">
        <v>251692</v>
      </c>
      <c r="L303" s="239">
        <v>237815</v>
      </c>
      <c r="M303" s="239">
        <v>237815</v>
      </c>
      <c r="N303" s="239">
        <v>0</v>
      </c>
      <c r="O303" s="239">
        <v>26800625</v>
      </c>
      <c r="P303" s="214" t="s">
        <v>687</v>
      </c>
      <c r="Q303" s="214" t="s">
        <v>810</v>
      </c>
      <c r="R303" s="214" t="s">
        <v>762</v>
      </c>
      <c r="S303" s="214" t="s">
        <v>1190</v>
      </c>
    </row>
    <row r="304" spans="1:19" x14ac:dyDescent="0.2">
      <c r="A304" s="214">
        <v>299</v>
      </c>
      <c r="B304" s="250" t="s">
        <v>690</v>
      </c>
      <c r="C304" s="250" t="s">
        <v>689</v>
      </c>
      <c r="D304" s="239">
        <v>36579201</v>
      </c>
      <c r="E304" s="239">
        <v>0</v>
      </c>
      <c r="F304" s="239">
        <v>65077</v>
      </c>
      <c r="G304" s="239">
        <v>179430</v>
      </c>
      <c r="H304" s="239">
        <v>0</v>
      </c>
      <c r="I304" s="239">
        <v>179430</v>
      </c>
      <c r="J304" s="239">
        <v>0</v>
      </c>
      <c r="K304" s="239">
        <v>0</v>
      </c>
      <c r="L304" s="239">
        <v>0</v>
      </c>
      <c r="M304" s="239">
        <v>0</v>
      </c>
      <c r="N304" s="239">
        <v>0</v>
      </c>
      <c r="O304" s="239">
        <v>36334694</v>
      </c>
      <c r="P304" s="214" t="s">
        <v>689</v>
      </c>
      <c r="Q304" s="214" t="s">
        <v>771</v>
      </c>
      <c r="R304" s="214" t="s">
        <v>762</v>
      </c>
      <c r="S304" s="214" t="s">
        <v>1190</v>
      </c>
    </row>
    <row r="305" spans="1:19" x14ac:dyDescent="0.2">
      <c r="A305" s="214">
        <v>300</v>
      </c>
      <c r="B305" s="250" t="s">
        <v>692</v>
      </c>
      <c r="C305" s="250" t="s">
        <v>691</v>
      </c>
      <c r="D305" s="239">
        <v>30554376</v>
      </c>
      <c r="E305" s="239">
        <v>0</v>
      </c>
      <c r="F305" s="239">
        <v>66595</v>
      </c>
      <c r="G305" s="239">
        <v>211815</v>
      </c>
      <c r="H305" s="239">
        <v>0</v>
      </c>
      <c r="I305" s="239">
        <v>211815</v>
      </c>
      <c r="J305" s="239">
        <v>0</v>
      </c>
      <c r="K305" s="239">
        <v>0</v>
      </c>
      <c r="L305" s="239">
        <v>174696</v>
      </c>
      <c r="M305" s="239">
        <v>174696</v>
      </c>
      <c r="N305" s="239">
        <v>0</v>
      </c>
      <c r="O305" s="239">
        <v>30101270</v>
      </c>
      <c r="P305" s="214" t="s">
        <v>691</v>
      </c>
      <c r="Q305" s="214" t="s">
        <v>808</v>
      </c>
      <c r="R305" s="214" t="s">
        <v>806</v>
      </c>
      <c r="S305" s="214" t="s">
        <v>1190</v>
      </c>
    </row>
    <row r="306" spans="1:19" x14ac:dyDescent="0.2">
      <c r="A306" s="214">
        <v>301</v>
      </c>
      <c r="B306" s="250" t="s">
        <v>694</v>
      </c>
      <c r="C306" s="250" t="s">
        <v>693</v>
      </c>
      <c r="D306" s="239">
        <v>28304671</v>
      </c>
      <c r="E306" s="239">
        <v>676</v>
      </c>
      <c r="F306" s="239">
        <v>0</v>
      </c>
      <c r="G306" s="239">
        <v>111171</v>
      </c>
      <c r="H306" s="239">
        <v>0</v>
      </c>
      <c r="I306" s="239">
        <v>111171</v>
      </c>
      <c r="J306" s="239">
        <v>0</v>
      </c>
      <c r="K306" s="239">
        <v>0</v>
      </c>
      <c r="L306" s="239">
        <v>33987</v>
      </c>
      <c r="M306" s="239">
        <v>33987</v>
      </c>
      <c r="N306" s="239">
        <v>0</v>
      </c>
      <c r="O306" s="239">
        <v>28160189</v>
      </c>
      <c r="P306" s="214" t="s">
        <v>693</v>
      </c>
      <c r="Q306" s="214" t="s">
        <v>804</v>
      </c>
      <c r="R306" s="214" t="s">
        <v>762</v>
      </c>
      <c r="S306" s="214" t="s">
        <v>1190</v>
      </c>
    </row>
    <row r="307" spans="1:19" x14ac:dyDescent="0.2">
      <c r="A307" s="214">
        <v>302</v>
      </c>
      <c r="B307" s="250" t="s">
        <v>696</v>
      </c>
      <c r="C307" s="250" t="s">
        <v>695</v>
      </c>
      <c r="D307" s="239">
        <v>56490240</v>
      </c>
      <c r="E307" s="239">
        <v>0</v>
      </c>
      <c r="F307" s="239">
        <v>106646</v>
      </c>
      <c r="G307" s="239">
        <v>154290</v>
      </c>
      <c r="H307" s="239">
        <v>0</v>
      </c>
      <c r="I307" s="239">
        <v>154290</v>
      </c>
      <c r="J307" s="239">
        <v>0</v>
      </c>
      <c r="K307" s="239">
        <v>0</v>
      </c>
      <c r="L307" s="239">
        <v>0</v>
      </c>
      <c r="M307" s="239">
        <v>0</v>
      </c>
      <c r="N307" s="239">
        <v>0</v>
      </c>
      <c r="O307" s="239">
        <v>56229304</v>
      </c>
      <c r="P307" s="214" t="s">
        <v>695</v>
      </c>
      <c r="Q307" s="214" t="s">
        <v>802</v>
      </c>
      <c r="R307" s="214" t="s">
        <v>762</v>
      </c>
      <c r="S307" s="214" t="s">
        <v>1190</v>
      </c>
    </row>
    <row r="308" spans="1:19" x14ac:dyDescent="0.2">
      <c r="A308" s="214">
        <v>303</v>
      </c>
      <c r="B308" s="250" t="s">
        <v>698</v>
      </c>
      <c r="C308" s="250" t="s">
        <v>697</v>
      </c>
      <c r="D308" s="239">
        <v>87090602</v>
      </c>
      <c r="E308" s="239">
        <v>0</v>
      </c>
      <c r="F308" s="239">
        <v>141864</v>
      </c>
      <c r="G308" s="239">
        <v>259093</v>
      </c>
      <c r="H308" s="239">
        <v>0</v>
      </c>
      <c r="I308" s="239">
        <v>259093</v>
      </c>
      <c r="J308" s="239">
        <v>0</v>
      </c>
      <c r="K308" s="239">
        <v>0</v>
      </c>
      <c r="L308" s="239">
        <v>0</v>
      </c>
      <c r="M308" s="239">
        <v>0</v>
      </c>
      <c r="N308" s="239">
        <v>0</v>
      </c>
      <c r="O308" s="239">
        <v>86689645</v>
      </c>
      <c r="P308" s="214" t="s">
        <v>801</v>
      </c>
      <c r="Q308" s="214" t="s">
        <v>747</v>
      </c>
      <c r="R308" s="214" t="s">
        <v>768</v>
      </c>
      <c r="S308" s="214" t="s">
        <v>747</v>
      </c>
    </row>
    <row r="309" spans="1:19" x14ac:dyDescent="0.2">
      <c r="A309" s="214">
        <v>304</v>
      </c>
      <c r="B309" s="250" t="s">
        <v>700</v>
      </c>
      <c r="C309" s="250" t="s">
        <v>699</v>
      </c>
      <c r="D309" s="239">
        <v>11424032</v>
      </c>
      <c r="E309" s="239">
        <v>0</v>
      </c>
      <c r="F309" s="239">
        <v>142423</v>
      </c>
      <c r="G309" s="239">
        <v>85017</v>
      </c>
      <c r="H309" s="239">
        <v>0</v>
      </c>
      <c r="I309" s="239">
        <v>85017</v>
      </c>
      <c r="J309" s="239">
        <v>0</v>
      </c>
      <c r="K309" s="239">
        <v>0</v>
      </c>
      <c r="L309" s="239">
        <v>0</v>
      </c>
      <c r="M309" s="239">
        <v>0</v>
      </c>
      <c r="N309" s="239">
        <v>0</v>
      </c>
      <c r="O309" s="239">
        <v>11196592</v>
      </c>
      <c r="P309" s="214" t="s">
        <v>699</v>
      </c>
      <c r="Q309" s="214" t="s">
        <v>799</v>
      </c>
      <c r="R309" s="214" t="s">
        <v>791</v>
      </c>
      <c r="S309" s="214" t="s">
        <v>1190</v>
      </c>
    </row>
    <row r="310" spans="1:19" x14ac:dyDescent="0.2">
      <c r="A310" s="214">
        <v>305</v>
      </c>
      <c r="B310" s="250" t="s">
        <v>702</v>
      </c>
      <c r="C310" s="250" t="s">
        <v>701</v>
      </c>
      <c r="D310" s="239">
        <v>28560384</v>
      </c>
      <c r="E310" s="239">
        <v>0</v>
      </c>
      <c r="F310" s="239">
        <v>41863</v>
      </c>
      <c r="G310" s="239">
        <v>209221</v>
      </c>
      <c r="H310" s="239">
        <v>0</v>
      </c>
      <c r="I310" s="239">
        <v>209221</v>
      </c>
      <c r="J310" s="239">
        <v>0</v>
      </c>
      <c r="K310" s="239">
        <v>0</v>
      </c>
      <c r="L310" s="239">
        <v>176539</v>
      </c>
      <c r="M310" s="239">
        <v>172579</v>
      </c>
      <c r="N310" s="239">
        <v>3960</v>
      </c>
      <c r="O310" s="239">
        <v>28132761</v>
      </c>
      <c r="P310" s="214" t="s">
        <v>701</v>
      </c>
      <c r="Q310" s="214" t="s">
        <v>786</v>
      </c>
      <c r="R310" s="214" t="s">
        <v>784</v>
      </c>
      <c r="S310" s="214" t="s">
        <v>1190</v>
      </c>
    </row>
    <row r="311" spans="1:19" x14ac:dyDescent="0.2">
      <c r="A311" s="214">
        <v>306</v>
      </c>
      <c r="B311" s="250" t="s">
        <v>704</v>
      </c>
      <c r="C311" s="250" t="s">
        <v>703</v>
      </c>
      <c r="D311" s="239">
        <v>32716577</v>
      </c>
      <c r="E311" s="239">
        <v>314808</v>
      </c>
      <c r="F311" s="239">
        <v>0</v>
      </c>
      <c r="G311" s="239">
        <v>132268</v>
      </c>
      <c r="H311" s="239">
        <v>0</v>
      </c>
      <c r="I311" s="239">
        <v>132268</v>
      </c>
      <c r="J311" s="239">
        <v>0</v>
      </c>
      <c r="K311" s="239">
        <v>0</v>
      </c>
      <c r="L311" s="239">
        <v>0</v>
      </c>
      <c r="M311" s="239">
        <v>0</v>
      </c>
      <c r="N311" s="239">
        <v>0</v>
      </c>
      <c r="O311" s="239">
        <v>32899117</v>
      </c>
      <c r="P311" s="214" t="s">
        <v>703</v>
      </c>
      <c r="Q311" s="214" t="s">
        <v>756</v>
      </c>
      <c r="R311" s="214" t="s">
        <v>754</v>
      </c>
      <c r="S311" s="214" t="s">
        <v>1190</v>
      </c>
    </row>
    <row r="312" spans="1:19" x14ac:dyDescent="0.2">
      <c r="A312" s="214">
        <v>307</v>
      </c>
      <c r="B312" s="250" t="s">
        <v>706</v>
      </c>
      <c r="C312" s="250" t="s">
        <v>705</v>
      </c>
      <c r="D312" s="239">
        <v>15999943</v>
      </c>
      <c r="E312" s="239">
        <v>0</v>
      </c>
      <c r="F312" s="239">
        <v>324749</v>
      </c>
      <c r="G312" s="239">
        <v>106298</v>
      </c>
      <c r="H312" s="239">
        <v>0</v>
      </c>
      <c r="I312" s="239">
        <v>106298</v>
      </c>
      <c r="J312" s="239">
        <v>0</v>
      </c>
      <c r="K312" s="239">
        <v>0</v>
      </c>
      <c r="L312" s="239">
        <v>25326</v>
      </c>
      <c r="M312" s="239">
        <v>25326</v>
      </c>
      <c r="N312" s="239">
        <v>0</v>
      </c>
      <c r="O312" s="239">
        <v>15543570</v>
      </c>
      <c r="P312" s="214" t="s">
        <v>705</v>
      </c>
      <c r="Q312" s="214" t="s">
        <v>797</v>
      </c>
      <c r="R312" s="214" t="s">
        <v>762</v>
      </c>
      <c r="S312" s="214" t="s">
        <v>1190</v>
      </c>
    </row>
    <row r="313" spans="1:19" x14ac:dyDescent="0.2">
      <c r="A313" s="214">
        <v>308</v>
      </c>
      <c r="B313" s="250" t="s">
        <v>708</v>
      </c>
      <c r="C313" s="250" t="s">
        <v>707</v>
      </c>
      <c r="D313" s="239">
        <v>34810466</v>
      </c>
      <c r="E313" s="239">
        <v>21973</v>
      </c>
      <c r="F313" s="239">
        <v>0</v>
      </c>
      <c r="G313" s="239">
        <v>164154</v>
      </c>
      <c r="H313" s="239">
        <v>0</v>
      </c>
      <c r="I313" s="239">
        <v>164154</v>
      </c>
      <c r="J313" s="239">
        <v>0</v>
      </c>
      <c r="K313" s="239">
        <v>0</v>
      </c>
      <c r="L313" s="239">
        <v>260832</v>
      </c>
      <c r="M313" s="239">
        <v>260832</v>
      </c>
      <c r="N313" s="239">
        <v>0</v>
      </c>
      <c r="O313" s="239">
        <v>34407453</v>
      </c>
      <c r="P313" s="214" t="s">
        <v>707</v>
      </c>
      <c r="Q313" s="214" t="s">
        <v>795</v>
      </c>
      <c r="R313" s="214" t="s">
        <v>762</v>
      </c>
      <c r="S313" s="214" t="s">
        <v>1190</v>
      </c>
    </row>
    <row r="314" spans="1:19" x14ac:dyDescent="0.2">
      <c r="A314" s="214">
        <v>309</v>
      </c>
      <c r="B314" s="250" t="s">
        <v>710</v>
      </c>
      <c r="C314" s="250" t="s">
        <v>709</v>
      </c>
      <c r="D314" s="239">
        <v>13676199</v>
      </c>
      <c r="E314" s="239">
        <v>0</v>
      </c>
      <c r="F314" s="239">
        <v>170361</v>
      </c>
      <c r="G314" s="239">
        <v>73383</v>
      </c>
      <c r="H314" s="239">
        <v>0</v>
      </c>
      <c r="I314" s="239">
        <v>73383</v>
      </c>
      <c r="J314" s="239">
        <v>0</v>
      </c>
      <c r="K314" s="239">
        <v>0</v>
      </c>
      <c r="L314" s="239">
        <v>29394</v>
      </c>
      <c r="M314" s="239">
        <v>29394</v>
      </c>
      <c r="N314" s="239">
        <v>0</v>
      </c>
      <c r="O314" s="239">
        <v>13403061</v>
      </c>
      <c r="P314" s="214" t="s">
        <v>709</v>
      </c>
      <c r="Q314" s="214" t="s">
        <v>793</v>
      </c>
      <c r="R314" s="214" t="s">
        <v>791</v>
      </c>
      <c r="S314" s="214" t="s">
        <v>1190</v>
      </c>
    </row>
    <row r="315" spans="1:19" x14ac:dyDescent="0.2">
      <c r="A315" s="214">
        <v>310</v>
      </c>
      <c r="B315" s="250" t="s">
        <v>712</v>
      </c>
      <c r="C315" s="250" t="s">
        <v>711</v>
      </c>
      <c r="D315" s="239">
        <v>1916701286</v>
      </c>
      <c r="E315" s="239">
        <v>0</v>
      </c>
      <c r="F315" s="239">
        <v>18719169</v>
      </c>
      <c r="G315" s="239">
        <v>3097183</v>
      </c>
      <c r="H315" s="239">
        <v>0</v>
      </c>
      <c r="I315" s="239">
        <v>3097183</v>
      </c>
      <c r="J315" s="239">
        <v>0</v>
      </c>
      <c r="K315" s="239">
        <v>0</v>
      </c>
      <c r="L315" s="239">
        <v>0</v>
      </c>
      <c r="M315" s="239">
        <v>0</v>
      </c>
      <c r="N315" s="239">
        <v>0</v>
      </c>
      <c r="O315" s="239">
        <v>1894884934</v>
      </c>
      <c r="P315" s="214" t="s">
        <v>711</v>
      </c>
      <c r="Q315" s="214" t="s">
        <v>789</v>
      </c>
      <c r="R315" s="214" t="s">
        <v>748</v>
      </c>
      <c r="S315" s="214" t="s">
        <v>1193</v>
      </c>
    </row>
    <row r="316" spans="1:19" x14ac:dyDescent="0.2">
      <c r="A316" s="214">
        <v>311</v>
      </c>
      <c r="B316" s="250" t="s">
        <v>714</v>
      </c>
      <c r="C316" s="250" t="s">
        <v>713</v>
      </c>
      <c r="D316" s="239">
        <v>15960612</v>
      </c>
      <c r="E316" s="239">
        <v>0</v>
      </c>
      <c r="F316" s="239">
        <v>118282</v>
      </c>
      <c r="G316" s="239">
        <v>107015</v>
      </c>
      <c r="H316" s="239">
        <v>0</v>
      </c>
      <c r="I316" s="239">
        <v>107015</v>
      </c>
      <c r="J316" s="239">
        <v>0</v>
      </c>
      <c r="K316" s="239">
        <v>0</v>
      </c>
      <c r="L316" s="239">
        <v>0</v>
      </c>
      <c r="M316" s="239">
        <v>0</v>
      </c>
      <c r="N316" s="239">
        <v>0</v>
      </c>
      <c r="O316" s="239">
        <v>15735315</v>
      </c>
      <c r="P316" s="214" t="s">
        <v>788</v>
      </c>
      <c r="Q316" s="214" t="s">
        <v>786</v>
      </c>
      <c r="R316" s="214" t="s">
        <v>784</v>
      </c>
      <c r="S316" s="214" t="s">
        <v>1190</v>
      </c>
    </row>
    <row r="317" spans="1:19" x14ac:dyDescent="0.2">
      <c r="A317" s="214">
        <v>312</v>
      </c>
      <c r="B317" s="250" t="s">
        <v>716</v>
      </c>
      <c r="C317" s="250" t="s">
        <v>715</v>
      </c>
      <c r="D317" s="239">
        <v>79768070</v>
      </c>
      <c r="E317" s="239">
        <v>0</v>
      </c>
      <c r="F317" s="239">
        <v>381220</v>
      </c>
      <c r="G317" s="239">
        <v>385297</v>
      </c>
      <c r="H317" s="239">
        <v>0</v>
      </c>
      <c r="I317" s="239">
        <v>385297</v>
      </c>
      <c r="J317" s="239">
        <v>0</v>
      </c>
      <c r="K317" s="239">
        <v>0</v>
      </c>
      <c r="L317" s="239">
        <v>0</v>
      </c>
      <c r="M317" s="239">
        <v>0</v>
      </c>
      <c r="N317" s="239">
        <v>0</v>
      </c>
      <c r="O317" s="239">
        <v>79001553</v>
      </c>
      <c r="P317" s="214" t="s">
        <v>715</v>
      </c>
      <c r="Q317" s="214" t="s">
        <v>767</v>
      </c>
      <c r="R317" s="214" t="s">
        <v>782</v>
      </c>
      <c r="S317" s="214" t="s">
        <v>1192</v>
      </c>
    </row>
    <row r="318" spans="1:19" x14ac:dyDescent="0.2">
      <c r="A318" s="214">
        <v>313</v>
      </c>
      <c r="B318" s="250" t="s">
        <v>718</v>
      </c>
      <c r="C318" s="250" t="s">
        <v>717</v>
      </c>
      <c r="D318" s="239">
        <v>152638024</v>
      </c>
      <c r="E318" s="239">
        <v>0</v>
      </c>
      <c r="F318" s="239">
        <v>211374</v>
      </c>
      <c r="G318" s="239">
        <v>625526</v>
      </c>
      <c r="H318" s="239">
        <v>0</v>
      </c>
      <c r="I318" s="239">
        <v>625526</v>
      </c>
      <c r="J318" s="239">
        <v>0</v>
      </c>
      <c r="K318" s="239">
        <v>0</v>
      </c>
      <c r="L318" s="239">
        <v>1560758</v>
      </c>
      <c r="M318" s="239">
        <v>1560758</v>
      </c>
      <c r="N318" s="239">
        <v>0</v>
      </c>
      <c r="O318" s="239">
        <v>150240366</v>
      </c>
      <c r="P318" s="214" t="s">
        <v>717</v>
      </c>
      <c r="Q318" s="214" t="s">
        <v>747</v>
      </c>
      <c r="R318" s="214" t="s">
        <v>780</v>
      </c>
      <c r="S318" s="214" t="s">
        <v>747</v>
      </c>
    </row>
    <row r="319" spans="1:19" x14ac:dyDescent="0.2">
      <c r="A319" s="214">
        <v>314</v>
      </c>
      <c r="B319" s="250" t="s">
        <v>720</v>
      </c>
      <c r="C319" s="250" t="s">
        <v>719</v>
      </c>
      <c r="D319" s="239">
        <v>57835093</v>
      </c>
      <c r="E319" s="239">
        <v>0</v>
      </c>
      <c r="F319" s="239">
        <v>166816</v>
      </c>
      <c r="G319" s="239">
        <v>198716</v>
      </c>
      <c r="H319" s="239">
        <v>0</v>
      </c>
      <c r="I319" s="239">
        <v>198716</v>
      </c>
      <c r="J319" s="239">
        <v>0</v>
      </c>
      <c r="K319" s="239">
        <v>0</v>
      </c>
      <c r="L319" s="239">
        <v>286071</v>
      </c>
      <c r="M319" s="239">
        <v>286071</v>
      </c>
      <c r="N319" s="239">
        <v>0</v>
      </c>
      <c r="O319" s="239">
        <v>57183490</v>
      </c>
      <c r="P319" s="214" t="s">
        <v>719</v>
      </c>
      <c r="Q319" s="214" t="s">
        <v>778</v>
      </c>
      <c r="R319" s="214" t="s">
        <v>776</v>
      </c>
      <c r="S319" s="214" t="s">
        <v>1190</v>
      </c>
    </row>
    <row r="320" spans="1:19" x14ac:dyDescent="0.2">
      <c r="A320" s="214">
        <v>315</v>
      </c>
      <c r="B320" s="250" t="s">
        <v>722</v>
      </c>
      <c r="C320" s="250" t="s">
        <v>721</v>
      </c>
      <c r="D320" s="239">
        <v>80897050</v>
      </c>
      <c r="E320" s="239">
        <v>0</v>
      </c>
      <c r="F320" s="239">
        <v>36942</v>
      </c>
      <c r="G320" s="239">
        <v>242888</v>
      </c>
      <c r="H320" s="239">
        <v>0</v>
      </c>
      <c r="I320" s="239">
        <v>242888</v>
      </c>
      <c r="J320" s="239">
        <v>0</v>
      </c>
      <c r="K320" s="239">
        <v>0</v>
      </c>
      <c r="L320" s="239">
        <v>7356</v>
      </c>
      <c r="M320" s="239">
        <v>7356</v>
      </c>
      <c r="N320" s="239">
        <v>0</v>
      </c>
      <c r="O320" s="239">
        <v>80609864</v>
      </c>
      <c r="P320" s="214" t="s">
        <v>775</v>
      </c>
      <c r="Q320" s="214" t="s">
        <v>747</v>
      </c>
      <c r="R320" s="214" t="s">
        <v>768</v>
      </c>
      <c r="S320" s="214" t="s">
        <v>747</v>
      </c>
    </row>
    <row r="321" spans="1:19" x14ac:dyDescent="0.2">
      <c r="A321" s="214">
        <v>316</v>
      </c>
      <c r="B321" s="250" t="s">
        <v>724</v>
      </c>
      <c r="C321" s="250" t="s">
        <v>723</v>
      </c>
      <c r="D321" s="239">
        <v>72266878</v>
      </c>
      <c r="E321" s="239">
        <v>0</v>
      </c>
      <c r="F321" s="239">
        <v>12844</v>
      </c>
      <c r="G321" s="239">
        <v>337829</v>
      </c>
      <c r="H321" s="239">
        <v>0</v>
      </c>
      <c r="I321" s="239">
        <v>337829</v>
      </c>
      <c r="J321" s="239">
        <v>0</v>
      </c>
      <c r="K321" s="239">
        <v>195982</v>
      </c>
      <c r="L321" s="239">
        <v>0</v>
      </c>
      <c r="M321" s="239">
        <v>0</v>
      </c>
      <c r="N321" s="239">
        <v>0</v>
      </c>
      <c r="O321" s="239">
        <v>71720223</v>
      </c>
      <c r="P321" s="214" t="s">
        <v>723</v>
      </c>
      <c r="Q321" s="214" t="s">
        <v>767</v>
      </c>
      <c r="R321" s="214" t="s">
        <v>773</v>
      </c>
      <c r="S321" s="214" t="s">
        <v>1192</v>
      </c>
    </row>
    <row r="322" spans="1:19" x14ac:dyDescent="0.2">
      <c r="A322" s="214">
        <v>317</v>
      </c>
      <c r="B322" s="250" t="s">
        <v>726</v>
      </c>
      <c r="C322" s="250" t="s">
        <v>725</v>
      </c>
      <c r="D322" s="239">
        <v>50008712</v>
      </c>
      <c r="E322" s="239">
        <v>2120</v>
      </c>
      <c r="F322" s="239">
        <v>0</v>
      </c>
      <c r="G322" s="239">
        <v>138353</v>
      </c>
      <c r="H322" s="239">
        <v>0</v>
      </c>
      <c r="I322" s="239">
        <v>138353</v>
      </c>
      <c r="J322" s="239">
        <v>0</v>
      </c>
      <c r="K322" s="239">
        <v>0</v>
      </c>
      <c r="L322" s="239">
        <v>0</v>
      </c>
      <c r="M322" s="239">
        <v>0</v>
      </c>
      <c r="N322" s="239">
        <v>0</v>
      </c>
      <c r="O322" s="239">
        <v>49872479</v>
      </c>
      <c r="P322" s="214" t="s">
        <v>725</v>
      </c>
      <c r="Q322" s="214" t="s">
        <v>771</v>
      </c>
      <c r="R322" s="214" t="s">
        <v>762</v>
      </c>
      <c r="S322" s="214" t="s">
        <v>1190</v>
      </c>
    </row>
    <row r="323" spans="1:19" x14ac:dyDescent="0.2">
      <c r="A323" s="214">
        <v>318</v>
      </c>
      <c r="B323" s="250" t="s">
        <v>728</v>
      </c>
      <c r="C323" s="250" t="s">
        <v>727</v>
      </c>
      <c r="D323" s="239">
        <v>55308294</v>
      </c>
      <c r="E323" s="239">
        <v>0</v>
      </c>
      <c r="F323" s="239">
        <v>31720</v>
      </c>
      <c r="G323" s="239">
        <v>183365</v>
      </c>
      <c r="H323" s="239">
        <v>0</v>
      </c>
      <c r="I323" s="239">
        <v>183365</v>
      </c>
      <c r="J323" s="239">
        <v>0</v>
      </c>
      <c r="K323" s="239">
        <v>0</v>
      </c>
      <c r="L323" s="239">
        <v>19880</v>
      </c>
      <c r="M323" s="239">
        <v>19880</v>
      </c>
      <c r="N323" s="239">
        <v>0</v>
      </c>
      <c r="O323" s="239">
        <v>55073329</v>
      </c>
      <c r="P323" s="214" t="s">
        <v>770</v>
      </c>
      <c r="Q323" s="214" t="s">
        <v>747</v>
      </c>
      <c r="R323" s="214" t="s">
        <v>768</v>
      </c>
      <c r="S323" s="214" t="s">
        <v>747</v>
      </c>
    </row>
    <row r="324" spans="1:19" x14ac:dyDescent="0.2">
      <c r="A324" s="214">
        <v>319</v>
      </c>
      <c r="B324" s="250" t="s">
        <v>730</v>
      </c>
      <c r="C324" s="250" t="s">
        <v>729</v>
      </c>
      <c r="D324" s="239">
        <v>70795312</v>
      </c>
      <c r="E324" s="239">
        <v>0</v>
      </c>
      <c r="F324" s="239">
        <v>886281</v>
      </c>
      <c r="G324" s="239">
        <v>344356</v>
      </c>
      <c r="H324" s="239">
        <v>0</v>
      </c>
      <c r="I324" s="239">
        <v>344356</v>
      </c>
      <c r="J324" s="239">
        <v>0</v>
      </c>
      <c r="K324" s="239">
        <v>46265</v>
      </c>
      <c r="L324" s="239">
        <v>0</v>
      </c>
      <c r="M324" s="239">
        <v>0</v>
      </c>
      <c r="N324" s="239">
        <v>0</v>
      </c>
      <c r="O324" s="239">
        <v>69518410</v>
      </c>
      <c r="P324" s="214" t="s">
        <v>729</v>
      </c>
      <c r="Q324" s="214" t="s">
        <v>767</v>
      </c>
      <c r="R324" s="214" t="s">
        <v>765</v>
      </c>
      <c r="S324" s="214" t="s">
        <v>1192</v>
      </c>
    </row>
    <row r="325" spans="1:19" x14ac:dyDescent="0.2">
      <c r="A325" s="214">
        <v>320</v>
      </c>
      <c r="B325" s="250" t="s">
        <v>732</v>
      </c>
      <c r="C325" s="250" t="s">
        <v>731</v>
      </c>
      <c r="D325" s="239">
        <v>41791431</v>
      </c>
      <c r="E325" s="239">
        <v>0</v>
      </c>
      <c r="F325" s="239">
        <v>55336</v>
      </c>
      <c r="G325" s="239">
        <v>136997</v>
      </c>
      <c r="H325" s="239">
        <v>0</v>
      </c>
      <c r="I325" s="239">
        <v>136997</v>
      </c>
      <c r="J325" s="239">
        <v>0</v>
      </c>
      <c r="K325" s="239">
        <v>0</v>
      </c>
      <c r="L325" s="239">
        <v>0</v>
      </c>
      <c r="M325" s="239">
        <v>0</v>
      </c>
      <c r="N325" s="239">
        <v>0</v>
      </c>
      <c r="O325" s="239">
        <v>41599098</v>
      </c>
      <c r="P325" s="214" t="s">
        <v>731</v>
      </c>
      <c r="Q325" s="214" t="s">
        <v>752</v>
      </c>
      <c r="R325" s="214" t="s">
        <v>750</v>
      </c>
      <c r="S325" s="214" t="s">
        <v>1190</v>
      </c>
    </row>
    <row r="326" spans="1:19" x14ac:dyDescent="0.2">
      <c r="A326" s="214">
        <v>321</v>
      </c>
      <c r="B326" s="250" t="s">
        <v>734</v>
      </c>
      <c r="C326" s="250" t="s">
        <v>733</v>
      </c>
      <c r="D326" s="239">
        <v>32676549</v>
      </c>
      <c r="E326" s="239">
        <v>0</v>
      </c>
      <c r="F326" s="239">
        <v>47546</v>
      </c>
      <c r="G326" s="239">
        <v>131043</v>
      </c>
      <c r="H326" s="239">
        <v>0</v>
      </c>
      <c r="I326" s="239">
        <v>131043</v>
      </c>
      <c r="J326" s="239">
        <v>0</v>
      </c>
      <c r="K326" s="239">
        <v>0</v>
      </c>
      <c r="L326" s="239">
        <v>0</v>
      </c>
      <c r="M326" s="239">
        <v>0</v>
      </c>
      <c r="N326" s="239">
        <v>0</v>
      </c>
      <c r="O326" s="239">
        <v>32497960</v>
      </c>
      <c r="P326" s="214" t="s">
        <v>733</v>
      </c>
      <c r="Q326" s="214" t="s">
        <v>763</v>
      </c>
      <c r="R326" s="214" t="s">
        <v>762</v>
      </c>
      <c r="S326" s="214" t="s">
        <v>1190</v>
      </c>
    </row>
    <row r="327" spans="1:19" x14ac:dyDescent="0.2">
      <c r="A327" s="214">
        <v>322</v>
      </c>
      <c r="B327" s="250" t="s">
        <v>736</v>
      </c>
      <c r="C327" s="250" t="s">
        <v>735</v>
      </c>
      <c r="D327" s="239">
        <v>41447107</v>
      </c>
      <c r="E327" s="239">
        <v>0</v>
      </c>
      <c r="F327" s="239">
        <v>146980</v>
      </c>
      <c r="G327" s="239">
        <v>187199</v>
      </c>
      <c r="H327" s="239">
        <v>0</v>
      </c>
      <c r="I327" s="239">
        <v>187199</v>
      </c>
      <c r="J327" s="239">
        <v>0</v>
      </c>
      <c r="K327" s="239">
        <v>0</v>
      </c>
      <c r="L327" s="239">
        <v>207552</v>
      </c>
      <c r="M327" s="239">
        <v>207552</v>
      </c>
      <c r="N327" s="239">
        <v>0</v>
      </c>
      <c r="O327" s="239">
        <v>40905376</v>
      </c>
      <c r="P327" s="214" t="s">
        <v>735</v>
      </c>
      <c r="Q327" s="214" t="s">
        <v>752</v>
      </c>
      <c r="R327" s="214" t="s">
        <v>750</v>
      </c>
      <c r="S327" s="214" t="s">
        <v>1190</v>
      </c>
    </row>
    <row r="328" spans="1:19" x14ac:dyDescent="0.2">
      <c r="A328" s="214">
        <v>323</v>
      </c>
      <c r="B328" s="250" t="s">
        <v>738</v>
      </c>
      <c r="C328" s="250" t="s">
        <v>737</v>
      </c>
      <c r="D328" s="239">
        <v>72230999</v>
      </c>
      <c r="E328" s="239">
        <v>173170</v>
      </c>
      <c r="F328" s="239">
        <v>0</v>
      </c>
      <c r="G328" s="239">
        <v>240953</v>
      </c>
      <c r="H328" s="239">
        <v>0</v>
      </c>
      <c r="I328" s="239">
        <v>240953</v>
      </c>
      <c r="J328" s="239">
        <v>0</v>
      </c>
      <c r="K328" s="239">
        <v>0</v>
      </c>
      <c r="L328" s="239">
        <v>0</v>
      </c>
      <c r="M328" s="239">
        <v>0</v>
      </c>
      <c r="N328" s="239">
        <v>0</v>
      </c>
      <c r="O328" s="239">
        <v>72163216</v>
      </c>
      <c r="P328" s="214" t="s">
        <v>737</v>
      </c>
      <c r="Q328" s="214" t="s">
        <v>760</v>
      </c>
      <c r="R328" s="214" t="s">
        <v>758</v>
      </c>
      <c r="S328" s="214" t="s">
        <v>1190</v>
      </c>
    </row>
    <row r="329" spans="1:19" x14ac:dyDescent="0.2">
      <c r="A329" s="214">
        <v>324</v>
      </c>
      <c r="B329" s="250" t="s">
        <v>740</v>
      </c>
      <c r="C329" s="250" t="s">
        <v>739</v>
      </c>
      <c r="D329" s="239">
        <v>26568719</v>
      </c>
      <c r="E329" s="239">
        <v>0</v>
      </c>
      <c r="F329" s="239">
        <v>123156</v>
      </c>
      <c r="G329" s="239">
        <v>153244</v>
      </c>
      <c r="H329" s="239">
        <v>0</v>
      </c>
      <c r="I329" s="239">
        <v>153244</v>
      </c>
      <c r="J329" s="239">
        <v>0</v>
      </c>
      <c r="K329" s="239">
        <v>55289</v>
      </c>
      <c r="L329" s="239">
        <v>0</v>
      </c>
      <c r="M329" s="239">
        <v>0</v>
      </c>
      <c r="N329" s="239">
        <v>0</v>
      </c>
      <c r="O329" s="239">
        <v>26237030</v>
      </c>
      <c r="P329" s="214" t="s">
        <v>739</v>
      </c>
      <c r="Q329" s="214" t="s">
        <v>756</v>
      </c>
      <c r="R329" s="214" t="s">
        <v>754</v>
      </c>
      <c r="S329" s="214" t="s">
        <v>1190</v>
      </c>
    </row>
    <row r="330" spans="1:19" x14ac:dyDescent="0.2">
      <c r="A330" s="214">
        <v>325</v>
      </c>
      <c r="B330" s="250" t="s">
        <v>742</v>
      </c>
      <c r="C330" s="250" t="s">
        <v>741</v>
      </c>
      <c r="D330" s="239">
        <v>29391652</v>
      </c>
      <c r="E330" s="239">
        <v>0</v>
      </c>
      <c r="F330" s="239">
        <v>36844</v>
      </c>
      <c r="G330" s="239">
        <v>134079</v>
      </c>
      <c r="H330" s="239">
        <v>0</v>
      </c>
      <c r="I330" s="239">
        <v>134079</v>
      </c>
      <c r="J330" s="239">
        <v>0</v>
      </c>
      <c r="K330" s="239">
        <v>0</v>
      </c>
      <c r="L330" s="239">
        <v>4237</v>
      </c>
      <c r="M330" s="239">
        <v>4237</v>
      </c>
      <c r="N330" s="239">
        <v>0</v>
      </c>
      <c r="O330" s="239">
        <v>29216492</v>
      </c>
      <c r="P330" s="214" t="s">
        <v>741</v>
      </c>
      <c r="Q330" s="214" t="s">
        <v>752</v>
      </c>
      <c r="R330" s="214" t="s">
        <v>750</v>
      </c>
      <c r="S330" s="214" t="s">
        <v>1190</v>
      </c>
    </row>
    <row r="331" spans="1:19" x14ac:dyDescent="0.2">
      <c r="A331" s="214">
        <v>326</v>
      </c>
      <c r="B331" s="250" t="s">
        <v>744</v>
      </c>
      <c r="C331" s="250" t="s">
        <v>743</v>
      </c>
      <c r="D331" s="239">
        <v>105119041</v>
      </c>
      <c r="E331" s="239">
        <v>0</v>
      </c>
      <c r="F331" s="239">
        <v>173047</v>
      </c>
      <c r="G331" s="239">
        <v>298324</v>
      </c>
      <c r="H331" s="239">
        <v>0</v>
      </c>
      <c r="I331" s="239">
        <v>298324</v>
      </c>
      <c r="J331" s="239">
        <v>0</v>
      </c>
      <c r="K331" s="239">
        <v>0</v>
      </c>
      <c r="L331" s="239">
        <v>0</v>
      </c>
      <c r="M331" s="239">
        <v>0</v>
      </c>
      <c r="N331" s="239">
        <v>0</v>
      </c>
      <c r="O331" s="239">
        <v>104647670</v>
      </c>
      <c r="P331" s="214" t="s">
        <v>749</v>
      </c>
      <c r="Q331" s="214" t="s">
        <v>747</v>
      </c>
      <c r="R331" s="214" t="s">
        <v>745</v>
      </c>
      <c r="S331" s="214" t="s">
        <v>747</v>
      </c>
    </row>
    <row r="332" spans="1:19" x14ac:dyDescent="0.2">
      <c r="A332" s="214">
        <v>327</v>
      </c>
      <c r="B332" s="250" t="s">
        <v>1182</v>
      </c>
      <c r="C332" s="250" t="s">
        <v>1176</v>
      </c>
      <c r="D332" s="239">
        <v>23869627172.889999</v>
      </c>
      <c r="E332" s="239">
        <v>4698663</v>
      </c>
      <c r="F332" s="239">
        <v>113720208</v>
      </c>
      <c r="G332" s="239">
        <v>84000006</v>
      </c>
      <c r="H332" s="239">
        <v>113454</v>
      </c>
      <c r="I332" s="239">
        <v>84113460</v>
      </c>
      <c r="J332" s="239">
        <v>11039000</v>
      </c>
      <c r="K332" s="239">
        <v>28737781</v>
      </c>
      <c r="L332" s="239">
        <v>51359466</v>
      </c>
      <c r="M332" s="239">
        <v>49461247</v>
      </c>
      <c r="N332" s="239">
        <v>1898219</v>
      </c>
      <c r="O332" s="239">
        <v>23585355920.889999</v>
      </c>
      <c r="P332" s="215" t="s">
        <v>1210</v>
      </c>
      <c r="Q332" s="215" t="s">
        <v>1210</v>
      </c>
      <c r="R332" s="215" t="s">
        <v>1210</v>
      </c>
      <c r="S332" s="215" t="s">
        <v>1210</v>
      </c>
    </row>
    <row r="333" spans="1:19" x14ac:dyDescent="0.2">
      <c r="D333" s="239"/>
      <c r="E333" s="239"/>
      <c r="F333" s="239"/>
      <c r="G333" s="239"/>
      <c r="H333" s="239"/>
      <c r="I333" s="239"/>
      <c r="J333" s="239"/>
      <c r="K333" s="239"/>
      <c r="L333" s="239"/>
      <c r="M333" s="239"/>
      <c r="N333" s="239"/>
      <c r="O333" s="239"/>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33"/>
  <sheetViews>
    <sheetView workbookViewId="0"/>
  </sheetViews>
  <sheetFormatPr defaultRowHeight="12.75" x14ac:dyDescent="0.2"/>
  <cols>
    <col min="1" max="1" width="4.28515625" style="214" customWidth="1"/>
    <col min="2" max="2" width="8.42578125" customWidth="1"/>
    <col min="3" max="3" width="27.7109375" customWidth="1"/>
    <col min="4" max="4" width="14.140625" style="632" customWidth="1"/>
    <col min="5" max="5" width="11.7109375" style="632" customWidth="1"/>
    <col min="6" max="6" width="14.42578125" style="632" customWidth="1"/>
    <col min="7" max="7" width="10" style="632" customWidth="1"/>
    <col min="8" max="8" width="9.42578125" style="632" bestFit="1" customWidth="1"/>
    <col min="9" max="9" width="9.7109375" style="632" bestFit="1" customWidth="1"/>
    <col min="10" max="10" width="12" style="632" customWidth="1"/>
    <col min="11" max="11" width="9.42578125" style="632" bestFit="1" customWidth="1"/>
    <col min="12" max="12" width="11.5703125" style="632" customWidth="1"/>
    <col min="13" max="13" width="14.5703125" style="632" customWidth="1"/>
    <col min="14" max="14" width="9.42578125" style="632" bestFit="1" customWidth="1"/>
    <col min="15" max="15" width="11" style="632" customWidth="1"/>
    <col min="16" max="16" width="11.42578125" style="632" customWidth="1"/>
    <col min="17" max="17" width="9.42578125" style="632" bestFit="1" customWidth="1"/>
    <col min="18" max="18" width="13.85546875" style="632" customWidth="1"/>
    <col min="19" max="19" width="14" style="632" customWidth="1"/>
    <col min="20" max="20" width="9.42578125" style="632" bestFit="1" customWidth="1"/>
    <col min="21" max="21" width="11.28515625" style="632" customWidth="1"/>
    <col min="22" max="22" width="13.42578125" style="632" customWidth="1"/>
    <col min="23" max="23" width="9.7109375" style="632" bestFit="1" customWidth="1"/>
    <col min="24" max="24" width="13.28515625" style="632" customWidth="1"/>
    <col min="25" max="25" width="14.140625" style="632" customWidth="1"/>
    <col min="26" max="26" width="11.5703125" style="632" customWidth="1"/>
    <col min="27" max="27" width="13.85546875" style="632" bestFit="1" customWidth="1"/>
    <col min="28" max="29" width="11.28515625" style="632" customWidth="1"/>
    <col min="30" max="30" width="10.7109375" style="632" customWidth="1"/>
    <col min="31" max="31" width="10.140625" style="632" bestFit="1" customWidth="1"/>
    <col min="32" max="32" width="9.42578125" style="632" bestFit="1" customWidth="1"/>
    <col min="33" max="33" width="13" style="632" customWidth="1"/>
    <col min="34" max="34" width="9.42578125" style="632" bestFit="1" customWidth="1"/>
    <col min="35" max="35" width="11.140625" style="632" customWidth="1"/>
    <col min="36" max="36" width="10.85546875" style="632" customWidth="1"/>
    <col min="37" max="37" width="12" style="632" customWidth="1"/>
    <col min="38" max="38" width="17.5703125" style="632" customWidth="1"/>
    <col min="39" max="39" width="14.5703125" style="632" customWidth="1"/>
    <col min="40" max="40" width="33.140625" style="214" customWidth="1"/>
    <col min="41" max="41" width="27.28515625" style="214" customWidth="1"/>
    <col min="42" max="42" width="30.42578125" style="214" customWidth="1"/>
    <col min="43" max="16384" width="9.140625" style="214"/>
  </cols>
  <sheetData>
    <row r="1" spans="2:43" x14ac:dyDescent="0.2">
      <c r="B1" s="214"/>
      <c r="C1" s="214"/>
      <c r="D1" s="632">
        <v>3</v>
      </c>
      <c r="E1" s="632">
        <v>4</v>
      </c>
      <c r="F1" s="632">
        <v>5</v>
      </c>
      <c r="G1" s="632">
        <v>6</v>
      </c>
      <c r="H1" s="632">
        <v>7</v>
      </c>
      <c r="I1" s="632">
        <v>8</v>
      </c>
      <c r="J1" s="632">
        <v>9</v>
      </c>
      <c r="K1" s="632">
        <v>10</v>
      </c>
      <c r="L1" s="632">
        <v>11</v>
      </c>
      <c r="M1" s="632">
        <v>12</v>
      </c>
      <c r="N1" s="632">
        <v>13</v>
      </c>
      <c r="O1" s="632">
        <v>14</v>
      </c>
      <c r="P1" s="632">
        <v>15</v>
      </c>
      <c r="Q1" s="632">
        <v>16</v>
      </c>
      <c r="R1" s="632">
        <v>17</v>
      </c>
      <c r="S1" s="632">
        <v>18</v>
      </c>
      <c r="T1" s="632">
        <v>19</v>
      </c>
      <c r="U1" s="632">
        <v>20</v>
      </c>
      <c r="V1" s="632">
        <v>21</v>
      </c>
      <c r="W1" s="632">
        <v>22</v>
      </c>
      <c r="X1" s="632">
        <v>23</v>
      </c>
      <c r="Y1" s="632">
        <v>24</v>
      </c>
      <c r="Z1" s="632">
        <v>25</v>
      </c>
      <c r="AA1" s="632">
        <v>26</v>
      </c>
      <c r="AB1" s="632">
        <v>27</v>
      </c>
      <c r="AC1" s="632">
        <v>28</v>
      </c>
      <c r="AD1" s="632">
        <v>29</v>
      </c>
      <c r="AE1" s="632">
        <v>30</v>
      </c>
      <c r="AF1" s="632">
        <v>31</v>
      </c>
      <c r="AG1" s="632">
        <v>32</v>
      </c>
      <c r="AH1" s="632">
        <v>33</v>
      </c>
      <c r="AI1" s="632">
        <v>34</v>
      </c>
      <c r="AJ1" s="632">
        <v>35</v>
      </c>
      <c r="AK1" s="632">
        <v>36</v>
      </c>
      <c r="AL1" s="632">
        <v>37</v>
      </c>
      <c r="AM1" s="632">
        <v>38</v>
      </c>
      <c r="AN1" s="214">
        <v>44</v>
      </c>
      <c r="AO1" s="214">
        <v>45</v>
      </c>
      <c r="AP1" s="214">
        <v>46</v>
      </c>
    </row>
    <row r="2" spans="2:43" s="608" customFormat="1" ht="41.25" customHeight="1" x14ac:dyDescent="0.2">
      <c r="B2" s="634"/>
      <c r="C2" s="610"/>
      <c r="D2" s="934" t="s">
        <v>1088</v>
      </c>
      <c r="E2" s="934"/>
      <c r="F2" s="934"/>
      <c r="G2" s="934" t="s">
        <v>1089</v>
      </c>
      <c r="H2" s="934"/>
      <c r="I2" s="934"/>
      <c r="J2" s="934" t="s">
        <v>1090</v>
      </c>
      <c r="K2" s="934"/>
      <c r="L2" s="934"/>
      <c r="M2" s="934" t="s">
        <v>1091</v>
      </c>
      <c r="N2" s="934"/>
      <c r="O2" s="934"/>
      <c r="P2" s="934" t="s">
        <v>1092</v>
      </c>
      <c r="Q2" s="934"/>
      <c r="R2" s="934"/>
      <c r="S2" s="934" t="s">
        <v>1093</v>
      </c>
      <c r="T2" s="934"/>
      <c r="U2" s="934"/>
      <c r="V2" s="934" t="s">
        <v>1094</v>
      </c>
      <c r="W2" s="934"/>
      <c r="X2" s="934"/>
      <c r="Y2" s="934" t="s">
        <v>1095</v>
      </c>
      <c r="Z2" s="934"/>
      <c r="AA2" s="934"/>
      <c r="AB2" s="934" t="s">
        <v>1095</v>
      </c>
      <c r="AC2" s="934"/>
      <c r="AD2" s="934" t="s">
        <v>1096</v>
      </c>
      <c r="AE2" s="934"/>
      <c r="AF2" s="934"/>
      <c r="AG2" s="934" t="s">
        <v>1097</v>
      </c>
      <c r="AH2" s="934"/>
      <c r="AI2" s="934" t="s">
        <v>1098</v>
      </c>
      <c r="AJ2" s="934"/>
      <c r="AK2" s="640" t="s">
        <v>1099</v>
      </c>
      <c r="AL2" s="612" t="s">
        <v>1100</v>
      </c>
      <c r="AM2" s="612" t="s">
        <v>1101</v>
      </c>
    </row>
    <row r="3" spans="2:43" x14ac:dyDescent="0.2">
      <c r="B3" s="214"/>
      <c r="C3" s="214" t="s">
        <v>1071</v>
      </c>
      <c r="D3" s="632">
        <v>1</v>
      </c>
      <c r="G3" s="632">
        <v>2</v>
      </c>
      <c r="J3" s="632">
        <v>3</v>
      </c>
      <c r="M3" s="632">
        <v>4</v>
      </c>
      <c r="P3" s="632">
        <v>5</v>
      </c>
      <c r="S3" s="632">
        <v>6</v>
      </c>
      <c r="V3" s="632">
        <v>7</v>
      </c>
      <c r="Y3" s="632">
        <v>8</v>
      </c>
      <c r="AB3" s="632">
        <v>9</v>
      </c>
      <c r="AD3" s="632">
        <v>10</v>
      </c>
      <c r="AG3" s="632">
        <v>11</v>
      </c>
      <c r="AI3" s="632">
        <v>12</v>
      </c>
      <c r="AK3" s="632">
        <v>13</v>
      </c>
      <c r="AL3" s="632">
        <v>14</v>
      </c>
      <c r="AM3" s="632">
        <v>15</v>
      </c>
    </row>
    <row r="4" spans="2:43" x14ac:dyDescent="0.2">
      <c r="B4" s="214"/>
      <c r="C4" s="214" t="s">
        <v>1084</v>
      </c>
      <c r="D4" s="632">
        <v>1</v>
      </c>
      <c r="E4" s="632">
        <v>2</v>
      </c>
      <c r="F4" s="632">
        <v>3</v>
      </c>
      <c r="G4" s="632">
        <v>1</v>
      </c>
      <c r="H4" s="632">
        <v>2</v>
      </c>
      <c r="I4" s="632">
        <v>3</v>
      </c>
      <c r="J4" s="632">
        <v>1</v>
      </c>
      <c r="K4" s="632">
        <v>2</v>
      </c>
      <c r="L4" s="632">
        <v>3</v>
      </c>
      <c r="M4" s="632">
        <v>1</v>
      </c>
      <c r="N4" s="632">
        <v>2</v>
      </c>
      <c r="O4" s="632">
        <v>3</v>
      </c>
      <c r="P4" s="632">
        <v>1</v>
      </c>
      <c r="Q4" s="632">
        <v>2</v>
      </c>
      <c r="R4" s="632">
        <v>3</v>
      </c>
      <c r="S4" s="632">
        <v>1</v>
      </c>
      <c r="T4" s="632">
        <v>2</v>
      </c>
      <c r="U4" s="632">
        <v>3</v>
      </c>
      <c r="V4" s="632">
        <v>1</v>
      </c>
      <c r="W4" s="632">
        <v>2</v>
      </c>
      <c r="X4" s="632">
        <v>3</v>
      </c>
      <c r="Y4" s="632">
        <v>1</v>
      </c>
      <c r="Z4" s="632">
        <v>2</v>
      </c>
      <c r="AA4" s="632">
        <v>3</v>
      </c>
      <c r="AB4" s="632">
        <v>2</v>
      </c>
      <c r="AC4" s="632">
        <v>3</v>
      </c>
      <c r="AD4" s="632">
        <v>1</v>
      </c>
      <c r="AE4" s="632">
        <v>2</v>
      </c>
      <c r="AF4" s="632">
        <v>3</v>
      </c>
      <c r="AG4" s="632">
        <v>2</v>
      </c>
      <c r="AH4" s="632">
        <v>3</v>
      </c>
      <c r="AI4" s="632">
        <v>2</v>
      </c>
      <c r="AJ4" s="632">
        <v>3</v>
      </c>
      <c r="AK4" s="632">
        <v>3</v>
      </c>
      <c r="AL4" s="632">
        <v>3</v>
      </c>
      <c r="AM4" s="632">
        <v>3</v>
      </c>
    </row>
    <row r="5" spans="2:43" s="634" customFormat="1" x14ac:dyDescent="0.2">
      <c r="B5" s="634" t="s">
        <v>1085</v>
      </c>
      <c r="C5" s="634" t="s">
        <v>1086</v>
      </c>
      <c r="D5" s="639"/>
      <c r="E5" s="639"/>
      <c r="F5" s="639"/>
      <c r="G5" s="639"/>
      <c r="H5" s="639"/>
      <c r="I5" s="639"/>
      <c r="J5" s="639"/>
      <c r="K5" s="639"/>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4" t="s">
        <v>21</v>
      </c>
      <c r="AO5" s="634" t="s">
        <v>1178</v>
      </c>
      <c r="AP5" s="634" t="s">
        <v>1179</v>
      </c>
      <c r="AQ5" s="634" t="s">
        <v>1189</v>
      </c>
    </row>
    <row r="6" spans="2:43" x14ac:dyDescent="0.2">
      <c r="B6" s="609" t="s">
        <v>94</v>
      </c>
      <c r="C6" s="609" t="s">
        <v>93</v>
      </c>
      <c r="D6" s="239">
        <v>18673625</v>
      </c>
      <c r="E6" s="239">
        <v>0</v>
      </c>
      <c r="F6" s="239">
        <v>18673625</v>
      </c>
      <c r="G6" s="239">
        <v>0</v>
      </c>
      <c r="H6" s="239">
        <v>0</v>
      </c>
      <c r="I6" s="239">
        <v>0</v>
      </c>
      <c r="J6" s="239">
        <v>-145119</v>
      </c>
      <c r="K6" s="239">
        <v>0</v>
      </c>
      <c r="L6" s="239">
        <v>-145119</v>
      </c>
      <c r="M6" s="239">
        <v>0</v>
      </c>
      <c r="N6" s="239">
        <v>0</v>
      </c>
      <c r="O6" s="239">
        <v>0</v>
      </c>
      <c r="P6" s="239">
        <v>-17544</v>
      </c>
      <c r="Q6" s="239">
        <v>0</v>
      </c>
      <c r="R6" s="239">
        <v>-17544</v>
      </c>
      <c r="S6" s="239">
        <v>2109161</v>
      </c>
      <c r="T6" s="239">
        <v>0</v>
      </c>
      <c r="U6" s="239">
        <v>2109161</v>
      </c>
      <c r="V6" s="239">
        <v>-2163875</v>
      </c>
      <c r="W6" s="239">
        <v>0</v>
      </c>
      <c r="X6" s="239">
        <v>-2163875</v>
      </c>
      <c r="Y6" s="239">
        <v>18601367</v>
      </c>
      <c r="Z6" s="239">
        <v>0</v>
      </c>
      <c r="AA6" s="239">
        <v>18601367</v>
      </c>
      <c r="AB6" s="239">
        <v>0</v>
      </c>
      <c r="AC6" s="239">
        <v>0</v>
      </c>
      <c r="AD6" s="239">
        <v>0</v>
      </c>
      <c r="AE6" s="239">
        <v>0</v>
      </c>
      <c r="AF6" s="239">
        <v>0</v>
      </c>
      <c r="AG6" s="239">
        <v>0</v>
      </c>
      <c r="AH6" s="239">
        <v>0</v>
      </c>
      <c r="AI6" s="239">
        <v>0</v>
      </c>
      <c r="AJ6" s="239">
        <v>0</v>
      </c>
      <c r="AK6" s="239">
        <v>0</v>
      </c>
      <c r="AL6" s="239">
        <v>427907</v>
      </c>
      <c r="AM6" s="239">
        <v>-1140850</v>
      </c>
      <c r="AN6" s="214" t="s">
        <v>93</v>
      </c>
      <c r="AO6" s="214" t="s">
        <v>763</v>
      </c>
      <c r="AP6" s="214" t="s">
        <v>762</v>
      </c>
      <c r="AQ6" s="214" t="s">
        <v>1190</v>
      </c>
    </row>
    <row r="7" spans="2:43" x14ac:dyDescent="0.2">
      <c r="B7" s="609" t="s">
        <v>96</v>
      </c>
      <c r="C7" s="609" t="s">
        <v>95</v>
      </c>
      <c r="D7" s="239">
        <v>27655386</v>
      </c>
      <c r="E7" s="239">
        <v>0</v>
      </c>
      <c r="F7" s="239">
        <v>27655386</v>
      </c>
      <c r="G7" s="239">
        <v>-447</v>
      </c>
      <c r="H7" s="239">
        <v>0</v>
      </c>
      <c r="I7" s="239">
        <v>-447</v>
      </c>
      <c r="J7" s="239">
        <v>-253633</v>
      </c>
      <c r="K7" s="239">
        <v>0</v>
      </c>
      <c r="L7" s="239">
        <v>-253633</v>
      </c>
      <c r="M7" s="239">
        <v>0</v>
      </c>
      <c r="N7" s="239">
        <v>0</v>
      </c>
      <c r="O7" s="239">
        <v>0</v>
      </c>
      <c r="P7" s="239">
        <v>-168176</v>
      </c>
      <c r="Q7" s="239">
        <v>0</v>
      </c>
      <c r="R7" s="239">
        <v>-168176</v>
      </c>
      <c r="S7" s="239">
        <v>608632</v>
      </c>
      <c r="T7" s="239">
        <v>0</v>
      </c>
      <c r="U7" s="239">
        <v>608632</v>
      </c>
      <c r="V7" s="239">
        <v>-322098</v>
      </c>
      <c r="W7" s="239">
        <v>0</v>
      </c>
      <c r="X7" s="239">
        <v>-322098</v>
      </c>
      <c r="Y7" s="239">
        <v>27773297</v>
      </c>
      <c r="Z7" s="239">
        <v>0</v>
      </c>
      <c r="AA7" s="239">
        <v>27773297</v>
      </c>
      <c r="AB7" s="239">
        <v>0</v>
      </c>
      <c r="AC7" s="239">
        <v>0</v>
      </c>
      <c r="AD7" s="239">
        <v>434386</v>
      </c>
      <c r="AE7" s="239">
        <v>0</v>
      </c>
      <c r="AF7" s="239">
        <v>434386</v>
      </c>
      <c r="AG7" s="239">
        <v>0</v>
      </c>
      <c r="AH7" s="239">
        <v>0</v>
      </c>
      <c r="AI7" s="239">
        <v>0</v>
      </c>
      <c r="AJ7" s="239">
        <v>0</v>
      </c>
      <c r="AK7" s="239">
        <v>0</v>
      </c>
      <c r="AL7" s="239">
        <v>793063</v>
      </c>
      <c r="AM7" s="239">
        <v>-186661</v>
      </c>
      <c r="AN7" s="214" t="s">
        <v>95</v>
      </c>
      <c r="AO7" s="214" t="s">
        <v>850</v>
      </c>
      <c r="AP7" s="214" t="s">
        <v>762</v>
      </c>
      <c r="AQ7" s="214" t="s">
        <v>1190</v>
      </c>
    </row>
    <row r="8" spans="2:43" x14ac:dyDescent="0.2">
      <c r="B8" s="609" t="s">
        <v>98</v>
      </c>
      <c r="C8" s="609" t="s">
        <v>97</v>
      </c>
      <c r="D8" s="239">
        <v>30357307</v>
      </c>
      <c r="E8" s="239">
        <v>0</v>
      </c>
      <c r="F8" s="239">
        <v>30357307</v>
      </c>
      <c r="G8" s="239">
        <v>0</v>
      </c>
      <c r="H8" s="239">
        <v>0</v>
      </c>
      <c r="I8" s="239">
        <v>0</v>
      </c>
      <c r="J8" s="239">
        <v>-174553</v>
      </c>
      <c r="K8" s="239">
        <v>0</v>
      </c>
      <c r="L8" s="239">
        <v>-174553</v>
      </c>
      <c r="M8" s="239">
        <v>0</v>
      </c>
      <c r="N8" s="239">
        <v>0</v>
      </c>
      <c r="O8" s="239">
        <v>0</v>
      </c>
      <c r="P8" s="239">
        <v>-147597</v>
      </c>
      <c r="Q8" s="239">
        <v>0</v>
      </c>
      <c r="R8" s="239">
        <v>-147597</v>
      </c>
      <c r="S8" s="239">
        <v>1641419</v>
      </c>
      <c r="T8" s="239">
        <v>0</v>
      </c>
      <c r="U8" s="239">
        <v>1641419</v>
      </c>
      <c r="V8" s="239">
        <v>-1541419</v>
      </c>
      <c r="W8" s="239">
        <v>0</v>
      </c>
      <c r="X8" s="239">
        <v>-1541419</v>
      </c>
      <c r="Y8" s="239">
        <v>30309710</v>
      </c>
      <c r="Z8" s="239">
        <v>0</v>
      </c>
      <c r="AA8" s="239">
        <v>30309710</v>
      </c>
      <c r="AB8" s="239">
        <v>0</v>
      </c>
      <c r="AC8" s="239">
        <v>0</v>
      </c>
      <c r="AD8" s="239">
        <v>8066</v>
      </c>
      <c r="AE8" s="239">
        <v>0</v>
      </c>
      <c r="AF8" s="239">
        <v>8066</v>
      </c>
      <c r="AG8" s="239">
        <v>0</v>
      </c>
      <c r="AH8" s="239">
        <v>0</v>
      </c>
      <c r="AI8" s="239">
        <v>0</v>
      </c>
      <c r="AJ8" s="239">
        <v>0</v>
      </c>
      <c r="AK8" s="239">
        <v>0</v>
      </c>
      <c r="AL8" s="239">
        <v>373044</v>
      </c>
      <c r="AM8" s="239">
        <v>-1147822</v>
      </c>
      <c r="AN8" s="214" t="s">
        <v>97</v>
      </c>
      <c r="AO8" s="214" t="s">
        <v>857</v>
      </c>
      <c r="AP8" s="214" t="s">
        <v>855</v>
      </c>
      <c r="AQ8" s="214" t="s">
        <v>1190</v>
      </c>
    </row>
    <row r="9" spans="2:43" x14ac:dyDescent="0.2">
      <c r="B9" s="609" t="s">
        <v>100</v>
      </c>
      <c r="C9" s="609" t="s">
        <v>99</v>
      </c>
      <c r="D9" s="239">
        <v>37622453</v>
      </c>
      <c r="E9" s="239">
        <v>0</v>
      </c>
      <c r="F9" s="239">
        <v>37622453</v>
      </c>
      <c r="G9" s="239">
        <v>0</v>
      </c>
      <c r="H9" s="239">
        <v>0</v>
      </c>
      <c r="I9" s="239">
        <v>0</v>
      </c>
      <c r="J9" s="239">
        <v>-267000</v>
      </c>
      <c r="K9" s="239">
        <v>0</v>
      </c>
      <c r="L9" s="239">
        <v>-267000</v>
      </c>
      <c r="M9" s="239">
        <v>-5914</v>
      </c>
      <c r="N9" s="239">
        <v>0</v>
      </c>
      <c r="O9" s="239">
        <v>-5914</v>
      </c>
      <c r="P9" s="239">
        <v>-309000</v>
      </c>
      <c r="Q9" s="239">
        <v>0</v>
      </c>
      <c r="R9" s="239">
        <v>-309000</v>
      </c>
      <c r="S9" s="239">
        <v>608096</v>
      </c>
      <c r="T9" s="239">
        <v>0</v>
      </c>
      <c r="U9" s="239">
        <v>608096</v>
      </c>
      <c r="V9" s="239">
        <v>-371096</v>
      </c>
      <c r="W9" s="239">
        <v>0</v>
      </c>
      <c r="X9" s="239">
        <v>-371096</v>
      </c>
      <c r="Y9" s="239">
        <v>37544539</v>
      </c>
      <c r="Z9" s="239">
        <v>0</v>
      </c>
      <c r="AA9" s="239">
        <v>37544539</v>
      </c>
      <c r="AB9" s="239">
        <v>0</v>
      </c>
      <c r="AC9" s="239">
        <v>0</v>
      </c>
      <c r="AD9" s="239">
        <v>0</v>
      </c>
      <c r="AE9" s="239">
        <v>0</v>
      </c>
      <c r="AF9" s="239">
        <v>0</v>
      </c>
      <c r="AG9" s="239">
        <v>0</v>
      </c>
      <c r="AH9" s="239">
        <v>0</v>
      </c>
      <c r="AI9" s="239">
        <v>0</v>
      </c>
      <c r="AJ9" s="239">
        <v>0</v>
      </c>
      <c r="AK9" s="239">
        <v>0</v>
      </c>
      <c r="AL9" s="239">
        <v>822836</v>
      </c>
      <c r="AM9" s="239">
        <v>-344241</v>
      </c>
      <c r="AN9" s="214" t="s">
        <v>99</v>
      </c>
      <c r="AO9" s="214" t="s">
        <v>763</v>
      </c>
      <c r="AP9" s="214" t="s">
        <v>762</v>
      </c>
      <c r="AQ9" s="214" t="s">
        <v>1190</v>
      </c>
    </row>
    <row r="10" spans="2:43" x14ac:dyDescent="0.2">
      <c r="B10" s="609" t="s">
        <v>102</v>
      </c>
      <c r="C10" s="609" t="s">
        <v>101</v>
      </c>
      <c r="D10" s="239">
        <v>36595516</v>
      </c>
      <c r="E10" s="239">
        <v>0</v>
      </c>
      <c r="F10" s="239">
        <v>36595516</v>
      </c>
      <c r="G10" s="239">
        <v>0</v>
      </c>
      <c r="H10" s="239">
        <v>0</v>
      </c>
      <c r="I10" s="239">
        <v>0</v>
      </c>
      <c r="J10" s="239">
        <v>-309427</v>
      </c>
      <c r="K10" s="239">
        <v>0</v>
      </c>
      <c r="L10" s="239">
        <v>-309427</v>
      </c>
      <c r="M10" s="239">
        <v>0</v>
      </c>
      <c r="N10" s="239">
        <v>0</v>
      </c>
      <c r="O10" s="239">
        <v>0</v>
      </c>
      <c r="P10" s="239">
        <v>-242944</v>
      </c>
      <c r="Q10" s="239">
        <v>0</v>
      </c>
      <c r="R10" s="239">
        <v>-242944</v>
      </c>
      <c r="S10" s="239">
        <v>317693</v>
      </c>
      <c r="T10" s="239">
        <v>0</v>
      </c>
      <c r="U10" s="239">
        <v>317693</v>
      </c>
      <c r="V10" s="239">
        <v>-1765864</v>
      </c>
      <c r="W10" s="239">
        <v>0</v>
      </c>
      <c r="X10" s="239">
        <v>-1765864</v>
      </c>
      <c r="Y10" s="239">
        <v>34904401</v>
      </c>
      <c r="Z10" s="239">
        <v>0</v>
      </c>
      <c r="AA10" s="239">
        <v>34904401</v>
      </c>
      <c r="AB10" s="239">
        <v>0</v>
      </c>
      <c r="AC10" s="239">
        <v>0</v>
      </c>
      <c r="AD10" s="239">
        <v>0</v>
      </c>
      <c r="AE10" s="239">
        <v>0</v>
      </c>
      <c r="AF10" s="239">
        <v>0</v>
      </c>
      <c r="AG10" s="239">
        <v>0</v>
      </c>
      <c r="AH10" s="239">
        <v>0</v>
      </c>
      <c r="AI10" s="239">
        <v>0</v>
      </c>
      <c r="AJ10" s="239">
        <v>0</v>
      </c>
      <c r="AK10" s="239">
        <v>0</v>
      </c>
      <c r="AL10" s="239">
        <v>1366811</v>
      </c>
      <c r="AM10" s="239">
        <v>-214831</v>
      </c>
      <c r="AN10" s="214" t="s">
        <v>101</v>
      </c>
      <c r="AO10" s="214" t="s">
        <v>873</v>
      </c>
      <c r="AP10" s="214" t="s">
        <v>871</v>
      </c>
      <c r="AQ10" s="214" t="s">
        <v>1190</v>
      </c>
    </row>
    <row r="11" spans="2:43" x14ac:dyDescent="0.2">
      <c r="B11" s="609" t="s">
        <v>104</v>
      </c>
      <c r="C11" s="609" t="s">
        <v>103</v>
      </c>
      <c r="D11" s="239">
        <v>47203994</v>
      </c>
      <c r="E11" s="239">
        <v>0</v>
      </c>
      <c r="F11" s="239">
        <v>47203994</v>
      </c>
      <c r="G11" s="239">
        <v>0</v>
      </c>
      <c r="H11" s="239">
        <v>0</v>
      </c>
      <c r="I11" s="239">
        <v>0</v>
      </c>
      <c r="J11" s="239">
        <v>-286856</v>
      </c>
      <c r="K11" s="239">
        <v>0</v>
      </c>
      <c r="L11" s="239">
        <v>-286856</v>
      </c>
      <c r="M11" s="239">
        <v>0</v>
      </c>
      <c r="N11" s="239">
        <v>0</v>
      </c>
      <c r="O11" s="239">
        <v>0</v>
      </c>
      <c r="P11" s="239">
        <v>235520</v>
      </c>
      <c r="Q11" s="239">
        <v>0</v>
      </c>
      <c r="R11" s="239">
        <v>235520</v>
      </c>
      <c r="S11" s="239">
        <v>1680911</v>
      </c>
      <c r="T11" s="239">
        <v>0</v>
      </c>
      <c r="U11" s="239">
        <v>1680911</v>
      </c>
      <c r="V11" s="239">
        <v>-1513717</v>
      </c>
      <c r="W11" s="239">
        <v>0</v>
      </c>
      <c r="X11" s="239">
        <v>-1513717</v>
      </c>
      <c r="Y11" s="239">
        <v>47606708</v>
      </c>
      <c r="Z11" s="239">
        <v>0</v>
      </c>
      <c r="AA11" s="239">
        <v>47606708</v>
      </c>
      <c r="AB11" s="239">
        <v>0</v>
      </c>
      <c r="AC11" s="239">
        <v>0</v>
      </c>
      <c r="AD11" s="239">
        <v>100788</v>
      </c>
      <c r="AE11" s="239">
        <v>0</v>
      </c>
      <c r="AF11" s="239">
        <v>100788</v>
      </c>
      <c r="AG11" s="239">
        <v>0</v>
      </c>
      <c r="AH11" s="239">
        <v>0</v>
      </c>
      <c r="AI11" s="239">
        <v>0</v>
      </c>
      <c r="AJ11" s="239">
        <v>0</v>
      </c>
      <c r="AK11" s="239">
        <v>0</v>
      </c>
      <c r="AL11" s="239">
        <v>138972</v>
      </c>
      <c r="AM11" s="239">
        <v>-255031</v>
      </c>
      <c r="AN11" s="214" t="s">
        <v>103</v>
      </c>
      <c r="AO11" s="214" t="s">
        <v>825</v>
      </c>
      <c r="AP11" s="214" t="s">
        <v>823</v>
      </c>
      <c r="AQ11" s="214" t="s">
        <v>1190</v>
      </c>
    </row>
    <row r="12" spans="2:43" x14ac:dyDescent="0.2">
      <c r="B12" s="609" t="s">
        <v>106</v>
      </c>
      <c r="C12" s="609" t="s">
        <v>105</v>
      </c>
      <c r="D12" s="239">
        <v>52094189</v>
      </c>
      <c r="E12" s="239">
        <v>231319</v>
      </c>
      <c r="F12" s="239">
        <v>52325508</v>
      </c>
      <c r="G12" s="239">
        <v>0</v>
      </c>
      <c r="H12" s="239">
        <v>0</v>
      </c>
      <c r="I12" s="239">
        <v>0</v>
      </c>
      <c r="J12" s="239">
        <v>0</v>
      </c>
      <c r="K12" s="239">
        <v>0</v>
      </c>
      <c r="L12" s="239">
        <v>0</v>
      </c>
      <c r="M12" s="239">
        <v>-74131</v>
      </c>
      <c r="N12" s="239">
        <v>0</v>
      </c>
      <c r="O12" s="239">
        <v>-74131</v>
      </c>
      <c r="P12" s="239">
        <v>0</v>
      </c>
      <c r="Q12" s="239">
        <v>0</v>
      </c>
      <c r="R12" s="239">
        <v>0</v>
      </c>
      <c r="S12" s="239">
        <v>361174</v>
      </c>
      <c r="T12" s="239">
        <v>0</v>
      </c>
      <c r="U12" s="239">
        <v>361174</v>
      </c>
      <c r="V12" s="239">
        <v>2006605</v>
      </c>
      <c r="W12" s="239">
        <v>0</v>
      </c>
      <c r="X12" s="239">
        <v>2006605</v>
      </c>
      <c r="Y12" s="239">
        <v>54387837</v>
      </c>
      <c r="Z12" s="239">
        <v>231319</v>
      </c>
      <c r="AA12" s="239">
        <v>54619156</v>
      </c>
      <c r="AB12" s="239">
        <v>231319</v>
      </c>
      <c r="AC12" s="239">
        <v>231319</v>
      </c>
      <c r="AD12" s="239">
        <v>0</v>
      </c>
      <c r="AE12" s="239">
        <v>0</v>
      </c>
      <c r="AF12" s="239">
        <v>0</v>
      </c>
      <c r="AG12" s="239">
        <v>0</v>
      </c>
      <c r="AH12" s="239">
        <v>0</v>
      </c>
      <c r="AI12" s="239">
        <v>25581</v>
      </c>
      <c r="AJ12" s="239">
        <v>25581</v>
      </c>
      <c r="AK12" s="239">
        <v>208743</v>
      </c>
      <c r="AL12" s="239">
        <v>204693</v>
      </c>
      <c r="AM12" s="239">
        <v>-1192487</v>
      </c>
      <c r="AN12" s="214" t="s">
        <v>105</v>
      </c>
      <c r="AO12" s="214" t="s">
        <v>760</v>
      </c>
      <c r="AP12" s="214" t="s">
        <v>758</v>
      </c>
      <c r="AQ12" s="214" t="s">
        <v>1190</v>
      </c>
    </row>
    <row r="13" spans="2:43" x14ac:dyDescent="0.2">
      <c r="B13" s="609" t="s">
        <v>108</v>
      </c>
      <c r="C13" s="609" t="s">
        <v>107</v>
      </c>
      <c r="D13" s="239">
        <v>23423964</v>
      </c>
      <c r="E13" s="239">
        <v>0</v>
      </c>
      <c r="F13" s="239">
        <v>23423964</v>
      </c>
      <c r="G13" s="239">
        <v>0</v>
      </c>
      <c r="H13" s="239">
        <v>0</v>
      </c>
      <c r="I13" s="239">
        <v>0</v>
      </c>
      <c r="J13" s="239">
        <v>-57570</v>
      </c>
      <c r="K13" s="239">
        <v>0</v>
      </c>
      <c r="L13" s="239">
        <v>-57570</v>
      </c>
      <c r="M13" s="239">
        <v>0</v>
      </c>
      <c r="N13" s="239">
        <v>0</v>
      </c>
      <c r="O13" s="239">
        <v>0</v>
      </c>
      <c r="P13" s="239">
        <v>0</v>
      </c>
      <c r="Q13" s="239">
        <v>0</v>
      </c>
      <c r="R13" s="239">
        <v>0</v>
      </c>
      <c r="S13" s="239">
        <v>479957</v>
      </c>
      <c r="T13" s="239">
        <v>0</v>
      </c>
      <c r="U13" s="239">
        <v>479957</v>
      </c>
      <c r="V13" s="239">
        <v>349486</v>
      </c>
      <c r="W13" s="239">
        <v>0</v>
      </c>
      <c r="X13" s="239">
        <v>349486</v>
      </c>
      <c r="Y13" s="239">
        <v>24253407</v>
      </c>
      <c r="Z13" s="239">
        <v>0</v>
      </c>
      <c r="AA13" s="239">
        <v>24253407</v>
      </c>
      <c r="AB13" s="239">
        <v>0</v>
      </c>
      <c r="AC13" s="239">
        <v>0</v>
      </c>
      <c r="AD13" s="239">
        <v>0</v>
      </c>
      <c r="AE13" s="239">
        <v>0</v>
      </c>
      <c r="AF13" s="239">
        <v>0</v>
      </c>
      <c r="AG13" s="239">
        <v>0</v>
      </c>
      <c r="AH13" s="239">
        <v>0</v>
      </c>
      <c r="AI13" s="239">
        <v>0</v>
      </c>
      <c r="AJ13" s="239">
        <v>0</v>
      </c>
      <c r="AK13" s="239">
        <v>0</v>
      </c>
      <c r="AL13" s="239">
        <v>397801</v>
      </c>
      <c r="AM13" s="239">
        <v>-475061</v>
      </c>
      <c r="AN13" s="214" t="s">
        <v>107</v>
      </c>
      <c r="AO13" s="214" t="s">
        <v>810</v>
      </c>
      <c r="AP13" s="214" t="s">
        <v>762</v>
      </c>
      <c r="AQ13" s="214" t="s">
        <v>1190</v>
      </c>
    </row>
    <row r="14" spans="2:43" x14ac:dyDescent="0.2">
      <c r="B14" s="609" t="s">
        <v>110</v>
      </c>
      <c r="C14" s="609" t="s">
        <v>109</v>
      </c>
      <c r="D14" s="239">
        <v>56569207</v>
      </c>
      <c r="E14" s="239">
        <v>0</v>
      </c>
      <c r="F14" s="239">
        <v>56569207</v>
      </c>
      <c r="G14" s="239">
        <v>0</v>
      </c>
      <c r="H14" s="239">
        <v>0</v>
      </c>
      <c r="I14" s="239">
        <v>0</v>
      </c>
      <c r="J14" s="239">
        <v>0</v>
      </c>
      <c r="K14" s="239">
        <v>0</v>
      </c>
      <c r="L14" s="239">
        <v>0</v>
      </c>
      <c r="M14" s="239">
        <v>-96006</v>
      </c>
      <c r="N14" s="239">
        <v>0</v>
      </c>
      <c r="O14" s="239">
        <v>-96006</v>
      </c>
      <c r="P14" s="239">
        <v>-437000</v>
      </c>
      <c r="Q14" s="239">
        <v>0</v>
      </c>
      <c r="R14" s="239">
        <v>-437000</v>
      </c>
      <c r="S14" s="239">
        <v>0</v>
      </c>
      <c r="T14" s="239">
        <v>0</v>
      </c>
      <c r="U14" s="239">
        <v>0</v>
      </c>
      <c r="V14" s="239">
        <v>5254549</v>
      </c>
      <c r="W14" s="239">
        <v>0</v>
      </c>
      <c r="X14" s="239">
        <v>5254549</v>
      </c>
      <c r="Y14" s="239">
        <v>61290750</v>
      </c>
      <c r="Z14" s="239">
        <v>0</v>
      </c>
      <c r="AA14" s="239">
        <v>61290750</v>
      </c>
      <c r="AB14" s="239">
        <v>0</v>
      </c>
      <c r="AC14" s="239">
        <v>0</v>
      </c>
      <c r="AD14" s="239">
        <v>0</v>
      </c>
      <c r="AE14" s="239">
        <v>0</v>
      </c>
      <c r="AF14" s="239">
        <v>0</v>
      </c>
      <c r="AG14" s="239">
        <v>0</v>
      </c>
      <c r="AH14" s="239">
        <v>0</v>
      </c>
      <c r="AI14" s="239">
        <v>0</v>
      </c>
      <c r="AJ14" s="239">
        <v>0</v>
      </c>
      <c r="AK14" s="239">
        <v>0</v>
      </c>
      <c r="AL14" s="239">
        <v>5345972</v>
      </c>
      <c r="AM14" s="239">
        <v>-1106263</v>
      </c>
      <c r="AN14" s="214" t="s">
        <v>926</v>
      </c>
      <c r="AO14" s="214" t="s">
        <v>789</v>
      </c>
      <c r="AP14" s="214" t="s">
        <v>748</v>
      </c>
      <c r="AQ14" s="214" t="s">
        <v>1191</v>
      </c>
    </row>
    <row r="15" spans="2:43" x14ac:dyDescent="0.2">
      <c r="B15" s="609" t="s">
        <v>112</v>
      </c>
      <c r="C15" s="609" t="s">
        <v>111</v>
      </c>
      <c r="D15" s="239">
        <v>110181841</v>
      </c>
      <c r="E15" s="239">
        <v>0</v>
      </c>
      <c r="F15" s="239">
        <v>110181841</v>
      </c>
      <c r="G15" s="239">
        <v>-14106</v>
      </c>
      <c r="H15" s="239">
        <v>0</v>
      </c>
      <c r="I15" s="239">
        <v>-14106</v>
      </c>
      <c r="J15" s="239">
        <v>-2431882</v>
      </c>
      <c r="K15" s="239">
        <v>0</v>
      </c>
      <c r="L15" s="239">
        <v>-2431882</v>
      </c>
      <c r="M15" s="239">
        <v>0</v>
      </c>
      <c r="N15" s="239">
        <v>0</v>
      </c>
      <c r="O15" s="239">
        <v>0</v>
      </c>
      <c r="P15" s="239">
        <v>-1761688</v>
      </c>
      <c r="Q15" s="239">
        <v>0</v>
      </c>
      <c r="R15" s="239">
        <v>-1761688</v>
      </c>
      <c r="S15" s="239">
        <v>0</v>
      </c>
      <c r="T15" s="239">
        <v>0</v>
      </c>
      <c r="U15" s="239">
        <v>0</v>
      </c>
      <c r="V15" s="239">
        <v>81395</v>
      </c>
      <c r="W15" s="239">
        <v>0</v>
      </c>
      <c r="X15" s="239">
        <v>81395</v>
      </c>
      <c r="Y15" s="239">
        <v>108487442</v>
      </c>
      <c r="Z15" s="239">
        <v>0</v>
      </c>
      <c r="AA15" s="239">
        <v>108487442</v>
      </c>
      <c r="AB15" s="239">
        <v>0</v>
      </c>
      <c r="AC15" s="239">
        <v>0</v>
      </c>
      <c r="AD15" s="239">
        <v>0</v>
      </c>
      <c r="AE15" s="239">
        <v>0</v>
      </c>
      <c r="AF15" s="239">
        <v>0</v>
      </c>
      <c r="AG15" s="239">
        <v>0</v>
      </c>
      <c r="AH15" s="239">
        <v>0</v>
      </c>
      <c r="AI15" s="239">
        <v>0</v>
      </c>
      <c r="AJ15" s="239">
        <v>0</v>
      </c>
      <c r="AK15" s="239">
        <v>0</v>
      </c>
      <c r="AL15" s="239">
        <v>10470076</v>
      </c>
      <c r="AM15" s="239">
        <v>-4847863</v>
      </c>
      <c r="AN15" s="214" t="s">
        <v>111</v>
      </c>
      <c r="AO15" s="214" t="s">
        <v>789</v>
      </c>
      <c r="AP15" s="214" t="s">
        <v>748</v>
      </c>
      <c r="AQ15" s="214" t="s">
        <v>1191</v>
      </c>
    </row>
    <row r="16" spans="2:43" x14ac:dyDescent="0.2">
      <c r="B16" s="609" t="s">
        <v>114</v>
      </c>
      <c r="C16" s="609" t="s">
        <v>113</v>
      </c>
      <c r="D16" s="239">
        <v>55573957</v>
      </c>
      <c r="E16" s="239">
        <v>532852</v>
      </c>
      <c r="F16" s="239">
        <v>56106809</v>
      </c>
      <c r="G16" s="239">
        <v>0</v>
      </c>
      <c r="H16" s="239">
        <v>0</v>
      </c>
      <c r="I16" s="239">
        <v>0</v>
      </c>
      <c r="J16" s="239">
        <v>-906978</v>
      </c>
      <c r="K16" s="239">
        <v>0</v>
      </c>
      <c r="L16" s="239">
        <v>-906978</v>
      </c>
      <c r="M16" s="239">
        <v>0</v>
      </c>
      <c r="N16" s="239">
        <v>0</v>
      </c>
      <c r="O16" s="239">
        <v>0</v>
      </c>
      <c r="P16" s="239">
        <v>-579684</v>
      </c>
      <c r="Q16" s="239">
        <v>0</v>
      </c>
      <c r="R16" s="239">
        <v>-579684</v>
      </c>
      <c r="S16" s="239">
        <v>1597514</v>
      </c>
      <c r="T16" s="239">
        <v>0</v>
      </c>
      <c r="U16" s="239">
        <v>1597514</v>
      </c>
      <c r="V16" s="239">
        <v>-4329250</v>
      </c>
      <c r="W16" s="239">
        <v>0</v>
      </c>
      <c r="X16" s="239">
        <v>-4329250</v>
      </c>
      <c r="Y16" s="239">
        <v>52262537</v>
      </c>
      <c r="Z16" s="239">
        <v>532852</v>
      </c>
      <c r="AA16" s="239">
        <v>52795389</v>
      </c>
      <c r="AB16" s="239">
        <v>532852</v>
      </c>
      <c r="AC16" s="239">
        <v>532852</v>
      </c>
      <c r="AD16" s="239">
        <v>52682</v>
      </c>
      <c r="AE16" s="239">
        <v>0</v>
      </c>
      <c r="AF16" s="239">
        <v>52682</v>
      </c>
      <c r="AG16" s="239">
        <v>0</v>
      </c>
      <c r="AH16" s="239">
        <v>0</v>
      </c>
      <c r="AI16" s="239">
        <v>89844</v>
      </c>
      <c r="AJ16" s="239">
        <v>89844</v>
      </c>
      <c r="AK16" s="239">
        <v>443008</v>
      </c>
      <c r="AL16" s="239">
        <v>2773995</v>
      </c>
      <c r="AM16" s="239">
        <v>-1918203</v>
      </c>
      <c r="AN16" s="214" t="s">
        <v>113</v>
      </c>
      <c r="AO16" s="214" t="s">
        <v>767</v>
      </c>
      <c r="AP16" s="214" t="s">
        <v>864</v>
      </c>
      <c r="AQ16" s="214" t="s">
        <v>1192</v>
      </c>
    </row>
    <row r="17" spans="2:43" x14ac:dyDescent="0.2">
      <c r="B17" s="609" t="s">
        <v>116</v>
      </c>
      <c r="C17" s="609" t="s">
        <v>115</v>
      </c>
      <c r="D17" s="239">
        <v>23500850</v>
      </c>
      <c r="E17" s="239">
        <v>0</v>
      </c>
      <c r="F17" s="239">
        <v>23500850</v>
      </c>
      <c r="G17" s="239">
        <v>0</v>
      </c>
      <c r="H17" s="239">
        <v>0</v>
      </c>
      <c r="I17" s="239">
        <v>0</v>
      </c>
      <c r="J17" s="239">
        <v>-93265</v>
      </c>
      <c r="K17" s="239">
        <v>0</v>
      </c>
      <c r="L17" s="239">
        <v>-93265</v>
      </c>
      <c r="M17" s="239">
        <v>0</v>
      </c>
      <c r="N17" s="239">
        <v>0</v>
      </c>
      <c r="O17" s="239">
        <v>0</v>
      </c>
      <c r="P17" s="239">
        <v>-316427</v>
      </c>
      <c r="Q17" s="239">
        <v>0</v>
      </c>
      <c r="R17" s="239">
        <v>-316427</v>
      </c>
      <c r="S17" s="239">
        <v>38053</v>
      </c>
      <c r="T17" s="239">
        <v>0</v>
      </c>
      <c r="U17" s="239">
        <v>38053</v>
      </c>
      <c r="V17" s="239">
        <v>34449</v>
      </c>
      <c r="W17" s="239">
        <v>0</v>
      </c>
      <c r="X17" s="239">
        <v>34449</v>
      </c>
      <c r="Y17" s="239">
        <v>23256925</v>
      </c>
      <c r="Z17" s="239">
        <v>0</v>
      </c>
      <c r="AA17" s="239">
        <v>23256925</v>
      </c>
      <c r="AB17" s="239">
        <v>0</v>
      </c>
      <c r="AC17" s="239">
        <v>0</v>
      </c>
      <c r="AD17" s="239">
        <v>92917</v>
      </c>
      <c r="AE17" s="239">
        <v>0</v>
      </c>
      <c r="AF17" s="239">
        <v>92917</v>
      </c>
      <c r="AG17" s="239">
        <v>0</v>
      </c>
      <c r="AH17" s="239">
        <v>0</v>
      </c>
      <c r="AI17" s="239">
        <v>0</v>
      </c>
      <c r="AJ17" s="239">
        <v>0</v>
      </c>
      <c r="AK17" s="239">
        <v>0</v>
      </c>
      <c r="AL17" s="239">
        <v>1459430</v>
      </c>
      <c r="AM17" s="239">
        <v>-1123072</v>
      </c>
      <c r="AN17" s="214" t="s">
        <v>115</v>
      </c>
      <c r="AO17" s="214" t="s">
        <v>850</v>
      </c>
      <c r="AP17" s="214" t="s">
        <v>762</v>
      </c>
      <c r="AQ17" s="214" t="s">
        <v>1190</v>
      </c>
    </row>
    <row r="18" spans="2:43" x14ac:dyDescent="0.2">
      <c r="B18" s="609" t="s">
        <v>118</v>
      </c>
      <c r="C18" s="609" t="s">
        <v>117</v>
      </c>
      <c r="D18" s="239">
        <v>83750263</v>
      </c>
      <c r="E18" s="239">
        <v>0</v>
      </c>
      <c r="F18" s="239">
        <v>83750263</v>
      </c>
      <c r="G18" s="239">
        <v>-811</v>
      </c>
      <c r="H18" s="239">
        <v>0</v>
      </c>
      <c r="I18" s="239">
        <v>-811</v>
      </c>
      <c r="J18" s="239">
        <v>-111997</v>
      </c>
      <c r="K18" s="239">
        <v>0</v>
      </c>
      <c r="L18" s="239">
        <v>-111997</v>
      </c>
      <c r="M18" s="239">
        <v>0</v>
      </c>
      <c r="N18" s="239">
        <v>0</v>
      </c>
      <c r="O18" s="239">
        <v>0</v>
      </c>
      <c r="P18" s="239">
        <v>-355297</v>
      </c>
      <c r="Q18" s="239">
        <v>0</v>
      </c>
      <c r="R18" s="239">
        <v>-355297</v>
      </c>
      <c r="S18" s="239">
        <v>1390804</v>
      </c>
      <c r="T18" s="239">
        <v>0</v>
      </c>
      <c r="U18" s="239">
        <v>1390804</v>
      </c>
      <c r="V18" s="239">
        <v>7559196</v>
      </c>
      <c r="W18" s="239">
        <v>0</v>
      </c>
      <c r="X18" s="239">
        <v>7559196</v>
      </c>
      <c r="Y18" s="239">
        <v>92344155</v>
      </c>
      <c r="Z18" s="239">
        <v>0</v>
      </c>
      <c r="AA18" s="239">
        <v>92344155</v>
      </c>
      <c r="AB18" s="239">
        <v>0</v>
      </c>
      <c r="AC18" s="239">
        <v>0</v>
      </c>
      <c r="AD18" s="239">
        <v>55</v>
      </c>
      <c r="AE18" s="239">
        <v>0</v>
      </c>
      <c r="AF18" s="239">
        <v>55</v>
      </c>
      <c r="AG18" s="239">
        <v>0</v>
      </c>
      <c r="AH18" s="239">
        <v>0</v>
      </c>
      <c r="AI18" s="239">
        <v>0</v>
      </c>
      <c r="AJ18" s="239">
        <v>0</v>
      </c>
      <c r="AK18" s="239">
        <v>0</v>
      </c>
      <c r="AL18" s="239">
        <v>3097956</v>
      </c>
      <c r="AM18" s="239">
        <v>-1103355</v>
      </c>
      <c r="AN18" s="214" t="s">
        <v>117</v>
      </c>
      <c r="AO18" s="214" t="s">
        <v>821</v>
      </c>
      <c r="AP18" s="214" t="s">
        <v>819</v>
      </c>
      <c r="AQ18" s="214" t="s">
        <v>1190</v>
      </c>
    </row>
    <row r="19" spans="2:43" x14ac:dyDescent="0.2">
      <c r="B19" s="609" t="s">
        <v>120</v>
      </c>
      <c r="C19" s="609" t="s">
        <v>119</v>
      </c>
      <c r="D19" s="239">
        <v>75069821</v>
      </c>
      <c r="E19" s="239">
        <v>0</v>
      </c>
      <c r="F19" s="239">
        <v>75069821</v>
      </c>
      <c r="G19" s="239">
        <v>-6566</v>
      </c>
      <c r="H19" s="239">
        <v>0</v>
      </c>
      <c r="I19" s="239">
        <v>-6566</v>
      </c>
      <c r="J19" s="239">
        <v>-254487</v>
      </c>
      <c r="K19" s="239">
        <v>0</v>
      </c>
      <c r="L19" s="239">
        <v>-254487</v>
      </c>
      <c r="M19" s="239">
        <v>0</v>
      </c>
      <c r="N19" s="239">
        <v>0</v>
      </c>
      <c r="O19" s="239">
        <v>0</v>
      </c>
      <c r="P19" s="239">
        <v>-164487</v>
      </c>
      <c r="Q19" s="239">
        <v>0</v>
      </c>
      <c r="R19" s="239">
        <v>-164487</v>
      </c>
      <c r="S19" s="239">
        <v>3342465</v>
      </c>
      <c r="T19" s="239">
        <v>0</v>
      </c>
      <c r="U19" s="239">
        <v>3342465</v>
      </c>
      <c r="V19" s="239">
        <v>-3242465</v>
      </c>
      <c r="W19" s="239">
        <v>0</v>
      </c>
      <c r="X19" s="239">
        <v>-3242465</v>
      </c>
      <c r="Y19" s="239">
        <v>74998768</v>
      </c>
      <c r="Z19" s="239">
        <v>0</v>
      </c>
      <c r="AA19" s="239">
        <v>74998768</v>
      </c>
      <c r="AB19" s="239">
        <v>0</v>
      </c>
      <c r="AC19" s="239">
        <v>0</v>
      </c>
      <c r="AD19" s="239">
        <v>314205</v>
      </c>
      <c r="AE19" s="239">
        <v>0</v>
      </c>
      <c r="AF19" s="239">
        <v>314205</v>
      </c>
      <c r="AG19" s="239">
        <v>0</v>
      </c>
      <c r="AH19" s="239">
        <v>0</v>
      </c>
      <c r="AI19" s="239">
        <v>0</v>
      </c>
      <c r="AJ19" s="239">
        <v>0</v>
      </c>
      <c r="AK19" s="239">
        <v>0</v>
      </c>
      <c r="AL19" s="239">
        <v>1799878</v>
      </c>
      <c r="AM19" s="239">
        <v>-1995400</v>
      </c>
      <c r="AN19" s="214" t="s">
        <v>119</v>
      </c>
      <c r="AO19" s="214" t="s">
        <v>778</v>
      </c>
      <c r="AP19" s="214" t="s">
        <v>776</v>
      </c>
      <c r="AQ19" s="214" t="s">
        <v>1190</v>
      </c>
    </row>
    <row r="20" spans="2:43" x14ac:dyDescent="0.2">
      <c r="B20" s="609" t="s">
        <v>122</v>
      </c>
      <c r="C20" s="609" t="s">
        <v>121</v>
      </c>
      <c r="D20" s="239">
        <v>51131177</v>
      </c>
      <c r="E20" s="239">
        <v>0</v>
      </c>
      <c r="F20" s="239">
        <v>51131177</v>
      </c>
      <c r="G20" s="239">
        <v>0</v>
      </c>
      <c r="H20" s="239">
        <v>0</v>
      </c>
      <c r="I20" s="239">
        <v>0</v>
      </c>
      <c r="J20" s="239">
        <v>4009</v>
      </c>
      <c r="K20" s="239">
        <v>0</v>
      </c>
      <c r="L20" s="239">
        <v>4009</v>
      </c>
      <c r="M20" s="239">
        <v>0</v>
      </c>
      <c r="N20" s="239">
        <v>0</v>
      </c>
      <c r="O20" s="239">
        <v>0</v>
      </c>
      <c r="P20" s="239">
        <v>-62327</v>
      </c>
      <c r="Q20" s="239">
        <v>0</v>
      </c>
      <c r="R20" s="239">
        <v>-62327</v>
      </c>
      <c r="S20" s="239">
        <v>6886046</v>
      </c>
      <c r="T20" s="239">
        <v>0</v>
      </c>
      <c r="U20" s="239">
        <v>6886046</v>
      </c>
      <c r="V20" s="239">
        <v>-5869941</v>
      </c>
      <c r="W20" s="239">
        <v>0</v>
      </c>
      <c r="X20" s="239">
        <v>-5869941</v>
      </c>
      <c r="Y20" s="239">
        <v>52084955</v>
      </c>
      <c r="Z20" s="239">
        <v>0</v>
      </c>
      <c r="AA20" s="239">
        <v>52084955</v>
      </c>
      <c r="AB20" s="239">
        <v>0</v>
      </c>
      <c r="AC20" s="239">
        <v>0</v>
      </c>
      <c r="AD20" s="239">
        <v>550009</v>
      </c>
      <c r="AE20" s="239">
        <v>0</v>
      </c>
      <c r="AF20" s="239">
        <v>550009</v>
      </c>
      <c r="AG20" s="239">
        <v>0</v>
      </c>
      <c r="AH20" s="239">
        <v>0</v>
      </c>
      <c r="AI20" s="239">
        <v>0</v>
      </c>
      <c r="AJ20" s="239">
        <v>0</v>
      </c>
      <c r="AK20" s="239">
        <v>0</v>
      </c>
      <c r="AL20" s="239">
        <v>2206792</v>
      </c>
      <c r="AM20" s="239">
        <v>-876882</v>
      </c>
      <c r="AN20" s="214" t="s">
        <v>121</v>
      </c>
      <c r="AO20" s="214" t="s">
        <v>873</v>
      </c>
      <c r="AP20" s="214" t="s">
        <v>871</v>
      </c>
      <c r="AQ20" s="214" t="s">
        <v>1190</v>
      </c>
    </row>
    <row r="21" spans="2:43" x14ac:dyDescent="0.2">
      <c r="B21" s="609" t="s">
        <v>124</v>
      </c>
      <c r="C21" s="609" t="s">
        <v>123</v>
      </c>
      <c r="D21" s="239">
        <v>57508424</v>
      </c>
      <c r="E21" s="239">
        <v>5423163</v>
      </c>
      <c r="F21" s="239">
        <v>62931587</v>
      </c>
      <c r="G21" s="239">
        <v>0</v>
      </c>
      <c r="H21" s="239">
        <v>0</v>
      </c>
      <c r="I21" s="239">
        <v>0</v>
      </c>
      <c r="J21" s="239">
        <v>-728291</v>
      </c>
      <c r="K21" s="239">
        <v>-5759</v>
      </c>
      <c r="L21" s="239">
        <v>-734050</v>
      </c>
      <c r="M21" s="239">
        <v>-504956</v>
      </c>
      <c r="N21" s="239">
        <v>0</v>
      </c>
      <c r="O21" s="239">
        <v>-504956</v>
      </c>
      <c r="P21" s="239">
        <v>-458437</v>
      </c>
      <c r="Q21" s="239">
        <v>-7074</v>
      </c>
      <c r="R21" s="239">
        <v>-465511</v>
      </c>
      <c r="S21" s="239">
        <v>4783016</v>
      </c>
      <c r="T21" s="239">
        <v>555431</v>
      </c>
      <c r="U21" s="239">
        <v>5338447</v>
      </c>
      <c r="V21" s="239">
        <v>-3221906</v>
      </c>
      <c r="W21" s="239">
        <v>-449854</v>
      </c>
      <c r="X21" s="239">
        <v>-3671760</v>
      </c>
      <c r="Y21" s="239">
        <v>58106141</v>
      </c>
      <c r="Z21" s="239">
        <v>5521666</v>
      </c>
      <c r="AA21" s="239">
        <v>63627807</v>
      </c>
      <c r="AB21" s="239">
        <v>5521666</v>
      </c>
      <c r="AC21" s="239">
        <v>5521666</v>
      </c>
      <c r="AD21" s="239">
        <v>46472</v>
      </c>
      <c r="AE21" s="239">
        <v>0</v>
      </c>
      <c r="AF21" s="239">
        <v>46472</v>
      </c>
      <c r="AG21" s="239">
        <v>246</v>
      </c>
      <c r="AH21" s="239">
        <v>246</v>
      </c>
      <c r="AI21" s="239">
        <v>4927042</v>
      </c>
      <c r="AJ21" s="239">
        <v>4927042</v>
      </c>
      <c r="AK21" s="239">
        <v>594870</v>
      </c>
      <c r="AL21" s="239">
        <v>1895114</v>
      </c>
      <c r="AM21" s="239">
        <v>-2086122</v>
      </c>
      <c r="AN21" s="214" t="s">
        <v>925</v>
      </c>
      <c r="AO21" s="214" t="s">
        <v>747</v>
      </c>
      <c r="AP21" s="214" t="s">
        <v>852</v>
      </c>
      <c r="AQ21" s="214" t="s">
        <v>747</v>
      </c>
    </row>
    <row r="22" spans="2:43" x14ac:dyDescent="0.2">
      <c r="B22" s="609" t="s">
        <v>126</v>
      </c>
      <c r="C22" s="609" t="s">
        <v>125</v>
      </c>
      <c r="D22" s="239">
        <v>69036366</v>
      </c>
      <c r="E22" s="239">
        <v>0</v>
      </c>
      <c r="F22" s="239">
        <v>69036366</v>
      </c>
      <c r="G22" s="239">
        <v>0</v>
      </c>
      <c r="H22" s="239">
        <v>0</v>
      </c>
      <c r="I22" s="239">
        <v>0</v>
      </c>
      <c r="J22" s="239">
        <v>-254880</v>
      </c>
      <c r="K22" s="239">
        <v>0</v>
      </c>
      <c r="L22" s="239">
        <v>-254880</v>
      </c>
      <c r="M22" s="239">
        <v>0</v>
      </c>
      <c r="N22" s="239">
        <v>0</v>
      </c>
      <c r="O22" s="239">
        <v>0</v>
      </c>
      <c r="P22" s="239">
        <v>-716000</v>
      </c>
      <c r="Q22" s="239">
        <v>0</v>
      </c>
      <c r="R22" s="239">
        <v>-716000</v>
      </c>
      <c r="S22" s="239">
        <v>974549</v>
      </c>
      <c r="T22" s="239">
        <v>0</v>
      </c>
      <c r="U22" s="239">
        <v>974549</v>
      </c>
      <c r="V22" s="239">
        <v>-2352742</v>
      </c>
      <c r="W22" s="239">
        <v>0</v>
      </c>
      <c r="X22" s="239">
        <v>-2352742</v>
      </c>
      <c r="Y22" s="239">
        <v>66942173</v>
      </c>
      <c r="Z22" s="239">
        <v>0</v>
      </c>
      <c r="AA22" s="239">
        <v>66942173</v>
      </c>
      <c r="AB22" s="239">
        <v>0</v>
      </c>
      <c r="AC22" s="239">
        <v>0</v>
      </c>
      <c r="AD22" s="239">
        <v>767999</v>
      </c>
      <c r="AE22" s="239">
        <v>0</v>
      </c>
      <c r="AF22" s="239">
        <v>767999</v>
      </c>
      <c r="AG22" s="239">
        <v>0</v>
      </c>
      <c r="AH22" s="239">
        <v>0</v>
      </c>
      <c r="AI22" s="239">
        <v>0</v>
      </c>
      <c r="AJ22" s="239">
        <v>0</v>
      </c>
      <c r="AK22" s="239">
        <v>0</v>
      </c>
      <c r="AL22" s="239">
        <v>3207041</v>
      </c>
      <c r="AM22" s="239">
        <v>-898353</v>
      </c>
      <c r="AN22" s="214" t="s">
        <v>125</v>
      </c>
      <c r="AO22" s="214" t="s">
        <v>747</v>
      </c>
      <c r="AP22" s="214" t="s">
        <v>897</v>
      </c>
      <c r="AQ22" s="214" t="s">
        <v>747</v>
      </c>
    </row>
    <row r="23" spans="2:43" x14ac:dyDescent="0.2">
      <c r="B23" s="609" t="s">
        <v>128</v>
      </c>
      <c r="C23" s="609" t="s">
        <v>127</v>
      </c>
      <c r="D23" s="239">
        <v>73262633</v>
      </c>
      <c r="E23" s="239">
        <v>0</v>
      </c>
      <c r="F23" s="239">
        <v>73262633</v>
      </c>
      <c r="G23" s="239">
        <v>0</v>
      </c>
      <c r="H23" s="239">
        <v>0</v>
      </c>
      <c r="I23" s="239">
        <v>0</v>
      </c>
      <c r="J23" s="239">
        <v>0</v>
      </c>
      <c r="K23" s="239">
        <v>0</v>
      </c>
      <c r="L23" s="239">
        <v>0</v>
      </c>
      <c r="M23" s="239">
        <v>-624618</v>
      </c>
      <c r="N23" s="239">
        <v>0</v>
      </c>
      <c r="O23" s="239">
        <v>-624618</v>
      </c>
      <c r="P23" s="239">
        <v>50000</v>
      </c>
      <c r="Q23" s="239">
        <v>0</v>
      </c>
      <c r="R23" s="239">
        <v>50000</v>
      </c>
      <c r="S23" s="239">
        <v>0</v>
      </c>
      <c r="T23" s="239">
        <v>0</v>
      </c>
      <c r="U23" s="239">
        <v>0</v>
      </c>
      <c r="V23" s="239">
        <v>-685906</v>
      </c>
      <c r="W23" s="239">
        <v>0</v>
      </c>
      <c r="X23" s="239">
        <v>-685906</v>
      </c>
      <c r="Y23" s="239">
        <v>72002109</v>
      </c>
      <c r="Z23" s="239">
        <v>0</v>
      </c>
      <c r="AA23" s="239">
        <v>72002109</v>
      </c>
      <c r="AB23" s="239">
        <v>0</v>
      </c>
      <c r="AC23" s="239">
        <v>0</v>
      </c>
      <c r="AD23" s="239">
        <v>0</v>
      </c>
      <c r="AE23" s="239">
        <v>0</v>
      </c>
      <c r="AF23" s="239">
        <v>0</v>
      </c>
      <c r="AG23" s="239">
        <v>0</v>
      </c>
      <c r="AH23" s="239">
        <v>0</v>
      </c>
      <c r="AI23" s="239">
        <v>0</v>
      </c>
      <c r="AJ23" s="239">
        <v>0</v>
      </c>
      <c r="AK23" s="239">
        <v>0</v>
      </c>
      <c r="AL23" s="239">
        <v>1767267</v>
      </c>
      <c r="AM23" s="239">
        <v>-2782104</v>
      </c>
      <c r="AN23" s="214" t="s">
        <v>127</v>
      </c>
      <c r="AO23" s="214" t="s">
        <v>789</v>
      </c>
      <c r="AP23" s="214" t="s">
        <v>748</v>
      </c>
      <c r="AQ23" s="214" t="s">
        <v>1191</v>
      </c>
    </row>
    <row r="24" spans="2:43" x14ac:dyDescent="0.2">
      <c r="B24" s="609" t="s">
        <v>130</v>
      </c>
      <c r="C24" s="609" t="s">
        <v>129</v>
      </c>
      <c r="D24" s="239">
        <v>414950581</v>
      </c>
      <c r="E24" s="239">
        <v>14472394</v>
      </c>
      <c r="F24" s="239">
        <v>429422975</v>
      </c>
      <c r="G24" s="239">
        <v>-8427</v>
      </c>
      <c r="H24" s="239">
        <v>0</v>
      </c>
      <c r="I24" s="239">
        <v>-8427</v>
      </c>
      <c r="J24" s="239">
        <v>-10758570</v>
      </c>
      <c r="K24" s="239">
        <v>0</v>
      </c>
      <c r="L24" s="239">
        <v>-10758570</v>
      </c>
      <c r="M24" s="239">
        <v>0</v>
      </c>
      <c r="N24" s="239">
        <v>0</v>
      </c>
      <c r="O24" s="239">
        <v>0</v>
      </c>
      <c r="P24" s="239">
        <v>-8530882</v>
      </c>
      <c r="Q24" s="239">
        <v>-74396</v>
      </c>
      <c r="R24" s="239">
        <v>-8605278</v>
      </c>
      <c r="S24" s="239">
        <v>15738971</v>
      </c>
      <c r="T24" s="239">
        <v>0</v>
      </c>
      <c r="U24" s="239">
        <v>15738971</v>
      </c>
      <c r="V24" s="239">
        <v>-17791579</v>
      </c>
      <c r="W24" s="239">
        <v>-69493</v>
      </c>
      <c r="X24" s="239">
        <v>-17861072</v>
      </c>
      <c r="Y24" s="239">
        <v>404358664</v>
      </c>
      <c r="Z24" s="239">
        <v>14328505</v>
      </c>
      <c r="AA24" s="239">
        <v>418687169</v>
      </c>
      <c r="AB24" s="239">
        <v>14328505</v>
      </c>
      <c r="AC24" s="239">
        <v>14328505</v>
      </c>
      <c r="AD24" s="239">
        <v>0</v>
      </c>
      <c r="AE24" s="239">
        <v>0</v>
      </c>
      <c r="AF24" s="239">
        <v>0</v>
      </c>
      <c r="AG24" s="239">
        <v>-11729</v>
      </c>
      <c r="AH24" s="239">
        <v>-11729</v>
      </c>
      <c r="AI24" s="239">
        <v>10639766</v>
      </c>
      <c r="AJ24" s="239">
        <v>10639766</v>
      </c>
      <c r="AK24" s="239">
        <v>3677010</v>
      </c>
      <c r="AL24" s="239">
        <v>95231971</v>
      </c>
      <c r="AM24" s="239">
        <v>-19651025</v>
      </c>
      <c r="AN24" s="214" t="s">
        <v>129</v>
      </c>
      <c r="AO24" s="214" t="s">
        <v>767</v>
      </c>
      <c r="AP24" s="214" t="s">
        <v>765</v>
      </c>
      <c r="AQ24" s="214" t="s">
        <v>1192</v>
      </c>
    </row>
    <row r="25" spans="2:43" x14ac:dyDescent="0.2">
      <c r="B25" s="609" t="s">
        <v>132</v>
      </c>
      <c r="C25" s="609" t="s">
        <v>131</v>
      </c>
      <c r="D25" s="239">
        <v>43597965</v>
      </c>
      <c r="E25" s="239">
        <v>0</v>
      </c>
      <c r="F25" s="239">
        <v>43597965</v>
      </c>
      <c r="G25" s="239">
        <v>0</v>
      </c>
      <c r="H25" s="239">
        <v>0</v>
      </c>
      <c r="I25" s="239">
        <v>0</v>
      </c>
      <c r="J25" s="239">
        <v>0</v>
      </c>
      <c r="K25" s="239">
        <v>0</v>
      </c>
      <c r="L25" s="239">
        <v>0</v>
      </c>
      <c r="M25" s="239">
        <v>-975896</v>
      </c>
      <c r="N25" s="239">
        <v>0</v>
      </c>
      <c r="O25" s="239">
        <v>-975896</v>
      </c>
      <c r="P25" s="239">
        <v>490020</v>
      </c>
      <c r="Q25" s="239">
        <v>0</v>
      </c>
      <c r="R25" s="239">
        <v>490020</v>
      </c>
      <c r="S25" s="239">
        <v>348569</v>
      </c>
      <c r="T25" s="239">
        <v>0</v>
      </c>
      <c r="U25" s="239">
        <v>348569</v>
      </c>
      <c r="V25" s="239">
        <v>222339</v>
      </c>
      <c r="W25" s="239">
        <v>0</v>
      </c>
      <c r="X25" s="239">
        <v>222339</v>
      </c>
      <c r="Y25" s="239">
        <v>43682997</v>
      </c>
      <c r="Z25" s="239">
        <v>0</v>
      </c>
      <c r="AA25" s="239">
        <v>43682997</v>
      </c>
      <c r="AB25" s="239">
        <v>0</v>
      </c>
      <c r="AC25" s="239">
        <v>0</v>
      </c>
      <c r="AD25" s="239">
        <v>0</v>
      </c>
      <c r="AE25" s="239">
        <v>0</v>
      </c>
      <c r="AF25" s="239">
        <v>0</v>
      </c>
      <c r="AG25" s="239">
        <v>0</v>
      </c>
      <c r="AH25" s="239">
        <v>0</v>
      </c>
      <c r="AI25" s="239">
        <v>0</v>
      </c>
      <c r="AJ25" s="239">
        <v>0</v>
      </c>
      <c r="AK25" s="239">
        <v>0</v>
      </c>
      <c r="AL25" s="239">
        <v>965553</v>
      </c>
      <c r="AM25" s="239">
        <v>-1176701</v>
      </c>
      <c r="AN25" s="214" t="s">
        <v>131</v>
      </c>
      <c r="AO25" s="214" t="s">
        <v>883</v>
      </c>
      <c r="AP25" s="214" t="s">
        <v>868</v>
      </c>
      <c r="AQ25" s="214" t="s">
        <v>1190</v>
      </c>
    </row>
    <row r="26" spans="2:43" x14ac:dyDescent="0.2">
      <c r="B26" s="609" t="s">
        <v>134</v>
      </c>
      <c r="C26" s="609" t="s">
        <v>133</v>
      </c>
      <c r="D26" s="239">
        <v>48691393</v>
      </c>
      <c r="E26" s="239">
        <v>0</v>
      </c>
      <c r="F26" s="239">
        <v>48691393</v>
      </c>
      <c r="G26" s="239">
        <v>0</v>
      </c>
      <c r="H26" s="239">
        <v>0</v>
      </c>
      <c r="I26" s="239">
        <v>0</v>
      </c>
      <c r="J26" s="239">
        <v>-308805</v>
      </c>
      <c r="K26" s="239">
        <v>0</v>
      </c>
      <c r="L26" s="239">
        <v>-308805</v>
      </c>
      <c r="M26" s="239">
        <v>0</v>
      </c>
      <c r="N26" s="239">
        <v>0</v>
      </c>
      <c r="O26" s="239">
        <v>0</v>
      </c>
      <c r="P26" s="239">
        <v>-661805</v>
      </c>
      <c r="Q26" s="239">
        <v>0</v>
      </c>
      <c r="R26" s="239">
        <v>-661805</v>
      </c>
      <c r="S26" s="239">
        <v>2719794</v>
      </c>
      <c r="T26" s="239">
        <v>0</v>
      </c>
      <c r="U26" s="239">
        <v>2719794</v>
      </c>
      <c r="V26" s="239">
        <v>-4411060</v>
      </c>
      <c r="W26" s="239">
        <v>0</v>
      </c>
      <c r="X26" s="239">
        <v>-4411060</v>
      </c>
      <c r="Y26" s="239">
        <v>46338322</v>
      </c>
      <c r="Z26" s="239">
        <v>0</v>
      </c>
      <c r="AA26" s="239">
        <v>46338322</v>
      </c>
      <c r="AB26" s="239">
        <v>0</v>
      </c>
      <c r="AC26" s="239">
        <v>0</v>
      </c>
      <c r="AD26" s="239">
        <v>0</v>
      </c>
      <c r="AE26" s="239">
        <v>0</v>
      </c>
      <c r="AF26" s="239">
        <v>0</v>
      </c>
      <c r="AG26" s="239">
        <v>0</v>
      </c>
      <c r="AH26" s="239">
        <v>0</v>
      </c>
      <c r="AI26" s="239">
        <v>0</v>
      </c>
      <c r="AJ26" s="239">
        <v>0</v>
      </c>
      <c r="AK26" s="239">
        <v>0</v>
      </c>
      <c r="AL26" s="239">
        <v>3273644</v>
      </c>
      <c r="AM26" s="239">
        <v>-943236</v>
      </c>
      <c r="AN26" s="214" t="s">
        <v>924</v>
      </c>
      <c r="AO26" s="214" t="s">
        <v>747</v>
      </c>
      <c r="AP26" s="214" t="s">
        <v>754</v>
      </c>
      <c r="AQ26" s="214" t="s">
        <v>747</v>
      </c>
    </row>
    <row r="27" spans="2:43" x14ac:dyDescent="0.2">
      <c r="B27" s="609" t="s">
        <v>136</v>
      </c>
      <c r="C27" s="609" t="s">
        <v>135</v>
      </c>
      <c r="D27" s="239">
        <v>53642062</v>
      </c>
      <c r="E27" s="239">
        <v>0</v>
      </c>
      <c r="F27" s="239">
        <v>53642062</v>
      </c>
      <c r="G27" s="239">
        <v>0</v>
      </c>
      <c r="H27" s="239">
        <v>0</v>
      </c>
      <c r="I27" s="239">
        <v>0</v>
      </c>
      <c r="J27" s="239">
        <v>-1155977</v>
      </c>
      <c r="K27" s="239">
        <v>0</v>
      </c>
      <c r="L27" s="239">
        <v>-1155977</v>
      </c>
      <c r="M27" s="239">
        <v>0</v>
      </c>
      <c r="N27" s="239">
        <v>0</v>
      </c>
      <c r="O27" s="239">
        <v>0</v>
      </c>
      <c r="P27" s="239">
        <v>-1552441</v>
      </c>
      <c r="Q27" s="239">
        <v>0</v>
      </c>
      <c r="R27" s="239">
        <v>-1552441</v>
      </c>
      <c r="S27" s="239">
        <v>1013903</v>
      </c>
      <c r="T27" s="239">
        <v>0</v>
      </c>
      <c r="U27" s="239">
        <v>1013903</v>
      </c>
      <c r="V27" s="239">
        <v>-2064000</v>
      </c>
      <c r="W27" s="239">
        <v>0</v>
      </c>
      <c r="X27" s="239">
        <v>-2064000</v>
      </c>
      <c r="Y27" s="239">
        <v>51039524</v>
      </c>
      <c r="Z27" s="239">
        <v>0</v>
      </c>
      <c r="AA27" s="239">
        <v>51039524</v>
      </c>
      <c r="AB27" s="239">
        <v>0</v>
      </c>
      <c r="AC27" s="239">
        <v>0</v>
      </c>
      <c r="AD27" s="239">
        <v>0</v>
      </c>
      <c r="AE27" s="239">
        <v>0</v>
      </c>
      <c r="AF27" s="239">
        <v>0</v>
      </c>
      <c r="AG27" s="239">
        <v>0</v>
      </c>
      <c r="AH27" s="239">
        <v>0</v>
      </c>
      <c r="AI27" s="239">
        <v>0</v>
      </c>
      <c r="AJ27" s="239">
        <v>0</v>
      </c>
      <c r="AK27" s="239">
        <v>0</v>
      </c>
      <c r="AL27" s="239">
        <v>5987416</v>
      </c>
      <c r="AM27" s="239">
        <v>-116778</v>
      </c>
      <c r="AN27" s="214" t="s">
        <v>923</v>
      </c>
      <c r="AO27" s="214" t="s">
        <v>747</v>
      </c>
      <c r="AP27" s="214" t="s">
        <v>754</v>
      </c>
      <c r="AQ27" s="214" t="s">
        <v>747</v>
      </c>
    </row>
    <row r="28" spans="2:43" x14ac:dyDescent="0.2">
      <c r="B28" s="609" t="s">
        <v>138</v>
      </c>
      <c r="C28" s="609" t="s">
        <v>137</v>
      </c>
      <c r="D28" s="239">
        <v>26270073</v>
      </c>
      <c r="E28" s="239">
        <v>0</v>
      </c>
      <c r="F28" s="239">
        <v>26270073</v>
      </c>
      <c r="G28" s="239">
        <v>0</v>
      </c>
      <c r="H28" s="239">
        <v>0</v>
      </c>
      <c r="I28" s="239">
        <v>0</v>
      </c>
      <c r="J28" s="239">
        <v>0</v>
      </c>
      <c r="K28" s="239">
        <v>0</v>
      </c>
      <c r="L28" s="239">
        <v>0</v>
      </c>
      <c r="M28" s="239">
        <v>-55895</v>
      </c>
      <c r="N28" s="239">
        <v>0</v>
      </c>
      <c r="O28" s="239">
        <v>-55895</v>
      </c>
      <c r="P28" s="239">
        <v>169991</v>
      </c>
      <c r="Q28" s="239">
        <v>0</v>
      </c>
      <c r="R28" s="239">
        <v>169991</v>
      </c>
      <c r="S28" s="239">
        <v>656826</v>
      </c>
      <c r="T28" s="239">
        <v>0</v>
      </c>
      <c r="U28" s="239">
        <v>656826</v>
      </c>
      <c r="V28" s="239">
        <v>0</v>
      </c>
      <c r="W28" s="239">
        <v>0</v>
      </c>
      <c r="X28" s="239">
        <v>0</v>
      </c>
      <c r="Y28" s="239">
        <v>27040995</v>
      </c>
      <c r="Z28" s="239">
        <v>0</v>
      </c>
      <c r="AA28" s="239">
        <v>27040995</v>
      </c>
      <c r="AB28" s="239">
        <v>0</v>
      </c>
      <c r="AC28" s="239">
        <v>0</v>
      </c>
      <c r="AD28" s="239">
        <v>34210</v>
      </c>
      <c r="AE28" s="239">
        <v>0</v>
      </c>
      <c r="AF28" s="239">
        <v>34210</v>
      </c>
      <c r="AG28" s="239">
        <v>0</v>
      </c>
      <c r="AH28" s="239">
        <v>0</v>
      </c>
      <c r="AI28" s="239">
        <v>0</v>
      </c>
      <c r="AJ28" s="239">
        <v>0</v>
      </c>
      <c r="AK28" s="239">
        <v>0</v>
      </c>
      <c r="AL28" s="239">
        <v>292077</v>
      </c>
      <c r="AM28" s="239">
        <v>-815803</v>
      </c>
      <c r="AN28" s="214" t="s">
        <v>137</v>
      </c>
      <c r="AO28" s="214" t="s">
        <v>857</v>
      </c>
      <c r="AP28" s="214" t="s">
        <v>855</v>
      </c>
      <c r="AQ28" s="214" t="s">
        <v>1190</v>
      </c>
    </row>
    <row r="29" spans="2:43" x14ac:dyDescent="0.2">
      <c r="B29" s="609" t="s">
        <v>140</v>
      </c>
      <c r="C29" s="609" t="s">
        <v>139</v>
      </c>
      <c r="D29" s="239">
        <v>89189849</v>
      </c>
      <c r="E29" s="239">
        <v>0</v>
      </c>
      <c r="F29" s="239">
        <v>89189849</v>
      </c>
      <c r="G29" s="239">
        <v>0</v>
      </c>
      <c r="H29" s="239">
        <v>0</v>
      </c>
      <c r="I29" s="239">
        <v>0</v>
      </c>
      <c r="J29" s="239">
        <v>-2047592</v>
      </c>
      <c r="K29" s="239">
        <v>0</v>
      </c>
      <c r="L29" s="239">
        <v>-2047592</v>
      </c>
      <c r="M29" s="239">
        <v>0</v>
      </c>
      <c r="N29" s="239">
        <v>0</v>
      </c>
      <c r="O29" s="239">
        <v>0</v>
      </c>
      <c r="P29" s="239">
        <v>-2071912</v>
      </c>
      <c r="Q29" s="239">
        <v>0</v>
      </c>
      <c r="R29" s="239">
        <v>-2071912</v>
      </c>
      <c r="S29" s="239">
        <v>3149171</v>
      </c>
      <c r="T29" s="239">
        <v>0</v>
      </c>
      <c r="U29" s="239">
        <v>3149171</v>
      </c>
      <c r="V29" s="239">
        <v>-2164782</v>
      </c>
      <c r="W29" s="239">
        <v>0</v>
      </c>
      <c r="X29" s="239">
        <v>-2164782</v>
      </c>
      <c r="Y29" s="239">
        <v>88102326</v>
      </c>
      <c r="Z29" s="239">
        <v>0</v>
      </c>
      <c r="AA29" s="239">
        <v>88102326</v>
      </c>
      <c r="AB29" s="239">
        <v>0</v>
      </c>
      <c r="AC29" s="239">
        <v>0</v>
      </c>
      <c r="AD29" s="239">
        <v>0</v>
      </c>
      <c r="AE29" s="239">
        <v>0</v>
      </c>
      <c r="AF29" s="239">
        <v>0</v>
      </c>
      <c r="AG29" s="239">
        <v>0</v>
      </c>
      <c r="AH29" s="239">
        <v>0</v>
      </c>
      <c r="AI29" s="239">
        <v>0</v>
      </c>
      <c r="AJ29" s="239">
        <v>0</v>
      </c>
      <c r="AK29" s="239">
        <v>0</v>
      </c>
      <c r="AL29" s="239">
        <v>7262035</v>
      </c>
      <c r="AM29" s="239">
        <v>-1822941</v>
      </c>
      <c r="AN29" s="214" t="s">
        <v>139</v>
      </c>
      <c r="AO29" s="214" t="s">
        <v>767</v>
      </c>
      <c r="AP29" s="214" t="s">
        <v>782</v>
      </c>
      <c r="AQ29" s="214" t="s">
        <v>1192</v>
      </c>
    </row>
    <row r="30" spans="2:43" x14ac:dyDescent="0.2">
      <c r="B30" s="609" t="s">
        <v>142</v>
      </c>
      <c r="C30" s="609" t="s">
        <v>141</v>
      </c>
      <c r="D30" s="239">
        <v>20530677</v>
      </c>
      <c r="E30" s="239">
        <v>0</v>
      </c>
      <c r="F30" s="239">
        <v>20530677</v>
      </c>
      <c r="G30" s="239">
        <v>-8737</v>
      </c>
      <c r="H30" s="239">
        <v>0</v>
      </c>
      <c r="I30" s="239">
        <v>-8737</v>
      </c>
      <c r="J30" s="239">
        <v>-172609</v>
      </c>
      <c r="K30" s="239">
        <v>0</v>
      </c>
      <c r="L30" s="239">
        <v>-172609</v>
      </c>
      <c r="M30" s="239">
        <v>-28295</v>
      </c>
      <c r="N30" s="239">
        <v>0</v>
      </c>
      <c r="O30" s="239">
        <v>-28295</v>
      </c>
      <c r="P30" s="239">
        <v>-238217</v>
      </c>
      <c r="Q30" s="239">
        <v>0</v>
      </c>
      <c r="R30" s="239">
        <v>-238217</v>
      </c>
      <c r="S30" s="239">
        <v>135761</v>
      </c>
      <c r="T30" s="239">
        <v>0</v>
      </c>
      <c r="U30" s="239">
        <v>135761</v>
      </c>
      <c r="V30" s="239">
        <v>-135761</v>
      </c>
      <c r="W30" s="239">
        <v>0</v>
      </c>
      <c r="X30" s="239">
        <v>-135761</v>
      </c>
      <c r="Y30" s="239">
        <v>20255428</v>
      </c>
      <c r="Z30" s="239">
        <v>0</v>
      </c>
      <c r="AA30" s="239">
        <v>20255428</v>
      </c>
      <c r="AB30" s="239">
        <v>0</v>
      </c>
      <c r="AC30" s="239">
        <v>0</v>
      </c>
      <c r="AD30" s="239">
        <v>136280</v>
      </c>
      <c r="AE30" s="239">
        <v>0</v>
      </c>
      <c r="AF30" s="239">
        <v>136280</v>
      </c>
      <c r="AG30" s="239">
        <v>0</v>
      </c>
      <c r="AH30" s="239">
        <v>0</v>
      </c>
      <c r="AI30" s="239">
        <v>0</v>
      </c>
      <c r="AJ30" s="239">
        <v>0</v>
      </c>
      <c r="AK30" s="239">
        <v>0</v>
      </c>
      <c r="AL30" s="239">
        <v>592087</v>
      </c>
      <c r="AM30" s="239">
        <v>-887310</v>
      </c>
      <c r="AN30" s="214" t="s">
        <v>141</v>
      </c>
      <c r="AO30" s="214" t="s">
        <v>797</v>
      </c>
      <c r="AP30" s="214" t="s">
        <v>762</v>
      </c>
      <c r="AQ30" s="214" t="s">
        <v>1190</v>
      </c>
    </row>
    <row r="31" spans="2:43" x14ac:dyDescent="0.2">
      <c r="B31" s="609" t="s">
        <v>144</v>
      </c>
      <c r="C31" s="609" t="s">
        <v>143</v>
      </c>
      <c r="D31" s="239">
        <v>67808841.890000001</v>
      </c>
      <c r="E31" s="239">
        <v>0</v>
      </c>
      <c r="F31" s="239">
        <v>67808841.890000001</v>
      </c>
      <c r="G31" s="239">
        <v>0</v>
      </c>
      <c r="H31" s="239">
        <v>0</v>
      </c>
      <c r="I31" s="239">
        <v>0</v>
      </c>
      <c r="J31" s="239">
        <v>-110660</v>
      </c>
      <c r="K31" s="239">
        <v>0</v>
      </c>
      <c r="L31" s="239">
        <v>-110660</v>
      </c>
      <c r="M31" s="239">
        <v>0</v>
      </c>
      <c r="N31" s="239">
        <v>0</v>
      </c>
      <c r="O31" s="239">
        <v>0</v>
      </c>
      <c r="P31" s="239">
        <v>-188352</v>
      </c>
      <c r="Q31" s="239">
        <v>0</v>
      </c>
      <c r="R31" s="239">
        <v>-188352</v>
      </c>
      <c r="S31" s="239">
        <v>1826520</v>
      </c>
      <c r="T31" s="239">
        <v>0</v>
      </c>
      <c r="U31" s="239">
        <v>1826520</v>
      </c>
      <c r="V31" s="239">
        <v>-1835612</v>
      </c>
      <c r="W31" s="239">
        <v>0</v>
      </c>
      <c r="X31" s="239">
        <v>-1835612</v>
      </c>
      <c r="Y31" s="239">
        <v>67611397.890000001</v>
      </c>
      <c r="Z31" s="239">
        <v>0</v>
      </c>
      <c r="AA31" s="239">
        <v>67611397.890000001</v>
      </c>
      <c r="AB31" s="239">
        <v>0</v>
      </c>
      <c r="AC31" s="239">
        <v>0</v>
      </c>
      <c r="AD31" s="239">
        <v>190</v>
      </c>
      <c r="AE31" s="239">
        <v>0</v>
      </c>
      <c r="AF31" s="239">
        <v>190</v>
      </c>
      <c r="AG31" s="239">
        <v>0</v>
      </c>
      <c r="AH31" s="239">
        <v>0</v>
      </c>
      <c r="AI31" s="239">
        <v>0</v>
      </c>
      <c r="AJ31" s="239">
        <v>0</v>
      </c>
      <c r="AK31" s="239">
        <v>0</v>
      </c>
      <c r="AL31" s="239">
        <v>3742481</v>
      </c>
      <c r="AM31" s="239">
        <v>-521775</v>
      </c>
      <c r="AN31" s="214" t="s">
        <v>922</v>
      </c>
      <c r="AO31" s="214" t="s">
        <v>747</v>
      </c>
      <c r="AP31" s="214" t="s">
        <v>784</v>
      </c>
      <c r="AQ31" s="214" t="s">
        <v>747</v>
      </c>
    </row>
    <row r="32" spans="2:43" x14ac:dyDescent="0.2">
      <c r="B32" s="609" t="s">
        <v>146</v>
      </c>
      <c r="C32" s="609" t="s">
        <v>145</v>
      </c>
      <c r="D32" s="239">
        <v>70521336</v>
      </c>
      <c r="E32" s="239">
        <v>0</v>
      </c>
      <c r="F32" s="239">
        <v>70521336</v>
      </c>
      <c r="G32" s="239">
        <v>0</v>
      </c>
      <c r="H32" s="239">
        <v>0</v>
      </c>
      <c r="I32" s="239">
        <v>0</v>
      </c>
      <c r="J32" s="239">
        <v>0</v>
      </c>
      <c r="K32" s="239">
        <v>0</v>
      </c>
      <c r="L32" s="239">
        <v>0</v>
      </c>
      <c r="M32" s="239">
        <v>-377388</v>
      </c>
      <c r="N32" s="239">
        <v>0</v>
      </c>
      <c r="O32" s="239">
        <v>-377388</v>
      </c>
      <c r="P32" s="239">
        <v>-257600</v>
      </c>
      <c r="Q32" s="239">
        <v>0</v>
      </c>
      <c r="R32" s="239">
        <v>-257600</v>
      </c>
      <c r="S32" s="239">
        <v>354491</v>
      </c>
      <c r="T32" s="239">
        <v>0</v>
      </c>
      <c r="U32" s="239">
        <v>354491</v>
      </c>
      <c r="V32" s="239">
        <v>-8906410</v>
      </c>
      <c r="W32" s="239">
        <v>0</v>
      </c>
      <c r="X32" s="239">
        <v>-8906410</v>
      </c>
      <c r="Y32" s="239">
        <v>61334429</v>
      </c>
      <c r="Z32" s="239">
        <v>0</v>
      </c>
      <c r="AA32" s="239">
        <v>61334429</v>
      </c>
      <c r="AB32" s="239">
        <v>0</v>
      </c>
      <c r="AC32" s="239">
        <v>0</v>
      </c>
      <c r="AD32" s="239">
        <v>765</v>
      </c>
      <c r="AE32" s="239">
        <v>0</v>
      </c>
      <c r="AF32" s="239">
        <v>765</v>
      </c>
      <c r="AG32" s="239">
        <v>0</v>
      </c>
      <c r="AH32" s="239">
        <v>0</v>
      </c>
      <c r="AI32" s="239">
        <v>0</v>
      </c>
      <c r="AJ32" s="239">
        <v>0</v>
      </c>
      <c r="AK32" s="239">
        <v>0</v>
      </c>
      <c r="AL32" s="239">
        <v>2344110</v>
      </c>
      <c r="AM32" s="239">
        <v>-3746017</v>
      </c>
      <c r="AN32" s="214" t="s">
        <v>921</v>
      </c>
      <c r="AO32" s="214" t="s">
        <v>747</v>
      </c>
      <c r="AP32" s="214" t="s">
        <v>768</v>
      </c>
      <c r="AQ32" s="214" t="s">
        <v>747</v>
      </c>
    </row>
    <row r="33" spans="1:43" x14ac:dyDescent="0.2">
      <c r="B33" s="609" t="s">
        <v>148</v>
      </c>
      <c r="C33" s="609" t="s">
        <v>147</v>
      </c>
      <c r="D33" s="239">
        <v>143883375</v>
      </c>
      <c r="E33" s="239">
        <v>0</v>
      </c>
      <c r="F33" s="239">
        <v>143883375</v>
      </c>
      <c r="G33" s="239">
        <v>-33844</v>
      </c>
      <c r="H33" s="239">
        <v>0</v>
      </c>
      <c r="I33" s="239">
        <v>-33844</v>
      </c>
      <c r="J33" s="239">
        <v>-3976688</v>
      </c>
      <c r="K33" s="239">
        <v>0</v>
      </c>
      <c r="L33" s="239">
        <v>-3976688</v>
      </c>
      <c r="M33" s="239">
        <v>0</v>
      </c>
      <c r="N33" s="239">
        <v>0</v>
      </c>
      <c r="O33" s="239">
        <v>0</v>
      </c>
      <c r="P33" s="239">
        <v>-2798260</v>
      </c>
      <c r="Q33" s="239">
        <v>0</v>
      </c>
      <c r="R33" s="239">
        <v>-2798260</v>
      </c>
      <c r="S33" s="239">
        <v>4729838</v>
      </c>
      <c r="T33" s="239">
        <v>0</v>
      </c>
      <c r="U33" s="239">
        <v>4729838</v>
      </c>
      <c r="V33" s="239">
        <v>-4290393</v>
      </c>
      <c r="W33" s="239">
        <v>0</v>
      </c>
      <c r="X33" s="239">
        <v>-4290393</v>
      </c>
      <c r="Y33" s="239">
        <v>141490716</v>
      </c>
      <c r="Z33" s="239">
        <v>0</v>
      </c>
      <c r="AA33" s="239">
        <v>141490716</v>
      </c>
      <c r="AB33" s="239">
        <v>0</v>
      </c>
      <c r="AC33" s="239">
        <v>0</v>
      </c>
      <c r="AD33" s="239">
        <v>0</v>
      </c>
      <c r="AE33" s="239">
        <v>0</v>
      </c>
      <c r="AF33" s="239">
        <v>0</v>
      </c>
      <c r="AG33" s="239">
        <v>0</v>
      </c>
      <c r="AH33" s="239">
        <v>0</v>
      </c>
      <c r="AI33" s="239">
        <v>0</v>
      </c>
      <c r="AJ33" s="239">
        <v>0</v>
      </c>
      <c r="AK33" s="239">
        <v>0</v>
      </c>
      <c r="AL33" s="239">
        <v>9638103</v>
      </c>
      <c r="AM33" s="239">
        <v>-1262603</v>
      </c>
      <c r="AN33" s="214" t="s">
        <v>147</v>
      </c>
      <c r="AO33" s="214" t="s">
        <v>767</v>
      </c>
      <c r="AP33" s="214" t="s">
        <v>817</v>
      </c>
      <c r="AQ33" s="214" t="s">
        <v>1192</v>
      </c>
    </row>
    <row r="34" spans="1:43" x14ac:dyDescent="0.2">
      <c r="B34" s="609" t="s">
        <v>150</v>
      </c>
      <c r="C34" s="609" t="s">
        <v>149</v>
      </c>
      <c r="D34" s="239">
        <v>42512954</v>
      </c>
      <c r="E34" s="239">
        <v>0</v>
      </c>
      <c r="F34" s="239">
        <v>42512954</v>
      </c>
      <c r="G34" s="239">
        <v>0</v>
      </c>
      <c r="H34" s="239">
        <v>0</v>
      </c>
      <c r="I34" s="239">
        <v>0</v>
      </c>
      <c r="J34" s="239">
        <v>-232388</v>
      </c>
      <c r="K34" s="239">
        <v>0</v>
      </c>
      <c r="L34" s="239">
        <v>-232388</v>
      </c>
      <c r="M34" s="239">
        <v>0</v>
      </c>
      <c r="N34" s="239">
        <v>0</v>
      </c>
      <c r="O34" s="239">
        <v>0</v>
      </c>
      <c r="P34" s="239">
        <v>-150785</v>
      </c>
      <c r="Q34" s="239">
        <v>0</v>
      </c>
      <c r="R34" s="239">
        <v>-150785</v>
      </c>
      <c r="S34" s="239">
        <v>1500592</v>
      </c>
      <c r="T34" s="239">
        <v>0</v>
      </c>
      <c r="U34" s="239">
        <v>1500592</v>
      </c>
      <c r="V34" s="239">
        <v>889408</v>
      </c>
      <c r="W34" s="239">
        <v>0</v>
      </c>
      <c r="X34" s="239">
        <v>889408</v>
      </c>
      <c r="Y34" s="239">
        <v>44752169</v>
      </c>
      <c r="Z34" s="239">
        <v>0</v>
      </c>
      <c r="AA34" s="239">
        <v>44752169</v>
      </c>
      <c r="AB34" s="239">
        <v>0</v>
      </c>
      <c r="AC34" s="239">
        <v>0</v>
      </c>
      <c r="AD34" s="239">
        <v>183890</v>
      </c>
      <c r="AE34" s="239">
        <v>0</v>
      </c>
      <c r="AF34" s="239">
        <v>183890</v>
      </c>
      <c r="AG34" s="239">
        <v>0</v>
      </c>
      <c r="AH34" s="239">
        <v>0</v>
      </c>
      <c r="AI34" s="239">
        <v>0</v>
      </c>
      <c r="AJ34" s="239">
        <v>0</v>
      </c>
      <c r="AK34" s="239">
        <v>0</v>
      </c>
      <c r="AL34" s="239">
        <v>614373</v>
      </c>
      <c r="AM34" s="239">
        <v>-476087</v>
      </c>
      <c r="AN34" s="214" t="s">
        <v>149</v>
      </c>
      <c r="AO34" s="214" t="s">
        <v>821</v>
      </c>
      <c r="AP34" s="214" t="s">
        <v>819</v>
      </c>
      <c r="AQ34" s="214" t="s">
        <v>1190</v>
      </c>
    </row>
    <row r="35" spans="1:43" x14ac:dyDescent="0.2">
      <c r="B35" s="609" t="s">
        <v>152</v>
      </c>
      <c r="C35" s="609" t="s">
        <v>151</v>
      </c>
      <c r="D35" s="239">
        <v>30184441</v>
      </c>
      <c r="E35" s="239">
        <v>0</v>
      </c>
      <c r="F35" s="239">
        <v>30184441</v>
      </c>
      <c r="G35" s="239">
        <v>0</v>
      </c>
      <c r="H35" s="239">
        <v>0</v>
      </c>
      <c r="I35" s="239">
        <v>0</v>
      </c>
      <c r="J35" s="239">
        <v>-217850</v>
      </c>
      <c r="K35" s="239">
        <v>0</v>
      </c>
      <c r="L35" s="239">
        <v>-217850</v>
      </c>
      <c r="M35" s="239">
        <v>0</v>
      </c>
      <c r="N35" s="239">
        <v>0</v>
      </c>
      <c r="O35" s="239">
        <v>0</v>
      </c>
      <c r="P35" s="239">
        <v>-232478</v>
      </c>
      <c r="Q35" s="239">
        <v>0</v>
      </c>
      <c r="R35" s="239">
        <v>-232478</v>
      </c>
      <c r="S35" s="239">
        <v>1805362</v>
      </c>
      <c r="T35" s="239">
        <v>0</v>
      </c>
      <c r="U35" s="239">
        <v>1805362</v>
      </c>
      <c r="V35" s="239">
        <v>-761551</v>
      </c>
      <c r="W35" s="239">
        <v>0</v>
      </c>
      <c r="X35" s="239">
        <v>-761551</v>
      </c>
      <c r="Y35" s="239">
        <v>30995774</v>
      </c>
      <c r="Z35" s="239">
        <v>0</v>
      </c>
      <c r="AA35" s="239">
        <v>30995774</v>
      </c>
      <c r="AB35" s="239">
        <v>0</v>
      </c>
      <c r="AC35" s="239">
        <v>0</v>
      </c>
      <c r="AD35" s="239">
        <v>195073</v>
      </c>
      <c r="AE35" s="239">
        <v>0</v>
      </c>
      <c r="AF35" s="239">
        <v>195073</v>
      </c>
      <c r="AG35" s="239">
        <v>0</v>
      </c>
      <c r="AH35" s="239">
        <v>0</v>
      </c>
      <c r="AI35" s="239">
        <v>0</v>
      </c>
      <c r="AJ35" s="239">
        <v>0</v>
      </c>
      <c r="AK35" s="239">
        <v>0</v>
      </c>
      <c r="AL35" s="239">
        <v>1412640</v>
      </c>
      <c r="AM35" s="239">
        <v>-350911</v>
      </c>
      <c r="AN35" s="214" t="s">
        <v>151</v>
      </c>
      <c r="AO35" s="214" t="s">
        <v>848</v>
      </c>
      <c r="AP35" s="214" t="s">
        <v>762</v>
      </c>
      <c r="AQ35" s="214" t="s">
        <v>1190</v>
      </c>
    </row>
    <row r="36" spans="1:43" x14ac:dyDescent="0.2">
      <c r="B36" s="609" t="s">
        <v>154</v>
      </c>
      <c r="C36" s="609" t="s">
        <v>153</v>
      </c>
      <c r="D36" s="239">
        <v>123761524</v>
      </c>
      <c r="E36" s="239">
        <v>0</v>
      </c>
      <c r="F36" s="239">
        <v>123761524</v>
      </c>
      <c r="G36" s="239">
        <v>0</v>
      </c>
      <c r="H36" s="239">
        <v>0</v>
      </c>
      <c r="I36" s="239">
        <v>0</v>
      </c>
      <c r="J36" s="239">
        <v>-1807064</v>
      </c>
      <c r="K36" s="239">
        <v>0</v>
      </c>
      <c r="L36" s="239">
        <v>-1807064</v>
      </c>
      <c r="M36" s="239">
        <v>0</v>
      </c>
      <c r="N36" s="239">
        <v>0</v>
      </c>
      <c r="O36" s="239">
        <v>0</v>
      </c>
      <c r="P36" s="239">
        <v>-968857</v>
      </c>
      <c r="Q36" s="239">
        <v>0</v>
      </c>
      <c r="R36" s="239">
        <v>-968857</v>
      </c>
      <c r="S36" s="239">
        <v>879390</v>
      </c>
      <c r="T36" s="239">
        <v>0</v>
      </c>
      <c r="U36" s="239">
        <v>879390</v>
      </c>
      <c r="V36" s="239">
        <v>-3903732</v>
      </c>
      <c r="W36" s="239">
        <v>0</v>
      </c>
      <c r="X36" s="239">
        <v>-3903732</v>
      </c>
      <c r="Y36" s="239">
        <v>119768325</v>
      </c>
      <c r="Z36" s="239">
        <v>0</v>
      </c>
      <c r="AA36" s="239">
        <v>119768325</v>
      </c>
      <c r="AB36" s="239">
        <v>0</v>
      </c>
      <c r="AC36" s="239">
        <v>0</v>
      </c>
      <c r="AD36" s="239">
        <v>0</v>
      </c>
      <c r="AE36" s="239">
        <v>0</v>
      </c>
      <c r="AF36" s="239">
        <v>0</v>
      </c>
      <c r="AG36" s="239">
        <v>0</v>
      </c>
      <c r="AH36" s="239">
        <v>0</v>
      </c>
      <c r="AI36" s="239">
        <v>0</v>
      </c>
      <c r="AJ36" s="239">
        <v>0</v>
      </c>
      <c r="AK36" s="239">
        <v>0</v>
      </c>
      <c r="AL36" s="239">
        <v>8398505</v>
      </c>
      <c r="AM36" s="239">
        <v>-6108751</v>
      </c>
      <c r="AN36" s="214" t="s">
        <v>153</v>
      </c>
      <c r="AO36" s="214" t="s">
        <v>789</v>
      </c>
      <c r="AP36" s="214" t="s">
        <v>748</v>
      </c>
      <c r="AQ36" s="214" t="s">
        <v>1191</v>
      </c>
    </row>
    <row r="37" spans="1:43" x14ac:dyDescent="0.2">
      <c r="B37" s="609" t="s">
        <v>156</v>
      </c>
      <c r="C37" s="609" t="s">
        <v>155</v>
      </c>
      <c r="D37" s="239">
        <v>31719937</v>
      </c>
      <c r="E37" s="239">
        <v>0</v>
      </c>
      <c r="F37" s="239">
        <v>31719937</v>
      </c>
      <c r="G37" s="239">
        <v>0</v>
      </c>
      <c r="H37" s="239">
        <v>0</v>
      </c>
      <c r="I37" s="239">
        <v>0</v>
      </c>
      <c r="J37" s="239">
        <v>-734618</v>
      </c>
      <c r="K37" s="239">
        <v>0</v>
      </c>
      <c r="L37" s="239">
        <v>-734618</v>
      </c>
      <c r="M37" s="239">
        <v>0</v>
      </c>
      <c r="N37" s="239">
        <v>0</v>
      </c>
      <c r="O37" s="239">
        <v>0</v>
      </c>
      <c r="P37" s="239">
        <v>-422929</v>
      </c>
      <c r="Q37" s="239">
        <v>0</v>
      </c>
      <c r="R37" s="239">
        <v>-422929</v>
      </c>
      <c r="S37" s="239">
        <v>822336</v>
      </c>
      <c r="T37" s="239">
        <v>0</v>
      </c>
      <c r="U37" s="239">
        <v>822336</v>
      </c>
      <c r="V37" s="239">
        <v>-1606468</v>
      </c>
      <c r="W37" s="239">
        <v>0</v>
      </c>
      <c r="X37" s="239">
        <v>-1606468</v>
      </c>
      <c r="Y37" s="239">
        <v>30512876</v>
      </c>
      <c r="Z37" s="239">
        <v>0</v>
      </c>
      <c r="AA37" s="239">
        <v>30512876</v>
      </c>
      <c r="AB37" s="239">
        <v>0</v>
      </c>
      <c r="AC37" s="239">
        <v>0</v>
      </c>
      <c r="AD37" s="239">
        <v>0</v>
      </c>
      <c r="AE37" s="239">
        <v>0</v>
      </c>
      <c r="AF37" s="239">
        <v>0</v>
      </c>
      <c r="AG37" s="239">
        <v>0</v>
      </c>
      <c r="AH37" s="239">
        <v>0</v>
      </c>
      <c r="AI37" s="239">
        <v>0</v>
      </c>
      <c r="AJ37" s="239">
        <v>0</v>
      </c>
      <c r="AK37" s="239">
        <v>0</v>
      </c>
      <c r="AL37" s="239">
        <v>2689187</v>
      </c>
      <c r="AM37" s="239">
        <v>-766609</v>
      </c>
      <c r="AN37" s="214" t="s">
        <v>155</v>
      </c>
      <c r="AO37" s="214" t="s">
        <v>821</v>
      </c>
      <c r="AP37" s="214" t="s">
        <v>819</v>
      </c>
      <c r="AQ37" s="214" t="s">
        <v>1190</v>
      </c>
    </row>
    <row r="38" spans="1:43" x14ac:dyDescent="0.2">
      <c r="B38" s="609" t="s">
        <v>158</v>
      </c>
      <c r="C38" s="609" t="s">
        <v>157</v>
      </c>
      <c r="D38" s="239">
        <v>110297348</v>
      </c>
      <c r="E38" s="239">
        <v>0</v>
      </c>
      <c r="F38" s="239">
        <v>110297348</v>
      </c>
      <c r="G38" s="239">
        <v>0</v>
      </c>
      <c r="H38" s="239">
        <v>0</v>
      </c>
      <c r="I38" s="239">
        <v>0</v>
      </c>
      <c r="J38" s="239">
        <v>-413139</v>
      </c>
      <c r="K38" s="239">
        <v>0</v>
      </c>
      <c r="L38" s="239">
        <v>-413139</v>
      </c>
      <c r="M38" s="239">
        <v>-125225</v>
      </c>
      <c r="N38" s="239">
        <v>0</v>
      </c>
      <c r="O38" s="239">
        <v>-125225</v>
      </c>
      <c r="P38" s="239">
        <v>-863419</v>
      </c>
      <c r="Q38" s="239">
        <v>0</v>
      </c>
      <c r="R38" s="239">
        <v>-863419</v>
      </c>
      <c r="S38" s="239">
        <v>2075707</v>
      </c>
      <c r="T38" s="239">
        <v>0</v>
      </c>
      <c r="U38" s="239">
        <v>2075707</v>
      </c>
      <c r="V38" s="239">
        <v>-2873780</v>
      </c>
      <c r="W38" s="239">
        <v>0</v>
      </c>
      <c r="X38" s="239">
        <v>-2873780</v>
      </c>
      <c r="Y38" s="239">
        <v>108510631</v>
      </c>
      <c r="Z38" s="239">
        <v>0</v>
      </c>
      <c r="AA38" s="239">
        <v>108510631</v>
      </c>
      <c r="AB38" s="239">
        <v>0</v>
      </c>
      <c r="AC38" s="239">
        <v>0</v>
      </c>
      <c r="AD38" s="239">
        <v>0</v>
      </c>
      <c r="AE38" s="239">
        <v>0</v>
      </c>
      <c r="AF38" s="239">
        <v>0</v>
      </c>
      <c r="AG38" s="239">
        <v>0</v>
      </c>
      <c r="AH38" s="239">
        <v>0</v>
      </c>
      <c r="AI38" s="239">
        <v>0</v>
      </c>
      <c r="AJ38" s="239">
        <v>0</v>
      </c>
      <c r="AK38" s="239">
        <v>0</v>
      </c>
      <c r="AL38" s="239">
        <v>5271833</v>
      </c>
      <c r="AM38" s="239">
        <v>-4919474</v>
      </c>
      <c r="AN38" s="214" t="s">
        <v>920</v>
      </c>
      <c r="AO38" s="214" t="s">
        <v>747</v>
      </c>
      <c r="AP38" s="214" t="s">
        <v>806</v>
      </c>
      <c r="AQ38" s="214" t="s">
        <v>747</v>
      </c>
    </row>
    <row r="39" spans="1:43" x14ac:dyDescent="0.2">
      <c r="B39" s="609" t="s">
        <v>160</v>
      </c>
      <c r="C39" s="609" t="s">
        <v>159</v>
      </c>
      <c r="D39" s="239">
        <v>194441583</v>
      </c>
      <c r="E39" s="239">
        <v>25364180</v>
      </c>
      <c r="F39" s="239">
        <v>219805763</v>
      </c>
      <c r="G39" s="239">
        <v>-1780</v>
      </c>
      <c r="H39" s="239">
        <v>0</v>
      </c>
      <c r="I39" s="239">
        <v>-1780</v>
      </c>
      <c r="J39" s="239">
        <v>-1501208</v>
      </c>
      <c r="K39" s="239">
        <v>-43792</v>
      </c>
      <c r="L39" s="239">
        <v>-1545000</v>
      </c>
      <c r="M39" s="239">
        <v>-452452</v>
      </c>
      <c r="N39" s="239">
        <v>-15713</v>
      </c>
      <c r="O39" s="239">
        <v>-468165</v>
      </c>
      <c r="P39" s="239">
        <v>-1822866</v>
      </c>
      <c r="Q39" s="239">
        <v>-218319</v>
      </c>
      <c r="R39" s="239">
        <v>-2041185</v>
      </c>
      <c r="S39" s="239">
        <v>13678538</v>
      </c>
      <c r="T39" s="239">
        <v>158475</v>
      </c>
      <c r="U39" s="239">
        <v>13837013</v>
      </c>
      <c r="V39" s="239">
        <v>-20668346</v>
      </c>
      <c r="W39" s="239">
        <v>-1177166</v>
      </c>
      <c r="X39" s="239">
        <v>-21845512</v>
      </c>
      <c r="Y39" s="239">
        <v>185174677</v>
      </c>
      <c r="Z39" s="239">
        <v>24111457</v>
      </c>
      <c r="AA39" s="239">
        <v>209286134</v>
      </c>
      <c r="AB39" s="239">
        <v>24111457</v>
      </c>
      <c r="AC39" s="239">
        <v>24111457</v>
      </c>
      <c r="AD39" s="239">
        <v>0</v>
      </c>
      <c r="AE39" s="239">
        <v>489167</v>
      </c>
      <c r="AF39" s="239">
        <v>489167</v>
      </c>
      <c r="AG39" s="239">
        <v>-25570</v>
      </c>
      <c r="AH39" s="239">
        <v>-25570</v>
      </c>
      <c r="AI39" s="239">
        <v>19990279</v>
      </c>
      <c r="AJ39" s="239">
        <v>19990279</v>
      </c>
      <c r="AK39" s="239">
        <v>4100911</v>
      </c>
      <c r="AL39" s="239">
        <v>4263960</v>
      </c>
      <c r="AM39" s="239">
        <v>-2937074</v>
      </c>
      <c r="AN39" s="214" t="s">
        <v>919</v>
      </c>
      <c r="AO39" s="214" t="s">
        <v>747</v>
      </c>
      <c r="AP39" s="214" t="s">
        <v>852</v>
      </c>
      <c r="AQ39" s="214" t="s">
        <v>747</v>
      </c>
    </row>
    <row r="40" spans="1:43" x14ac:dyDescent="0.2">
      <c r="B40" s="609" t="s">
        <v>162</v>
      </c>
      <c r="C40" s="609" t="s">
        <v>161</v>
      </c>
      <c r="D40" s="239">
        <v>30352116</v>
      </c>
      <c r="E40" s="239">
        <v>0</v>
      </c>
      <c r="F40" s="239">
        <v>30352116</v>
      </c>
      <c r="G40" s="239">
        <v>0</v>
      </c>
      <c r="H40" s="239">
        <v>0</v>
      </c>
      <c r="I40" s="239">
        <v>0</v>
      </c>
      <c r="J40" s="239">
        <v>-143798</v>
      </c>
      <c r="K40" s="239">
        <v>0</v>
      </c>
      <c r="L40" s="239">
        <v>-143798</v>
      </c>
      <c r="M40" s="239">
        <v>0</v>
      </c>
      <c r="N40" s="239">
        <v>0</v>
      </c>
      <c r="O40" s="239">
        <v>0</v>
      </c>
      <c r="P40" s="239">
        <v>-157517</v>
      </c>
      <c r="Q40" s="239">
        <v>0</v>
      </c>
      <c r="R40" s="239">
        <v>-157517</v>
      </c>
      <c r="S40" s="239">
        <v>889584</v>
      </c>
      <c r="T40" s="239">
        <v>0</v>
      </c>
      <c r="U40" s="239">
        <v>889584</v>
      </c>
      <c r="V40" s="239">
        <v>-478314</v>
      </c>
      <c r="W40" s="239">
        <v>0</v>
      </c>
      <c r="X40" s="239">
        <v>-478314</v>
      </c>
      <c r="Y40" s="239">
        <v>30605869</v>
      </c>
      <c r="Z40" s="239">
        <v>0</v>
      </c>
      <c r="AA40" s="239">
        <v>30605869</v>
      </c>
      <c r="AB40" s="239">
        <v>0</v>
      </c>
      <c r="AC40" s="239">
        <v>0</v>
      </c>
      <c r="AD40" s="239">
        <v>168099</v>
      </c>
      <c r="AE40" s="239">
        <v>0</v>
      </c>
      <c r="AF40" s="239">
        <v>168099</v>
      </c>
      <c r="AG40" s="239">
        <v>0</v>
      </c>
      <c r="AH40" s="239">
        <v>0</v>
      </c>
      <c r="AI40" s="239">
        <v>0</v>
      </c>
      <c r="AJ40" s="239">
        <v>0</v>
      </c>
      <c r="AK40" s="239">
        <v>0</v>
      </c>
      <c r="AL40" s="239">
        <v>338980</v>
      </c>
      <c r="AM40" s="239">
        <v>-699513</v>
      </c>
      <c r="AN40" s="214" t="s">
        <v>161</v>
      </c>
      <c r="AO40" s="214" t="s">
        <v>848</v>
      </c>
      <c r="AP40" s="214" t="s">
        <v>762</v>
      </c>
      <c r="AQ40" s="214" t="s">
        <v>1190</v>
      </c>
    </row>
    <row r="41" spans="1:43" x14ac:dyDescent="0.2">
      <c r="B41" s="609" t="s">
        <v>164</v>
      </c>
      <c r="C41" s="609" t="s">
        <v>163</v>
      </c>
      <c r="D41" s="239">
        <v>86081051</v>
      </c>
      <c r="E41" s="239">
        <v>0</v>
      </c>
      <c r="F41" s="239">
        <v>86081051</v>
      </c>
      <c r="G41" s="239">
        <v>0</v>
      </c>
      <c r="H41" s="239">
        <v>0</v>
      </c>
      <c r="I41" s="239">
        <v>0</v>
      </c>
      <c r="J41" s="239">
        <v>-260048</v>
      </c>
      <c r="K41" s="239">
        <v>0</v>
      </c>
      <c r="L41" s="239">
        <v>-260048</v>
      </c>
      <c r="M41" s="239">
        <v>0</v>
      </c>
      <c r="N41" s="239">
        <v>0</v>
      </c>
      <c r="O41" s="239">
        <v>0</v>
      </c>
      <c r="P41" s="239">
        <v>-194048</v>
      </c>
      <c r="Q41" s="239">
        <v>0</v>
      </c>
      <c r="R41" s="239">
        <v>-194048</v>
      </c>
      <c r="S41" s="239">
        <v>1016721</v>
      </c>
      <c r="T41" s="239">
        <v>0</v>
      </c>
      <c r="U41" s="239">
        <v>1016721</v>
      </c>
      <c r="V41" s="239">
        <v>-3548064</v>
      </c>
      <c r="W41" s="239">
        <v>0</v>
      </c>
      <c r="X41" s="239">
        <v>-3548064</v>
      </c>
      <c r="Y41" s="239">
        <v>83355660</v>
      </c>
      <c r="Z41" s="239">
        <v>0</v>
      </c>
      <c r="AA41" s="239">
        <v>83355660</v>
      </c>
      <c r="AB41" s="239">
        <v>0</v>
      </c>
      <c r="AC41" s="239">
        <v>0</v>
      </c>
      <c r="AD41" s="239">
        <v>0</v>
      </c>
      <c r="AE41" s="239">
        <v>0</v>
      </c>
      <c r="AF41" s="239">
        <v>0</v>
      </c>
      <c r="AG41" s="239">
        <v>0</v>
      </c>
      <c r="AH41" s="239">
        <v>0</v>
      </c>
      <c r="AI41" s="239">
        <v>0</v>
      </c>
      <c r="AJ41" s="239">
        <v>0</v>
      </c>
      <c r="AK41" s="239">
        <v>0</v>
      </c>
      <c r="AL41" s="239">
        <v>2120477</v>
      </c>
      <c r="AM41" s="239">
        <v>-4259571</v>
      </c>
      <c r="AN41" s="214" t="s">
        <v>163</v>
      </c>
      <c r="AO41" s="214" t="s">
        <v>789</v>
      </c>
      <c r="AP41" s="214" t="s">
        <v>748</v>
      </c>
      <c r="AQ41" s="214" t="s">
        <v>1191</v>
      </c>
    </row>
    <row r="42" spans="1:43" x14ac:dyDescent="0.2">
      <c r="B42" s="609" t="s">
        <v>166</v>
      </c>
      <c r="C42" s="609" t="s">
        <v>165</v>
      </c>
      <c r="D42" s="239">
        <v>27893633</v>
      </c>
      <c r="E42" s="239">
        <v>0</v>
      </c>
      <c r="F42" s="239">
        <v>27893633</v>
      </c>
      <c r="G42" s="239">
        <v>0</v>
      </c>
      <c r="H42" s="239">
        <v>0</v>
      </c>
      <c r="I42" s="239">
        <v>0</v>
      </c>
      <c r="J42" s="239">
        <v>-133364</v>
      </c>
      <c r="K42" s="239">
        <v>0</v>
      </c>
      <c r="L42" s="239">
        <v>-133364</v>
      </c>
      <c r="M42" s="239">
        <v>0</v>
      </c>
      <c r="N42" s="239">
        <v>0</v>
      </c>
      <c r="O42" s="239">
        <v>0</v>
      </c>
      <c r="P42" s="239">
        <v>-473783</v>
      </c>
      <c r="Q42" s="239">
        <v>0</v>
      </c>
      <c r="R42" s="239">
        <v>-473783</v>
      </c>
      <c r="S42" s="239">
        <v>267214</v>
      </c>
      <c r="T42" s="239">
        <v>0</v>
      </c>
      <c r="U42" s="239">
        <v>267214</v>
      </c>
      <c r="V42" s="239">
        <v>-258058</v>
      </c>
      <c r="W42" s="239">
        <v>0</v>
      </c>
      <c r="X42" s="239">
        <v>-258058</v>
      </c>
      <c r="Y42" s="239">
        <v>27429006</v>
      </c>
      <c r="Z42" s="239">
        <v>0</v>
      </c>
      <c r="AA42" s="239">
        <v>27429006</v>
      </c>
      <c r="AB42" s="239">
        <v>0</v>
      </c>
      <c r="AC42" s="239">
        <v>0</v>
      </c>
      <c r="AD42" s="239">
        <v>0</v>
      </c>
      <c r="AE42" s="239">
        <v>0</v>
      </c>
      <c r="AF42" s="239">
        <v>0</v>
      </c>
      <c r="AG42" s="239">
        <v>0</v>
      </c>
      <c r="AH42" s="239">
        <v>0</v>
      </c>
      <c r="AI42" s="239">
        <v>0</v>
      </c>
      <c r="AJ42" s="239">
        <v>0</v>
      </c>
      <c r="AK42" s="239">
        <v>0</v>
      </c>
      <c r="AL42" s="239">
        <v>2149381</v>
      </c>
      <c r="AM42" s="239">
        <v>-554352</v>
      </c>
      <c r="AN42" s="214" t="s">
        <v>165</v>
      </c>
      <c r="AO42" s="214" t="s">
        <v>752</v>
      </c>
      <c r="AP42" s="214" t="s">
        <v>750</v>
      </c>
      <c r="AQ42" s="214" t="s">
        <v>1190</v>
      </c>
    </row>
    <row r="43" spans="1:43" x14ac:dyDescent="0.2">
      <c r="B43" s="609" t="s">
        <v>168</v>
      </c>
      <c r="C43" s="609" t="s">
        <v>167</v>
      </c>
      <c r="D43" s="239">
        <v>40130750</v>
      </c>
      <c r="E43" s="239">
        <v>0</v>
      </c>
      <c r="F43" s="239">
        <v>40130750</v>
      </c>
      <c r="G43" s="239">
        <v>0</v>
      </c>
      <c r="H43" s="239">
        <v>0</v>
      </c>
      <c r="I43" s="239">
        <v>0</v>
      </c>
      <c r="J43" s="239">
        <v>0</v>
      </c>
      <c r="K43" s="239">
        <v>0</v>
      </c>
      <c r="L43" s="239">
        <v>0</v>
      </c>
      <c r="M43" s="239">
        <v>0</v>
      </c>
      <c r="N43" s="239">
        <v>0</v>
      </c>
      <c r="O43" s="239">
        <v>0</v>
      </c>
      <c r="P43" s="239">
        <v>-297621</v>
      </c>
      <c r="Q43" s="239">
        <v>0</v>
      </c>
      <c r="R43" s="239">
        <v>-297621</v>
      </c>
      <c r="S43" s="239">
        <v>4644187</v>
      </c>
      <c r="T43" s="239">
        <v>0</v>
      </c>
      <c r="U43" s="239">
        <v>4644187</v>
      </c>
      <c r="V43" s="239">
        <v>-822303</v>
      </c>
      <c r="W43" s="239">
        <v>0</v>
      </c>
      <c r="X43" s="239">
        <v>-822303</v>
      </c>
      <c r="Y43" s="239">
        <v>43655013</v>
      </c>
      <c r="Z43" s="239">
        <v>0</v>
      </c>
      <c r="AA43" s="239">
        <v>43655013</v>
      </c>
      <c r="AB43" s="239">
        <v>0</v>
      </c>
      <c r="AC43" s="239">
        <v>0</v>
      </c>
      <c r="AD43" s="239">
        <v>0</v>
      </c>
      <c r="AE43" s="239">
        <v>0</v>
      </c>
      <c r="AF43" s="239">
        <v>0</v>
      </c>
      <c r="AG43" s="239">
        <v>0</v>
      </c>
      <c r="AH43" s="239">
        <v>0</v>
      </c>
      <c r="AI43" s="239">
        <v>0</v>
      </c>
      <c r="AJ43" s="239">
        <v>0</v>
      </c>
      <c r="AK43" s="239">
        <v>0</v>
      </c>
      <c r="AL43" s="239">
        <v>3299773</v>
      </c>
      <c r="AM43" s="239">
        <v>-982218</v>
      </c>
      <c r="AN43" s="214" t="s">
        <v>167</v>
      </c>
      <c r="AO43" s="214" t="s">
        <v>802</v>
      </c>
      <c r="AP43" s="214" t="s">
        <v>762</v>
      </c>
      <c r="AQ43" s="214" t="s">
        <v>1190</v>
      </c>
    </row>
    <row r="44" spans="1:43" x14ac:dyDescent="0.2">
      <c r="A44" s="215" t="s">
        <v>1211</v>
      </c>
      <c r="B44" s="609" t="s">
        <v>170</v>
      </c>
      <c r="C44" s="609" t="s">
        <v>169</v>
      </c>
      <c r="D44" s="239">
        <v>24086269</v>
      </c>
      <c r="E44" s="239">
        <v>557886</v>
      </c>
      <c r="F44" s="239">
        <v>24644155</v>
      </c>
      <c r="G44" s="239">
        <v>0</v>
      </c>
      <c r="H44" s="239">
        <v>0</v>
      </c>
      <c r="I44" s="239">
        <v>0</v>
      </c>
      <c r="J44" s="239">
        <v>-74622</v>
      </c>
      <c r="K44" s="239">
        <v>0</v>
      </c>
      <c r="L44" s="239">
        <v>-74622</v>
      </c>
      <c r="M44" s="239">
        <v>0</v>
      </c>
      <c r="N44" s="239">
        <v>0</v>
      </c>
      <c r="O44" s="239">
        <v>0</v>
      </c>
      <c r="P44" s="239">
        <v>-153622</v>
      </c>
      <c r="Q44" s="239">
        <v>0</v>
      </c>
      <c r="R44" s="239">
        <v>-153622</v>
      </c>
      <c r="S44" s="239">
        <v>938482</v>
      </c>
      <c r="T44" s="239">
        <v>0</v>
      </c>
      <c r="U44" s="239">
        <v>938482</v>
      </c>
      <c r="V44" s="239">
        <v>-2193475</v>
      </c>
      <c r="W44" s="239">
        <v>0</v>
      </c>
      <c r="X44" s="239">
        <v>-2193475</v>
      </c>
      <c r="Y44" s="239">
        <v>22677654</v>
      </c>
      <c r="Z44" s="239">
        <v>557886</v>
      </c>
      <c r="AA44" s="239">
        <v>23235540</v>
      </c>
      <c r="AB44" s="239">
        <v>557886</v>
      </c>
      <c r="AC44" s="239">
        <v>557886</v>
      </c>
      <c r="AD44" s="239">
        <v>0</v>
      </c>
      <c r="AE44" s="239">
        <v>0</v>
      </c>
      <c r="AF44" s="239">
        <v>0</v>
      </c>
      <c r="AG44" s="239">
        <v>0</v>
      </c>
      <c r="AH44" s="239">
        <v>0</v>
      </c>
      <c r="AI44" s="239">
        <v>1130039</v>
      </c>
      <c r="AJ44" s="239">
        <v>1130039</v>
      </c>
      <c r="AK44" s="239">
        <v>0</v>
      </c>
      <c r="AL44" s="239">
        <v>1202659</v>
      </c>
      <c r="AM44" s="239">
        <v>-602981</v>
      </c>
      <c r="AN44" s="214" t="s">
        <v>169</v>
      </c>
      <c r="AO44" s="214" t="s">
        <v>873</v>
      </c>
      <c r="AP44" s="214" t="s">
        <v>871</v>
      </c>
      <c r="AQ44" s="214" t="s">
        <v>1190</v>
      </c>
    </row>
    <row r="45" spans="1:43" x14ac:dyDescent="0.2">
      <c r="B45" s="609" t="s">
        <v>172</v>
      </c>
      <c r="C45" s="609" t="s">
        <v>171</v>
      </c>
      <c r="D45" s="239">
        <v>29967611</v>
      </c>
      <c r="E45" s="239">
        <v>0</v>
      </c>
      <c r="F45" s="239">
        <v>29967611</v>
      </c>
      <c r="G45" s="239">
        <v>-3683</v>
      </c>
      <c r="H45" s="239">
        <v>0</v>
      </c>
      <c r="I45" s="239">
        <v>-3683</v>
      </c>
      <c r="J45" s="239">
        <v>-481603</v>
      </c>
      <c r="K45" s="239">
        <v>0</v>
      </c>
      <c r="L45" s="239">
        <v>-481603</v>
      </c>
      <c r="M45" s="239">
        <v>0</v>
      </c>
      <c r="N45" s="239">
        <v>0</v>
      </c>
      <c r="O45" s="239">
        <v>0</v>
      </c>
      <c r="P45" s="239">
        <v>-423528</v>
      </c>
      <c r="Q45" s="239">
        <v>0</v>
      </c>
      <c r="R45" s="239">
        <v>-423528</v>
      </c>
      <c r="S45" s="239">
        <v>1391557</v>
      </c>
      <c r="T45" s="239">
        <v>0</v>
      </c>
      <c r="U45" s="239">
        <v>1391557</v>
      </c>
      <c r="V45" s="239">
        <v>-1074740</v>
      </c>
      <c r="W45" s="239">
        <v>0</v>
      </c>
      <c r="X45" s="239">
        <v>-1074740</v>
      </c>
      <c r="Y45" s="239">
        <v>29857217</v>
      </c>
      <c r="Z45" s="239">
        <v>0</v>
      </c>
      <c r="AA45" s="239">
        <v>29857217</v>
      </c>
      <c r="AB45" s="239">
        <v>0</v>
      </c>
      <c r="AC45" s="239">
        <v>0</v>
      </c>
      <c r="AD45" s="239">
        <v>238391</v>
      </c>
      <c r="AE45" s="239">
        <v>0</v>
      </c>
      <c r="AF45" s="239">
        <v>238391</v>
      </c>
      <c r="AG45" s="239">
        <v>0</v>
      </c>
      <c r="AH45" s="239">
        <v>0</v>
      </c>
      <c r="AI45" s="239">
        <v>0</v>
      </c>
      <c r="AJ45" s="239">
        <v>0</v>
      </c>
      <c r="AK45" s="239">
        <v>0</v>
      </c>
      <c r="AL45" s="239">
        <v>1674209</v>
      </c>
      <c r="AM45" s="239">
        <v>-312768</v>
      </c>
      <c r="AN45" s="214" t="s">
        <v>171</v>
      </c>
      <c r="AO45" s="214" t="s">
        <v>756</v>
      </c>
      <c r="AP45" s="214" t="s">
        <v>754</v>
      </c>
      <c r="AQ45" s="214" t="s">
        <v>1190</v>
      </c>
    </row>
    <row r="46" spans="1:43" x14ac:dyDescent="0.2">
      <c r="B46" s="609" t="s">
        <v>174</v>
      </c>
      <c r="C46" s="609" t="s">
        <v>173</v>
      </c>
      <c r="D46" s="239">
        <v>51992636</v>
      </c>
      <c r="E46" s="239">
        <v>0</v>
      </c>
      <c r="F46" s="239">
        <v>51992636</v>
      </c>
      <c r="G46" s="239">
        <v>-15064</v>
      </c>
      <c r="H46" s="239">
        <v>0</v>
      </c>
      <c r="I46" s="239">
        <v>-15064</v>
      </c>
      <c r="J46" s="239">
        <v>-3687850</v>
      </c>
      <c r="K46" s="239">
        <v>0</v>
      </c>
      <c r="L46" s="239">
        <v>-3687850</v>
      </c>
      <c r="M46" s="239">
        <v>0</v>
      </c>
      <c r="N46" s="239">
        <v>0</v>
      </c>
      <c r="O46" s="239">
        <v>0</v>
      </c>
      <c r="P46" s="239">
        <v>-2007031</v>
      </c>
      <c r="Q46" s="239">
        <v>0</v>
      </c>
      <c r="R46" s="239">
        <v>-2007031</v>
      </c>
      <c r="S46" s="239">
        <v>775934</v>
      </c>
      <c r="T46" s="239">
        <v>0</v>
      </c>
      <c r="U46" s="239">
        <v>775934</v>
      </c>
      <c r="V46" s="239">
        <v>-2294116</v>
      </c>
      <c r="W46" s="239">
        <v>0</v>
      </c>
      <c r="X46" s="239">
        <v>-2294116</v>
      </c>
      <c r="Y46" s="239">
        <v>48452359</v>
      </c>
      <c r="Z46" s="239">
        <v>0</v>
      </c>
      <c r="AA46" s="239">
        <v>48452359</v>
      </c>
      <c r="AB46" s="239">
        <v>0</v>
      </c>
      <c r="AC46" s="239">
        <v>0</v>
      </c>
      <c r="AD46" s="239">
        <v>0</v>
      </c>
      <c r="AE46" s="239">
        <v>0</v>
      </c>
      <c r="AF46" s="239">
        <v>0</v>
      </c>
      <c r="AG46" s="239">
        <v>0</v>
      </c>
      <c r="AH46" s="239">
        <v>0</v>
      </c>
      <c r="AI46" s="239">
        <v>0</v>
      </c>
      <c r="AJ46" s="239">
        <v>0</v>
      </c>
      <c r="AK46" s="239">
        <v>0</v>
      </c>
      <c r="AL46" s="239">
        <v>7600201</v>
      </c>
      <c r="AM46" s="239">
        <v>-1397470</v>
      </c>
      <c r="AN46" s="214" t="s">
        <v>173</v>
      </c>
      <c r="AO46" s="214" t="s">
        <v>767</v>
      </c>
      <c r="AP46" s="214" t="s">
        <v>782</v>
      </c>
      <c r="AQ46" s="214" t="s">
        <v>1192</v>
      </c>
    </row>
    <row r="47" spans="1:43" x14ac:dyDescent="0.2">
      <c r="B47" s="609" t="s">
        <v>176</v>
      </c>
      <c r="C47" s="609" t="s">
        <v>175</v>
      </c>
      <c r="D47" s="239">
        <v>59431231</v>
      </c>
      <c r="E47" s="239">
        <v>0</v>
      </c>
      <c r="F47" s="239">
        <v>59431231</v>
      </c>
      <c r="G47" s="239">
        <v>-44452</v>
      </c>
      <c r="H47" s="239">
        <v>0</v>
      </c>
      <c r="I47" s="239">
        <v>-44452</v>
      </c>
      <c r="J47" s="239">
        <v>-1772334</v>
      </c>
      <c r="K47" s="239">
        <v>0</v>
      </c>
      <c r="L47" s="239">
        <v>-1772334</v>
      </c>
      <c r="M47" s="239">
        <v>0</v>
      </c>
      <c r="N47" s="239">
        <v>0</v>
      </c>
      <c r="O47" s="239">
        <v>0</v>
      </c>
      <c r="P47" s="239">
        <v>-1001923</v>
      </c>
      <c r="Q47" s="239">
        <v>0</v>
      </c>
      <c r="R47" s="239">
        <v>-1001923</v>
      </c>
      <c r="S47" s="239">
        <v>2488838</v>
      </c>
      <c r="T47" s="239">
        <v>0</v>
      </c>
      <c r="U47" s="239">
        <v>2488838</v>
      </c>
      <c r="V47" s="239">
        <v>-4572659</v>
      </c>
      <c r="W47" s="239">
        <v>0</v>
      </c>
      <c r="X47" s="239">
        <v>-4572659</v>
      </c>
      <c r="Y47" s="239">
        <v>56301035</v>
      </c>
      <c r="Z47" s="239">
        <v>0</v>
      </c>
      <c r="AA47" s="239">
        <v>56301035</v>
      </c>
      <c r="AB47" s="239">
        <v>0</v>
      </c>
      <c r="AC47" s="239">
        <v>0</v>
      </c>
      <c r="AD47" s="239">
        <v>194824</v>
      </c>
      <c r="AE47" s="239">
        <v>0</v>
      </c>
      <c r="AF47" s="239">
        <v>194824</v>
      </c>
      <c r="AG47" s="239">
        <v>0</v>
      </c>
      <c r="AH47" s="239">
        <v>0</v>
      </c>
      <c r="AI47" s="239">
        <v>0</v>
      </c>
      <c r="AJ47" s="239">
        <v>0</v>
      </c>
      <c r="AK47" s="239">
        <v>0</v>
      </c>
      <c r="AL47" s="239">
        <v>4996297</v>
      </c>
      <c r="AM47" s="239">
        <v>-1768326</v>
      </c>
      <c r="AN47" s="214" t="s">
        <v>175</v>
      </c>
      <c r="AO47" s="214" t="s">
        <v>767</v>
      </c>
      <c r="AP47" s="214" t="s">
        <v>817</v>
      </c>
      <c r="AQ47" s="214" t="s">
        <v>1192</v>
      </c>
    </row>
    <row r="48" spans="1:43" x14ac:dyDescent="0.2">
      <c r="B48" s="609" t="s">
        <v>178</v>
      </c>
      <c r="C48" s="609" t="s">
        <v>177</v>
      </c>
      <c r="D48" s="239">
        <v>99494437</v>
      </c>
      <c r="E48" s="239">
        <v>0</v>
      </c>
      <c r="F48" s="239">
        <v>99494437</v>
      </c>
      <c r="G48" s="239">
        <v>0</v>
      </c>
      <c r="H48" s="239">
        <v>0</v>
      </c>
      <c r="I48" s="239">
        <v>0</v>
      </c>
      <c r="J48" s="239">
        <v>-414048</v>
      </c>
      <c r="K48" s="239">
        <v>0</v>
      </c>
      <c r="L48" s="239">
        <v>-414048</v>
      </c>
      <c r="M48" s="239">
        <v>0</v>
      </c>
      <c r="N48" s="239">
        <v>0</v>
      </c>
      <c r="O48" s="239">
        <v>0</v>
      </c>
      <c r="P48" s="239">
        <v>-109653</v>
      </c>
      <c r="Q48" s="239">
        <v>0</v>
      </c>
      <c r="R48" s="239">
        <v>-109653</v>
      </c>
      <c r="S48" s="239">
        <v>2236625</v>
      </c>
      <c r="T48" s="239">
        <v>0</v>
      </c>
      <c r="U48" s="239">
        <v>2236625</v>
      </c>
      <c r="V48" s="239">
        <v>-1916116</v>
      </c>
      <c r="W48" s="239">
        <v>0</v>
      </c>
      <c r="X48" s="239">
        <v>-1916116</v>
      </c>
      <c r="Y48" s="239">
        <v>99705293</v>
      </c>
      <c r="Z48" s="239">
        <v>0</v>
      </c>
      <c r="AA48" s="239">
        <v>99705293</v>
      </c>
      <c r="AB48" s="239">
        <v>0</v>
      </c>
      <c r="AC48" s="239">
        <v>0</v>
      </c>
      <c r="AD48" s="239">
        <v>0</v>
      </c>
      <c r="AE48" s="239">
        <v>0</v>
      </c>
      <c r="AF48" s="239">
        <v>0</v>
      </c>
      <c r="AG48" s="239">
        <v>0</v>
      </c>
      <c r="AH48" s="239">
        <v>0</v>
      </c>
      <c r="AI48" s="239">
        <v>0</v>
      </c>
      <c r="AJ48" s="239">
        <v>0</v>
      </c>
      <c r="AK48" s="239">
        <v>0</v>
      </c>
      <c r="AL48" s="239">
        <v>1355649</v>
      </c>
      <c r="AM48" s="239">
        <v>-2446499</v>
      </c>
      <c r="AN48" s="214" t="s">
        <v>177</v>
      </c>
      <c r="AO48" s="214" t="s">
        <v>861</v>
      </c>
      <c r="AP48" s="214" t="s">
        <v>859</v>
      </c>
      <c r="AQ48" s="214" t="s">
        <v>1190</v>
      </c>
    </row>
    <row r="49" spans="2:43" x14ac:dyDescent="0.2">
      <c r="B49" s="609" t="s">
        <v>180</v>
      </c>
      <c r="C49" s="609" t="s">
        <v>179</v>
      </c>
      <c r="D49" s="239">
        <v>511053967</v>
      </c>
      <c r="E49" s="239">
        <v>0</v>
      </c>
      <c r="F49" s="239">
        <v>511053967</v>
      </c>
      <c r="G49" s="239">
        <v>-29726</v>
      </c>
      <c r="H49" s="239">
        <v>0</v>
      </c>
      <c r="I49" s="239">
        <v>-29726</v>
      </c>
      <c r="J49" s="239">
        <v>192673</v>
      </c>
      <c r="K49" s="239">
        <v>0</v>
      </c>
      <c r="L49" s="239">
        <v>192673</v>
      </c>
      <c r="M49" s="239">
        <v>0</v>
      </c>
      <c r="N49" s="239">
        <v>0</v>
      </c>
      <c r="O49" s="239">
        <v>0</v>
      </c>
      <c r="P49" s="239">
        <v>-4435879</v>
      </c>
      <c r="Q49" s="239">
        <v>0</v>
      </c>
      <c r="R49" s="239">
        <v>-4435879</v>
      </c>
      <c r="S49" s="239">
        <v>20109199</v>
      </c>
      <c r="T49" s="239">
        <v>0</v>
      </c>
      <c r="U49" s="239">
        <v>20109199</v>
      </c>
      <c r="V49" s="239">
        <v>-6263846</v>
      </c>
      <c r="W49" s="239">
        <v>0</v>
      </c>
      <c r="X49" s="239">
        <v>-6263846</v>
      </c>
      <c r="Y49" s="239">
        <v>520433715</v>
      </c>
      <c r="Z49" s="239">
        <v>0</v>
      </c>
      <c r="AA49" s="239">
        <v>520433715</v>
      </c>
      <c r="AB49" s="239">
        <v>0</v>
      </c>
      <c r="AC49" s="239">
        <v>0</v>
      </c>
      <c r="AD49" s="239">
        <v>0</v>
      </c>
      <c r="AE49" s="239">
        <v>0</v>
      </c>
      <c r="AF49" s="239">
        <v>0</v>
      </c>
      <c r="AG49" s="239">
        <v>0</v>
      </c>
      <c r="AH49" s="239">
        <v>0</v>
      </c>
      <c r="AI49" s="239">
        <v>0</v>
      </c>
      <c r="AJ49" s="239">
        <v>0</v>
      </c>
      <c r="AK49" s="239">
        <v>0</v>
      </c>
      <c r="AL49" s="239">
        <v>10434670</v>
      </c>
      <c r="AM49" s="239">
        <v>-6692463</v>
      </c>
      <c r="AN49" s="214" t="s">
        <v>179</v>
      </c>
      <c r="AO49" s="214" t="s">
        <v>789</v>
      </c>
      <c r="AP49" s="214" t="s">
        <v>748</v>
      </c>
      <c r="AQ49" s="214" t="s">
        <v>1193</v>
      </c>
    </row>
    <row r="50" spans="2:43" x14ac:dyDescent="0.2">
      <c r="B50" s="609" t="s">
        <v>182</v>
      </c>
      <c r="C50" s="609" t="s">
        <v>181</v>
      </c>
      <c r="D50" s="239">
        <v>35552422</v>
      </c>
      <c r="E50" s="239">
        <v>0</v>
      </c>
      <c r="F50" s="239">
        <v>35552422</v>
      </c>
      <c r="G50" s="239">
        <v>-5642</v>
      </c>
      <c r="H50" s="239">
        <v>0</v>
      </c>
      <c r="I50" s="239">
        <v>-5642</v>
      </c>
      <c r="J50" s="239">
        <v>-301763</v>
      </c>
      <c r="K50" s="239">
        <v>0</v>
      </c>
      <c r="L50" s="239">
        <v>-301763</v>
      </c>
      <c r="M50" s="239">
        <v>0</v>
      </c>
      <c r="N50" s="239">
        <v>0</v>
      </c>
      <c r="O50" s="239">
        <v>0</v>
      </c>
      <c r="P50" s="239">
        <v>-32684</v>
      </c>
      <c r="Q50" s="239">
        <v>0</v>
      </c>
      <c r="R50" s="239">
        <v>-32684</v>
      </c>
      <c r="S50" s="239">
        <v>1442125</v>
      </c>
      <c r="T50" s="239">
        <v>0</v>
      </c>
      <c r="U50" s="239">
        <v>1442125</v>
      </c>
      <c r="V50" s="239">
        <v>-2499191</v>
      </c>
      <c r="W50" s="239">
        <v>0</v>
      </c>
      <c r="X50" s="239">
        <v>-2499191</v>
      </c>
      <c r="Y50" s="239">
        <v>34457030</v>
      </c>
      <c r="Z50" s="239">
        <v>0</v>
      </c>
      <c r="AA50" s="239">
        <v>34457030</v>
      </c>
      <c r="AB50" s="239">
        <v>0</v>
      </c>
      <c r="AC50" s="239">
        <v>0</v>
      </c>
      <c r="AD50" s="239">
        <v>0</v>
      </c>
      <c r="AE50" s="239">
        <v>0</v>
      </c>
      <c r="AF50" s="239">
        <v>0</v>
      </c>
      <c r="AG50" s="239">
        <v>0</v>
      </c>
      <c r="AH50" s="239">
        <v>0</v>
      </c>
      <c r="AI50" s="239">
        <v>0</v>
      </c>
      <c r="AJ50" s="239">
        <v>0</v>
      </c>
      <c r="AK50" s="239">
        <v>0</v>
      </c>
      <c r="AL50" s="239">
        <v>1821678</v>
      </c>
      <c r="AM50" s="239">
        <v>-337633</v>
      </c>
      <c r="AN50" s="214" t="s">
        <v>181</v>
      </c>
      <c r="AO50" s="214" t="s">
        <v>837</v>
      </c>
      <c r="AP50" s="214" t="s">
        <v>835</v>
      </c>
      <c r="AQ50" s="214" t="s">
        <v>1190</v>
      </c>
    </row>
    <row r="51" spans="2:43" x14ac:dyDescent="0.2">
      <c r="B51" s="609" t="s">
        <v>184</v>
      </c>
      <c r="C51" s="609" t="s">
        <v>183</v>
      </c>
      <c r="D51" s="239">
        <v>54154673</v>
      </c>
      <c r="E51" s="239">
        <v>0</v>
      </c>
      <c r="F51" s="239">
        <v>54154673</v>
      </c>
      <c r="G51" s="239">
        <v>0</v>
      </c>
      <c r="H51" s="239">
        <v>0</v>
      </c>
      <c r="I51" s="239">
        <v>0</v>
      </c>
      <c r="J51" s="239">
        <v>-492212</v>
      </c>
      <c r="K51" s="239">
        <v>0</v>
      </c>
      <c r="L51" s="239">
        <v>-492212</v>
      </c>
      <c r="M51" s="239">
        <v>0</v>
      </c>
      <c r="N51" s="239">
        <v>0</v>
      </c>
      <c r="O51" s="239">
        <v>0</v>
      </c>
      <c r="P51" s="239">
        <v>-709653</v>
      </c>
      <c r="Q51" s="239">
        <v>0</v>
      </c>
      <c r="R51" s="239">
        <v>-709653</v>
      </c>
      <c r="S51" s="239">
        <v>825698</v>
      </c>
      <c r="T51" s="239">
        <v>0</v>
      </c>
      <c r="U51" s="239">
        <v>825698</v>
      </c>
      <c r="V51" s="239">
        <v>-411000</v>
      </c>
      <c r="W51" s="239">
        <v>0</v>
      </c>
      <c r="X51" s="239">
        <v>-411000</v>
      </c>
      <c r="Y51" s="239">
        <v>53859718</v>
      </c>
      <c r="Z51" s="239">
        <v>0</v>
      </c>
      <c r="AA51" s="239">
        <v>53859718</v>
      </c>
      <c r="AB51" s="239">
        <v>0</v>
      </c>
      <c r="AC51" s="239">
        <v>0</v>
      </c>
      <c r="AD51" s="239">
        <v>415910</v>
      </c>
      <c r="AE51" s="239">
        <v>0</v>
      </c>
      <c r="AF51" s="239">
        <v>415910</v>
      </c>
      <c r="AG51" s="239">
        <v>0</v>
      </c>
      <c r="AH51" s="239">
        <v>0</v>
      </c>
      <c r="AI51" s="239">
        <v>0</v>
      </c>
      <c r="AJ51" s="239">
        <v>0</v>
      </c>
      <c r="AK51" s="239">
        <v>0</v>
      </c>
      <c r="AL51" s="239">
        <v>1483816</v>
      </c>
      <c r="AM51" s="239">
        <v>-1256124</v>
      </c>
      <c r="AN51" s="214" t="s">
        <v>183</v>
      </c>
      <c r="AO51" s="214" t="s">
        <v>825</v>
      </c>
      <c r="AP51" s="214" t="s">
        <v>823</v>
      </c>
      <c r="AQ51" s="214" t="s">
        <v>1190</v>
      </c>
    </row>
    <row r="52" spans="2:43" x14ac:dyDescent="0.2">
      <c r="B52" s="609" t="s">
        <v>186</v>
      </c>
      <c r="C52" s="609" t="s">
        <v>185</v>
      </c>
      <c r="D52" s="239">
        <v>42690947</v>
      </c>
      <c r="E52" s="239">
        <v>1484379</v>
      </c>
      <c r="F52" s="239">
        <v>44175326</v>
      </c>
      <c r="G52" s="239">
        <v>0</v>
      </c>
      <c r="H52" s="239">
        <v>0</v>
      </c>
      <c r="I52" s="239">
        <v>0</v>
      </c>
      <c r="J52" s="239">
        <v>-102543</v>
      </c>
      <c r="K52" s="239">
        <v>0</v>
      </c>
      <c r="L52" s="239">
        <v>-102543</v>
      </c>
      <c r="M52" s="239">
        <v>0</v>
      </c>
      <c r="N52" s="239">
        <v>0</v>
      </c>
      <c r="O52" s="239">
        <v>0</v>
      </c>
      <c r="P52" s="239">
        <v>-81036</v>
      </c>
      <c r="Q52" s="239">
        <v>-409</v>
      </c>
      <c r="R52" s="239">
        <v>-81445</v>
      </c>
      <c r="S52" s="239">
        <v>658970</v>
      </c>
      <c r="T52" s="239">
        <v>0</v>
      </c>
      <c r="U52" s="239">
        <v>658970</v>
      </c>
      <c r="V52" s="239">
        <v>-348191</v>
      </c>
      <c r="W52" s="239">
        <v>-6298</v>
      </c>
      <c r="X52" s="239">
        <v>-354489</v>
      </c>
      <c r="Y52" s="239">
        <v>42920690</v>
      </c>
      <c r="Z52" s="239">
        <v>1477672</v>
      </c>
      <c r="AA52" s="239">
        <v>44398362</v>
      </c>
      <c r="AB52" s="239">
        <v>1477672</v>
      </c>
      <c r="AC52" s="239">
        <v>1477672</v>
      </c>
      <c r="AD52" s="239">
        <v>52178</v>
      </c>
      <c r="AE52" s="239">
        <v>876</v>
      </c>
      <c r="AF52" s="239">
        <v>53054</v>
      </c>
      <c r="AG52" s="239">
        <v>0</v>
      </c>
      <c r="AH52" s="239">
        <v>0</v>
      </c>
      <c r="AI52" s="239">
        <v>1536785</v>
      </c>
      <c r="AJ52" s="239">
        <v>1536785</v>
      </c>
      <c r="AK52" s="239">
        <v>0</v>
      </c>
      <c r="AL52" s="239">
        <v>1126393</v>
      </c>
      <c r="AM52" s="239">
        <v>-889827</v>
      </c>
      <c r="AN52" s="214" t="s">
        <v>185</v>
      </c>
      <c r="AO52" s="214" t="s">
        <v>850</v>
      </c>
      <c r="AP52" s="214" t="s">
        <v>762</v>
      </c>
      <c r="AQ52" s="214" t="s">
        <v>1190</v>
      </c>
    </row>
    <row r="53" spans="2:43" x14ac:dyDescent="0.2">
      <c r="B53" s="609" t="s">
        <v>188</v>
      </c>
      <c r="C53" s="609" t="s">
        <v>187</v>
      </c>
      <c r="D53" s="239">
        <v>14804856</v>
      </c>
      <c r="E53" s="239">
        <v>0</v>
      </c>
      <c r="F53" s="239">
        <v>14804856</v>
      </c>
      <c r="G53" s="239">
        <v>0</v>
      </c>
      <c r="H53" s="239">
        <v>0</v>
      </c>
      <c r="I53" s="239">
        <v>0</v>
      </c>
      <c r="J53" s="239">
        <v>-87931</v>
      </c>
      <c r="K53" s="239">
        <v>0</v>
      </c>
      <c r="L53" s="239">
        <v>-87931</v>
      </c>
      <c r="M53" s="239">
        <v>0</v>
      </c>
      <c r="N53" s="239">
        <v>0</v>
      </c>
      <c r="O53" s="239">
        <v>0</v>
      </c>
      <c r="P53" s="239">
        <v>-93950</v>
      </c>
      <c r="Q53" s="239">
        <v>0</v>
      </c>
      <c r="R53" s="239">
        <v>-93950</v>
      </c>
      <c r="S53" s="239">
        <v>856694</v>
      </c>
      <c r="T53" s="239">
        <v>0</v>
      </c>
      <c r="U53" s="239">
        <v>856694</v>
      </c>
      <c r="V53" s="239">
        <v>-264934</v>
      </c>
      <c r="W53" s="239">
        <v>0</v>
      </c>
      <c r="X53" s="239">
        <v>-264934</v>
      </c>
      <c r="Y53" s="239">
        <v>15302666</v>
      </c>
      <c r="Z53" s="239">
        <v>0</v>
      </c>
      <c r="AA53" s="239">
        <v>15302666</v>
      </c>
      <c r="AB53" s="239">
        <v>0</v>
      </c>
      <c r="AC53" s="239">
        <v>0</v>
      </c>
      <c r="AD53" s="239">
        <v>0</v>
      </c>
      <c r="AE53" s="239">
        <v>0</v>
      </c>
      <c r="AF53" s="239">
        <v>0</v>
      </c>
      <c r="AG53" s="239">
        <v>0</v>
      </c>
      <c r="AH53" s="239">
        <v>0</v>
      </c>
      <c r="AI53" s="239">
        <v>0</v>
      </c>
      <c r="AJ53" s="239">
        <v>0</v>
      </c>
      <c r="AK53" s="239">
        <v>0</v>
      </c>
      <c r="AL53" s="239">
        <v>240677</v>
      </c>
      <c r="AM53" s="239">
        <v>-298808</v>
      </c>
      <c r="AN53" s="214" t="s">
        <v>187</v>
      </c>
      <c r="AO53" s="214" t="s">
        <v>821</v>
      </c>
      <c r="AP53" s="214" t="s">
        <v>819</v>
      </c>
      <c r="AQ53" s="214" t="s">
        <v>1190</v>
      </c>
    </row>
    <row r="54" spans="2:43" x14ac:dyDescent="0.2">
      <c r="B54" s="609" t="s">
        <v>190</v>
      </c>
      <c r="C54" s="609" t="s">
        <v>189</v>
      </c>
      <c r="D54" s="239">
        <v>85200060</v>
      </c>
      <c r="E54" s="239">
        <v>0</v>
      </c>
      <c r="F54" s="239">
        <v>85200060</v>
      </c>
      <c r="G54" s="239">
        <v>0</v>
      </c>
      <c r="H54" s="239">
        <v>0</v>
      </c>
      <c r="I54" s="239">
        <v>0</v>
      </c>
      <c r="J54" s="239">
        <v>-691575</v>
      </c>
      <c r="K54" s="239">
        <v>0</v>
      </c>
      <c r="L54" s="239">
        <v>-691575</v>
      </c>
      <c r="M54" s="239">
        <v>-105491</v>
      </c>
      <c r="N54" s="239">
        <v>0</v>
      </c>
      <c r="O54" s="239">
        <v>-105491</v>
      </c>
      <c r="P54" s="239">
        <v>-546024</v>
      </c>
      <c r="Q54" s="239">
        <v>0</v>
      </c>
      <c r="R54" s="239">
        <v>-546024</v>
      </c>
      <c r="S54" s="239">
        <v>3027484</v>
      </c>
      <c r="T54" s="239">
        <v>0</v>
      </c>
      <c r="U54" s="239">
        <v>3027484</v>
      </c>
      <c r="V54" s="239">
        <v>-3241427</v>
      </c>
      <c r="W54" s="239">
        <v>0</v>
      </c>
      <c r="X54" s="239">
        <v>-3241427</v>
      </c>
      <c r="Y54" s="239">
        <v>84334602</v>
      </c>
      <c r="Z54" s="239">
        <v>0</v>
      </c>
      <c r="AA54" s="239">
        <v>84334602</v>
      </c>
      <c r="AB54" s="239">
        <v>0</v>
      </c>
      <c r="AC54" s="239">
        <v>0</v>
      </c>
      <c r="AD54" s="239">
        <v>391714</v>
      </c>
      <c r="AE54" s="239">
        <v>0</v>
      </c>
      <c r="AF54" s="239">
        <v>391714</v>
      </c>
      <c r="AG54" s="239">
        <v>0</v>
      </c>
      <c r="AH54" s="239">
        <v>0</v>
      </c>
      <c r="AI54" s="239">
        <v>0</v>
      </c>
      <c r="AJ54" s="239">
        <v>0</v>
      </c>
      <c r="AK54" s="239">
        <v>0</v>
      </c>
      <c r="AL54" s="239">
        <v>3544924</v>
      </c>
      <c r="AM54" s="239">
        <v>-587695</v>
      </c>
      <c r="AN54" s="214" t="s">
        <v>189</v>
      </c>
      <c r="AO54" s="214" t="s">
        <v>747</v>
      </c>
      <c r="AP54" s="214" t="s">
        <v>897</v>
      </c>
      <c r="AQ54" s="214" t="s">
        <v>747</v>
      </c>
    </row>
    <row r="55" spans="2:43" x14ac:dyDescent="0.2">
      <c r="B55" s="609" t="s">
        <v>192</v>
      </c>
      <c r="C55" s="609" t="s">
        <v>191</v>
      </c>
      <c r="D55" s="239">
        <v>45860783</v>
      </c>
      <c r="E55" s="239">
        <v>0</v>
      </c>
      <c r="F55" s="239">
        <v>45860783</v>
      </c>
      <c r="G55" s="239">
        <v>0</v>
      </c>
      <c r="H55" s="239">
        <v>0</v>
      </c>
      <c r="I55" s="239">
        <v>0</v>
      </c>
      <c r="J55" s="239">
        <v>-290538</v>
      </c>
      <c r="K55" s="239">
        <v>0</v>
      </c>
      <c r="L55" s="239">
        <v>-290538</v>
      </c>
      <c r="M55" s="239">
        <v>0</v>
      </c>
      <c r="N55" s="239">
        <v>0</v>
      </c>
      <c r="O55" s="239">
        <v>0</v>
      </c>
      <c r="P55" s="239">
        <v>-239548</v>
      </c>
      <c r="Q55" s="239">
        <v>0</v>
      </c>
      <c r="R55" s="239">
        <v>-239548</v>
      </c>
      <c r="S55" s="239">
        <v>100945</v>
      </c>
      <c r="T55" s="239">
        <v>0</v>
      </c>
      <c r="U55" s="239">
        <v>100945</v>
      </c>
      <c r="V55" s="239">
        <v>-100945</v>
      </c>
      <c r="W55" s="239">
        <v>0</v>
      </c>
      <c r="X55" s="239">
        <v>-100945</v>
      </c>
      <c r="Y55" s="239">
        <v>45621235</v>
      </c>
      <c r="Z55" s="239">
        <v>0</v>
      </c>
      <c r="AA55" s="239">
        <v>45621235</v>
      </c>
      <c r="AB55" s="239">
        <v>0</v>
      </c>
      <c r="AC55" s="239">
        <v>0</v>
      </c>
      <c r="AD55" s="239">
        <v>164467</v>
      </c>
      <c r="AE55" s="239">
        <v>0</v>
      </c>
      <c r="AF55" s="239">
        <v>164467</v>
      </c>
      <c r="AG55" s="239">
        <v>0</v>
      </c>
      <c r="AH55" s="239">
        <v>0</v>
      </c>
      <c r="AI55" s="239">
        <v>0</v>
      </c>
      <c r="AJ55" s="239">
        <v>0</v>
      </c>
      <c r="AK55" s="239">
        <v>0</v>
      </c>
      <c r="AL55" s="239">
        <v>860016</v>
      </c>
      <c r="AM55" s="239">
        <v>-607343</v>
      </c>
      <c r="AN55" s="214" t="s">
        <v>191</v>
      </c>
      <c r="AO55" s="214" t="s">
        <v>883</v>
      </c>
      <c r="AP55" s="214" t="s">
        <v>868</v>
      </c>
      <c r="AQ55" s="214" t="s">
        <v>1190</v>
      </c>
    </row>
    <row r="56" spans="2:43" x14ac:dyDescent="0.2">
      <c r="B56" s="609" t="s">
        <v>194</v>
      </c>
      <c r="C56" s="609" t="s">
        <v>193</v>
      </c>
      <c r="D56" s="239">
        <v>79261260</v>
      </c>
      <c r="E56" s="239">
        <v>0</v>
      </c>
      <c r="F56" s="239">
        <v>79261260</v>
      </c>
      <c r="G56" s="239">
        <v>0</v>
      </c>
      <c r="H56" s="239">
        <v>0</v>
      </c>
      <c r="I56" s="239">
        <v>0</v>
      </c>
      <c r="J56" s="239">
        <v>0</v>
      </c>
      <c r="K56" s="239">
        <v>0</v>
      </c>
      <c r="L56" s="239">
        <v>0</v>
      </c>
      <c r="M56" s="239">
        <v>-1105524</v>
      </c>
      <c r="N56" s="239">
        <v>0</v>
      </c>
      <c r="O56" s="239">
        <v>-1105524</v>
      </c>
      <c r="P56" s="239">
        <v>74169</v>
      </c>
      <c r="Q56" s="239">
        <v>0</v>
      </c>
      <c r="R56" s="239">
        <v>74169</v>
      </c>
      <c r="S56" s="239">
        <v>4990489</v>
      </c>
      <c r="T56" s="239">
        <v>0</v>
      </c>
      <c r="U56" s="239">
        <v>4990489</v>
      </c>
      <c r="V56" s="239">
        <v>-1171484</v>
      </c>
      <c r="W56" s="239">
        <v>0</v>
      </c>
      <c r="X56" s="239">
        <v>-1171484</v>
      </c>
      <c r="Y56" s="239">
        <v>82048910</v>
      </c>
      <c r="Z56" s="239">
        <v>0</v>
      </c>
      <c r="AA56" s="239">
        <v>82048910</v>
      </c>
      <c r="AB56" s="239">
        <v>0</v>
      </c>
      <c r="AC56" s="239">
        <v>0</v>
      </c>
      <c r="AD56" s="239">
        <v>0</v>
      </c>
      <c r="AE56" s="239">
        <v>0</v>
      </c>
      <c r="AF56" s="239">
        <v>0</v>
      </c>
      <c r="AG56" s="239">
        <v>0</v>
      </c>
      <c r="AH56" s="239">
        <v>0</v>
      </c>
      <c r="AI56" s="239">
        <v>0</v>
      </c>
      <c r="AJ56" s="239">
        <v>0</v>
      </c>
      <c r="AK56" s="239">
        <v>0</v>
      </c>
      <c r="AL56" s="239">
        <v>2929075</v>
      </c>
      <c r="AM56" s="239">
        <v>-1985982</v>
      </c>
      <c r="AN56" s="214" t="s">
        <v>193</v>
      </c>
      <c r="AO56" s="214" t="s">
        <v>821</v>
      </c>
      <c r="AP56" s="214" t="s">
        <v>819</v>
      </c>
      <c r="AQ56" s="214" t="s">
        <v>1190</v>
      </c>
    </row>
    <row r="57" spans="2:43" x14ac:dyDescent="0.2">
      <c r="B57" s="609" t="s">
        <v>196</v>
      </c>
      <c r="C57" s="609" t="s">
        <v>195</v>
      </c>
      <c r="D57" s="239">
        <v>54756699</v>
      </c>
      <c r="E57" s="239">
        <v>0</v>
      </c>
      <c r="F57" s="239">
        <v>54756699</v>
      </c>
      <c r="G57" s="239">
        <v>0</v>
      </c>
      <c r="H57" s="239">
        <v>0</v>
      </c>
      <c r="I57" s="239">
        <v>0</v>
      </c>
      <c r="J57" s="239">
        <v>-303912</v>
      </c>
      <c r="K57" s="239">
        <v>0</v>
      </c>
      <c r="L57" s="239">
        <v>-303912</v>
      </c>
      <c r="M57" s="239">
        <v>0</v>
      </c>
      <c r="N57" s="239">
        <v>0</v>
      </c>
      <c r="O57" s="239">
        <v>0</v>
      </c>
      <c r="P57" s="239">
        <v>-246841</v>
      </c>
      <c r="Q57" s="239">
        <v>0</v>
      </c>
      <c r="R57" s="239">
        <v>-246841</v>
      </c>
      <c r="S57" s="239">
        <v>2086826</v>
      </c>
      <c r="T57" s="239">
        <v>0</v>
      </c>
      <c r="U57" s="239">
        <v>2086826</v>
      </c>
      <c r="V57" s="239">
        <v>-1423109</v>
      </c>
      <c r="W57" s="239">
        <v>0</v>
      </c>
      <c r="X57" s="239">
        <v>-1423109</v>
      </c>
      <c r="Y57" s="239">
        <v>55173575</v>
      </c>
      <c r="Z57" s="239">
        <v>0</v>
      </c>
      <c r="AA57" s="239">
        <v>55173575</v>
      </c>
      <c r="AB57" s="239">
        <v>0</v>
      </c>
      <c r="AC57" s="239">
        <v>0</v>
      </c>
      <c r="AD57" s="239">
        <v>0</v>
      </c>
      <c r="AE57" s="239">
        <v>0</v>
      </c>
      <c r="AF57" s="239">
        <v>0</v>
      </c>
      <c r="AG57" s="239">
        <v>0</v>
      </c>
      <c r="AH57" s="239">
        <v>0</v>
      </c>
      <c r="AI57" s="239">
        <v>0</v>
      </c>
      <c r="AJ57" s="239">
        <v>0</v>
      </c>
      <c r="AK57" s="239">
        <v>0</v>
      </c>
      <c r="AL57" s="239">
        <v>1139011</v>
      </c>
      <c r="AM57" s="239">
        <v>-4937533</v>
      </c>
      <c r="AN57" s="214" t="s">
        <v>195</v>
      </c>
      <c r="AO57" s="214" t="s">
        <v>830</v>
      </c>
      <c r="AP57" s="214" t="s">
        <v>762</v>
      </c>
      <c r="AQ57" s="214" t="s">
        <v>1190</v>
      </c>
    </row>
    <row r="58" spans="2:43" x14ac:dyDescent="0.2">
      <c r="B58" s="609" t="s">
        <v>198</v>
      </c>
      <c r="C58" s="609" t="s">
        <v>197</v>
      </c>
      <c r="D58" s="239">
        <v>74621790</v>
      </c>
      <c r="E58" s="239">
        <v>0</v>
      </c>
      <c r="F58" s="239">
        <v>74621790</v>
      </c>
      <c r="G58" s="239">
        <v>0</v>
      </c>
      <c r="H58" s="239">
        <v>0</v>
      </c>
      <c r="I58" s="239">
        <v>0</v>
      </c>
      <c r="J58" s="239">
        <v>0</v>
      </c>
      <c r="K58" s="239">
        <v>0</v>
      </c>
      <c r="L58" s="239">
        <v>0</v>
      </c>
      <c r="M58" s="239">
        <v>-343538</v>
      </c>
      <c r="N58" s="239">
        <v>0</v>
      </c>
      <c r="O58" s="239">
        <v>-343538</v>
      </c>
      <c r="P58" s="239">
        <v>23191</v>
      </c>
      <c r="Q58" s="239">
        <v>0</v>
      </c>
      <c r="R58" s="239">
        <v>23191</v>
      </c>
      <c r="S58" s="239">
        <v>2392097</v>
      </c>
      <c r="T58" s="239">
        <v>0</v>
      </c>
      <c r="U58" s="239">
        <v>2392097</v>
      </c>
      <c r="V58" s="239">
        <v>-837175</v>
      </c>
      <c r="W58" s="239">
        <v>0</v>
      </c>
      <c r="X58" s="239">
        <v>-837175</v>
      </c>
      <c r="Y58" s="239">
        <v>75856365</v>
      </c>
      <c r="Z58" s="239">
        <v>0</v>
      </c>
      <c r="AA58" s="239">
        <v>75856365</v>
      </c>
      <c r="AB58" s="239">
        <v>0</v>
      </c>
      <c r="AC58" s="239">
        <v>0</v>
      </c>
      <c r="AD58" s="239">
        <v>589129</v>
      </c>
      <c r="AE58" s="239">
        <v>0</v>
      </c>
      <c r="AF58" s="239">
        <v>589129</v>
      </c>
      <c r="AG58" s="239">
        <v>0</v>
      </c>
      <c r="AH58" s="239">
        <v>0</v>
      </c>
      <c r="AI58" s="239">
        <v>0</v>
      </c>
      <c r="AJ58" s="239">
        <v>0</v>
      </c>
      <c r="AK58" s="239">
        <v>0</v>
      </c>
      <c r="AL58" s="239">
        <v>973499</v>
      </c>
      <c r="AM58" s="239">
        <v>-2000326</v>
      </c>
      <c r="AN58" s="214" t="s">
        <v>197</v>
      </c>
      <c r="AO58" s="214" t="s">
        <v>795</v>
      </c>
      <c r="AP58" s="214" t="s">
        <v>762</v>
      </c>
      <c r="AQ58" s="214" t="s">
        <v>1190</v>
      </c>
    </row>
    <row r="59" spans="2:43" x14ac:dyDescent="0.2">
      <c r="B59" s="609" t="s">
        <v>200</v>
      </c>
      <c r="C59" s="609" t="s">
        <v>199</v>
      </c>
      <c r="D59" s="239">
        <v>143013288</v>
      </c>
      <c r="E59" s="239">
        <v>3462283</v>
      </c>
      <c r="F59" s="239">
        <v>146475571</v>
      </c>
      <c r="G59" s="239">
        <v>0</v>
      </c>
      <c r="H59" s="239">
        <v>0</v>
      </c>
      <c r="I59" s="239">
        <v>0</v>
      </c>
      <c r="J59" s="239">
        <v>-1836970</v>
      </c>
      <c r="K59" s="239">
        <v>0</v>
      </c>
      <c r="L59" s="239">
        <v>-1836970</v>
      </c>
      <c r="M59" s="239">
        <v>0</v>
      </c>
      <c r="N59" s="239">
        <v>0</v>
      </c>
      <c r="O59" s="239">
        <v>0</v>
      </c>
      <c r="P59" s="239">
        <v>-1496665</v>
      </c>
      <c r="Q59" s="239">
        <v>0</v>
      </c>
      <c r="R59" s="239">
        <v>-1496665</v>
      </c>
      <c r="S59" s="239">
        <v>4163540</v>
      </c>
      <c r="T59" s="239">
        <v>0</v>
      </c>
      <c r="U59" s="239">
        <v>4163540</v>
      </c>
      <c r="V59" s="239">
        <v>-2755977</v>
      </c>
      <c r="W59" s="239">
        <v>0</v>
      </c>
      <c r="X59" s="239">
        <v>-2755977</v>
      </c>
      <c r="Y59" s="239">
        <v>142924186</v>
      </c>
      <c r="Z59" s="239">
        <v>3462283</v>
      </c>
      <c r="AA59" s="239">
        <v>146386469</v>
      </c>
      <c r="AB59" s="239">
        <v>3462283</v>
      </c>
      <c r="AC59" s="239">
        <v>3462283</v>
      </c>
      <c r="AD59" s="239">
        <v>132443</v>
      </c>
      <c r="AE59" s="239">
        <v>0</v>
      </c>
      <c r="AF59" s="239">
        <v>132443</v>
      </c>
      <c r="AG59" s="239">
        <v>0</v>
      </c>
      <c r="AH59" s="239">
        <v>0</v>
      </c>
      <c r="AI59" s="239">
        <v>2467698</v>
      </c>
      <c r="AJ59" s="239">
        <v>2467698</v>
      </c>
      <c r="AK59" s="239">
        <v>994585</v>
      </c>
      <c r="AL59" s="239">
        <v>6632131</v>
      </c>
      <c r="AM59" s="239">
        <v>-579611</v>
      </c>
      <c r="AN59" s="214" t="s">
        <v>199</v>
      </c>
      <c r="AO59" s="214" t="s">
        <v>747</v>
      </c>
      <c r="AP59" s="214" t="s">
        <v>814</v>
      </c>
      <c r="AQ59" s="214" t="s">
        <v>747</v>
      </c>
    </row>
    <row r="60" spans="2:43" x14ac:dyDescent="0.2">
      <c r="B60" s="609" t="s">
        <v>202</v>
      </c>
      <c r="C60" s="609" t="s">
        <v>918</v>
      </c>
      <c r="D60" s="239">
        <v>167138371</v>
      </c>
      <c r="E60" s="239">
        <v>170995</v>
      </c>
      <c r="F60" s="239">
        <v>167309366</v>
      </c>
      <c r="G60" s="239">
        <v>0</v>
      </c>
      <c r="H60" s="239">
        <v>0</v>
      </c>
      <c r="I60" s="239">
        <v>0</v>
      </c>
      <c r="J60" s="239">
        <v>-795694</v>
      </c>
      <c r="K60" s="239">
        <v>0</v>
      </c>
      <c r="L60" s="239">
        <v>-795694</v>
      </c>
      <c r="M60" s="239">
        <v>0</v>
      </c>
      <c r="N60" s="239">
        <v>0</v>
      </c>
      <c r="O60" s="239">
        <v>0</v>
      </c>
      <c r="P60" s="239">
        <v>-1004410</v>
      </c>
      <c r="Q60" s="239">
        <v>0</v>
      </c>
      <c r="R60" s="239">
        <v>-1004410</v>
      </c>
      <c r="S60" s="239">
        <v>4896476</v>
      </c>
      <c r="T60" s="239">
        <v>0</v>
      </c>
      <c r="U60" s="239">
        <v>4896476</v>
      </c>
      <c r="V60" s="239">
        <v>-5938107</v>
      </c>
      <c r="W60" s="239">
        <v>0</v>
      </c>
      <c r="X60" s="239">
        <v>-5938107</v>
      </c>
      <c r="Y60" s="239">
        <v>165092330</v>
      </c>
      <c r="Z60" s="239">
        <v>170995</v>
      </c>
      <c r="AA60" s="239">
        <v>165263325</v>
      </c>
      <c r="AB60" s="239">
        <v>170995</v>
      </c>
      <c r="AC60" s="239">
        <v>170995</v>
      </c>
      <c r="AD60" s="239">
        <v>0</v>
      </c>
      <c r="AE60" s="239">
        <v>0</v>
      </c>
      <c r="AF60" s="239">
        <v>0</v>
      </c>
      <c r="AG60" s="239">
        <v>0</v>
      </c>
      <c r="AH60" s="239">
        <v>0</v>
      </c>
      <c r="AI60" s="239">
        <v>171032</v>
      </c>
      <c r="AJ60" s="239">
        <v>171032</v>
      </c>
      <c r="AK60" s="239">
        <v>0</v>
      </c>
      <c r="AL60" s="239">
        <v>4407865</v>
      </c>
      <c r="AM60" s="239">
        <v>-4470983</v>
      </c>
      <c r="AN60" s="214" t="s">
        <v>918</v>
      </c>
      <c r="AO60" s="214" t="s">
        <v>747</v>
      </c>
      <c r="AP60" s="214" t="s">
        <v>814</v>
      </c>
      <c r="AQ60" s="214" t="s">
        <v>747</v>
      </c>
    </row>
    <row r="61" spans="2:43" x14ac:dyDescent="0.2">
      <c r="B61" s="609" t="s">
        <v>204</v>
      </c>
      <c r="C61" s="609" t="s">
        <v>203</v>
      </c>
      <c r="D61" s="239">
        <v>37222053</v>
      </c>
      <c r="E61" s="239">
        <v>408357</v>
      </c>
      <c r="F61" s="239">
        <v>37630410</v>
      </c>
      <c r="G61" s="239">
        <v>0</v>
      </c>
      <c r="H61" s="239">
        <v>0</v>
      </c>
      <c r="I61" s="239">
        <v>0</v>
      </c>
      <c r="J61" s="239">
        <v>-452651</v>
      </c>
      <c r="K61" s="239">
        <v>0</v>
      </c>
      <c r="L61" s="239">
        <v>-452651</v>
      </c>
      <c r="M61" s="239">
        <v>0</v>
      </c>
      <c r="N61" s="239">
        <v>0</v>
      </c>
      <c r="O61" s="239">
        <v>0</v>
      </c>
      <c r="P61" s="239">
        <v>-513486</v>
      </c>
      <c r="Q61" s="239">
        <v>0</v>
      </c>
      <c r="R61" s="239">
        <v>-513486</v>
      </c>
      <c r="S61" s="239">
        <v>1118038</v>
      </c>
      <c r="T61" s="239">
        <v>0</v>
      </c>
      <c r="U61" s="239">
        <v>1118038</v>
      </c>
      <c r="V61" s="239">
        <v>-988503</v>
      </c>
      <c r="W61" s="239">
        <v>0</v>
      </c>
      <c r="X61" s="239">
        <v>-988503</v>
      </c>
      <c r="Y61" s="239">
        <v>36838102</v>
      </c>
      <c r="Z61" s="239">
        <v>408357</v>
      </c>
      <c r="AA61" s="239">
        <v>37246459</v>
      </c>
      <c r="AB61" s="239">
        <v>408357</v>
      </c>
      <c r="AC61" s="239">
        <v>408357</v>
      </c>
      <c r="AD61" s="239">
        <v>38854</v>
      </c>
      <c r="AE61" s="239">
        <v>0</v>
      </c>
      <c r="AF61" s="239">
        <v>38854</v>
      </c>
      <c r="AG61" s="239">
        <v>0</v>
      </c>
      <c r="AH61" s="239">
        <v>0</v>
      </c>
      <c r="AI61" s="239">
        <v>0</v>
      </c>
      <c r="AJ61" s="239">
        <v>0</v>
      </c>
      <c r="AK61" s="239">
        <v>408357</v>
      </c>
      <c r="AL61" s="239">
        <v>966325</v>
      </c>
      <c r="AM61" s="239">
        <v>-841910</v>
      </c>
      <c r="AN61" s="214" t="s">
        <v>203</v>
      </c>
      <c r="AO61" s="214" t="s">
        <v>857</v>
      </c>
      <c r="AP61" s="214" t="s">
        <v>855</v>
      </c>
      <c r="AQ61" s="214" t="s">
        <v>1190</v>
      </c>
    </row>
    <row r="62" spans="2:43" x14ac:dyDescent="0.2">
      <c r="B62" s="609" t="s">
        <v>206</v>
      </c>
      <c r="C62" s="609" t="s">
        <v>205</v>
      </c>
      <c r="D62" s="239">
        <v>44889277</v>
      </c>
      <c r="E62" s="239">
        <v>0</v>
      </c>
      <c r="F62" s="239">
        <v>44889277</v>
      </c>
      <c r="G62" s="239">
        <v>0</v>
      </c>
      <c r="H62" s="239">
        <v>0</v>
      </c>
      <c r="I62" s="239">
        <v>0</v>
      </c>
      <c r="J62" s="239">
        <v>-82696</v>
      </c>
      <c r="K62" s="239">
        <v>0</v>
      </c>
      <c r="L62" s="239">
        <v>-82696</v>
      </c>
      <c r="M62" s="239">
        <v>0</v>
      </c>
      <c r="N62" s="239">
        <v>0</v>
      </c>
      <c r="O62" s="239">
        <v>0</v>
      </c>
      <c r="P62" s="239">
        <v>-300000</v>
      </c>
      <c r="Q62" s="239">
        <v>0</v>
      </c>
      <c r="R62" s="239">
        <v>-300000</v>
      </c>
      <c r="S62" s="239">
        <v>188389</v>
      </c>
      <c r="T62" s="239">
        <v>0</v>
      </c>
      <c r="U62" s="239">
        <v>188389</v>
      </c>
      <c r="V62" s="239">
        <v>0</v>
      </c>
      <c r="W62" s="239">
        <v>0</v>
      </c>
      <c r="X62" s="239">
        <v>0</v>
      </c>
      <c r="Y62" s="239">
        <v>44777666</v>
      </c>
      <c r="Z62" s="239">
        <v>0</v>
      </c>
      <c r="AA62" s="239">
        <v>44777666</v>
      </c>
      <c r="AB62" s="239">
        <v>0</v>
      </c>
      <c r="AC62" s="239">
        <v>0</v>
      </c>
      <c r="AD62" s="239">
        <v>140006</v>
      </c>
      <c r="AE62" s="239">
        <v>0</v>
      </c>
      <c r="AF62" s="239">
        <v>140006</v>
      </c>
      <c r="AG62" s="239">
        <v>0</v>
      </c>
      <c r="AH62" s="239">
        <v>0</v>
      </c>
      <c r="AI62" s="239">
        <v>0</v>
      </c>
      <c r="AJ62" s="239">
        <v>0</v>
      </c>
      <c r="AK62" s="239">
        <v>0</v>
      </c>
      <c r="AL62" s="239">
        <v>1781490</v>
      </c>
      <c r="AM62" s="239">
        <v>-986733</v>
      </c>
      <c r="AN62" s="214" t="s">
        <v>205</v>
      </c>
      <c r="AO62" s="214" t="s">
        <v>763</v>
      </c>
      <c r="AP62" s="214" t="s">
        <v>762</v>
      </c>
      <c r="AQ62" s="214" t="s">
        <v>1190</v>
      </c>
    </row>
    <row r="63" spans="2:43" x14ac:dyDescent="0.2">
      <c r="B63" s="609" t="s">
        <v>208</v>
      </c>
      <c r="C63" s="609" t="s">
        <v>207</v>
      </c>
      <c r="D63" s="239">
        <v>20439432</v>
      </c>
      <c r="E63" s="239">
        <v>0</v>
      </c>
      <c r="F63" s="239">
        <v>20439432</v>
      </c>
      <c r="G63" s="239">
        <v>0</v>
      </c>
      <c r="H63" s="239">
        <v>0</v>
      </c>
      <c r="I63" s="239">
        <v>0</v>
      </c>
      <c r="J63" s="239">
        <v>-89147</v>
      </c>
      <c r="K63" s="239">
        <v>0</v>
      </c>
      <c r="L63" s="239">
        <v>-89147</v>
      </c>
      <c r="M63" s="239">
        <v>0</v>
      </c>
      <c r="N63" s="239">
        <v>0</v>
      </c>
      <c r="O63" s="239">
        <v>0</v>
      </c>
      <c r="P63" s="239">
        <v>7778</v>
      </c>
      <c r="Q63" s="239">
        <v>0</v>
      </c>
      <c r="R63" s="239">
        <v>7778</v>
      </c>
      <c r="S63" s="239">
        <v>1029328</v>
      </c>
      <c r="T63" s="239">
        <v>0</v>
      </c>
      <c r="U63" s="239">
        <v>1029328</v>
      </c>
      <c r="V63" s="239">
        <v>262601</v>
      </c>
      <c r="W63" s="239">
        <v>0</v>
      </c>
      <c r="X63" s="239">
        <v>262601</v>
      </c>
      <c r="Y63" s="239">
        <v>21739139</v>
      </c>
      <c r="Z63" s="239">
        <v>0</v>
      </c>
      <c r="AA63" s="239">
        <v>21739139</v>
      </c>
      <c r="AB63" s="239">
        <v>0</v>
      </c>
      <c r="AC63" s="239">
        <v>0</v>
      </c>
      <c r="AD63" s="239">
        <v>0</v>
      </c>
      <c r="AE63" s="239">
        <v>0</v>
      </c>
      <c r="AF63" s="239">
        <v>0</v>
      </c>
      <c r="AG63" s="239">
        <v>0</v>
      </c>
      <c r="AH63" s="239">
        <v>0</v>
      </c>
      <c r="AI63" s="239">
        <v>0</v>
      </c>
      <c r="AJ63" s="239">
        <v>0</v>
      </c>
      <c r="AK63" s="239">
        <v>0</v>
      </c>
      <c r="AL63" s="239">
        <v>588308</v>
      </c>
      <c r="AM63" s="239">
        <v>-690079</v>
      </c>
      <c r="AN63" s="214" t="s">
        <v>207</v>
      </c>
      <c r="AO63" s="214" t="s">
        <v>760</v>
      </c>
      <c r="AP63" s="214" t="s">
        <v>758</v>
      </c>
      <c r="AQ63" s="214" t="s">
        <v>1190</v>
      </c>
    </row>
    <row r="64" spans="2:43" x14ac:dyDescent="0.2">
      <c r="B64" s="609" t="s">
        <v>210</v>
      </c>
      <c r="C64" s="609" t="s">
        <v>209</v>
      </c>
      <c r="D64" s="239">
        <v>29076539</v>
      </c>
      <c r="E64" s="239">
        <v>0</v>
      </c>
      <c r="F64" s="239">
        <v>29076539</v>
      </c>
      <c r="G64" s="239">
        <v>0</v>
      </c>
      <c r="H64" s="239">
        <v>0</v>
      </c>
      <c r="I64" s="239">
        <v>0</v>
      </c>
      <c r="J64" s="239">
        <v>-312332</v>
      </c>
      <c r="K64" s="239">
        <v>0</v>
      </c>
      <c r="L64" s="239">
        <v>-312332</v>
      </c>
      <c r="M64" s="239">
        <v>0</v>
      </c>
      <c r="N64" s="239">
        <v>0</v>
      </c>
      <c r="O64" s="239">
        <v>0</v>
      </c>
      <c r="P64" s="239">
        <v>-100299</v>
      </c>
      <c r="Q64" s="239">
        <v>0</v>
      </c>
      <c r="R64" s="239">
        <v>-100299</v>
      </c>
      <c r="S64" s="239">
        <v>603634</v>
      </c>
      <c r="T64" s="239">
        <v>0</v>
      </c>
      <c r="U64" s="239">
        <v>603634</v>
      </c>
      <c r="V64" s="239">
        <v>200366</v>
      </c>
      <c r="W64" s="239">
        <v>0</v>
      </c>
      <c r="X64" s="239">
        <v>200366</v>
      </c>
      <c r="Y64" s="239">
        <v>29780240</v>
      </c>
      <c r="Z64" s="239">
        <v>0</v>
      </c>
      <c r="AA64" s="239">
        <v>29780240</v>
      </c>
      <c r="AB64" s="239">
        <v>0</v>
      </c>
      <c r="AC64" s="239">
        <v>0</v>
      </c>
      <c r="AD64" s="239">
        <v>0</v>
      </c>
      <c r="AE64" s="239">
        <v>0</v>
      </c>
      <c r="AF64" s="239">
        <v>0</v>
      </c>
      <c r="AG64" s="239">
        <v>0</v>
      </c>
      <c r="AH64" s="239">
        <v>0</v>
      </c>
      <c r="AI64" s="239">
        <v>0</v>
      </c>
      <c r="AJ64" s="239">
        <v>0</v>
      </c>
      <c r="AK64" s="239">
        <v>0</v>
      </c>
      <c r="AL64" s="239">
        <v>988073</v>
      </c>
      <c r="AM64" s="239">
        <v>-707942</v>
      </c>
      <c r="AN64" s="214" t="s">
        <v>209</v>
      </c>
      <c r="AO64" s="214" t="s">
        <v>756</v>
      </c>
      <c r="AP64" s="214" t="s">
        <v>754</v>
      </c>
      <c r="AQ64" s="214" t="s">
        <v>1190</v>
      </c>
    </row>
    <row r="65" spans="1:43" x14ac:dyDescent="0.2">
      <c r="B65" s="609" t="s">
        <v>212</v>
      </c>
      <c r="C65" s="609" t="s">
        <v>211</v>
      </c>
      <c r="D65" s="239">
        <v>19246091</v>
      </c>
      <c r="E65" s="239">
        <v>0</v>
      </c>
      <c r="F65" s="239">
        <v>19246091</v>
      </c>
      <c r="G65" s="239">
        <v>0</v>
      </c>
      <c r="H65" s="239">
        <v>0</v>
      </c>
      <c r="I65" s="239">
        <v>0</v>
      </c>
      <c r="J65" s="239">
        <v>-82655</v>
      </c>
      <c r="K65" s="239">
        <v>0</v>
      </c>
      <c r="L65" s="239">
        <v>-82655</v>
      </c>
      <c r="M65" s="239">
        <v>0</v>
      </c>
      <c r="N65" s="239">
        <v>0</v>
      </c>
      <c r="O65" s="239">
        <v>0</v>
      </c>
      <c r="P65" s="239">
        <v>-72500</v>
      </c>
      <c r="Q65" s="239">
        <v>0</v>
      </c>
      <c r="R65" s="239">
        <v>-72500</v>
      </c>
      <c r="S65" s="239">
        <v>563494</v>
      </c>
      <c r="T65" s="239">
        <v>0</v>
      </c>
      <c r="U65" s="239">
        <v>563494</v>
      </c>
      <c r="V65" s="239">
        <v>-356912</v>
      </c>
      <c r="W65" s="239">
        <v>0</v>
      </c>
      <c r="X65" s="239">
        <v>-356912</v>
      </c>
      <c r="Y65" s="239">
        <v>19380173</v>
      </c>
      <c r="Z65" s="239">
        <v>0</v>
      </c>
      <c r="AA65" s="239">
        <v>19380173</v>
      </c>
      <c r="AB65" s="239">
        <v>0</v>
      </c>
      <c r="AC65" s="239">
        <v>0</v>
      </c>
      <c r="AD65" s="239">
        <v>339556</v>
      </c>
      <c r="AE65" s="239">
        <v>0</v>
      </c>
      <c r="AF65" s="239">
        <v>339556</v>
      </c>
      <c r="AG65" s="239">
        <v>0</v>
      </c>
      <c r="AH65" s="239">
        <v>0</v>
      </c>
      <c r="AI65" s="239">
        <v>0</v>
      </c>
      <c r="AJ65" s="239">
        <v>0</v>
      </c>
      <c r="AK65" s="239">
        <v>0</v>
      </c>
      <c r="AL65" s="239">
        <v>510530</v>
      </c>
      <c r="AM65" s="239">
        <v>-229401</v>
      </c>
      <c r="AN65" s="214" t="s">
        <v>211</v>
      </c>
      <c r="AO65" s="214" t="s">
        <v>786</v>
      </c>
      <c r="AP65" s="214" t="s">
        <v>784</v>
      </c>
      <c r="AQ65" s="214" t="s">
        <v>1190</v>
      </c>
    </row>
    <row r="66" spans="1:43" x14ac:dyDescent="0.2">
      <c r="B66" s="609" t="s">
        <v>214</v>
      </c>
      <c r="C66" s="609" t="s">
        <v>213</v>
      </c>
      <c r="D66" s="239">
        <v>902837837</v>
      </c>
      <c r="E66" s="239">
        <v>0</v>
      </c>
      <c r="F66" s="239">
        <v>902837837</v>
      </c>
      <c r="G66" s="239">
        <v>0</v>
      </c>
      <c r="H66" s="239">
        <v>0</v>
      </c>
      <c r="I66" s="239">
        <v>0</v>
      </c>
      <c r="J66" s="239">
        <v>-993667</v>
      </c>
      <c r="K66" s="239">
        <v>0</v>
      </c>
      <c r="L66" s="239">
        <v>-993667</v>
      </c>
      <c r="M66" s="239">
        <v>0</v>
      </c>
      <c r="N66" s="239">
        <v>0</v>
      </c>
      <c r="O66" s="239">
        <v>0</v>
      </c>
      <c r="P66" s="239">
        <v>-417861</v>
      </c>
      <c r="Q66" s="239">
        <v>0</v>
      </c>
      <c r="R66" s="239">
        <v>-417861</v>
      </c>
      <c r="S66" s="239">
        <v>45649824</v>
      </c>
      <c r="T66" s="239">
        <v>0</v>
      </c>
      <c r="U66" s="239">
        <v>45649824</v>
      </c>
      <c r="V66" s="239">
        <v>-162703495</v>
      </c>
      <c r="W66" s="239">
        <v>0</v>
      </c>
      <c r="X66" s="239">
        <v>-162703495</v>
      </c>
      <c r="Y66" s="239">
        <v>785366305</v>
      </c>
      <c r="Z66" s="239">
        <v>0</v>
      </c>
      <c r="AA66" s="239">
        <v>785366305</v>
      </c>
      <c r="AB66" s="239">
        <v>0</v>
      </c>
      <c r="AC66" s="239">
        <v>0</v>
      </c>
      <c r="AD66" s="239">
        <v>0</v>
      </c>
      <c r="AE66" s="239">
        <v>0</v>
      </c>
      <c r="AF66" s="239">
        <v>0</v>
      </c>
      <c r="AG66" s="239">
        <v>0</v>
      </c>
      <c r="AH66" s="239">
        <v>0</v>
      </c>
      <c r="AI66" s="239">
        <v>0</v>
      </c>
      <c r="AJ66" s="239">
        <v>0</v>
      </c>
      <c r="AK66" s="239">
        <v>0</v>
      </c>
      <c r="AL66" s="239">
        <v>17955125</v>
      </c>
      <c r="AM66" s="239">
        <v>-69304803</v>
      </c>
      <c r="AN66" s="214" t="s">
        <v>213</v>
      </c>
      <c r="AO66" s="214" t="s">
        <v>916</v>
      </c>
      <c r="AP66" s="214" t="s">
        <v>748</v>
      </c>
      <c r="AQ66" s="214" t="s">
        <v>1193</v>
      </c>
    </row>
    <row r="67" spans="1:43" x14ac:dyDescent="0.2">
      <c r="B67" s="609" t="s">
        <v>216</v>
      </c>
      <c r="C67" s="609" t="s">
        <v>215</v>
      </c>
      <c r="D67" s="239">
        <v>64363077</v>
      </c>
      <c r="E67" s="239">
        <v>0</v>
      </c>
      <c r="F67" s="239">
        <v>64363077</v>
      </c>
      <c r="G67" s="239">
        <v>-17065</v>
      </c>
      <c r="H67" s="239">
        <v>0</v>
      </c>
      <c r="I67" s="239">
        <v>-17065</v>
      </c>
      <c r="J67" s="239">
        <v>-314795</v>
      </c>
      <c r="K67" s="239">
        <v>0</v>
      </c>
      <c r="L67" s="239">
        <v>-314795</v>
      </c>
      <c r="M67" s="239">
        <v>0</v>
      </c>
      <c r="N67" s="239">
        <v>0</v>
      </c>
      <c r="O67" s="239">
        <v>0</v>
      </c>
      <c r="P67" s="239">
        <v>-658490</v>
      </c>
      <c r="Q67" s="239">
        <v>0</v>
      </c>
      <c r="R67" s="239">
        <v>-658490</v>
      </c>
      <c r="S67" s="239">
        <v>2646128</v>
      </c>
      <c r="T67" s="239">
        <v>0</v>
      </c>
      <c r="U67" s="239">
        <v>2646128</v>
      </c>
      <c r="V67" s="239">
        <v>332677</v>
      </c>
      <c r="W67" s="239">
        <v>0</v>
      </c>
      <c r="X67" s="239">
        <v>332677</v>
      </c>
      <c r="Y67" s="239">
        <v>66666327</v>
      </c>
      <c r="Z67" s="239">
        <v>0</v>
      </c>
      <c r="AA67" s="239">
        <v>66666327</v>
      </c>
      <c r="AB67" s="239">
        <v>0</v>
      </c>
      <c r="AC67" s="239">
        <v>0</v>
      </c>
      <c r="AD67" s="239">
        <v>0</v>
      </c>
      <c r="AE67" s="239">
        <v>0</v>
      </c>
      <c r="AF67" s="239">
        <v>0</v>
      </c>
      <c r="AG67" s="239">
        <v>0</v>
      </c>
      <c r="AH67" s="239">
        <v>0</v>
      </c>
      <c r="AI67" s="239">
        <v>0</v>
      </c>
      <c r="AJ67" s="239">
        <v>0</v>
      </c>
      <c r="AK67" s="239">
        <v>0</v>
      </c>
      <c r="AL67" s="239">
        <v>2807195</v>
      </c>
      <c r="AM67" s="239">
        <v>-1952951</v>
      </c>
      <c r="AN67" s="214" t="s">
        <v>215</v>
      </c>
      <c r="AO67" s="214" t="s">
        <v>821</v>
      </c>
      <c r="AP67" s="214" t="s">
        <v>819</v>
      </c>
      <c r="AQ67" s="214" t="s">
        <v>1190</v>
      </c>
    </row>
    <row r="68" spans="1:43" x14ac:dyDescent="0.2">
      <c r="B68" s="609" t="s">
        <v>218</v>
      </c>
      <c r="C68" s="609" t="s">
        <v>217</v>
      </c>
      <c r="D68" s="239">
        <v>42795255</v>
      </c>
      <c r="E68" s="239">
        <v>0</v>
      </c>
      <c r="F68" s="239">
        <v>42795255</v>
      </c>
      <c r="G68" s="239">
        <v>0</v>
      </c>
      <c r="H68" s="239">
        <v>0</v>
      </c>
      <c r="I68" s="239">
        <v>0</v>
      </c>
      <c r="J68" s="239">
        <v>-18390</v>
      </c>
      <c r="K68" s="239">
        <v>0</v>
      </c>
      <c r="L68" s="239">
        <v>-18390</v>
      </c>
      <c r="M68" s="239">
        <v>0</v>
      </c>
      <c r="N68" s="239">
        <v>0</v>
      </c>
      <c r="O68" s="239">
        <v>0</v>
      </c>
      <c r="P68" s="239">
        <v>-43390</v>
      </c>
      <c r="Q68" s="239">
        <v>0</v>
      </c>
      <c r="R68" s="239">
        <v>-43390</v>
      </c>
      <c r="S68" s="239">
        <v>404563</v>
      </c>
      <c r="T68" s="239">
        <v>0</v>
      </c>
      <c r="U68" s="239">
        <v>404563</v>
      </c>
      <c r="V68" s="239">
        <v>-857422</v>
      </c>
      <c r="W68" s="239">
        <v>0</v>
      </c>
      <c r="X68" s="239">
        <v>-857422</v>
      </c>
      <c r="Y68" s="239">
        <v>42299006</v>
      </c>
      <c r="Z68" s="239">
        <v>0</v>
      </c>
      <c r="AA68" s="239">
        <v>42299006</v>
      </c>
      <c r="AB68" s="239">
        <v>0</v>
      </c>
      <c r="AC68" s="239">
        <v>0</v>
      </c>
      <c r="AD68" s="239">
        <v>33333</v>
      </c>
      <c r="AE68" s="239">
        <v>0</v>
      </c>
      <c r="AF68" s="239">
        <v>33333</v>
      </c>
      <c r="AG68" s="239">
        <v>0</v>
      </c>
      <c r="AH68" s="239">
        <v>0</v>
      </c>
      <c r="AI68" s="239">
        <v>0</v>
      </c>
      <c r="AJ68" s="239">
        <v>0</v>
      </c>
      <c r="AK68" s="239">
        <v>0</v>
      </c>
      <c r="AL68" s="239">
        <v>790422</v>
      </c>
      <c r="AM68" s="239">
        <v>-2143420</v>
      </c>
      <c r="AN68" s="214" t="s">
        <v>217</v>
      </c>
      <c r="AO68" s="214" t="s">
        <v>850</v>
      </c>
      <c r="AP68" s="214" t="s">
        <v>762</v>
      </c>
      <c r="AQ68" s="214" t="s">
        <v>1190</v>
      </c>
    </row>
    <row r="69" spans="1:43" x14ac:dyDescent="0.2">
      <c r="B69" s="609" t="s">
        <v>220</v>
      </c>
      <c r="C69" s="609" t="s">
        <v>219</v>
      </c>
      <c r="D69" s="239">
        <v>34868583</v>
      </c>
      <c r="E69" s="239">
        <v>0</v>
      </c>
      <c r="F69" s="239">
        <v>34868583</v>
      </c>
      <c r="G69" s="239">
        <v>0</v>
      </c>
      <c r="H69" s="239">
        <v>0</v>
      </c>
      <c r="I69" s="239">
        <v>0</v>
      </c>
      <c r="J69" s="239">
        <v>-214713</v>
      </c>
      <c r="K69" s="239">
        <v>0</v>
      </c>
      <c r="L69" s="239">
        <v>-214713</v>
      </c>
      <c r="M69" s="239">
        <v>0</v>
      </c>
      <c r="N69" s="239">
        <v>0</v>
      </c>
      <c r="O69" s="239">
        <v>0</v>
      </c>
      <c r="P69" s="239">
        <v>-184075</v>
      </c>
      <c r="Q69" s="239">
        <v>0</v>
      </c>
      <c r="R69" s="239">
        <v>-184075</v>
      </c>
      <c r="S69" s="239">
        <v>963106</v>
      </c>
      <c r="T69" s="239">
        <v>0</v>
      </c>
      <c r="U69" s="239">
        <v>963106</v>
      </c>
      <c r="V69" s="239">
        <v>-2153464</v>
      </c>
      <c r="W69" s="239">
        <v>0</v>
      </c>
      <c r="X69" s="239">
        <v>-2153464</v>
      </c>
      <c r="Y69" s="239">
        <v>33494150</v>
      </c>
      <c r="Z69" s="239">
        <v>0</v>
      </c>
      <c r="AA69" s="239">
        <v>33494150</v>
      </c>
      <c r="AB69" s="239">
        <v>0</v>
      </c>
      <c r="AC69" s="239">
        <v>0</v>
      </c>
      <c r="AD69" s="239">
        <v>0</v>
      </c>
      <c r="AE69" s="239">
        <v>0</v>
      </c>
      <c r="AF69" s="239">
        <v>0</v>
      </c>
      <c r="AG69" s="239">
        <v>0</v>
      </c>
      <c r="AH69" s="239">
        <v>0</v>
      </c>
      <c r="AI69" s="239">
        <v>0</v>
      </c>
      <c r="AJ69" s="239">
        <v>0</v>
      </c>
      <c r="AK69" s="239">
        <v>0</v>
      </c>
      <c r="AL69" s="239">
        <v>2570345</v>
      </c>
      <c r="AM69" s="239">
        <v>-689290</v>
      </c>
      <c r="AN69" s="214" t="s">
        <v>219</v>
      </c>
      <c r="AO69" s="214" t="s">
        <v>804</v>
      </c>
      <c r="AP69" s="214" t="s">
        <v>762</v>
      </c>
      <c r="AQ69" s="214" t="s">
        <v>1190</v>
      </c>
    </row>
    <row r="70" spans="1:43" x14ac:dyDescent="0.2">
      <c r="B70" s="609" t="s">
        <v>222</v>
      </c>
      <c r="C70" s="609" t="s">
        <v>221</v>
      </c>
      <c r="D70" s="239">
        <v>157603141</v>
      </c>
      <c r="E70" s="239">
        <v>487739</v>
      </c>
      <c r="F70" s="239">
        <v>158090880</v>
      </c>
      <c r="G70" s="239">
        <v>-1624</v>
      </c>
      <c r="H70" s="239">
        <v>0</v>
      </c>
      <c r="I70" s="239">
        <v>-1624</v>
      </c>
      <c r="J70" s="239">
        <v>-1178946</v>
      </c>
      <c r="K70" s="239">
        <v>0</v>
      </c>
      <c r="L70" s="239">
        <v>-1178946</v>
      </c>
      <c r="M70" s="239">
        <v>0</v>
      </c>
      <c r="N70" s="239">
        <v>0</v>
      </c>
      <c r="O70" s="239">
        <v>0</v>
      </c>
      <c r="P70" s="239">
        <v>-735900</v>
      </c>
      <c r="Q70" s="239">
        <v>0</v>
      </c>
      <c r="R70" s="239">
        <v>-735900</v>
      </c>
      <c r="S70" s="239">
        <v>0</v>
      </c>
      <c r="T70" s="239">
        <v>0</v>
      </c>
      <c r="U70" s="239">
        <v>0</v>
      </c>
      <c r="V70" s="239">
        <v>1412600</v>
      </c>
      <c r="W70" s="239">
        <v>0</v>
      </c>
      <c r="X70" s="239">
        <v>1412600</v>
      </c>
      <c r="Y70" s="239">
        <v>158278217</v>
      </c>
      <c r="Z70" s="239">
        <v>487739</v>
      </c>
      <c r="AA70" s="239">
        <v>158765956</v>
      </c>
      <c r="AB70" s="239">
        <v>487739</v>
      </c>
      <c r="AC70" s="239">
        <v>487739</v>
      </c>
      <c r="AD70" s="239">
        <v>1900148</v>
      </c>
      <c r="AE70" s="239">
        <v>0</v>
      </c>
      <c r="AF70" s="239">
        <v>1900148</v>
      </c>
      <c r="AG70" s="239">
        <v>0</v>
      </c>
      <c r="AH70" s="239">
        <v>0</v>
      </c>
      <c r="AI70" s="239">
        <v>503696</v>
      </c>
      <c r="AJ70" s="239">
        <v>503696</v>
      </c>
      <c r="AK70" s="239">
        <v>16328</v>
      </c>
      <c r="AL70" s="239">
        <v>6619843</v>
      </c>
      <c r="AM70" s="239">
        <v>-4411763</v>
      </c>
      <c r="AN70" s="214" t="s">
        <v>221</v>
      </c>
      <c r="AO70" s="214" t="s">
        <v>747</v>
      </c>
      <c r="AP70" s="214" t="s">
        <v>762</v>
      </c>
      <c r="AQ70" s="214" t="s">
        <v>747</v>
      </c>
    </row>
    <row r="71" spans="1:43" x14ac:dyDescent="0.2">
      <c r="B71" s="609" t="s">
        <v>224</v>
      </c>
      <c r="C71" s="609" t="s">
        <v>223</v>
      </c>
      <c r="D71" s="239">
        <v>31062427</v>
      </c>
      <c r="E71" s="239">
        <v>0</v>
      </c>
      <c r="F71" s="239">
        <v>31062427</v>
      </c>
      <c r="G71" s="239">
        <v>0</v>
      </c>
      <c r="H71" s="239">
        <v>0</v>
      </c>
      <c r="I71" s="239">
        <v>0</v>
      </c>
      <c r="J71" s="239">
        <v>-94015</v>
      </c>
      <c r="K71" s="239">
        <v>0</v>
      </c>
      <c r="L71" s="239">
        <v>-94015</v>
      </c>
      <c r="M71" s="239">
        <v>0</v>
      </c>
      <c r="N71" s="239">
        <v>0</v>
      </c>
      <c r="O71" s="239">
        <v>0</v>
      </c>
      <c r="P71" s="239">
        <v>-175190</v>
      </c>
      <c r="Q71" s="239">
        <v>0</v>
      </c>
      <c r="R71" s="239">
        <v>-175190</v>
      </c>
      <c r="S71" s="239">
        <v>736117</v>
      </c>
      <c r="T71" s="239">
        <v>0</v>
      </c>
      <c r="U71" s="239">
        <v>736117</v>
      </c>
      <c r="V71" s="239">
        <v>-39244</v>
      </c>
      <c r="W71" s="239">
        <v>0</v>
      </c>
      <c r="X71" s="239">
        <v>-39244</v>
      </c>
      <c r="Y71" s="239">
        <v>31584110</v>
      </c>
      <c r="Z71" s="239">
        <v>0</v>
      </c>
      <c r="AA71" s="239">
        <v>31584110</v>
      </c>
      <c r="AB71" s="239">
        <v>0</v>
      </c>
      <c r="AC71" s="239">
        <v>0</v>
      </c>
      <c r="AD71" s="239">
        <v>78171</v>
      </c>
      <c r="AE71" s="239">
        <v>0</v>
      </c>
      <c r="AF71" s="239">
        <v>78171</v>
      </c>
      <c r="AG71" s="239">
        <v>0</v>
      </c>
      <c r="AH71" s="239">
        <v>0</v>
      </c>
      <c r="AI71" s="239">
        <v>0</v>
      </c>
      <c r="AJ71" s="239">
        <v>0</v>
      </c>
      <c r="AK71" s="239">
        <v>0</v>
      </c>
      <c r="AL71" s="239">
        <v>1142343</v>
      </c>
      <c r="AM71" s="239">
        <v>-252437</v>
      </c>
      <c r="AN71" s="214" t="s">
        <v>223</v>
      </c>
      <c r="AO71" s="214" t="s">
        <v>830</v>
      </c>
      <c r="AP71" s="214" t="s">
        <v>762</v>
      </c>
      <c r="AQ71" s="214" t="s">
        <v>1190</v>
      </c>
    </row>
    <row r="72" spans="1:43" x14ac:dyDescent="0.2">
      <c r="B72" s="609" t="s">
        <v>226</v>
      </c>
      <c r="C72" s="609" t="s">
        <v>225</v>
      </c>
      <c r="D72" s="239">
        <v>123104630</v>
      </c>
      <c r="E72" s="239">
        <v>0</v>
      </c>
      <c r="F72" s="239">
        <v>123104630</v>
      </c>
      <c r="G72" s="239">
        <v>0</v>
      </c>
      <c r="H72" s="239">
        <v>0</v>
      </c>
      <c r="I72" s="239">
        <v>0</v>
      </c>
      <c r="J72" s="239">
        <v>-998264</v>
      </c>
      <c r="K72" s="239">
        <v>0</v>
      </c>
      <c r="L72" s="239">
        <v>-998264</v>
      </c>
      <c r="M72" s="239">
        <v>0</v>
      </c>
      <c r="N72" s="239">
        <v>0</v>
      </c>
      <c r="O72" s="239">
        <v>0</v>
      </c>
      <c r="P72" s="239">
        <v>-666178</v>
      </c>
      <c r="Q72" s="239">
        <v>0</v>
      </c>
      <c r="R72" s="239">
        <v>-666178</v>
      </c>
      <c r="S72" s="239">
        <v>2135204</v>
      </c>
      <c r="T72" s="239">
        <v>0</v>
      </c>
      <c r="U72" s="239">
        <v>2135204</v>
      </c>
      <c r="V72" s="239">
        <v>-803545</v>
      </c>
      <c r="W72" s="239">
        <v>0</v>
      </c>
      <c r="X72" s="239">
        <v>-803545</v>
      </c>
      <c r="Y72" s="239">
        <v>123770111</v>
      </c>
      <c r="Z72" s="239">
        <v>0</v>
      </c>
      <c r="AA72" s="239">
        <v>123770111</v>
      </c>
      <c r="AB72" s="239">
        <v>0</v>
      </c>
      <c r="AC72" s="239">
        <v>0</v>
      </c>
      <c r="AD72" s="239">
        <v>0</v>
      </c>
      <c r="AE72" s="239">
        <v>0</v>
      </c>
      <c r="AF72" s="239">
        <v>0</v>
      </c>
      <c r="AG72" s="239">
        <v>0</v>
      </c>
      <c r="AH72" s="239">
        <v>0</v>
      </c>
      <c r="AI72" s="239">
        <v>0</v>
      </c>
      <c r="AJ72" s="239">
        <v>0</v>
      </c>
      <c r="AK72" s="239">
        <v>0</v>
      </c>
      <c r="AL72" s="239">
        <v>5547447</v>
      </c>
      <c r="AM72" s="239">
        <v>-2470555</v>
      </c>
      <c r="AN72" s="214" t="s">
        <v>225</v>
      </c>
      <c r="AO72" s="214" t="s">
        <v>767</v>
      </c>
      <c r="AP72" s="214" t="s">
        <v>765</v>
      </c>
      <c r="AQ72" s="214" t="s">
        <v>1192</v>
      </c>
    </row>
    <row r="73" spans="1:43" x14ac:dyDescent="0.2">
      <c r="B73" s="609" t="s">
        <v>228</v>
      </c>
      <c r="C73" s="609" t="s">
        <v>227</v>
      </c>
      <c r="D73" s="239">
        <v>18446226</v>
      </c>
      <c r="E73" s="239">
        <v>0</v>
      </c>
      <c r="F73" s="239">
        <v>18446226</v>
      </c>
      <c r="G73" s="239">
        <v>0</v>
      </c>
      <c r="H73" s="239">
        <v>0</v>
      </c>
      <c r="I73" s="239">
        <v>0</v>
      </c>
      <c r="J73" s="239">
        <v>-120375</v>
      </c>
      <c r="K73" s="239">
        <v>0</v>
      </c>
      <c r="L73" s="239">
        <v>-120375</v>
      </c>
      <c r="M73" s="239">
        <v>0</v>
      </c>
      <c r="N73" s="239">
        <v>0</v>
      </c>
      <c r="O73" s="239">
        <v>0</v>
      </c>
      <c r="P73" s="239">
        <v>-125425</v>
      </c>
      <c r="Q73" s="239">
        <v>0</v>
      </c>
      <c r="R73" s="239">
        <v>-125425</v>
      </c>
      <c r="S73" s="239">
        <v>887258</v>
      </c>
      <c r="T73" s="239">
        <v>0</v>
      </c>
      <c r="U73" s="239">
        <v>887258</v>
      </c>
      <c r="V73" s="239">
        <v>-570758</v>
      </c>
      <c r="W73" s="239">
        <v>0</v>
      </c>
      <c r="X73" s="239">
        <v>-570758</v>
      </c>
      <c r="Y73" s="239">
        <v>18637301</v>
      </c>
      <c r="Z73" s="239">
        <v>0</v>
      </c>
      <c r="AA73" s="239">
        <v>18637301</v>
      </c>
      <c r="AB73" s="239">
        <v>0</v>
      </c>
      <c r="AC73" s="239">
        <v>0</v>
      </c>
      <c r="AD73" s="239">
        <v>0</v>
      </c>
      <c r="AE73" s="239">
        <v>0</v>
      </c>
      <c r="AF73" s="239">
        <v>0</v>
      </c>
      <c r="AG73" s="239">
        <v>0</v>
      </c>
      <c r="AH73" s="239">
        <v>0</v>
      </c>
      <c r="AI73" s="239">
        <v>0</v>
      </c>
      <c r="AJ73" s="239">
        <v>0</v>
      </c>
      <c r="AK73" s="239">
        <v>0</v>
      </c>
      <c r="AL73" s="239">
        <v>374729</v>
      </c>
      <c r="AM73" s="239">
        <v>-157382</v>
      </c>
      <c r="AN73" s="214" t="s">
        <v>227</v>
      </c>
      <c r="AO73" s="214" t="s">
        <v>866</v>
      </c>
      <c r="AP73" s="214" t="s">
        <v>745</v>
      </c>
      <c r="AQ73" s="214" t="s">
        <v>1190</v>
      </c>
    </row>
    <row r="74" spans="1:43" x14ac:dyDescent="0.2">
      <c r="B74" s="609" t="s">
        <v>230</v>
      </c>
      <c r="C74" s="609" t="s">
        <v>229</v>
      </c>
      <c r="D74" s="239">
        <v>118646104</v>
      </c>
      <c r="E74" s="239">
        <v>0</v>
      </c>
      <c r="F74" s="239">
        <v>118646104</v>
      </c>
      <c r="G74" s="239">
        <v>-626</v>
      </c>
      <c r="H74" s="239">
        <v>0</v>
      </c>
      <c r="I74" s="239">
        <v>-626</v>
      </c>
      <c r="J74" s="239">
        <v>-359937</v>
      </c>
      <c r="K74" s="239">
        <v>0</v>
      </c>
      <c r="L74" s="239">
        <v>-359937</v>
      </c>
      <c r="M74" s="239">
        <v>0</v>
      </c>
      <c r="N74" s="239">
        <v>0</v>
      </c>
      <c r="O74" s="239">
        <v>0</v>
      </c>
      <c r="P74" s="239">
        <v>-1056654</v>
      </c>
      <c r="Q74" s="239">
        <v>0</v>
      </c>
      <c r="R74" s="239">
        <v>-1056654</v>
      </c>
      <c r="S74" s="239">
        <v>956968</v>
      </c>
      <c r="T74" s="239">
        <v>0</v>
      </c>
      <c r="U74" s="239">
        <v>956968</v>
      </c>
      <c r="V74" s="239">
        <v>2521291</v>
      </c>
      <c r="W74" s="239">
        <v>0</v>
      </c>
      <c r="X74" s="239">
        <v>2521291</v>
      </c>
      <c r="Y74" s="239">
        <v>121067083</v>
      </c>
      <c r="Z74" s="239">
        <v>0</v>
      </c>
      <c r="AA74" s="239">
        <v>121067083</v>
      </c>
      <c r="AB74" s="239">
        <v>0</v>
      </c>
      <c r="AC74" s="239">
        <v>0</v>
      </c>
      <c r="AD74" s="239">
        <v>9940</v>
      </c>
      <c r="AE74" s="239">
        <v>0</v>
      </c>
      <c r="AF74" s="239">
        <v>9940</v>
      </c>
      <c r="AG74" s="239">
        <v>0</v>
      </c>
      <c r="AH74" s="239">
        <v>0</v>
      </c>
      <c r="AI74" s="239">
        <v>0</v>
      </c>
      <c r="AJ74" s="239">
        <v>0</v>
      </c>
      <c r="AK74" s="239">
        <v>0</v>
      </c>
      <c r="AL74" s="239">
        <v>2912506</v>
      </c>
      <c r="AM74" s="239">
        <v>-3503684</v>
      </c>
      <c r="AN74" s="214" t="s">
        <v>229</v>
      </c>
      <c r="AO74" s="214" t="s">
        <v>763</v>
      </c>
      <c r="AP74" s="214" t="s">
        <v>762</v>
      </c>
      <c r="AQ74" s="214" t="s">
        <v>1190</v>
      </c>
    </row>
    <row r="75" spans="1:43" x14ac:dyDescent="0.2">
      <c r="A75" s="215" t="s">
        <v>1211</v>
      </c>
      <c r="B75" s="609" t="s">
        <v>232</v>
      </c>
      <c r="C75" s="609" t="s">
        <v>231</v>
      </c>
      <c r="D75" s="239">
        <v>112017249</v>
      </c>
      <c r="E75" s="239">
        <v>0</v>
      </c>
      <c r="F75" s="239">
        <v>112017249</v>
      </c>
      <c r="G75" s="239">
        <v>0</v>
      </c>
      <c r="H75" s="239">
        <v>0</v>
      </c>
      <c r="I75" s="239">
        <v>0</v>
      </c>
      <c r="J75" s="239">
        <v>-2125258</v>
      </c>
      <c r="K75" s="239">
        <v>0</v>
      </c>
      <c r="L75" s="239">
        <v>-2125258</v>
      </c>
      <c r="M75" s="239">
        <v>0</v>
      </c>
      <c r="N75" s="239">
        <v>0</v>
      </c>
      <c r="O75" s="239">
        <v>0</v>
      </c>
      <c r="P75" s="239">
        <v>-2656534</v>
      </c>
      <c r="Q75" s="239">
        <v>0</v>
      </c>
      <c r="R75" s="239">
        <v>-2656534</v>
      </c>
      <c r="S75" s="239">
        <v>5358388</v>
      </c>
      <c r="T75" s="239">
        <v>0</v>
      </c>
      <c r="U75" s="239">
        <v>5358388</v>
      </c>
      <c r="V75" s="239">
        <v>9641612</v>
      </c>
      <c r="W75" s="239">
        <v>0</v>
      </c>
      <c r="X75" s="239">
        <v>9641612</v>
      </c>
      <c r="Y75" s="239">
        <v>124360715</v>
      </c>
      <c r="Z75" s="239">
        <v>0</v>
      </c>
      <c r="AA75" s="239">
        <v>124360715</v>
      </c>
      <c r="AB75" s="239">
        <v>0</v>
      </c>
      <c r="AC75" s="239">
        <v>0</v>
      </c>
      <c r="AD75" s="239">
        <v>0</v>
      </c>
      <c r="AE75" s="239">
        <v>0</v>
      </c>
      <c r="AF75" s="239">
        <v>0</v>
      </c>
      <c r="AG75" s="239">
        <v>0</v>
      </c>
      <c r="AH75" s="239">
        <v>0</v>
      </c>
      <c r="AI75" s="239">
        <v>0</v>
      </c>
      <c r="AJ75" s="239">
        <v>0</v>
      </c>
      <c r="AK75" s="239">
        <v>0</v>
      </c>
      <c r="AL75" s="239">
        <v>11510642</v>
      </c>
      <c r="AM75" s="239">
        <v>-4452655</v>
      </c>
      <c r="AN75" s="214" t="s">
        <v>231</v>
      </c>
      <c r="AO75" s="214" t="s">
        <v>789</v>
      </c>
      <c r="AP75" s="214" t="s">
        <v>748</v>
      </c>
      <c r="AQ75" s="214" t="s">
        <v>1191</v>
      </c>
    </row>
    <row r="76" spans="1:43" x14ac:dyDescent="0.2">
      <c r="B76" s="609" t="s">
        <v>234</v>
      </c>
      <c r="C76" s="609" t="s">
        <v>233</v>
      </c>
      <c r="D76" s="239">
        <v>62592295</v>
      </c>
      <c r="E76" s="239">
        <v>0</v>
      </c>
      <c r="F76" s="239">
        <v>62592295</v>
      </c>
      <c r="G76" s="239">
        <v>0</v>
      </c>
      <c r="H76" s="239">
        <v>0</v>
      </c>
      <c r="I76" s="239">
        <v>0</v>
      </c>
      <c r="J76" s="239">
        <v>-461891</v>
      </c>
      <c r="K76" s="239">
        <v>0</v>
      </c>
      <c r="L76" s="239">
        <v>-461891</v>
      </c>
      <c r="M76" s="239">
        <v>0</v>
      </c>
      <c r="N76" s="239">
        <v>0</v>
      </c>
      <c r="O76" s="239">
        <v>0</v>
      </c>
      <c r="P76" s="239">
        <v>-578206</v>
      </c>
      <c r="Q76" s="239">
        <v>0</v>
      </c>
      <c r="R76" s="239">
        <v>-578206</v>
      </c>
      <c r="S76" s="239">
        <v>644366</v>
      </c>
      <c r="T76" s="239">
        <v>0</v>
      </c>
      <c r="U76" s="239">
        <v>644366</v>
      </c>
      <c r="V76" s="239">
        <v>-22667</v>
      </c>
      <c r="W76" s="239">
        <v>0</v>
      </c>
      <c r="X76" s="239">
        <v>-22667</v>
      </c>
      <c r="Y76" s="239">
        <v>62635788</v>
      </c>
      <c r="Z76" s="239">
        <v>0</v>
      </c>
      <c r="AA76" s="239">
        <v>62635788</v>
      </c>
      <c r="AB76" s="239">
        <v>0</v>
      </c>
      <c r="AC76" s="239">
        <v>0</v>
      </c>
      <c r="AD76" s="239">
        <v>0</v>
      </c>
      <c r="AE76" s="239">
        <v>0</v>
      </c>
      <c r="AF76" s="239">
        <v>0</v>
      </c>
      <c r="AG76" s="239">
        <v>0</v>
      </c>
      <c r="AH76" s="239">
        <v>0</v>
      </c>
      <c r="AI76" s="239">
        <v>0</v>
      </c>
      <c r="AJ76" s="239">
        <v>0</v>
      </c>
      <c r="AK76" s="239">
        <v>0</v>
      </c>
      <c r="AL76" s="239">
        <v>2694014</v>
      </c>
      <c r="AM76" s="239">
        <v>-1562440</v>
      </c>
      <c r="AN76" s="214" t="s">
        <v>233</v>
      </c>
      <c r="AO76" s="214" t="s">
        <v>802</v>
      </c>
      <c r="AP76" s="214" t="s">
        <v>762</v>
      </c>
      <c r="AQ76" s="214" t="s">
        <v>1190</v>
      </c>
    </row>
    <row r="77" spans="1:43" x14ac:dyDescent="0.2">
      <c r="B77" s="609" t="s">
        <v>236</v>
      </c>
      <c r="C77" s="609" t="s">
        <v>235</v>
      </c>
      <c r="D77" s="239">
        <v>34607720</v>
      </c>
      <c r="E77" s="239">
        <v>223775</v>
      </c>
      <c r="F77" s="239">
        <v>34831495</v>
      </c>
      <c r="G77" s="239">
        <v>0</v>
      </c>
      <c r="H77" s="239">
        <v>0</v>
      </c>
      <c r="I77" s="239">
        <v>0</v>
      </c>
      <c r="J77" s="239">
        <v>-372762</v>
      </c>
      <c r="K77" s="239">
        <v>-954</v>
      </c>
      <c r="L77" s="239">
        <v>-373716</v>
      </c>
      <c r="M77" s="239">
        <v>0</v>
      </c>
      <c r="N77" s="239">
        <v>0</v>
      </c>
      <c r="O77" s="239">
        <v>0</v>
      </c>
      <c r="P77" s="239">
        <v>-383000</v>
      </c>
      <c r="Q77" s="239">
        <v>0</v>
      </c>
      <c r="R77" s="239">
        <v>-383000</v>
      </c>
      <c r="S77" s="239">
        <v>407538</v>
      </c>
      <c r="T77" s="239">
        <v>0</v>
      </c>
      <c r="U77" s="239">
        <v>407538</v>
      </c>
      <c r="V77" s="239">
        <v>-724390</v>
      </c>
      <c r="W77" s="239">
        <v>0</v>
      </c>
      <c r="X77" s="239">
        <v>-724390</v>
      </c>
      <c r="Y77" s="239">
        <v>33907868</v>
      </c>
      <c r="Z77" s="239">
        <v>223775</v>
      </c>
      <c r="AA77" s="239">
        <v>34131643</v>
      </c>
      <c r="AB77" s="239">
        <v>223775</v>
      </c>
      <c r="AC77" s="239">
        <v>223775</v>
      </c>
      <c r="AD77" s="239">
        <v>0</v>
      </c>
      <c r="AE77" s="239">
        <v>0</v>
      </c>
      <c r="AF77" s="239">
        <v>0</v>
      </c>
      <c r="AG77" s="239">
        <v>0</v>
      </c>
      <c r="AH77" s="239">
        <v>0</v>
      </c>
      <c r="AI77" s="239">
        <v>30792</v>
      </c>
      <c r="AJ77" s="239">
        <v>30792</v>
      </c>
      <c r="AK77" s="239">
        <v>192983</v>
      </c>
      <c r="AL77" s="239">
        <v>1448378</v>
      </c>
      <c r="AM77" s="239">
        <v>-467631</v>
      </c>
      <c r="AN77" s="214" t="s">
        <v>915</v>
      </c>
      <c r="AO77" s="214" t="s">
        <v>747</v>
      </c>
      <c r="AP77" s="214" t="s">
        <v>912</v>
      </c>
      <c r="AQ77" s="214" t="s">
        <v>747</v>
      </c>
    </row>
    <row r="78" spans="1:43" x14ac:dyDescent="0.2">
      <c r="B78" s="609" t="s">
        <v>238</v>
      </c>
      <c r="C78" s="609" t="s">
        <v>237</v>
      </c>
      <c r="D78" s="239">
        <v>89101483</v>
      </c>
      <c r="E78" s="239">
        <v>0</v>
      </c>
      <c r="F78" s="239">
        <v>89101483</v>
      </c>
      <c r="G78" s="239">
        <v>0</v>
      </c>
      <c r="H78" s="239">
        <v>0</v>
      </c>
      <c r="I78" s="239">
        <v>0</v>
      </c>
      <c r="J78" s="239">
        <v>-235745</v>
      </c>
      <c r="K78" s="239">
        <v>0</v>
      </c>
      <c r="L78" s="239">
        <v>-235745</v>
      </c>
      <c r="M78" s="239">
        <v>0</v>
      </c>
      <c r="N78" s="239">
        <v>0</v>
      </c>
      <c r="O78" s="239">
        <v>0</v>
      </c>
      <c r="P78" s="239">
        <v>-221154</v>
      </c>
      <c r="Q78" s="239">
        <v>0</v>
      </c>
      <c r="R78" s="239">
        <v>-221154</v>
      </c>
      <c r="S78" s="239">
        <v>1802674</v>
      </c>
      <c r="T78" s="239">
        <v>0</v>
      </c>
      <c r="U78" s="239">
        <v>1802674</v>
      </c>
      <c r="V78" s="239">
        <v>-2062577</v>
      </c>
      <c r="W78" s="239">
        <v>0</v>
      </c>
      <c r="X78" s="239">
        <v>-2062577</v>
      </c>
      <c r="Y78" s="239">
        <v>88620426</v>
      </c>
      <c r="Z78" s="239">
        <v>0</v>
      </c>
      <c r="AA78" s="239">
        <v>88620426</v>
      </c>
      <c r="AB78" s="239">
        <v>0</v>
      </c>
      <c r="AC78" s="239">
        <v>0</v>
      </c>
      <c r="AD78" s="239">
        <v>0</v>
      </c>
      <c r="AE78" s="239">
        <v>0</v>
      </c>
      <c r="AF78" s="239">
        <v>0</v>
      </c>
      <c r="AG78" s="239">
        <v>0</v>
      </c>
      <c r="AH78" s="239">
        <v>0</v>
      </c>
      <c r="AI78" s="239">
        <v>0</v>
      </c>
      <c r="AJ78" s="239">
        <v>0</v>
      </c>
      <c r="AK78" s="239">
        <v>0</v>
      </c>
      <c r="AL78" s="239">
        <v>1200798</v>
      </c>
      <c r="AM78" s="239">
        <v>-3262725</v>
      </c>
      <c r="AN78" s="214" t="s">
        <v>237</v>
      </c>
      <c r="AO78" s="214" t="s">
        <v>825</v>
      </c>
      <c r="AP78" s="214" t="s">
        <v>823</v>
      </c>
      <c r="AQ78" s="214" t="s">
        <v>1190</v>
      </c>
    </row>
    <row r="79" spans="1:43" x14ac:dyDescent="0.2">
      <c r="B79" s="609" t="s">
        <v>240</v>
      </c>
      <c r="C79" s="609" t="s">
        <v>239</v>
      </c>
      <c r="D79" s="239">
        <v>45449158</v>
      </c>
      <c r="E79" s="239">
        <v>0</v>
      </c>
      <c r="F79" s="239">
        <v>45449158</v>
      </c>
      <c r="G79" s="239">
        <v>0</v>
      </c>
      <c r="H79" s="239">
        <v>0</v>
      </c>
      <c r="I79" s="239">
        <v>0</v>
      </c>
      <c r="J79" s="239">
        <v>-105924</v>
      </c>
      <c r="K79" s="239">
        <v>0</v>
      </c>
      <c r="L79" s="239">
        <v>-105924</v>
      </c>
      <c r="M79" s="239">
        <v>0</v>
      </c>
      <c r="N79" s="239">
        <v>0</v>
      </c>
      <c r="O79" s="239">
        <v>0</v>
      </c>
      <c r="P79" s="239">
        <v>-110186</v>
      </c>
      <c r="Q79" s="239">
        <v>0</v>
      </c>
      <c r="R79" s="239">
        <v>-110186</v>
      </c>
      <c r="S79" s="239">
        <v>1833030</v>
      </c>
      <c r="T79" s="239">
        <v>0</v>
      </c>
      <c r="U79" s="239">
        <v>1833030</v>
      </c>
      <c r="V79" s="239">
        <v>-1546</v>
      </c>
      <c r="W79" s="239">
        <v>0</v>
      </c>
      <c r="X79" s="239">
        <v>-1546</v>
      </c>
      <c r="Y79" s="239">
        <v>47170456</v>
      </c>
      <c r="Z79" s="239">
        <v>0</v>
      </c>
      <c r="AA79" s="239">
        <v>47170456</v>
      </c>
      <c r="AB79" s="239">
        <v>0</v>
      </c>
      <c r="AC79" s="239">
        <v>0</v>
      </c>
      <c r="AD79" s="239">
        <v>782823</v>
      </c>
      <c r="AE79" s="239">
        <v>0</v>
      </c>
      <c r="AF79" s="239">
        <v>782823</v>
      </c>
      <c r="AG79" s="239">
        <v>0</v>
      </c>
      <c r="AH79" s="239">
        <v>0</v>
      </c>
      <c r="AI79" s="239">
        <v>0</v>
      </c>
      <c r="AJ79" s="239">
        <v>0</v>
      </c>
      <c r="AK79" s="239">
        <v>0</v>
      </c>
      <c r="AL79" s="239">
        <v>366398</v>
      </c>
      <c r="AM79" s="239">
        <v>-350415</v>
      </c>
      <c r="AN79" s="214" t="s">
        <v>239</v>
      </c>
      <c r="AO79" s="214" t="s">
        <v>804</v>
      </c>
      <c r="AP79" s="214" t="s">
        <v>762</v>
      </c>
      <c r="AQ79" s="214" t="s">
        <v>1190</v>
      </c>
    </row>
    <row r="80" spans="1:43" x14ac:dyDescent="0.2">
      <c r="B80" s="609" t="s">
        <v>242</v>
      </c>
      <c r="C80" s="609" t="s">
        <v>241</v>
      </c>
      <c r="D80" s="239">
        <v>89762109</v>
      </c>
      <c r="E80" s="239">
        <v>63938</v>
      </c>
      <c r="F80" s="239">
        <v>89826047</v>
      </c>
      <c r="G80" s="239">
        <v>0</v>
      </c>
      <c r="H80" s="239">
        <v>0</v>
      </c>
      <c r="I80" s="239">
        <v>0</v>
      </c>
      <c r="J80" s="239">
        <v>-570081</v>
      </c>
      <c r="K80" s="239">
        <v>0</v>
      </c>
      <c r="L80" s="239">
        <v>-570081</v>
      </c>
      <c r="M80" s="239">
        <v>0</v>
      </c>
      <c r="N80" s="239">
        <v>0</v>
      </c>
      <c r="O80" s="239">
        <v>0</v>
      </c>
      <c r="P80" s="239">
        <v>-1141277</v>
      </c>
      <c r="Q80" s="239">
        <v>0</v>
      </c>
      <c r="R80" s="239">
        <v>-1141277</v>
      </c>
      <c r="S80" s="239">
        <v>5130202</v>
      </c>
      <c r="T80" s="239">
        <v>0</v>
      </c>
      <c r="U80" s="239">
        <v>5130202</v>
      </c>
      <c r="V80" s="239">
        <v>-5192101</v>
      </c>
      <c r="W80" s="239">
        <v>0</v>
      </c>
      <c r="X80" s="239">
        <v>-5192101</v>
      </c>
      <c r="Y80" s="239">
        <v>88558933</v>
      </c>
      <c r="Z80" s="239">
        <v>63938</v>
      </c>
      <c r="AA80" s="239">
        <v>88622871</v>
      </c>
      <c r="AB80" s="239">
        <v>63938</v>
      </c>
      <c r="AC80" s="239">
        <v>63938</v>
      </c>
      <c r="AD80" s="239">
        <v>730950</v>
      </c>
      <c r="AE80" s="239">
        <v>0</v>
      </c>
      <c r="AF80" s="239">
        <v>730950</v>
      </c>
      <c r="AG80" s="239">
        <v>0</v>
      </c>
      <c r="AH80" s="239">
        <v>0</v>
      </c>
      <c r="AI80" s="239">
        <v>0</v>
      </c>
      <c r="AJ80" s="239">
        <v>0</v>
      </c>
      <c r="AK80" s="239">
        <v>63938</v>
      </c>
      <c r="AL80" s="239">
        <v>7095088</v>
      </c>
      <c r="AM80" s="239">
        <v>-479770</v>
      </c>
      <c r="AN80" s="214" t="s">
        <v>914</v>
      </c>
      <c r="AO80" s="214" t="s">
        <v>747</v>
      </c>
      <c r="AP80" s="214" t="s">
        <v>855</v>
      </c>
      <c r="AQ80" s="214" t="s">
        <v>747</v>
      </c>
    </row>
    <row r="81" spans="2:43" x14ac:dyDescent="0.2">
      <c r="B81" s="609" t="s">
        <v>244</v>
      </c>
      <c r="C81" s="609" t="s">
        <v>243</v>
      </c>
      <c r="D81" s="239">
        <v>17103372</v>
      </c>
      <c r="E81" s="239">
        <v>0</v>
      </c>
      <c r="F81" s="239">
        <v>17103372</v>
      </c>
      <c r="G81" s="239">
        <v>0</v>
      </c>
      <c r="H81" s="239">
        <v>0</v>
      </c>
      <c r="I81" s="239">
        <v>0</v>
      </c>
      <c r="J81" s="239">
        <v>-525492</v>
      </c>
      <c r="K81" s="239">
        <v>0</v>
      </c>
      <c r="L81" s="239">
        <v>-525492</v>
      </c>
      <c r="M81" s="239">
        <v>0</v>
      </c>
      <c r="N81" s="239">
        <v>0</v>
      </c>
      <c r="O81" s="239">
        <v>0</v>
      </c>
      <c r="P81" s="239">
        <v>-425492</v>
      </c>
      <c r="Q81" s="239">
        <v>0</v>
      </c>
      <c r="R81" s="239">
        <v>-425492</v>
      </c>
      <c r="S81" s="239">
        <v>913817</v>
      </c>
      <c r="T81" s="239">
        <v>0</v>
      </c>
      <c r="U81" s="239">
        <v>913817</v>
      </c>
      <c r="V81" s="239">
        <v>-942652</v>
      </c>
      <c r="W81" s="239">
        <v>0</v>
      </c>
      <c r="X81" s="239">
        <v>-942652</v>
      </c>
      <c r="Y81" s="239">
        <v>16649045</v>
      </c>
      <c r="Z81" s="239">
        <v>0</v>
      </c>
      <c r="AA81" s="239">
        <v>16649045</v>
      </c>
      <c r="AB81" s="239">
        <v>0</v>
      </c>
      <c r="AC81" s="239">
        <v>0</v>
      </c>
      <c r="AD81" s="239">
        <v>142142</v>
      </c>
      <c r="AE81" s="239">
        <v>0</v>
      </c>
      <c r="AF81" s="239">
        <v>142142</v>
      </c>
      <c r="AG81" s="239">
        <v>0</v>
      </c>
      <c r="AH81" s="239">
        <v>0</v>
      </c>
      <c r="AI81" s="239">
        <v>0</v>
      </c>
      <c r="AJ81" s="239">
        <v>0</v>
      </c>
      <c r="AK81" s="239">
        <v>0</v>
      </c>
      <c r="AL81" s="239">
        <v>790685</v>
      </c>
      <c r="AM81" s="239">
        <v>-276247</v>
      </c>
      <c r="AN81" s="214" t="s">
        <v>243</v>
      </c>
      <c r="AO81" s="214" t="s">
        <v>857</v>
      </c>
      <c r="AP81" s="214" t="s">
        <v>855</v>
      </c>
      <c r="AQ81" s="214" t="s">
        <v>1190</v>
      </c>
    </row>
    <row r="82" spans="2:43" x14ac:dyDescent="0.2">
      <c r="B82" s="609" t="s">
        <v>246</v>
      </c>
      <c r="C82" s="609" t="s">
        <v>245</v>
      </c>
      <c r="D82" s="239">
        <v>95035771</v>
      </c>
      <c r="E82" s="239">
        <v>0</v>
      </c>
      <c r="F82" s="239">
        <v>95035771</v>
      </c>
      <c r="G82" s="239">
        <v>0</v>
      </c>
      <c r="H82" s="239">
        <v>0</v>
      </c>
      <c r="I82" s="239">
        <v>0</v>
      </c>
      <c r="J82" s="239">
        <v>-2412554</v>
      </c>
      <c r="K82" s="239">
        <v>0</v>
      </c>
      <c r="L82" s="239">
        <v>-2412554</v>
      </c>
      <c r="M82" s="239">
        <v>-177283</v>
      </c>
      <c r="N82" s="239">
        <v>0</v>
      </c>
      <c r="O82" s="239">
        <v>-177283</v>
      </c>
      <c r="P82" s="239">
        <v>-1846951</v>
      </c>
      <c r="Q82" s="239">
        <v>0</v>
      </c>
      <c r="R82" s="239">
        <v>-1846951</v>
      </c>
      <c r="S82" s="239">
        <v>4861627</v>
      </c>
      <c r="T82" s="239">
        <v>0</v>
      </c>
      <c r="U82" s="239">
        <v>4861627</v>
      </c>
      <c r="V82" s="239">
        <v>-2488245</v>
      </c>
      <c r="W82" s="239">
        <v>0</v>
      </c>
      <c r="X82" s="239">
        <v>-2488245</v>
      </c>
      <c r="Y82" s="239">
        <v>95384919</v>
      </c>
      <c r="Z82" s="239">
        <v>0</v>
      </c>
      <c r="AA82" s="239">
        <v>95384919</v>
      </c>
      <c r="AB82" s="239">
        <v>0</v>
      </c>
      <c r="AC82" s="239">
        <v>0</v>
      </c>
      <c r="AD82" s="239">
        <v>150287</v>
      </c>
      <c r="AE82" s="239">
        <v>0</v>
      </c>
      <c r="AF82" s="239">
        <v>150287</v>
      </c>
      <c r="AG82" s="239">
        <v>0</v>
      </c>
      <c r="AH82" s="239">
        <v>0</v>
      </c>
      <c r="AI82" s="239">
        <v>0</v>
      </c>
      <c r="AJ82" s="239">
        <v>0</v>
      </c>
      <c r="AK82" s="239">
        <v>0</v>
      </c>
      <c r="AL82" s="239">
        <v>7031614</v>
      </c>
      <c r="AM82" s="239">
        <v>-1680589</v>
      </c>
      <c r="AN82" s="214" t="s">
        <v>245</v>
      </c>
      <c r="AO82" s="214" t="s">
        <v>767</v>
      </c>
      <c r="AP82" s="214" t="s">
        <v>864</v>
      </c>
      <c r="AQ82" s="214" t="s">
        <v>1192</v>
      </c>
    </row>
    <row r="83" spans="2:43" x14ac:dyDescent="0.2">
      <c r="B83" s="609" t="s">
        <v>248</v>
      </c>
      <c r="C83" s="609" t="s">
        <v>247</v>
      </c>
      <c r="D83" s="239">
        <v>34842167</v>
      </c>
      <c r="E83" s="239">
        <v>0</v>
      </c>
      <c r="F83" s="239">
        <v>34842167</v>
      </c>
      <c r="G83" s="239">
        <v>0</v>
      </c>
      <c r="H83" s="239">
        <v>0</v>
      </c>
      <c r="I83" s="239">
        <v>0</v>
      </c>
      <c r="J83" s="239">
        <v>-228710</v>
      </c>
      <c r="K83" s="239">
        <v>0</v>
      </c>
      <c r="L83" s="239">
        <v>-228710</v>
      </c>
      <c r="M83" s="239">
        <v>0</v>
      </c>
      <c r="N83" s="239">
        <v>0</v>
      </c>
      <c r="O83" s="239">
        <v>0</v>
      </c>
      <c r="P83" s="239">
        <v>-32280</v>
      </c>
      <c r="Q83" s="239">
        <v>0</v>
      </c>
      <c r="R83" s="239">
        <v>-32280</v>
      </c>
      <c r="S83" s="239">
        <v>983000</v>
      </c>
      <c r="T83" s="239">
        <v>0</v>
      </c>
      <c r="U83" s="239">
        <v>983000</v>
      </c>
      <c r="V83" s="239">
        <v>-569000</v>
      </c>
      <c r="W83" s="239">
        <v>0</v>
      </c>
      <c r="X83" s="239">
        <v>-569000</v>
      </c>
      <c r="Y83" s="239">
        <v>35223887</v>
      </c>
      <c r="Z83" s="239">
        <v>0</v>
      </c>
      <c r="AA83" s="239">
        <v>35223887</v>
      </c>
      <c r="AB83" s="239">
        <v>0</v>
      </c>
      <c r="AC83" s="239">
        <v>0</v>
      </c>
      <c r="AD83" s="239">
        <v>44145</v>
      </c>
      <c r="AE83" s="239">
        <v>0</v>
      </c>
      <c r="AF83" s="239">
        <v>44145</v>
      </c>
      <c r="AG83" s="239">
        <v>0</v>
      </c>
      <c r="AH83" s="239">
        <v>0</v>
      </c>
      <c r="AI83" s="239">
        <v>0</v>
      </c>
      <c r="AJ83" s="239">
        <v>0</v>
      </c>
      <c r="AK83" s="239">
        <v>0</v>
      </c>
      <c r="AL83" s="239">
        <v>2218812</v>
      </c>
      <c r="AM83" s="239">
        <v>-659002</v>
      </c>
      <c r="AN83" s="214" t="s">
        <v>247</v>
      </c>
      <c r="AO83" s="214" t="s">
        <v>825</v>
      </c>
      <c r="AP83" s="214" t="s">
        <v>823</v>
      </c>
      <c r="AQ83" s="214" t="s">
        <v>1190</v>
      </c>
    </row>
    <row r="84" spans="2:43" x14ac:dyDescent="0.2">
      <c r="B84" s="609" t="s">
        <v>250</v>
      </c>
      <c r="C84" s="609" t="s">
        <v>249</v>
      </c>
      <c r="D84" s="239">
        <v>98603426</v>
      </c>
      <c r="E84" s="239">
        <v>0</v>
      </c>
      <c r="F84" s="239">
        <v>98603426</v>
      </c>
      <c r="G84" s="239">
        <v>0</v>
      </c>
      <c r="H84" s="239">
        <v>0</v>
      </c>
      <c r="I84" s="239">
        <v>0</v>
      </c>
      <c r="J84" s="239">
        <v>-1573196</v>
      </c>
      <c r="K84" s="239">
        <v>0</v>
      </c>
      <c r="L84" s="239">
        <v>-1573196</v>
      </c>
      <c r="M84" s="239">
        <v>0</v>
      </c>
      <c r="N84" s="239">
        <v>0</v>
      </c>
      <c r="O84" s="239">
        <v>0</v>
      </c>
      <c r="P84" s="239">
        <v>-3248196</v>
      </c>
      <c r="Q84" s="239">
        <v>0</v>
      </c>
      <c r="R84" s="239">
        <v>-3248196</v>
      </c>
      <c r="S84" s="239">
        <v>4294378</v>
      </c>
      <c r="T84" s="239">
        <v>0</v>
      </c>
      <c r="U84" s="239">
        <v>4294378</v>
      </c>
      <c r="V84" s="239">
        <v>-8194378</v>
      </c>
      <c r="W84" s="239">
        <v>0</v>
      </c>
      <c r="X84" s="239">
        <v>-8194378</v>
      </c>
      <c r="Y84" s="239">
        <v>91455230</v>
      </c>
      <c r="Z84" s="239">
        <v>0</v>
      </c>
      <c r="AA84" s="239">
        <v>91455230</v>
      </c>
      <c r="AB84" s="239">
        <v>0</v>
      </c>
      <c r="AC84" s="239">
        <v>0</v>
      </c>
      <c r="AD84" s="239">
        <v>0</v>
      </c>
      <c r="AE84" s="239">
        <v>0</v>
      </c>
      <c r="AF84" s="239">
        <v>0</v>
      </c>
      <c r="AG84" s="239">
        <v>0</v>
      </c>
      <c r="AH84" s="239">
        <v>0</v>
      </c>
      <c r="AI84" s="239">
        <v>0</v>
      </c>
      <c r="AJ84" s="239">
        <v>0</v>
      </c>
      <c r="AK84" s="239">
        <v>0</v>
      </c>
      <c r="AL84" s="239">
        <v>7805788</v>
      </c>
      <c r="AM84" s="239">
        <v>-645370</v>
      </c>
      <c r="AN84" s="214" t="s">
        <v>249</v>
      </c>
      <c r="AO84" s="214" t="s">
        <v>767</v>
      </c>
      <c r="AP84" s="214" t="s">
        <v>765</v>
      </c>
      <c r="AQ84" s="214" t="s">
        <v>1192</v>
      </c>
    </row>
    <row r="85" spans="2:43" x14ac:dyDescent="0.2">
      <c r="B85" s="609" t="s">
        <v>252</v>
      </c>
      <c r="C85" s="609" t="s">
        <v>251</v>
      </c>
      <c r="D85" s="239">
        <v>118332349</v>
      </c>
      <c r="E85" s="239">
        <v>0</v>
      </c>
      <c r="F85" s="239">
        <v>118332349</v>
      </c>
      <c r="G85" s="239">
        <v>-3183</v>
      </c>
      <c r="H85" s="239">
        <v>0</v>
      </c>
      <c r="I85" s="239">
        <v>-3183</v>
      </c>
      <c r="J85" s="239">
        <v>-1891132</v>
      </c>
      <c r="K85" s="239">
        <v>0</v>
      </c>
      <c r="L85" s="239">
        <v>-1891132</v>
      </c>
      <c r="M85" s="239">
        <v>0</v>
      </c>
      <c r="N85" s="239">
        <v>0</v>
      </c>
      <c r="O85" s="239">
        <v>0</v>
      </c>
      <c r="P85" s="239">
        <v>-992075</v>
      </c>
      <c r="Q85" s="239">
        <v>0</v>
      </c>
      <c r="R85" s="239">
        <v>-992075</v>
      </c>
      <c r="S85" s="239">
        <v>7428260</v>
      </c>
      <c r="T85" s="239">
        <v>0</v>
      </c>
      <c r="U85" s="239">
        <v>7428260</v>
      </c>
      <c r="V85" s="239">
        <v>-7382240</v>
      </c>
      <c r="W85" s="239">
        <v>0</v>
      </c>
      <c r="X85" s="239">
        <v>-7382240</v>
      </c>
      <c r="Y85" s="239">
        <v>117383111</v>
      </c>
      <c r="Z85" s="239">
        <v>0</v>
      </c>
      <c r="AA85" s="239">
        <v>117383111</v>
      </c>
      <c r="AB85" s="239">
        <v>0</v>
      </c>
      <c r="AC85" s="239">
        <v>0</v>
      </c>
      <c r="AD85" s="239">
        <v>100255</v>
      </c>
      <c r="AE85" s="239">
        <v>0</v>
      </c>
      <c r="AF85" s="239">
        <v>100255</v>
      </c>
      <c r="AG85" s="239">
        <v>0</v>
      </c>
      <c r="AH85" s="239">
        <v>0</v>
      </c>
      <c r="AI85" s="239">
        <v>0</v>
      </c>
      <c r="AJ85" s="239">
        <v>0</v>
      </c>
      <c r="AK85" s="239">
        <v>0</v>
      </c>
      <c r="AL85" s="239">
        <v>5838403</v>
      </c>
      <c r="AM85" s="239">
        <v>-2263434</v>
      </c>
      <c r="AN85" s="214" t="s">
        <v>251</v>
      </c>
      <c r="AO85" s="214" t="s">
        <v>747</v>
      </c>
      <c r="AP85" s="214" t="s">
        <v>912</v>
      </c>
      <c r="AQ85" s="214" t="s">
        <v>747</v>
      </c>
    </row>
    <row r="86" spans="2:43" x14ac:dyDescent="0.2">
      <c r="B86" s="609" t="s">
        <v>254</v>
      </c>
      <c r="C86" s="609" t="s">
        <v>253</v>
      </c>
      <c r="D86" s="239">
        <v>148818123</v>
      </c>
      <c r="E86" s="239">
        <v>0</v>
      </c>
      <c r="F86" s="239">
        <v>148818123</v>
      </c>
      <c r="G86" s="239">
        <v>0</v>
      </c>
      <c r="H86" s="239">
        <v>0</v>
      </c>
      <c r="I86" s="239">
        <v>0</v>
      </c>
      <c r="J86" s="239">
        <v>-3178306</v>
      </c>
      <c r="K86" s="239">
        <v>0</v>
      </c>
      <c r="L86" s="239">
        <v>-3178306</v>
      </c>
      <c r="M86" s="239">
        <v>0</v>
      </c>
      <c r="N86" s="239">
        <v>0</v>
      </c>
      <c r="O86" s="239">
        <v>0</v>
      </c>
      <c r="P86" s="239">
        <v>-577191</v>
      </c>
      <c r="Q86" s="239">
        <v>0</v>
      </c>
      <c r="R86" s="239">
        <v>-577191</v>
      </c>
      <c r="S86" s="239">
        <v>2641422</v>
      </c>
      <c r="T86" s="239">
        <v>0</v>
      </c>
      <c r="U86" s="239">
        <v>2641422</v>
      </c>
      <c r="V86" s="239">
        <v>-4377396</v>
      </c>
      <c r="W86" s="239">
        <v>0</v>
      </c>
      <c r="X86" s="239">
        <v>-4377396</v>
      </c>
      <c r="Y86" s="239">
        <v>146504958</v>
      </c>
      <c r="Z86" s="239">
        <v>0</v>
      </c>
      <c r="AA86" s="239">
        <v>146504958</v>
      </c>
      <c r="AB86" s="239">
        <v>0</v>
      </c>
      <c r="AC86" s="239">
        <v>0</v>
      </c>
      <c r="AD86" s="239">
        <v>0</v>
      </c>
      <c r="AE86" s="239">
        <v>0</v>
      </c>
      <c r="AF86" s="239">
        <v>0</v>
      </c>
      <c r="AG86" s="239">
        <v>0</v>
      </c>
      <c r="AH86" s="239">
        <v>0</v>
      </c>
      <c r="AI86" s="239">
        <v>0</v>
      </c>
      <c r="AJ86" s="239">
        <v>0</v>
      </c>
      <c r="AK86" s="239">
        <v>0</v>
      </c>
      <c r="AL86" s="239">
        <v>18132520</v>
      </c>
      <c r="AM86" s="239">
        <v>-9190952</v>
      </c>
      <c r="AN86" s="214" t="s">
        <v>253</v>
      </c>
      <c r="AO86" s="214" t="s">
        <v>789</v>
      </c>
      <c r="AP86" s="214" t="s">
        <v>748</v>
      </c>
      <c r="AQ86" s="214" t="s">
        <v>1191</v>
      </c>
    </row>
    <row r="87" spans="2:43" x14ac:dyDescent="0.2">
      <c r="B87" s="609" t="s">
        <v>256</v>
      </c>
      <c r="C87" s="609" t="s">
        <v>255</v>
      </c>
      <c r="D87" s="239">
        <v>19703812</v>
      </c>
      <c r="E87" s="239">
        <v>191345</v>
      </c>
      <c r="F87" s="239">
        <v>19895157</v>
      </c>
      <c r="G87" s="239">
        <v>0</v>
      </c>
      <c r="H87" s="239">
        <v>0</v>
      </c>
      <c r="I87" s="239">
        <v>0</v>
      </c>
      <c r="J87" s="239">
        <v>-51323</v>
      </c>
      <c r="K87" s="239">
        <v>0</v>
      </c>
      <c r="L87" s="239">
        <v>-51323</v>
      </c>
      <c r="M87" s="239">
        <v>0</v>
      </c>
      <c r="N87" s="239">
        <v>0</v>
      </c>
      <c r="O87" s="239">
        <v>0</v>
      </c>
      <c r="P87" s="239">
        <v>-45294</v>
      </c>
      <c r="Q87" s="239">
        <v>0</v>
      </c>
      <c r="R87" s="239">
        <v>-45294</v>
      </c>
      <c r="S87" s="239">
        <v>635109</v>
      </c>
      <c r="T87" s="239">
        <v>0</v>
      </c>
      <c r="U87" s="239">
        <v>635109</v>
      </c>
      <c r="V87" s="239">
        <v>-489953</v>
      </c>
      <c r="W87" s="239">
        <v>0</v>
      </c>
      <c r="X87" s="239">
        <v>-489953</v>
      </c>
      <c r="Y87" s="239">
        <v>19803674</v>
      </c>
      <c r="Z87" s="239">
        <v>191345</v>
      </c>
      <c r="AA87" s="239">
        <v>19995019</v>
      </c>
      <c r="AB87" s="239">
        <v>191345</v>
      </c>
      <c r="AC87" s="239">
        <v>191345</v>
      </c>
      <c r="AD87" s="239">
        <v>278565</v>
      </c>
      <c r="AE87" s="239">
        <v>0</v>
      </c>
      <c r="AF87" s="239">
        <v>278565</v>
      </c>
      <c r="AG87" s="239">
        <v>0</v>
      </c>
      <c r="AH87" s="239">
        <v>0</v>
      </c>
      <c r="AI87" s="239">
        <v>191345</v>
      </c>
      <c r="AJ87" s="239">
        <v>191345</v>
      </c>
      <c r="AK87" s="239">
        <v>0</v>
      </c>
      <c r="AL87" s="239">
        <v>763306</v>
      </c>
      <c r="AM87" s="239">
        <v>-287349</v>
      </c>
      <c r="AN87" s="214" t="s">
        <v>255</v>
      </c>
      <c r="AO87" s="214" t="s">
        <v>861</v>
      </c>
      <c r="AP87" s="214" t="s">
        <v>859</v>
      </c>
      <c r="AQ87" s="214" t="s">
        <v>1190</v>
      </c>
    </row>
    <row r="88" spans="2:43" x14ac:dyDescent="0.2">
      <c r="B88" s="609" t="s">
        <v>258</v>
      </c>
      <c r="C88" s="609" t="s">
        <v>257</v>
      </c>
      <c r="D88" s="239">
        <v>33402076</v>
      </c>
      <c r="E88" s="239">
        <v>0</v>
      </c>
      <c r="F88" s="239">
        <v>33402076</v>
      </c>
      <c r="G88" s="239">
        <v>-2851</v>
      </c>
      <c r="H88" s="239">
        <v>0</v>
      </c>
      <c r="I88" s="239">
        <v>-2851</v>
      </c>
      <c r="J88" s="239">
        <v>-82862</v>
      </c>
      <c r="K88" s="239">
        <v>0</v>
      </c>
      <c r="L88" s="239">
        <v>-82862</v>
      </c>
      <c r="M88" s="239">
        <v>0</v>
      </c>
      <c r="N88" s="239">
        <v>0</v>
      </c>
      <c r="O88" s="239">
        <v>0</v>
      </c>
      <c r="P88" s="239">
        <v>-209587</v>
      </c>
      <c r="Q88" s="239">
        <v>0</v>
      </c>
      <c r="R88" s="239">
        <v>-209587</v>
      </c>
      <c r="S88" s="239">
        <v>1790150</v>
      </c>
      <c r="T88" s="239">
        <v>0</v>
      </c>
      <c r="U88" s="239">
        <v>1790150</v>
      </c>
      <c r="V88" s="239">
        <v>0</v>
      </c>
      <c r="W88" s="239">
        <v>0</v>
      </c>
      <c r="X88" s="239">
        <v>0</v>
      </c>
      <c r="Y88" s="239">
        <v>34979788</v>
      </c>
      <c r="Z88" s="239">
        <v>0</v>
      </c>
      <c r="AA88" s="239">
        <v>34979788</v>
      </c>
      <c r="AB88" s="239">
        <v>0</v>
      </c>
      <c r="AC88" s="239">
        <v>0</v>
      </c>
      <c r="AD88" s="239">
        <v>241980</v>
      </c>
      <c r="AE88" s="239">
        <v>0</v>
      </c>
      <c r="AF88" s="239">
        <v>241980</v>
      </c>
      <c r="AG88" s="239">
        <v>0</v>
      </c>
      <c r="AH88" s="239">
        <v>0</v>
      </c>
      <c r="AI88" s="239">
        <v>0</v>
      </c>
      <c r="AJ88" s="239">
        <v>0</v>
      </c>
      <c r="AK88" s="239">
        <v>0</v>
      </c>
      <c r="AL88" s="239">
        <v>1113465</v>
      </c>
      <c r="AM88" s="239">
        <v>-539442</v>
      </c>
      <c r="AN88" s="214" t="s">
        <v>257</v>
      </c>
      <c r="AO88" s="214" t="s">
        <v>799</v>
      </c>
      <c r="AP88" s="214" t="s">
        <v>791</v>
      </c>
      <c r="AQ88" s="214" t="s">
        <v>1190</v>
      </c>
    </row>
    <row r="89" spans="2:43" x14ac:dyDescent="0.2">
      <c r="B89" s="609" t="s">
        <v>260</v>
      </c>
      <c r="C89" s="609" t="s">
        <v>259</v>
      </c>
      <c r="D89" s="239">
        <v>21705210</v>
      </c>
      <c r="E89" s="239">
        <v>0</v>
      </c>
      <c r="F89" s="239">
        <v>21705210</v>
      </c>
      <c r="G89" s="239">
        <v>0</v>
      </c>
      <c r="H89" s="239">
        <v>0</v>
      </c>
      <c r="I89" s="239">
        <v>0</v>
      </c>
      <c r="J89" s="239">
        <v>-117882</v>
      </c>
      <c r="K89" s="239">
        <v>0</v>
      </c>
      <c r="L89" s="239">
        <v>-117882</v>
      </c>
      <c r="M89" s="239">
        <v>0</v>
      </c>
      <c r="N89" s="239">
        <v>0</v>
      </c>
      <c r="O89" s="239">
        <v>0</v>
      </c>
      <c r="P89" s="239">
        <v>-100829</v>
      </c>
      <c r="Q89" s="239">
        <v>0</v>
      </c>
      <c r="R89" s="239">
        <v>-100829</v>
      </c>
      <c r="S89" s="239">
        <v>1237416</v>
      </c>
      <c r="T89" s="239">
        <v>0</v>
      </c>
      <c r="U89" s="239">
        <v>1237416</v>
      </c>
      <c r="V89" s="239">
        <v>-141591</v>
      </c>
      <c r="W89" s="239">
        <v>0</v>
      </c>
      <c r="X89" s="239">
        <v>-141591</v>
      </c>
      <c r="Y89" s="239">
        <v>22700206</v>
      </c>
      <c r="Z89" s="239">
        <v>0</v>
      </c>
      <c r="AA89" s="239">
        <v>22700206</v>
      </c>
      <c r="AB89" s="239">
        <v>0</v>
      </c>
      <c r="AC89" s="239">
        <v>0</v>
      </c>
      <c r="AD89" s="239">
        <v>260420</v>
      </c>
      <c r="AE89" s="239">
        <v>0</v>
      </c>
      <c r="AF89" s="239">
        <v>260420</v>
      </c>
      <c r="AG89" s="239">
        <v>0</v>
      </c>
      <c r="AH89" s="239">
        <v>0</v>
      </c>
      <c r="AI89" s="239">
        <v>0</v>
      </c>
      <c r="AJ89" s="239">
        <v>0</v>
      </c>
      <c r="AK89" s="239">
        <v>0</v>
      </c>
      <c r="AL89" s="239">
        <v>502389</v>
      </c>
      <c r="AM89" s="239">
        <v>-160596</v>
      </c>
      <c r="AN89" s="214" t="s">
        <v>259</v>
      </c>
      <c r="AO89" s="214" t="s">
        <v>786</v>
      </c>
      <c r="AP89" s="214" t="s">
        <v>784</v>
      </c>
      <c r="AQ89" s="214" t="s">
        <v>1190</v>
      </c>
    </row>
    <row r="90" spans="2:43" x14ac:dyDescent="0.2">
      <c r="B90" s="609" t="s">
        <v>262</v>
      </c>
      <c r="C90" s="609" t="s">
        <v>261</v>
      </c>
      <c r="D90" s="239">
        <v>29038921</v>
      </c>
      <c r="E90" s="239">
        <v>0</v>
      </c>
      <c r="F90" s="239">
        <v>29038921</v>
      </c>
      <c r="G90" s="239">
        <v>-52</v>
      </c>
      <c r="H90" s="239">
        <v>0</v>
      </c>
      <c r="I90" s="239">
        <v>-52</v>
      </c>
      <c r="J90" s="239">
        <v>-211308</v>
      </c>
      <c r="K90" s="239">
        <v>0</v>
      </c>
      <c r="L90" s="239">
        <v>-211308</v>
      </c>
      <c r="M90" s="239">
        <v>0</v>
      </c>
      <c r="N90" s="239">
        <v>0</v>
      </c>
      <c r="O90" s="239">
        <v>0</v>
      </c>
      <c r="P90" s="239">
        <v>-302000</v>
      </c>
      <c r="Q90" s="239">
        <v>0</v>
      </c>
      <c r="R90" s="239">
        <v>-302000</v>
      </c>
      <c r="S90" s="239">
        <v>750000</v>
      </c>
      <c r="T90" s="239">
        <v>0</v>
      </c>
      <c r="U90" s="239">
        <v>750000</v>
      </c>
      <c r="V90" s="239">
        <v>-1300000</v>
      </c>
      <c r="W90" s="239">
        <v>0</v>
      </c>
      <c r="X90" s="239">
        <v>-1300000</v>
      </c>
      <c r="Y90" s="239">
        <v>28186869</v>
      </c>
      <c r="Z90" s="239">
        <v>0</v>
      </c>
      <c r="AA90" s="239">
        <v>28186869</v>
      </c>
      <c r="AB90" s="239">
        <v>0</v>
      </c>
      <c r="AC90" s="239">
        <v>0</v>
      </c>
      <c r="AD90" s="239">
        <v>0</v>
      </c>
      <c r="AE90" s="239">
        <v>0</v>
      </c>
      <c r="AF90" s="239">
        <v>0</v>
      </c>
      <c r="AG90" s="239">
        <v>0</v>
      </c>
      <c r="AH90" s="239">
        <v>0</v>
      </c>
      <c r="AI90" s="239">
        <v>0</v>
      </c>
      <c r="AJ90" s="239">
        <v>0</v>
      </c>
      <c r="AK90" s="239">
        <v>0</v>
      </c>
      <c r="AL90" s="239">
        <v>1434039</v>
      </c>
      <c r="AM90" s="239">
        <v>-1163381</v>
      </c>
      <c r="AN90" s="214" t="s">
        <v>261</v>
      </c>
      <c r="AO90" s="214" t="s">
        <v>778</v>
      </c>
      <c r="AP90" s="214" t="s">
        <v>776</v>
      </c>
      <c r="AQ90" s="214" t="s">
        <v>1190</v>
      </c>
    </row>
    <row r="91" spans="2:43" x14ac:dyDescent="0.2">
      <c r="B91" s="609" t="s">
        <v>264</v>
      </c>
      <c r="C91" s="609" t="s">
        <v>263</v>
      </c>
      <c r="D91" s="239">
        <v>45562496</v>
      </c>
      <c r="E91" s="239">
        <v>0</v>
      </c>
      <c r="F91" s="239">
        <v>45562496</v>
      </c>
      <c r="G91" s="239">
        <v>0</v>
      </c>
      <c r="H91" s="239">
        <v>0</v>
      </c>
      <c r="I91" s="239">
        <v>0</v>
      </c>
      <c r="J91" s="239">
        <v>-585605</v>
      </c>
      <c r="K91" s="239">
        <v>0</v>
      </c>
      <c r="L91" s="239">
        <v>-585605</v>
      </c>
      <c r="M91" s="239">
        <v>0</v>
      </c>
      <c r="N91" s="239">
        <v>0</v>
      </c>
      <c r="O91" s="239">
        <v>0</v>
      </c>
      <c r="P91" s="239">
        <v>-456241</v>
      </c>
      <c r="Q91" s="239">
        <v>0</v>
      </c>
      <c r="R91" s="239">
        <v>-456241</v>
      </c>
      <c r="S91" s="239">
        <v>284396</v>
      </c>
      <c r="T91" s="239">
        <v>0</v>
      </c>
      <c r="U91" s="239">
        <v>284396</v>
      </c>
      <c r="V91" s="239">
        <v>-749799</v>
      </c>
      <c r="W91" s="239">
        <v>0</v>
      </c>
      <c r="X91" s="239">
        <v>-749799</v>
      </c>
      <c r="Y91" s="239">
        <v>44640852</v>
      </c>
      <c r="Z91" s="239">
        <v>0</v>
      </c>
      <c r="AA91" s="239">
        <v>44640852</v>
      </c>
      <c r="AB91" s="239">
        <v>0</v>
      </c>
      <c r="AC91" s="239">
        <v>0</v>
      </c>
      <c r="AD91" s="239">
        <v>0</v>
      </c>
      <c r="AE91" s="239">
        <v>0</v>
      </c>
      <c r="AF91" s="239">
        <v>0</v>
      </c>
      <c r="AG91" s="239">
        <v>0</v>
      </c>
      <c r="AH91" s="239">
        <v>0</v>
      </c>
      <c r="AI91" s="239">
        <v>0</v>
      </c>
      <c r="AJ91" s="239">
        <v>0</v>
      </c>
      <c r="AK91" s="239">
        <v>0</v>
      </c>
      <c r="AL91" s="239">
        <v>1776110</v>
      </c>
      <c r="AM91" s="239">
        <v>-666828</v>
      </c>
      <c r="AN91" s="214" t="s">
        <v>263</v>
      </c>
      <c r="AO91" s="214" t="s">
        <v>802</v>
      </c>
      <c r="AP91" s="214" t="s">
        <v>762</v>
      </c>
      <c r="AQ91" s="214" t="s">
        <v>1190</v>
      </c>
    </row>
    <row r="92" spans="2:43" x14ac:dyDescent="0.2">
      <c r="B92" s="609" t="s">
        <v>266</v>
      </c>
      <c r="C92" s="609" t="s">
        <v>265</v>
      </c>
      <c r="D92" s="239">
        <v>36217142</v>
      </c>
      <c r="E92" s="239">
        <v>0</v>
      </c>
      <c r="F92" s="239">
        <v>36217142</v>
      </c>
      <c r="G92" s="239">
        <v>0</v>
      </c>
      <c r="H92" s="239">
        <v>0</v>
      </c>
      <c r="I92" s="239">
        <v>0</v>
      </c>
      <c r="J92" s="239">
        <v>-514777</v>
      </c>
      <c r="K92" s="239">
        <v>0</v>
      </c>
      <c r="L92" s="239">
        <v>-514777</v>
      </c>
      <c r="M92" s="239">
        <v>0</v>
      </c>
      <c r="N92" s="239">
        <v>0</v>
      </c>
      <c r="O92" s="239">
        <v>0</v>
      </c>
      <c r="P92" s="239">
        <v>-685776</v>
      </c>
      <c r="Q92" s="239">
        <v>0</v>
      </c>
      <c r="R92" s="239">
        <v>-685776</v>
      </c>
      <c r="S92" s="239">
        <v>191370</v>
      </c>
      <c r="T92" s="239">
        <v>0</v>
      </c>
      <c r="U92" s="239">
        <v>191370</v>
      </c>
      <c r="V92" s="239">
        <v>138712</v>
      </c>
      <c r="W92" s="239">
        <v>0</v>
      </c>
      <c r="X92" s="239">
        <v>138712</v>
      </c>
      <c r="Y92" s="239">
        <v>35861448</v>
      </c>
      <c r="Z92" s="239">
        <v>0</v>
      </c>
      <c r="AA92" s="239">
        <v>35861448</v>
      </c>
      <c r="AB92" s="239">
        <v>0</v>
      </c>
      <c r="AC92" s="239">
        <v>0</v>
      </c>
      <c r="AD92" s="239">
        <v>616114</v>
      </c>
      <c r="AE92" s="239">
        <v>0</v>
      </c>
      <c r="AF92" s="239">
        <v>616114</v>
      </c>
      <c r="AG92" s="239">
        <v>0</v>
      </c>
      <c r="AH92" s="239">
        <v>0</v>
      </c>
      <c r="AI92" s="239">
        <v>0</v>
      </c>
      <c r="AJ92" s="239">
        <v>0</v>
      </c>
      <c r="AK92" s="239">
        <v>0</v>
      </c>
      <c r="AL92" s="239">
        <v>2870466</v>
      </c>
      <c r="AM92" s="239">
        <v>-749479</v>
      </c>
      <c r="AN92" s="214" t="s">
        <v>265</v>
      </c>
      <c r="AO92" s="214" t="s">
        <v>797</v>
      </c>
      <c r="AP92" s="214" t="s">
        <v>762</v>
      </c>
      <c r="AQ92" s="214" t="s">
        <v>1190</v>
      </c>
    </row>
    <row r="93" spans="2:43" x14ac:dyDescent="0.2">
      <c r="B93" s="609" t="s">
        <v>268</v>
      </c>
      <c r="C93" s="609" t="s">
        <v>267</v>
      </c>
      <c r="D93" s="239">
        <v>24357790</v>
      </c>
      <c r="E93" s="239">
        <v>0</v>
      </c>
      <c r="F93" s="239">
        <v>24357790</v>
      </c>
      <c r="G93" s="239">
        <v>0</v>
      </c>
      <c r="H93" s="239">
        <v>0</v>
      </c>
      <c r="I93" s="239">
        <v>0</v>
      </c>
      <c r="J93" s="239">
        <v>-86351</v>
      </c>
      <c r="K93" s="239">
        <v>0</v>
      </c>
      <c r="L93" s="239">
        <v>-86351</v>
      </c>
      <c r="M93" s="239">
        <v>0</v>
      </c>
      <c r="N93" s="239">
        <v>0</v>
      </c>
      <c r="O93" s="239">
        <v>0</v>
      </c>
      <c r="P93" s="239">
        <v>-98948</v>
      </c>
      <c r="Q93" s="239">
        <v>0</v>
      </c>
      <c r="R93" s="239">
        <v>-98948</v>
      </c>
      <c r="S93" s="239">
        <v>567168</v>
      </c>
      <c r="T93" s="239">
        <v>0</v>
      </c>
      <c r="U93" s="239">
        <v>567168</v>
      </c>
      <c r="V93" s="239">
        <v>-1233201</v>
      </c>
      <c r="W93" s="239">
        <v>0</v>
      </c>
      <c r="X93" s="239">
        <v>-1233201</v>
      </c>
      <c r="Y93" s="239">
        <v>23592809</v>
      </c>
      <c r="Z93" s="239">
        <v>0</v>
      </c>
      <c r="AA93" s="239">
        <v>23592809</v>
      </c>
      <c r="AB93" s="239">
        <v>0</v>
      </c>
      <c r="AC93" s="239">
        <v>0</v>
      </c>
      <c r="AD93" s="239">
        <v>468423</v>
      </c>
      <c r="AE93" s="239">
        <v>0</v>
      </c>
      <c r="AF93" s="239">
        <v>468423</v>
      </c>
      <c r="AG93" s="239">
        <v>0</v>
      </c>
      <c r="AH93" s="239">
        <v>0</v>
      </c>
      <c r="AI93" s="239">
        <v>0</v>
      </c>
      <c r="AJ93" s="239">
        <v>0</v>
      </c>
      <c r="AK93" s="239">
        <v>0</v>
      </c>
      <c r="AL93" s="239">
        <v>269553</v>
      </c>
      <c r="AM93" s="239">
        <v>-297527</v>
      </c>
      <c r="AN93" s="214" t="s">
        <v>267</v>
      </c>
      <c r="AO93" s="214" t="s">
        <v>804</v>
      </c>
      <c r="AP93" s="214" t="s">
        <v>762</v>
      </c>
      <c r="AQ93" s="214" t="s">
        <v>1190</v>
      </c>
    </row>
    <row r="94" spans="2:43" x14ac:dyDescent="0.2">
      <c r="B94" s="609" t="s">
        <v>270</v>
      </c>
      <c r="C94" s="609" t="s">
        <v>269</v>
      </c>
      <c r="D94" s="239">
        <v>109799098</v>
      </c>
      <c r="E94" s="239">
        <v>99400</v>
      </c>
      <c r="F94" s="239">
        <v>109898498</v>
      </c>
      <c r="G94" s="239">
        <v>0</v>
      </c>
      <c r="H94" s="239">
        <v>0</v>
      </c>
      <c r="I94" s="239">
        <v>0</v>
      </c>
      <c r="J94" s="239">
        <v>-375897</v>
      </c>
      <c r="K94" s="239">
        <v>0</v>
      </c>
      <c r="L94" s="239">
        <v>-375897</v>
      </c>
      <c r="M94" s="239">
        <v>0</v>
      </c>
      <c r="N94" s="239">
        <v>0</v>
      </c>
      <c r="O94" s="239">
        <v>0</v>
      </c>
      <c r="P94" s="239">
        <v>-539051</v>
      </c>
      <c r="Q94" s="239">
        <v>0</v>
      </c>
      <c r="R94" s="239">
        <v>-539051</v>
      </c>
      <c r="S94" s="239">
        <v>3470565</v>
      </c>
      <c r="T94" s="239">
        <v>0</v>
      </c>
      <c r="U94" s="239">
        <v>3470565</v>
      </c>
      <c r="V94" s="239">
        <v>-2886857</v>
      </c>
      <c r="W94" s="239">
        <v>0</v>
      </c>
      <c r="X94" s="239">
        <v>-2886857</v>
      </c>
      <c r="Y94" s="239">
        <v>109843755</v>
      </c>
      <c r="Z94" s="239">
        <v>99400</v>
      </c>
      <c r="AA94" s="239">
        <v>109943155</v>
      </c>
      <c r="AB94" s="239">
        <v>99400</v>
      </c>
      <c r="AC94" s="239">
        <v>99400</v>
      </c>
      <c r="AD94" s="239">
        <v>3754186</v>
      </c>
      <c r="AE94" s="239">
        <v>0</v>
      </c>
      <c r="AF94" s="239">
        <v>3754186</v>
      </c>
      <c r="AG94" s="239">
        <v>0</v>
      </c>
      <c r="AH94" s="239">
        <v>0</v>
      </c>
      <c r="AI94" s="239">
        <v>98517</v>
      </c>
      <c r="AJ94" s="239">
        <v>98517</v>
      </c>
      <c r="AK94" s="239">
        <v>883</v>
      </c>
      <c r="AL94" s="239">
        <v>3761183</v>
      </c>
      <c r="AM94" s="239">
        <v>-2254454</v>
      </c>
      <c r="AN94" s="214" t="s">
        <v>911</v>
      </c>
      <c r="AO94" s="214" t="s">
        <v>747</v>
      </c>
      <c r="AP94" s="214" t="s">
        <v>889</v>
      </c>
      <c r="AQ94" s="214" t="s">
        <v>747</v>
      </c>
    </row>
    <row r="95" spans="2:43" x14ac:dyDescent="0.2">
      <c r="B95" s="609" t="s">
        <v>272</v>
      </c>
      <c r="C95" s="609" t="s">
        <v>271</v>
      </c>
      <c r="D95" s="239">
        <v>57400930</v>
      </c>
      <c r="E95" s="239">
        <v>0</v>
      </c>
      <c r="F95" s="239">
        <v>57400930</v>
      </c>
      <c r="G95" s="239">
        <v>-97</v>
      </c>
      <c r="H95" s="239">
        <v>0</v>
      </c>
      <c r="I95" s="239">
        <v>-97</v>
      </c>
      <c r="J95" s="239">
        <v>-356338</v>
      </c>
      <c r="K95" s="239">
        <v>0</v>
      </c>
      <c r="L95" s="239">
        <v>-356338</v>
      </c>
      <c r="M95" s="239">
        <v>0</v>
      </c>
      <c r="N95" s="239">
        <v>0</v>
      </c>
      <c r="O95" s="239">
        <v>0</v>
      </c>
      <c r="P95" s="239">
        <v>-279906</v>
      </c>
      <c r="Q95" s="239">
        <v>0</v>
      </c>
      <c r="R95" s="239">
        <v>-279906</v>
      </c>
      <c r="S95" s="239">
        <v>1380527</v>
      </c>
      <c r="T95" s="239">
        <v>0</v>
      </c>
      <c r="U95" s="239">
        <v>1380527</v>
      </c>
      <c r="V95" s="239">
        <v>-1332462</v>
      </c>
      <c r="W95" s="239">
        <v>0</v>
      </c>
      <c r="X95" s="239">
        <v>-1332462</v>
      </c>
      <c r="Y95" s="239">
        <v>57168992</v>
      </c>
      <c r="Z95" s="239">
        <v>0</v>
      </c>
      <c r="AA95" s="239">
        <v>57168992</v>
      </c>
      <c r="AB95" s="239">
        <v>0</v>
      </c>
      <c r="AC95" s="239">
        <v>0</v>
      </c>
      <c r="AD95" s="239">
        <v>0</v>
      </c>
      <c r="AE95" s="239">
        <v>0</v>
      </c>
      <c r="AF95" s="239">
        <v>0</v>
      </c>
      <c r="AG95" s="239">
        <v>0</v>
      </c>
      <c r="AH95" s="239">
        <v>0</v>
      </c>
      <c r="AI95" s="239">
        <v>0</v>
      </c>
      <c r="AJ95" s="239">
        <v>0</v>
      </c>
      <c r="AK95" s="239">
        <v>0</v>
      </c>
      <c r="AL95" s="239">
        <v>1995558</v>
      </c>
      <c r="AM95" s="239">
        <v>-1951253</v>
      </c>
      <c r="AN95" s="214" t="s">
        <v>271</v>
      </c>
      <c r="AO95" s="214" t="s">
        <v>837</v>
      </c>
      <c r="AP95" s="214" t="s">
        <v>835</v>
      </c>
      <c r="AQ95" s="214" t="s">
        <v>1190</v>
      </c>
    </row>
    <row r="96" spans="2:43" x14ac:dyDescent="0.2">
      <c r="B96" s="609" t="s">
        <v>274</v>
      </c>
      <c r="C96" s="609" t="s">
        <v>273</v>
      </c>
      <c r="D96" s="239">
        <v>32645246</v>
      </c>
      <c r="E96" s="239">
        <v>0</v>
      </c>
      <c r="F96" s="239">
        <v>32645246</v>
      </c>
      <c r="G96" s="239">
        <v>0</v>
      </c>
      <c r="H96" s="239">
        <v>0</v>
      </c>
      <c r="I96" s="239">
        <v>0</v>
      </c>
      <c r="J96" s="239">
        <v>130525</v>
      </c>
      <c r="K96" s="239">
        <v>0</v>
      </c>
      <c r="L96" s="239">
        <v>130525</v>
      </c>
      <c r="M96" s="239">
        <v>0</v>
      </c>
      <c r="N96" s="239">
        <v>0</v>
      </c>
      <c r="O96" s="239">
        <v>0</v>
      </c>
      <c r="P96" s="239">
        <v>111431</v>
      </c>
      <c r="Q96" s="239">
        <v>0</v>
      </c>
      <c r="R96" s="239">
        <v>111431</v>
      </c>
      <c r="S96" s="239">
        <v>952713</v>
      </c>
      <c r="T96" s="239">
        <v>0</v>
      </c>
      <c r="U96" s="239">
        <v>952713</v>
      </c>
      <c r="V96" s="239">
        <v>-907663</v>
      </c>
      <c r="W96" s="239">
        <v>0</v>
      </c>
      <c r="X96" s="239">
        <v>-907663</v>
      </c>
      <c r="Y96" s="239">
        <v>32801727</v>
      </c>
      <c r="Z96" s="239">
        <v>0</v>
      </c>
      <c r="AA96" s="239">
        <v>32801727</v>
      </c>
      <c r="AB96" s="239">
        <v>0</v>
      </c>
      <c r="AC96" s="239">
        <v>0</v>
      </c>
      <c r="AD96" s="239">
        <v>0</v>
      </c>
      <c r="AE96" s="239">
        <v>0</v>
      </c>
      <c r="AF96" s="239">
        <v>0</v>
      </c>
      <c r="AG96" s="239">
        <v>0</v>
      </c>
      <c r="AH96" s="239">
        <v>0</v>
      </c>
      <c r="AI96" s="239">
        <v>0</v>
      </c>
      <c r="AJ96" s="239">
        <v>0</v>
      </c>
      <c r="AK96" s="239">
        <v>0</v>
      </c>
      <c r="AL96" s="239">
        <v>1930966</v>
      </c>
      <c r="AM96" s="239">
        <v>-2807277</v>
      </c>
      <c r="AN96" s="214" t="s">
        <v>273</v>
      </c>
      <c r="AO96" s="214" t="s">
        <v>808</v>
      </c>
      <c r="AP96" s="214" t="s">
        <v>806</v>
      </c>
      <c r="AQ96" s="214" t="s">
        <v>1190</v>
      </c>
    </row>
    <row r="97" spans="1:43" x14ac:dyDescent="0.2">
      <c r="A97" s="215" t="s">
        <v>1211</v>
      </c>
      <c r="B97" s="609" t="s">
        <v>276</v>
      </c>
      <c r="C97" s="609" t="s">
        <v>275</v>
      </c>
      <c r="D97" s="239">
        <v>59533718</v>
      </c>
      <c r="E97" s="239">
        <v>0</v>
      </c>
      <c r="F97" s="239">
        <v>59533718</v>
      </c>
      <c r="G97" s="239">
        <v>-1914</v>
      </c>
      <c r="H97" s="239">
        <v>0</v>
      </c>
      <c r="I97" s="239">
        <v>-1914</v>
      </c>
      <c r="J97" s="239">
        <v>-445226</v>
      </c>
      <c r="K97" s="239">
        <v>0</v>
      </c>
      <c r="L97" s="239">
        <v>-445226</v>
      </c>
      <c r="M97" s="239">
        <v>0</v>
      </c>
      <c r="N97" s="239">
        <v>0</v>
      </c>
      <c r="O97" s="239">
        <v>0</v>
      </c>
      <c r="P97" s="239">
        <v>-267173</v>
      </c>
      <c r="Q97" s="239">
        <v>0</v>
      </c>
      <c r="R97" s="239">
        <v>-267173</v>
      </c>
      <c r="S97" s="239">
        <v>1648223</v>
      </c>
      <c r="T97" s="239">
        <v>0</v>
      </c>
      <c r="U97" s="239">
        <v>1648223</v>
      </c>
      <c r="V97" s="239">
        <v>-1816688</v>
      </c>
      <c r="W97" s="239">
        <v>0</v>
      </c>
      <c r="X97" s="239">
        <v>-1816688</v>
      </c>
      <c r="Y97" s="239">
        <v>59096166</v>
      </c>
      <c r="Z97" s="239">
        <v>0</v>
      </c>
      <c r="AA97" s="239">
        <v>59096166</v>
      </c>
      <c r="AB97" s="239">
        <v>0</v>
      </c>
      <c r="AC97" s="239">
        <v>0</v>
      </c>
      <c r="AD97" s="239">
        <v>0</v>
      </c>
      <c r="AE97" s="239">
        <v>0</v>
      </c>
      <c r="AF97" s="239">
        <v>0</v>
      </c>
      <c r="AG97" s="239">
        <v>0</v>
      </c>
      <c r="AH97" s="239">
        <v>0</v>
      </c>
      <c r="AI97" s="239">
        <v>0</v>
      </c>
      <c r="AJ97" s="239">
        <v>0</v>
      </c>
      <c r="AK97" s="239">
        <v>0</v>
      </c>
      <c r="AL97" s="239">
        <v>1019966</v>
      </c>
      <c r="AM97" s="239">
        <v>-1044033</v>
      </c>
      <c r="AN97" s="214" t="s">
        <v>275</v>
      </c>
      <c r="AO97" s="214" t="s">
        <v>778</v>
      </c>
      <c r="AP97" s="214" t="s">
        <v>776</v>
      </c>
      <c r="AQ97" s="214" t="s">
        <v>1190</v>
      </c>
    </row>
    <row r="98" spans="1:43" x14ac:dyDescent="0.2">
      <c r="B98" s="609" t="s">
        <v>278</v>
      </c>
      <c r="C98" s="609" t="s">
        <v>277</v>
      </c>
      <c r="D98" s="239">
        <v>18378392</v>
      </c>
      <c r="E98" s="239">
        <v>0</v>
      </c>
      <c r="F98" s="239">
        <v>18378392</v>
      </c>
      <c r="G98" s="239">
        <v>0</v>
      </c>
      <c r="H98" s="239">
        <v>0</v>
      </c>
      <c r="I98" s="239">
        <v>0</v>
      </c>
      <c r="J98" s="239">
        <v>-109335</v>
      </c>
      <c r="K98" s="239">
        <v>0</v>
      </c>
      <c r="L98" s="239">
        <v>-109335</v>
      </c>
      <c r="M98" s="239">
        <v>0</v>
      </c>
      <c r="N98" s="239">
        <v>0</v>
      </c>
      <c r="O98" s="239">
        <v>0</v>
      </c>
      <c r="P98" s="239">
        <v>-129592</v>
      </c>
      <c r="Q98" s="239">
        <v>0</v>
      </c>
      <c r="R98" s="239">
        <v>-129592</v>
      </c>
      <c r="S98" s="239">
        <v>1915225</v>
      </c>
      <c r="T98" s="239">
        <v>0</v>
      </c>
      <c r="U98" s="239">
        <v>1915225</v>
      </c>
      <c r="V98" s="239">
        <v>-36391</v>
      </c>
      <c r="W98" s="239">
        <v>0</v>
      </c>
      <c r="X98" s="239">
        <v>-36391</v>
      </c>
      <c r="Y98" s="239">
        <v>20127634</v>
      </c>
      <c r="Z98" s="239">
        <v>0</v>
      </c>
      <c r="AA98" s="239">
        <v>20127634</v>
      </c>
      <c r="AB98" s="239">
        <v>0</v>
      </c>
      <c r="AC98" s="239">
        <v>0</v>
      </c>
      <c r="AD98" s="239">
        <v>0</v>
      </c>
      <c r="AE98" s="239">
        <v>0</v>
      </c>
      <c r="AF98" s="239">
        <v>0</v>
      </c>
      <c r="AG98" s="239">
        <v>0</v>
      </c>
      <c r="AH98" s="239">
        <v>0</v>
      </c>
      <c r="AI98" s="239">
        <v>0</v>
      </c>
      <c r="AJ98" s="239">
        <v>0</v>
      </c>
      <c r="AK98" s="239">
        <v>0</v>
      </c>
      <c r="AL98" s="239">
        <v>711017</v>
      </c>
      <c r="AM98" s="239">
        <v>-100690</v>
      </c>
      <c r="AN98" s="214" t="s">
        <v>277</v>
      </c>
      <c r="AO98" s="214" t="s">
        <v>850</v>
      </c>
      <c r="AP98" s="214" t="s">
        <v>762</v>
      </c>
      <c r="AQ98" s="214" t="s">
        <v>1190</v>
      </c>
    </row>
    <row r="99" spans="1:43" x14ac:dyDescent="0.2">
      <c r="B99" s="609" t="s">
        <v>280</v>
      </c>
      <c r="C99" s="609" t="s">
        <v>279</v>
      </c>
      <c r="D99" s="239">
        <v>57569306</v>
      </c>
      <c r="E99" s="239">
        <v>0</v>
      </c>
      <c r="F99" s="239">
        <v>57569306</v>
      </c>
      <c r="G99" s="239">
        <v>0</v>
      </c>
      <c r="H99" s="239">
        <v>0</v>
      </c>
      <c r="I99" s="239">
        <v>0</v>
      </c>
      <c r="J99" s="239">
        <v>-232501</v>
      </c>
      <c r="K99" s="239">
        <v>0</v>
      </c>
      <c r="L99" s="239">
        <v>-232501</v>
      </c>
      <c r="M99" s="239">
        <v>0</v>
      </c>
      <c r="N99" s="239">
        <v>0</v>
      </c>
      <c r="O99" s="239">
        <v>0</v>
      </c>
      <c r="P99" s="239">
        <v>-232501</v>
      </c>
      <c r="Q99" s="239">
        <v>0</v>
      </c>
      <c r="R99" s="239">
        <v>-232501</v>
      </c>
      <c r="S99" s="239">
        <v>639503</v>
      </c>
      <c r="T99" s="239">
        <v>0</v>
      </c>
      <c r="U99" s="239">
        <v>639503</v>
      </c>
      <c r="V99" s="239">
        <v>-3861938</v>
      </c>
      <c r="W99" s="239">
        <v>0</v>
      </c>
      <c r="X99" s="239">
        <v>-3861938</v>
      </c>
      <c r="Y99" s="239">
        <v>54114370</v>
      </c>
      <c r="Z99" s="239">
        <v>0</v>
      </c>
      <c r="AA99" s="239">
        <v>54114370</v>
      </c>
      <c r="AB99" s="239">
        <v>0</v>
      </c>
      <c r="AC99" s="239">
        <v>0</v>
      </c>
      <c r="AD99" s="239">
        <v>25223</v>
      </c>
      <c r="AE99" s="239">
        <v>0</v>
      </c>
      <c r="AF99" s="239">
        <v>25223</v>
      </c>
      <c r="AG99" s="239">
        <v>0</v>
      </c>
      <c r="AH99" s="239">
        <v>0</v>
      </c>
      <c r="AI99" s="239">
        <v>0</v>
      </c>
      <c r="AJ99" s="239">
        <v>0</v>
      </c>
      <c r="AK99" s="239">
        <v>0</v>
      </c>
      <c r="AL99" s="239">
        <v>622712</v>
      </c>
      <c r="AM99" s="239">
        <v>-1820847</v>
      </c>
      <c r="AN99" s="214" t="s">
        <v>279</v>
      </c>
      <c r="AO99" s="214" t="s">
        <v>771</v>
      </c>
      <c r="AP99" s="214" t="s">
        <v>762</v>
      </c>
      <c r="AQ99" s="214" t="s">
        <v>1190</v>
      </c>
    </row>
    <row r="100" spans="1:43" x14ac:dyDescent="0.2">
      <c r="B100" s="609" t="s">
        <v>282</v>
      </c>
      <c r="C100" s="609" t="s">
        <v>281</v>
      </c>
      <c r="D100" s="239">
        <v>111518565</v>
      </c>
      <c r="E100" s="239">
        <v>0</v>
      </c>
      <c r="F100" s="239">
        <v>111518565</v>
      </c>
      <c r="G100" s="239">
        <v>0</v>
      </c>
      <c r="H100" s="239">
        <v>0</v>
      </c>
      <c r="I100" s="239">
        <v>0</v>
      </c>
      <c r="J100" s="239">
        <v>-1074869</v>
      </c>
      <c r="K100" s="239">
        <v>0</v>
      </c>
      <c r="L100" s="239">
        <v>-1074869</v>
      </c>
      <c r="M100" s="239">
        <v>0</v>
      </c>
      <c r="N100" s="239">
        <v>0</v>
      </c>
      <c r="O100" s="239">
        <v>0</v>
      </c>
      <c r="P100" s="239">
        <v>196214</v>
      </c>
      <c r="Q100" s="239">
        <v>0</v>
      </c>
      <c r="R100" s="239">
        <v>196214</v>
      </c>
      <c r="S100" s="239">
        <v>6017000</v>
      </c>
      <c r="T100" s="239">
        <v>0</v>
      </c>
      <c r="U100" s="239">
        <v>6017000</v>
      </c>
      <c r="V100" s="239">
        <v>-1489967</v>
      </c>
      <c r="W100" s="239">
        <v>0</v>
      </c>
      <c r="X100" s="239">
        <v>-1489967</v>
      </c>
      <c r="Y100" s="239">
        <v>116241812</v>
      </c>
      <c r="Z100" s="239">
        <v>0</v>
      </c>
      <c r="AA100" s="239">
        <v>116241812</v>
      </c>
      <c r="AB100" s="239">
        <v>0</v>
      </c>
      <c r="AC100" s="239">
        <v>0</v>
      </c>
      <c r="AD100" s="239">
        <v>0</v>
      </c>
      <c r="AE100" s="239">
        <v>0</v>
      </c>
      <c r="AF100" s="239">
        <v>0</v>
      </c>
      <c r="AG100" s="239">
        <v>0</v>
      </c>
      <c r="AH100" s="239">
        <v>0</v>
      </c>
      <c r="AI100" s="239">
        <v>0</v>
      </c>
      <c r="AJ100" s="239">
        <v>0</v>
      </c>
      <c r="AK100" s="239">
        <v>0</v>
      </c>
      <c r="AL100" s="239">
        <v>5824679</v>
      </c>
      <c r="AM100" s="239">
        <v>-3730370</v>
      </c>
      <c r="AN100" s="214" t="s">
        <v>281</v>
      </c>
      <c r="AO100" s="214" t="s">
        <v>789</v>
      </c>
      <c r="AP100" s="214" t="s">
        <v>748</v>
      </c>
      <c r="AQ100" s="214" t="s">
        <v>1191</v>
      </c>
    </row>
    <row r="101" spans="1:43" x14ac:dyDescent="0.2">
      <c r="B101" s="609" t="s">
        <v>284</v>
      </c>
      <c r="C101" s="609" t="s">
        <v>283</v>
      </c>
      <c r="D101" s="239">
        <v>36181619</v>
      </c>
      <c r="E101" s="239">
        <v>0</v>
      </c>
      <c r="F101" s="239">
        <v>36181619</v>
      </c>
      <c r="G101" s="239">
        <v>0</v>
      </c>
      <c r="H101" s="239">
        <v>0</v>
      </c>
      <c r="I101" s="239">
        <v>0</v>
      </c>
      <c r="J101" s="239">
        <v>-290399</v>
      </c>
      <c r="K101" s="239">
        <v>0</v>
      </c>
      <c r="L101" s="239">
        <v>-290399</v>
      </c>
      <c r="M101" s="239">
        <v>0</v>
      </c>
      <c r="N101" s="239">
        <v>0</v>
      </c>
      <c r="O101" s="239">
        <v>0</v>
      </c>
      <c r="P101" s="239">
        <v>-228176</v>
      </c>
      <c r="Q101" s="239">
        <v>0</v>
      </c>
      <c r="R101" s="239">
        <v>-228176</v>
      </c>
      <c r="S101" s="239">
        <v>327243</v>
      </c>
      <c r="T101" s="239">
        <v>0</v>
      </c>
      <c r="U101" s="239">
        <v>327243</v>
      </c>
      <c r="V101" s="239">
        <v>-261653</v>
      </c>
      <c r="W101" s="239">
        <v>0</v>
      </c>
      <c r="X101" s="239">
        <v>-261653</v>
      </c>
      <c r="Y101" s="239">
        <v>36019033</v>
      </c>
      <c r="Z101" s="239">
        <v>0</v>
      </c>
      <c r="AA101" s="239">
        <v>36019033</v>
      </c>
      <c r="AB101" s="239">
        <v>0</v>
      </c>
      <c r="AC101" s="239">
        <v>0</v>
      </c>
      <c r="AD101" s="239">
        <v>0</v>
      </c>
      <c r="AE101" s="239">
        <v>0</v>
      </c>
      <c r="AF101" s="239">
        <v>0</v>
      </c>
      <c r="AG101" s="239">
        <v>0</v>
      </c>
      <c r="AH101" s="239">
        <v>0</v>
      </c>
      <c r="AI101" s="239">
        <v>0</v>
      </c>
      <c r="AJ101" s="239">
        <v>0</v>
      </c>
      <c r="AK101" s="239">
        <v>0</v>
      </c>
      <c r="AL101" s="239">
        <v>1112962</v>
      </c>
      <c r="AM101" s="239">
        <v>-1316220</v>
      </c>
      <c r="AN101" s="214" t="s">
        <v>283</v>
      </c>
      <c r="AO101" s="214" t="s">
        <v>821</v>
      </c>
      <c r="AP101" s="214" t="s">
        <v>819</v>
      </c>
      <c r="AQ101" s="214" t="s">
        <v>1190</v>
      </c>
    </row>
    <row r="102" spans="1:43" x14ac:dyDescent="0.2">
      <c r="B102" s="609" t="s">
        <v>286</v>
      </c>
      <c r="C102" s="609" t="s">
        <v>285</v>
      </c>
      <c r="D102" s="239">
        <v>23580931</v>
      </c>
      <c r="E102" s="239">
        <v>0</v>
      </c>
      <c r="F102" s="239">
        <v>23580931</v>
      </c>
      <c r="G102" s="239">
        <v>0</v>
      </c>
      <c r="H102" s="239">
        <v>0</v>
      </c>
      <c r="I102" s="239">
        <v>0</v>
      </c>
      <c r="J102" s="239">
        <v>-81109</v>
      </c>
      <c r="K102" s="239">
        <v>0</v>
      </c>
      <c r="L102" s="239">
        <v>-81109</v>
      </c>
      <c r="M102" s="239">
        <v>0</v>
      </c>
      <c r="N102" s="239">
        <v>0</v>
      </c>
      <c r="O102" s="239">
        <v>0</v>
      </c>
      <c r="P102" s="239">
        <v>-76787</v>
      </c>
      <c r="Q102" s="239">
        <v>0</v>
      </c>
      <c r="R102" s="239">
        <v>-76787</v>
      </c>
      <c r="S102" s="239">
        <v>0</v>
      </c>
      <c r="T102" s="239">
        <v>0</v>
      </c>
      <c r="U102" s="239">
        <v>0</v>
      </c>
      <c r="V102" s="239">
        <v>-218776</v>
      </c>
      <c r="W102" s="239">
        <v>0</v>
      </c>
      <c r="X102" s="239">
        <v>-218776</v>
      </c>
      <c r="Y102" s="239">
        <v>23285368</v>
      </c>
      <c r="Z102" s="239">
        <v>0</v>
      </c>
      <c r="AA102" s="239">
        <v>23285368</v>
      </c>
      <c r="AB102" s="239">
        <v>0</v>
      </c>
      <c r="AC102" s="239">
        <v>0</v>
      </c>
      <c r="AD102" s="239">
        <v>0</v>
      </c>
      <c r="AE102" s="239">
        <v>0</v>
      </c>
      <c r="AF102" s="239">
        <v>0</v>
      </c>
      <c r="AG102" s="239">
        <v>0</v>
      </c>
      <c r="AH102" s="239">
        <v>0</v>
      </c>
      <c r="AI102" s="239">
        <v>0</v>
      </c>
      <c r="AJ102" s="239">
        <v>0</v>
      </c>
      <c r="AK102" s="239">
        <v>0</v>
      </c>
      <c r="AL102" s="239">
        <v>161385</v>
      </c>
      <c r="AM102" s="239">
        <v>-108894</v>
      </c>
      <c r="AN102" s="214" t="s">
        <v>285</v>
      </c>
      <c r="AO102" s="214" t="s">
        <v>771</v>
      </c>
      <c r="AP102" s="214" t="s">
        <v>762</v>
      </c>
      <c r="AQ102" s="214" t="s">
        <v>1190</v>
      </c>
    </row>
    <row r="103" spans="1:43" x14ac:dyDescent="0.2">
      <c r="B103" s="609" t="s">
        <v>288</v>
      </c>
      <c r="C103" s="609" t="s">
        <v>287</v>
      </c>
      <c r="D103" s="239">
        <v>24514648</v>
      </c>
      <c r="E103" s="239">
        <v>0</v>
      </c>
      <c r="F103" s="239">
        <v>24514648</v>
      </c>
      <c r="G103" s="239">
        <v>0</v>
      </c>
      <c r="H103" s="239">
        <v>0</v>
      </c>
      <c r="I103" s="239">
        <v>0</v>
      </c>
      <c r="J103" s="239">
        <v>-299675</v>
      </c>
      <c r="K103" s="239">
        <v>0</v>
      </c>
      <c r="L103" s="239">
        <v>-299675</v>
      </c>
      <c r="M103" s="239">
        <v>0</v>
      </c>
      <c r="N103" s="239">
        <v>0</v>
      </c>
      <c r="O103" s="239">
        <v>0</v>
      </c>
      <c r="P103" s="239">
        <v>-190175</v>
      </c>
      <c r="Q103" s="239">
        <v>0</v>
      </c>
      <c r="R103" s="239">
        <v>-190175</v>
      </c>
      <c r="S103" s="239">
        <v>574000</v>
      </c>
      <c r="T103" s="239">
        <v>0</v>
      </c>
      <c r="U103" s="239">
        <v>574000</v>
      </c>
      <c r="V103" s="239">
        <v>-1017700</v>
      </c>
      <c r="W103" s="239">
        <v>0</v>
      </c>
      <c r="X103" s="239">
        <v>-1017700</v>
      </c>
      <c r="Y103" s="239">
        <v>23880773</v>
      </c>
      <c r="Z103" s="239">
        <v>0</v>
      </c>
      <c r="AA103" s="239">
        <v>23880773</v>
      </c>
      <c r="AB103" s="239">
        <v>0</v>
      </c>
      <c r="AC103" s="239">
        <v>0</v>
      </c>
      <c r="AD103" s="239">
        <v>0</v>
      </c>
      <c r="AE103" s="239">
        <v>0</v>
      </c>
      <c r="AF103" s="239">
        <v>0</v>
      </c>
      <c r="AG103" s="239">
        <v>0</v>
      </c>
      <c r="AH103" s="239">
        <v>0</v>
      </c>
      <c r="AI103" s="239">
        <v>0</v>
      </c>
      <c r="AJ103" s="239">
        <v>0</v>
      </c>
      <c r="AK103" s="239">
        <v>0</v>
      </c>
      <c r="AL103" s="239">
        <v>1145410</v>
      </c>
      <c r="AM103" s="239">
        <v>-867561</v>
      </c>
      <c r="AN103" s="214" t="s">
        <v>287</v>
      </c>
      <c r="AO103" s="214" t="s">
        <v>857</v>
      </c>
      <c r="AP103" s="214" t="s">
        <v>855</v>
      </c>
      <c r="AQ103" s="214" t="s">
        <v>1190</v>
      </c>
    </row>
    <row r="104" spans="1:43" x14ac:dyDescent="0.2">
      <c r="B104" s="609" t="s">
        <v>290</v>
      </c>
      <c r="C104" s="609" t="s">
        <v>289</v>
      </c>
      <c r="D104" s="239">
        <v>78528933</v>
      </c>
      <c r="E104" s="239">
        <v>0</v>
      </c>
      <c r="F104" s="239">
        <v>78528933</v>
      </c>
      <c r="G104" s="239">
        <v>-24236</v>
      </c>
      <c r="H104" s="239">
        <v>0</v>
      </c>
      <c r="I104" s="239">
        <v>-24236</v>
      </c>
      <c r="J104" s="239">
        <v>0</v>
      </c>
      <c r="K104" s="239">
        <v>0</v>
      </c>
      <c r="L104" s="239">
        <v>0</v>
      </c>
      <c r="M104" s="239">
        <v>-274428</v>
      </c>
      <c r="N104" s="239">
        <v>0</v>
      </c>
      <c r="O104" s="239">
        <v>-274428</v>
      </c>
      <c r="P104" s="239">
        <v>-90000</v>
      </c>
      <c r="Q104" s="239">
        <v>0</v>
      </c>
      <c r="R104" s="239">
        <v>-90000</v>
      </c>
      <c r="S104" s="239">
        <v>614046</v>
      </c>
      <c r="T104" s="239">
        <v>0</v>
      </c>
      <c r="U104" s="239">
        <v>614046</v>
      </c>
      <c r="V104" s="239">
        <v>-145031</v>
      </c>
      <c r="W104" s="239">
        <v>0</v>
      </c>
      <c r="X104" s="239">
        <v>-145031</v>
      </c>
      <c r="Y104" s="239">
        <v>78609284</v>
      </c>
      <c r="Z104" s="239">
        <v>0</v>
      </c>
      <c r="AA104" s="239">
        <v>78609284</v>
      </c>
      <c r="AB104" s="239">
        <v>0</v>
      </c>
      <c r="AC104" s="239">
        <v>0</v>
      </c>
      <c r="AD104" s="239">
        <v>0</v>
      </c>
      <c r="AE104" s="239">
        <v>0</v>
      </c>
      <c r="AF104" s="239">
        <v>0</v>
      </c>
      <c r="AG104" s="239">
        <v>0</v>
      </c>
      <c r="AH104" s="239">
        <v>0</v>
      </c>
      <c r="AI104" s="239">
        <v>0</v>
      </c>
      <c r="AJ104" s="239">
        <v>0</v>
      </c>
      <c r="AK104" s="239">
        <v>0</v>
      </c>
      <c r="AL104" s="239">
        <v>2965661</v>
      </c>
      <c r="AM104" s="239">
        <v>-1470008</v>
      </c>
      <c r="AN104" s="214" t="s">
        <v>289</v>
      </c>
      <c r="AO104" s="214" t="s">
        <v>799</v>
      </c>
      <c r="AP104" s="214" t="s">
        <v>791</v>
      </c>
      <c r="AQ104" s="214" t="s">
        <v>1190</v>
      </c>
    </row>
    <row r="105" spans="1:43" x14ac:dyDescent="0.2">
      <c r="B105" s="609" t="s">
        <v>292</v>
      </c>
      <c r="C105" s="609" t="s">
        <v>291</v>
      </c>
      <c r="D105" s="239">
        <v>40780507</v>
      </c>
      <c r="E105" s="239">
        <v>95972</v>
      </c>
      <c r="F105" s="239">
        <v>40876479</v>
      </c>
      <c r="G105" s="239">
        <v>-22304</v>
      </c>
      <c r="H105" s="239">
        <v>0</v>
      </c>
      <c r="I105" s="239">
        <v>-22304</v>
      </c>
      <c r="J105" s="239">
        <v>-89982</v>
      </c>
      <c r="K105" s="239">
        <v>0</v>
      </c>
      <c r="L105" s="239">
        <v>-89982</v>
      </c>
      <c r="M105" s="239">
        <v>0</v>
      </c>
      <c r="N105" s="239">
        <v>0</v>
      </c>
      <c r="O105" s="239">
        <v>0</v>
      </c>
      <c r="P105" s="239">
        <v>-202129</v>
      </c>
      <c r="Q105" s="239">
        <v>0</v>
      </c>
      <c r="R105" s="239">
        <v>-202129</v>
      </c>
      <c r="S105" s="239">
        <v>2335119</v>
      </c>
      <c r="T105" s="239">
        <v>0</v>
      </c>
      <c r="U105" s="239">
        <v>2335119</v>
      </c>
      <c r="V105" s="239">
        <v>292056</v>
      </c>
      <c r="W105" s="239">
        <v>0</v>
      </c>
      <c r="X105" s="239">
        <v>292056</v>
      </c>
      <c r="Y105" s="239">
        <v>43183249</v>
      </c>
      <c r="Z105" s="239">
        <v>95972</v>
      </c>
      <c r="AA105" s="239">
        <v>43279221</v>
      </c>
      <c r="AB105" s="239">
        <v>95972</v>
      </c>
      <c r="AC105" s="239">
        <v>95972</v>
      </c>
      <c r="AD105" s="239">
        <v>0</v>
      </c>
      <c r="AE105" s="239">
        <v>81582</v>
      </c>
      <c r="AF105" s="239">
        <v>81582</v>
      </c>
      <c r="AG105" s="239">
        <v>0</v>
      </c>
      <c r="AH105" s="239">
        <v>0</v>
      </c>
      <c r="AI105" s="239">
        <v>99753</v>
      </c>
      <c r="AJ105" s="239">
        <v>99753</v>
      </c>
      <c r="AK105" s="239">
        <v>0</v>
      </c>
      <c r="AL105" s="239">
        <v>908760</v>
      </c>
      <c r="AM105" s="239">
        <v>-1302986</v>
      </c>
      <c r="AN105" s="214" t="s">
        <v>291</v>
      </c>
      <c r="AO105" s="214" t="s">
        <v>778</v>
      </c>
      <c r="AP105" s="214" t="s">
        <v>776</v>
      </c>
      <c r="AQ105" s="214" t="s">
        <v>1190</v>
      </c>
    </row>
    <row r="106" spans="1:43" x14ac:dyDescent="0.2">
      <c r="B106" s="609" t="s">
        <v>294</v>
      </c>
      <c r="C106" s="609" t="s">
        <v>293</v>
      </c>
      <c r="D106" s="239">
        <v>25781187</v>
      </c>
      <c r="E106" s="239">
        <v>0</v>
      </c>
      <c r="F106" s="239">
        <v>25781187</v>
      </c>
      <c r="G106" s="239">
        <v>0</v>
      </c>
      <c r="H106" s="239">
        <v>0</v>
      </c>
      <c r="I106" s="239">
        <v>0</v>
      </c>
      <c r="J106" s="239">
        <v>-11370</v>
      </c>
      <c r="K106" s="239">
        <v>0</v>
      </c>
      <c r="L106" s="239">
        <v>-11370</v>
      </c>
      <c r="M106" s="239">
        <v>0</v>
      </c>
      <c r="N106" s="239">
        <v>0</v>
      </c>
      <c r="O106" s="239">
        <v>0</v>
      </c>
      <c r="P106" s="239">
        <v>-95624</v>
      </c>
      <c r="Q106" s="239">
        <v>0</v>
      </c>
      <c r="R106" s="239">
        <v>-95624</v>
      </c>
      <c r="S106" s="239">
        <v>2179489</v>
      </c>
      <c r="T106" s="239">
        <v>0</v>
      </c>
      <c r="U106" s="239">
        <v>2179489</v>
      </c>
      <c r="V106" s="239">
        <v>-1463886</v>
      </c>
      <c r="W106" s="239">
        <v>0</v>
      </c>
      <c r="X106" s="239">
        <v>-1463886</v>
      </c>
      <c r="Y106" s="239">
        <v>26401166</v>
      </c>
      <c r="Z106" s="239">
        <v>0</v>
      </c>
      <c r="AA106" s="239">
        <v>26401166</v>
      </c>
      <c r="AB106" s="239">
        <v>0</v>
      </c>
      <c r="AC106" s="239">
        <v>0</v>
      </c>
      <c r="AD106" s="239">
        <v>221292</v>
      </c>
      <c r="AE106" s="239">
        <v>0</v>
      </c>
      <c r="AF106" s="239">
        <v>221292</v>
      </c>
      <c r="AG106" s="239">
        <v>0</v>
      </c>
      <c r="AH106" s="239">
        <v>0</v>
      </c>
      <c r="AI106" s="239">
        <v>0</v>
      </c>
      <c r="AJ106" s="239">
        <v>0</v>
      </c>
      <c r="AK106" s="239">
        <v>0</v>
      </c>
      <c r="AL106" s="239">
        <v>1485217</v>
      </c>
      <c r="AM106" s="239">
        <v>-250806</v>
      </c>
      <c r="AN106" s="214" t="s">
        <v>293</v>
      </c>
      <c r="AO106" s="214" t="s">
        <v>861</v>
      </c>
      <c r="AP106" s="214" t="s">
        <v>859</v>
      </c>
      <c r="AQ106" s="214" t="s">
        <v>1190</v>
      </c>
    </row>
    <row r="107" spans="1:43" x14ac:dyDescent="0.2">
      <c r="B107" s="609" t="s">
        <v>296</v>
      </c>
      <c r="C107" s="609" t="s">
        <v>295</v>
      </c>
      <c r="D107" s="239">
        <v>23847898</v>
      </c>
      <c r="E107" s="239">
        <v>0</v>
      </c>
      <c r="F107" s="239">
        <v>23847898</v>
      </c>
      <c r="G107" s="239">
        <v>0</v>
      </c>
      <c r="H107" s="239">
        <v>0</v>
      </c>
      <c r="I107" s="239">
        <v>0</v>
      </c>
      <c r="J107" s="239">
        <v>-181446</v>
      </c>
      <c r="K107" s="239">
        <v>0</v>
      </c>
      <c r="L107" s="239">
        <v>-181446</v>
      </c>
      <c r="M107" s="239">
        <v>0</v>
      </c>
      <c r="N107" s="239">
        <v>0</v>
      </c>
      <c r="O107" s="239">
        <v>0</v>
      </c>
      <c r="P107" s="239">
        <v>-190113</v>
      </c>
      <c r="Q107" s="239">
        <v>0</v>
      </c>
      <c r="R107" s="239">
        <v>-190113</v>
      </c>
      <c r="S107" s="239">
        <v>275273</v>
      </c>
      <c r="T107" s="239">
        <v>0</v>
      </c>
      <c r="U107" s="239">
        <v>275273</v>
      </c>
      <c r="V107" s="239">
        <v>-94993</v>
      </c>
      <c r="W107" s="239">
        <v>0</v>
      </c>
      <c r="X107" s="239">
        <v>-94993</v>
      </c>
      <c r="Y107" s="239">
        <v>23838065</v>
      </c>
      <c r="Z107" s="239">
        <v>0</v>
      </c>
      <c r="AA107" s="239">
        <v>23838065</v>
      </c>
      <c r="AB107" s="239">
        <v>0</v>
      </c>
      <c r="AC107" s="239">
        <v>0</v>
      </c>
      <c r="AD107" s="239">
        <v>104853</v>
      </c>
      <c r="AE107" s="239">
        <v>0</v>
      </c>
      <c r="AF107" s="239">
        <v>104853</v>
      </c>
      <c r="AG107" s="239">
        <v>0</v>
      </c>
      <c r="AH107" s="239">
        <v>0</v>
      </c>
      <c r="AI107" s="239">
        <v>0</v>
      </c>
      <c r="AJ107" s="239">
        <v>0</v>
      </c>
      <c r="AK107" s="239">
        <v>0</v>
      </c>
      <c r="AL107" s="239">
        <v>793300</v>
      </c>
      <c r="AM107" s="239">
        <v>-334673</v>
      </c>
      <c r="AN107" s="214" t="s">
        <v>295</v>
      </c>
      <c r="AO107" s="214" t="s">
        <v>810</v>
      </c>
      <c r="AP107" s="214" t="s">
        <v>762</v>
      </c>
      <c r="AQ107" s="214" t="s">
        <v>1190</v>
      </c>
    </row>
    <row r="108" spans="1:43" x14ac:dyDescent="0.2">
      <c r="B108" s="609" t="s">
        <v>298</v>
      </c>
      <c r="C108" s="609" t="s">
        <v>297</v>
      </c>
      <c r="D108" s="239">
        <v>11910268</v>
      </c>
      <c r="E108" s="239">
        <v>0</v>
      </c>
      <c r="F108" s="239">
        <v>11910268</v>
      </c>
      <c r="G108" s="239">
        <v>0</v>
      </c>
      <c r="H108" s="239">
        <v>0</v>
      </c>
      <c r="I108" s="239">
        <v>0</v>
      </c>
      <c r="J108" s="239">
        <v>-187463</v>
      </c>
      <c r="K108" s="239">
        <v>0</v>
      </c>
      <c r="L108" s="239">
        <v>-187463</v>
      </c>
      <c r="M108" s="239">
        <v>0</v>
      </c>
      <c r="N108" s="239">
        <v>0</v>
      </c>
      <c r="O108" s="239">
        <v>0</v>
      </c>
      <c r="P108" s="239">
        <v>-143184</v>
      </c>
      <c r="Q108" s="239">
        <v>0</v>
      </c>
      <c r="R108" s="239">
        <v>-143184</v>
      </c>
      <c r="S108" s="239">
        <v>744047</v>
      </c>
      <c r="T108" s="239">
        <v>0</v>
      </c>
      <c r="U108" s="239">
        <v>744047</v>
      </c>
      <c r="V108" s="239">
        <v>-193157</v>
      </c>
      <c r="W108" s="239">
        <v>0</v>
      </c>
      <c r="X108" s="239">
        <v>-193157</v>
      </c>
      <c r="Y108" s="239">
        <v>12317974</v>
      </c>
      <c r="Z108" s="239">
        <v>0</v>
      </c>
      <c r="AA108" s="239">
        <v>12317974</v>
      </c>
      <c r="AB108" s="239">
        <v>0</v>
      </c>
      <c r="AC108" s="239">
        <v>0</v>
      </c>
      <c r="AD108" s="239">
        <v>86580</v>
      </c>
      <c r="AE108" s="239">
        <v>0</v>
      </c>
      <c r="AF108" s="239">
        <v>86580</v>
      </c>
      <c r="AG108" s="239">
        <v>0</v>
      </c>
      <c r="AH108" s="239">
        <v>0</v>
      </c>
      <c r="AI108" s="239">
        <v>0</v>
      </c>
      <c r="AJ108" s="239">
        <v>0</v>
      </c>
      <c r="AK108" s="239">
        <v>0</v>
      </c>
      <c r="AL108" s="239">
        <v>410612</v>
      </c>
      <c r="AM108" s="239">
        <v>-134067</v>
      </c>
      <c r="AN108" s="214" t="s">
        <v>297</v>
      </c>
      <c r="AO108" s="214" t="s">
        <v>830</v>
      </c>
      <c r="AP108" s="214" t="s">
        <v>762</v>
      </c>
      <c r="AQ108" s="214" t="s">
        <v>1190</v>
      </c>
    </row>
    <row r="109" spans="1:43" x14ac:dyDescent="0.2">
      <c r="B109" s="609" t="s">
        <v>300</v>
      </c>
      <c r="C109" s="609" t="s">
        <v>299</v>
      </c>
      <c r="D109" s="239">
        <v>25167271</v>
      </c>
      <c r="E109" s="239">
        <v>2002275</v>
      </c>
      <c r="F109" s="239">
        <v>27169546</v>
      </c>
      <c r="G109" s="239">
        <v>0</v>
      </c>
      <c r="H109" s="239">
        <v>0</v>
      </c>
      <c r="I109" s="239">
        <v>0</v>
      </c>
      <c r="J109" s="239">
        <v>-191891</v>
      </c>
      <c r="K109" s="239">
        <v>0</v>
      </c>
      <c r="L109" s="239">
        <v>-191891</v>
      </c>
      <c r="M109" s="239">
        <v>0</v>
      </c>
      <c r="N109" s="239">
        <v>0</v>
      </c>
      <c r="O109" s="239">
        <v>0</v>
      </c>
      <c r="P109" s="239">
        <v>-295978</v>
      </c>
      <c r="Q109" s="239">
        <v>0</v>
      </c>
      <c r="R109" s="239">
        <v>-295978</v>
      </c>
      <c r="S109" s="239">
        <v>0</v>
      </c>
      <c r="T109" s="239">
        <v>0</v>
      </c>
      <c r="U109" s="239">
        <v>0</v>
      </c>
      <c r="V109" s="239">
        <v>4691063</v>
      </c>
      <c r="W109" s="239">
        <v>0</v>
      </c>
      <c r="X109" s="239">
        <v>4691063</v>
      </c>
      <c r="Y109" s="239">
        <v>29562356</v>
      </c>
      <c r="Z109" s="239">
        <v>2002275</v>
      </c>
      <c r="AA109" s="239">
        <v>31564631</v>
      </c>
      <c r="AB109" s="239">
        <v>2002275</v>
      </c>
      <c r="AC109" s="239">
        <v>2002275</v>
      </c>
      <c r="AD109" s="239">
        <v>47587</v>
      </c>
      <c r="AE109" s="239">
        <v>0</v>
      </c>
      <c r="AF109" s="239">
        <v>47587</v>
      </c>
      <c r="AG109" s="239">
        <v>0</v>
      </c>
      <c r="AH109" s="239">
        <v>0</v>
      </c>
      <c r="AI109" s="239">
        <v>2010822</v>
      </c>
      <c r="AJ109" s="239">
        <v>2010822</v>
      </c>
      <c r="AK109" s="239">
        <v>0</v>
      </c>
      <c r="AL109" s="239">
        <v>1844380</v>
      </c>
      <c r="AM109" s="239">
        <v>-929582</v>
      </c>
      <c r="AN109" s="214" t="s">
        <v>299</v>
      </c>
      <c r="AO109" s="214" t="s">
        <v>756</v>
      </c>
      <c r="AP109" s="214" t="s">
        <v>754</v>
      </c>
      <c r="AQ109" s="214" t="s">
        <v>1190</v>
      </c>
    </row>
    <row r="110" spans="1:43" x14ac:dyDescent="0.2">
      <c r="B110" s="609" t="s">
        <v>302</v>
      </c>
      <c r="C110" s="609" t="s">
        <v>301</v>
      </c>
      <c r="D110" s="239">
        <v>91137440</v>
      </c>
      <c r="E110" s="239">
        <v>1753402</v>
      </c>
      <c r="F110" s="239">
        <v>92890842</v>
      </c>
      <c r="G110" s="239">
        <v>0</v>
      </c>
      <c r="H110" s="239">
        <v>0</v>
      </c>
      <c r="I110" s="239">
        <v>0</v>
      </c>
      <c r="J110" s="239">
        <v>-3113176</v>
      </c>
      <c r="K110" s="239">
        <v>-51824</v>
      </c>
      <c r="L110" s="239">
        <v>-3165000</v>
      </c>
      <c r="M110" s="239">
        <v>-179958</v>
      </c>
      <c r="N110" s="239">
        <v>0</v>
      </c>
      <c r="O110" s="239">
        <v>-179958</v>
      </c>
      <c r="P110" s="239">
        <v>-3113176</v>
      </c>
      <c r="Q110" s="239">
        <v>-51824</v>
      </c>
      <c r="R110" s="239">
        <v>-3165000</v>
      </c>
      <c r="S110" s="239">
        <v>3378604</v>
      </c>
      <c r="T110" s="239">
        <v>1271</v>
      </c>
      <c r="U110" s="239">
        <v>3379875</v>
      </c>
      <c r="V110" s="239">
        <v>-3378604</v>
      </c>
      <c r="W110" s="239">
        <v>-1271</v>
      </c>
      <c r="X110" s="239">
        <v>-3379875</v>
      </c>
      <c r="Y110" s="239">
        <v>87844306</v>
      </c>
      <c r="Z110" s="239">
        <v>1701578</v>
      </c>
      <c r="AA110" s="239">
        <v>89545884</v>
      </c>
      <c r="AB110" s="239">
        <v>1701578</v>
      </c>
      <c r="AC110" s="239">
        <v>1701578</v>
      </c>
      <c r="AD110" s="239">
        <v>0</v>
      </c>
      <c r="AE110" s="239">
        <v>0</v>
      </c>
      <c r="AF110" s="239">
        <v>0</v>
      </c>
      <c r="AG110" s="239">
        <v>0</v>
      </c>
      <c r="AH110" s="239">
        <v>0</v>
      </c>
      <c r="AI110" s="239">
        <v>1164622</v>
      </c>
      <c r="AJ110" s="239">
        <v>1164622</v>
      </c>
      <c r="AK110" s="239">
        <v>536956</v>
      </c>
      <c r="AL110" s="239">
        <v>4646834</v>
      </c>
      <c r="AM110" s="239">
        <v>-2284362</v>
      </c>
      <c r="AN110" s="214" t="s">
        <v>301</v>
      </c>
      <c r="AO110" s="214" t="s">
        <v>767</v>
      </c>
      <c r="AP110" s="214" t="s">
        <v>840</v>
      </c>
      <c r="AQ110" s="214" t="s">
        <v>1192</v>
      </c>
    </row>
    <row r="111" spans="1:43" x14ac:dyDescent="0.2">
      <c r="B111" s="609" t="s">
        <v>304</v>
      </c>
      <c r="C111" s="609" t="s">
        <v>303</v>
      </c>
      <c r="D111" s="239">
        <v>22435020</v>
      </c>
      <c r="E111" s="239">
        <v>0</v>
      </c>
      <c r="F111" s="239">
        <v>22435020</v>
      </c>
      <c r="G111" s="239">
        <v>0</v>
      </c>
      <c r="H111" s="239">
        <v>0</v>
      </c>
      <c r="I111" s="239">
        <v>0</v>
      </c>
      <c r="J111" s="239">
        <v>-61680</v>
      </c>
      <c r="K111" s="239">
        <v>0</v>
      </c>
      <c r="L111" s="239">
        <v>-61680</v>
      </c>
      <c r="M111" s="239">
        <v>0</v>
      </c>
      <c r="N111" s="239">
        <v>0</v>
      </c>
      <c r="O111" s="239">
        <v>0</v>
      </c>
      <c r="P111" s="239">
        <v>-75890</v>
      </c>
      <c r="Q111" s="239">
        <v>0</v>
      </c>
      <c r="R111" s="239">
        <v>-75890</v>
      </c>
      <c r="S111" s="239">
        <v>282664</v>
      </c>
      <c r="T111" s="239">
        <v>0</v>
      </c>
      <c r="U111" s="239">
        <v>282664</v>
      </c>
      <c r="V111" s="239">
        <v>-521917</v>
      </c>
      <c r="W111" s="239">
        <v>0</v>
      </c>
      <c r="X111" s="239">
        <v>-521917</v>
      </c>
      <c r="Y111" s="239">
        <v>22119877</v>
      </c>
      <c r="Z111" s="239">
        <v>0</v>
      </c>
      <c r="AA111" s="239">
        <v>22119877</v>
      </c>
      <c r="AB111" s="239">
        <v>0</v>
      </c>
      <c r="AC111" s="239">
        <v>0</v>
      </c>
      <c r="AD111" s="239">
        <v>81757</v>
      </c>
      <c r="AE111" s="239">
        <v>0</v>
      </c>
      <c r="AF111" s="239">
        <v>81757</v>
      </c>
      <c r="AG111" s="239">
        <v>0</v>
      </c>
      <c r="AH111" s="239">
        <v>0</v>
      </c>
      <c r="AI111" s="239">
        <v>0</v>
      </c>
      <c r="AJ111" s="239">
        <v>0</v>
      </c>
      <c r="AK111" s="239">
        <v>0</v>
      </c>
      <c r="AL111" s="239">
        <v>432934</v>
      </c>
      <c r="AM111" s="239">
        <v>-320968</v>
      </c>
      <c r="AN111" s="214" t="s">
        <v>303</v>
      </c>
      <c r="AO111" s="214" t="s">
        <v>873</v>
      </c>
      <c r="AP111" s="214" t="s">
        <v>871</v>
      </c>
      <c r="AQ111" s="214" t="s">
        <v>1190</v>
      </c>
    </row>
    <row r="112" spans="1:43" x14ac:dyDescent="0.2">
      <c r="B112" s="609" t="s">
        <v>306</v>
      </c>
      <c r="C112" s="609" t="s">
        <v>305</v>
      </c>
      <c r="D112" s="239">
        <v>53012693</v>
      </c>
      <c r="E112" s="239">
        <v>0</v>
      </c>
      <c r="F112" s="239">
        <v>53012693</v>
      </c>
      <c r="G112" s="239">
        <v>-9991</v>
      </c>
      <c r="H112" s="239">
        <v>0</v>
      </c>
      <c r="I112" s="239">
        <v>-9991</v>
      </c>
      <c r="J112" s="239">
        <v>-29158</v>
      </c>
      <c r="K112" s="239">
        <v>0</v>
      </c>
      <c r="L112" s="239">
        <v>-29158</v>
      </c>
      <c r="M112" s="239">
        <v>0</v>
      </c>
      <c r="N112" s="239">
        <v>0</v>
      </c>
      <c r="O112" s="239">
        <v>0</v>
      </c>
      <c r="P112" s="239">
        <v>-484855</v>
      </c>
      <c r="Q112" s="239">
        <v>0</v>
      </c>
      <c r="R112" s="239">
        <v>-484855</v>
      </c>
      <c r="S112" s="239">
        <v>2171227</v>
      </c>
      <c r="T112" s="239">
        <v>0</v>
      </c>
      <c r="U112" s="239">
        <v>2171227</v>
      </c>
      <c r="V112" s="239">
        <v>-2931814</v>
      </c>
      <c r="W112" s="239">
        <v>0</v>
      </c>
      <c r="X112" s="239">
        <v>-2931814</v>
      </c>
      <c r="Y112" s="239">
        <v>51757260</v>
      </c>
      <c r="Z112" s="239">
        <v>0</v>
      </c>
      <c r="AA112" s="239">
        <v>51757260</v>
      </c>
      <c r="AB112" s="239">
        <v>0</v>
      </c>
      <c r="AC112" s="239">
        <v>0</v>
      </c>
      <c r="AD112" s="239">
        <v>0</v>
      </c>
      <c r="AE112" s="239">
        <v>0</v>
      </c>
      <c r="AF112" s="239">
        <v>0</v>
      </c>
      <c r="AG112" s="239">
        <v>0</v>
      </c>
      <c r="AH112" s="239">
        <v>0</v>
      </c>
      <c r="AI112" s="239">
        <v>0</v>
      </c>
      <c r="AJ112" s="239">
        <v>0</v>
      </c>
      <c r="AK112" s="239">
        <v>0</v>
      </c>
      <c r="AL112" s="239">
        <v>2469895</v>
      </c>
      <c r="AM112" s="239">
        <v>-1153394</v>
      </c>
      <c r="AN112" s="214" t="s">
        <v>305</v>
      </c>
      <c r="AO112" s="214" t="s">
        <v>830</v>
      </c>
      <c r="AP112" s="214" t="s">
        <v>762</v>
      </c>
      <c r="AQ112" s="214" t="s">
        <v>1190</v>
      </c>
    </row>
    <row r="113" spans="1:43" x14ac:dyDescent="0.2">
      <c r="B113" s="609" t="s">
        <v>308</v>
      </c>
      <c r="C113" s="609" t="s">
        <v>307</v>
      </c>
      <c r="D113" s="239">
        <v>14969788</v>
      </c>
      <c r="E113" s="239">
        <v>264442</v>
      </c>
      <c r="F113" s="239">
        <v>15234230</v>
      </c>
      <c r="G113" s="239">
        <v>-16278</v>
      </c>
      <c r="H113" s="239">
        <v>0</v>
      </c>
      <c r="I113" s="239">
        <v>-16278</v>
      </c>
      <c r="J113" s="239">
        <v>-115483</v>
      </c>
      <c r="K113" s="239">
        <v>0</v>
      </c>
      <c r="L113" s="239">
        <v>-115483</v>
      </c>
      <c r="M113" s="239">
        <v>0</v>
      </c>
      <c r="N113" s="239">
        <v>0</v>
      </c>
      <c r="O113" s="239">
        <v>0</v>
      </c>
      <c r="P113" s="239">
        <v>-335583</v>
      </c>
      <c r="Q113" s="239">
        <v>-100</v>
      </c>
      <c r="R113" s="239">
        <v>-335683</v>
      </c>
      <c r="S113" s="239">
        <v>1860135</v>
      </c>
      <c r="T113" s="239">
        <v>0</v>
      </c>
      <c r="U113" s="239">
        <v>1860135</v>
      </c>
      <c r="V113" s="239">
        <v>266276</v>
      </c>
      <c r="W113" s="239">
        <v>0</v>
      </c>
      <c r="X113" s="239">
        <v>266276</v>
      </c>
      <c r="Y113" s="239">
        <v>16744338</v>
      </c>
      <c r="Z113" s="239">
        <v>264342</v>
      </c>
      <c r="AA113" s="239">
        <v>17008680</v>
      </c>
      <c r="AB113" s="239">
        <v>264342</v>
      </c>
      <c r="AC113" s="239">
        <v>264342</v>
      </c>
      <c r="AD113" s="239">
        <v>0</v>
      </c>
      <c r="AE113" s="239">
        <v>0</v>
      </c>
      <c r="AF113" s="239">
        <v>0</v>
      </c>
      <c r="AG113" s="239">
        <v>0</v>
      </c>
      <c r="AH113" s="239">
        <v>0</v>
      </c>
      <c r="AI113" s="239">
        <v>439295</v>
      </c>
      <c r="AJ113" s="239">
        <v>439295</v>
      </c>
      <c r="AK113" s="239">
        <v>0</v>
      </c>
      <c r="AL113" s="239">
        <v>1165692</v>
      </c>
      <c r="AM113" s="239">
        <v>-37017</v>
      </c>
      <c r="AN113" s="214" t="s">
        <v>307</v>
      </c>
      <c r="AO113" s="214" t="s">
        <v>778</v>
      </c>
      <c r="AP113" s="214" t="s">
        <v>776</v>
      </c>
      <c r="AQ113" s="214" t="s">
        <v>1190</v>
      </c>
    </row>
    <row r="114" spans="1:43" x14ac:dyDescent="0.2">
      <c r="B114" s="609" t="s">
        <v>310</v>
      </c>
      <c r="C114" s="609" t="s">
        <v>309</v>
      </c>
      <c r="D114" s="239">
        <v>24806558</v>
      </c>
      <c r="E114" s="239">
        <v>0</v>
      </c>
      <c r="F114" s="239">
        <v>24806558</v>
      </c>
      <c r="G114" s="239">
        <v>0</v>
      </c>
      <c r="H114" s="239">
        <v>0</v>
      </c>
      <c r="I114" s="239">
        <v>0</v>
      </c>
      <c r="J114" s="239">
        <v>-231302</v>
      </c>
      <c r="K114" s="239">
        <v>0</v>
      </c>
      <c r="L114" s="239">
        <v>-231302</v>
      </c>
      <c r="M114" s="239">
        <v>1335</v>
      </c>
      <c r="N114" s="239">
        <v>0</v>
      </c>
      <c r="O114" s="239">
        <v>1335</v>
      </c>
      <c r="P114" s="239">
        <v>-128931</v>
      </c>
      <c r="Q114" s="239">
        <v>0</v>
      </c>
      <c r="R114" s="239">
        <v>-128931</v>
      </c>
      <c r="S114" s="239">
        <v>0</v>
      </c>
      <c r="T114" s="239">
        <v>0</v>
      </c>
      <c r="U114" s="239">
        <v>0</v>
      </c>
      <c r="V114" s="239">
        <v>-600000</v>
      </c>
      <c r="W114" s="239">
        <v>0</v>
      </c>
      <c r="X114" s="239">
        <v>-600000</v>
      </c>
      <c r="Y114" s="239">
        <v>24078962</v>
      </c>
      <c r="Z114" s="239">
        <v>0</v>
      </c>
      <c r="AA114" s="239">
        <v>24078962</v>
      </c>
      <c r="AB114" s="239">
        <v>0</v>
      </c>
      <c r="AC114" s="239">
        <v>0</v>
      </c>
      <c r="AD114" s="239">
        <v>0</v>
      </c>
      <c r="AE114" s="239">
        <v>0</v>
      </c>
      <c r="AF114" s="239">
        <v>0</v>
      </c>
      <c r="AG114" s="239">
        <v>0</v>
      </c>
      <c r="AH114" s="239">
        <v>0</v>
      </c>
      <c r="AI114" s="239">
        <v>0</v>
      </c>
      <c r="AJ114" s="239">
        <v>0</v>
      </c>
      <c r="AK114" s="239">
        <v>0</v>
      </c>
      <c r="AL114" s="239">
        <v>1194227</v>
      </c>
      <c r="AM114" s="239">
        <v>-17598</v>
      </c>
      <c r="AN114" s="214" t="s">
        <v>309</v>
      </c>
      <c r="AO114" s="214" t="s">
        <v>825</v>
      </c>
      <c r="AP114" s="214" t="s">
        <v>823</v>
      </c>
      <c r="AQ114" s="214" t="s">
        <v>1190</v>
      </c>
    </row>
    <row r="115" spans="1:43" x14ac:dyDescent="0.2">
      <c r="A115" s="215" t="s">
        <v>1211</v>
      </c>
      <c r="B115" s="609" t="s">
        <v>312</v>
      </c>
      <c r="C115" s="609" t="s">
        <v>311</v>
      </c>
      <c r="D115" s="239">
        <v>30274747</v>
      </c>
      <c r="E115" s="239">
        <v>486989</v>
      </c>
      <c r="F115" s="239">
        <v>30761736</v>
      </c>
      <c r="G115" s="239">
        <v>0</v>
      </c>
      <c r="H115" s="239">
        <v>0</v>
      </c>
      <c r="I115" s="239">
        <v>0</v>
      </c>
      <c r="J115" s="239">
        <v>-97466</v>
      </c>
      <c r="K115" s="239">
        <v>0</v>
      </c>
      <c r="L115" s="239">
        <v>-97466</v>
      </c>
      <c r="M115" s="239">
        <v>0</v>
      </c>
      <c r="N115" s="239">
        <v>0</v>
      </c>
      <c r="O115" s="239">
        <v>0</v>
      </c>
      <c r="P115" s="239">
        <v>-77781</v>
      </c>
      <c r="Q115" s="239">
        <v>0</v>
      </c>
      <c r="R115" s="239">
        <v>-77781</v>
      </c>
      <c r="S115" s="239">
        <v>1258504</v>
      </c>
      <c r="T115" s="239">
        <v>0</v>
      </c>
      <c r="U115" s="239">
        <v>1258504</v>
      </c>
      <c r="V115" s="239">
        <v>1528993</v>
      </c>
      <c r="W115" s="239">
        <v>0</v>
      </c>
      <c r="X115" s="239">
        <v>1528993</v>
      </c>
      <c r="Y115" s="239">
        <v>32984463</v>
      </c>
      <c r="Z115" s="239">
        <v>486989</v>
      </c>
      <c r="AA115" s="239">
        <v>33471452</v>
      </c>
      <c r="AB115" s="239">
        <v>486989</v>
      </c>
      <c r="AC115" s="239">
        <v>486989</v>
      </c>
      <c r="AD115" s="239">
        <v>55664</v>
      </c>
      <c r="AE115" s="239">
        <v>0</v>
      </c>
      <c r="AF115" s="239">
        <v>55664</v>
      </c>
      <c r="AG115" s="239">
        <v>0</v>
      </c>
      <c r="AH115" s="239">
        <v>0</v>
      </c>
      <c r="AI115" s="239">
        <v>280213</v>
      </c>
      <c r="AJ115" s="239">
        <v>280213</v>
      </c>
      <c r="AK115" s="239">
        <v>206776</v>
      </c>
      <c r="AL115" s="239">
        <v>1638589</v>
      </c>
      <c r="AM115" s="239">
        <v>-950278</v>
      </c>
      <c r="AN115" s="214" t="s">
        <v>311</v>
      </c>
      <c r="AO115" s="214" t="s">
        <v>848</v>
      </c>
      <c r="AP115" s="214" t="s">
        <v>762</v>
      </c>
      <c r="AQ115" s="214" t="s">
        <v>1190</v>
      </c>
    </row>
    <row r="116" spans="1:43" x14ac:dyDescent="0.2">
      <c r="B116" s="609" t="s">
        <v>314</v>
      </c>
      <c r="C116" s="609" t="s">
        <v>313</v>
      </c>
      <c r="D116" s="239">
        <v>82818217</v>
      </c>
      <c r="E116" s="239">
        <v>0</v>
      </c>
      <c r="F116" s="239">
        <v>82818217</v>
      </c>
      <c r="G116" s="239">
        <v>-555</v>
      </c>
      <c r="H116" s="239">
        <v>0</v>
      </c>
      <c r="I116" s="239">
        <v>-555</v>
      </c>
      <c r="J116" s="239">
        <v>-579901</v>
      </c>
      <c r="K116" s="239">
        <v>0</v>
      </c>
      <c r="L116" s="239">
        <v>-579901</v>
      </c>
      <c r="M116" s="239">
        <v>0</v>
      </c>
      <c r="N116" s="239">
        <v>0</v>
      </c>
      <c r="O116" s="239">
        <v>0</v>
      </c>
      <c r="P116" s="239">
        <v>-930082</v>
      </c>
      <c r="Q116" s="239">
        <v>0</v>
      </c>
      <c r="R116" s="239">
        <v>-930082</v>
      </c>
      <c r="S116" s="239">
        <v>901011</v>
      </c>
      <c r="T116" s="239">
        <v>0</v>
      </c>
      <c r="U116" s="239">
        <v>901011</v>
      </c>
      <c r="V116" s="239">
        <v>-2974741</v>
      </c>
      <c r="W116" s="239">
        <v>0</v>
      </c>
      <c r="X116" s="239">
        <v>-2974741</v>
      </c>
      <c r="Y116" s="239">
        <v>79813850</v>
      </c>
      <c r="Z116" s="239">
        <v>0</v>
      </c>
      <c r="AA116" s="239">
        <v>79813850</v>
      </c>
      <c r="AB116" s="239">
        <v>0</v>
      </c>
      <c r="AC116" s="239">
        <v>0</v>
      </c>
      <c r="AD116" s="239">
        <v>0</v>
      </c>
      <c r="AE116" s="239">
        <v>0</v>
      </c>
      <c r="AF116" s="239">
        <v>0</v>
      </c>
      <c r="AG116" s="239">
        <v>0</v>
      </c>
      <c r="AH116" s="239">
        <v>0</v>
      </c>
      <c r="AI116" s="239">
        <v>0</v>
      </c>
      <c r="AJ116" s="239">
        <v>0</v>
      </c>
      <c r="AK116" s="239">
        <v>0</v>
      </c>
      <c r="AL116" s="239">
        <v>3875519</v>
      </c>
      <c r="AM116" s="239">
        <v>-2855107</v>
      </c>
      <c r="AN116" s="214" t="s">
        <v>313</v>
      </c>
      <c r="AO116" s="214" t="s">
        <v>789</v>
      </c>
      <c r="AP116" s="214" t="s">
        <v>748</v>
      </c>
      <c r="AQ116" s="214" t="s">
        <v>1193</v>
      </c>
    </row>
    <row r="117" spans="1:43" x14ac:dyDescent="0.2">
      <c r="B117" s="609" t="s">
        <v>316</v>
      </c>
      <c r="C117" s="609" t="s">
        <v>315</v>
      </c>
      <c r="D117" s="239">
        <v>81696936</v>
      </c>
      <c r="E117" s="239">
        <v>0</v>
      </c>
      <c r="F117" s="239">
        <v>81696936</v>
      </c>
      <c r="G117" s="239">
        <v>0</v>
      </c>
      <c r="H117" s="239">
        <v>0</v>
      </c>
      <c r="I117" s="239">
        <v>0</v>
      </c>
      <c r="J117" s="239">
        <v>0</v>
      </c>
      <c r="K117" s="239">
        <v>0</v>
      </c>
      <c r="L117" s="239">
        <v>0</v>
      </c>
      <c r="M117" s="239">
        <v>0</v>
      </c>
      <c r="N117" s="239">
        <v>0</v>
      </c>
      <c r="O117" s="239">
        <v>0</v>
      </c>
      <c r="P117" s="239">
        <v>-176260</v>
      </c>
      <c r="Q117" s="239">
        <v>0</v>
      </c>
      <c r="R117" s="239">
        <v>-176260</v>
      </c>
      <c r="S117" s="239">
        <v>2720604</v>
      </c>
      <c r="T117" s="239">
        <v>0</v>
      </c>
      <c r="U117" s="239">
        <v>2720604</v>
      </c>
      <c r="V117" s="239">
        <v>2800000</v>
      </c>
      <c r="W117" s="239">
        <v>0</v>
      </c>
      <c r="X117" s="239">
        <v>2800000</v>
      </c>
      <c r="Y117" s="239">
        <v>87041280</v>
      </c>
      <c r="Z117" s="239">
        <v>0</v>
      </c>
      <c r="AA117" s="239">
        <v>87041280</v>
      </c>
      <c r="AB117" s="239">
        <v>0</v>
      </c>
      <c r="AC117" s="239">
        <v>0</v>
      </c>
      <c r="AD117" s="239">
        <v>0</v>
      </c>
      <c r="AE117" s="239">
        <v>0</v>
      </c>
      <c r="AF117" s="239">
        <v>0</v>
      </c>
      <c r="AG117" s="239">
        <v>0</v>
      </c>
      <c r="AH117" s="239">
        <v>0</v>
      </c>
      <c r="AI117" s="239">
        <v>0</v>
      </c>
      <c r="AJ117" s="239">
        <v>0</v>
      </c>
      <c r="AK117" s="239">
        <v>0</v>
      </c>
      <c r="AL117" s="239">
        <v>160549</v>
      </c>
      <c r="AM117" s="239">
        <v>-2187260</v>
      </c>
      <c r="AN117" s="214" t="s">
        <v>315</v>
      </c>
      <c r="AO117" s="214" t="s">
        <v>771</v>
      </c>
      <c r="AP117" s="214" t="s">
        <v>762</v>
      </c>
      <c r="AQ117" s="214" t="s">
        <v>1190</v>
      </c>
    </row>
    <row r="118" spans="1:43" x14ac:dyDescent="0.2">
      <c r="B118" s="609" t="s">
        <v>318</v>
      </c>
      <c r="C118" s="609" t="s">
        <v>317</v>
      </c>
      <c r="D118" s="239">
        <v>95761735</v>
      </c>
      <c r="E118" s="239">
        <v>0</v>
      </c>
      <c r="F118" s="239">
        <v>95761735</v>
      </c>
      <c r="G118" s="239">
        <v>-1011</v>
      </c>
      <c r="H118" s="239">
        <v>0</v>
      </c>
      <c r="I118" s="239">
        <v>-1011</v>
      </c>
      <c r="J118" s="239">
        <v>0</v>
      </c>
      <c r="K118" s="239">
        <v>0</v>
      </c>
      <c r="L118" s="239">
        <v>0</v>
      </c>
      <c r="M118" s="239">
        <v>0</v>
      </c>
      <c r="N118" s="239">
        <v>0</v>
      </c>
      <c r="O118" s="239">
        <v>0</v>
      </c>
      <c r="P118" s="239">
        <v>-3269773</v>
      </c>
      <c r="Q118" s="239">
        <v>0</v>
      </c>
      <c r="R118" s="239">
        <v>-3269773</v>
      </c>
      <c r="S118" s="239">
        <v>3695004</v>
      </c>
      <c r="T118" s="239">
        <v>0</v>
      </c>
      <c r="U118" s="239">
        <v>3695004</v>
      </c>
      <c r="V118" s="239">
        <v>-3560270</v>
      </c>
      <c r="W118" s="239">
        <v>0</v>
      </c>
      <c r="X118" s="239">
        <v>-3560270</v>
      </c>
      <c r="Y118" s="239">
        <v>92625685</v>
      </c>
      <c r="Z118" s="239">
        <v>0</v>
      </c>
      <c r="AA118" s="239">
        <v>92625685</v>
      </c>
      <c r="AB118" s="239">
        <v>0</v>
      </c>
      <c r="AC118" s="239">
        <v>0</v>
      </c>
      <c r="AD118" s="239">
        <v>0</v>
      </c>
      <c r="AE118" s="239">
        <v>0</v>
      </c>
      <c r="AF118" s="239">
        <v>0</v>
      </c>
      <c r="AG118" s="239">
        <v>0</v>
      </c>
      <c r="AH118" s="239">
        <v>0</v>
      </c>
      <c r="AI118" s="239">
        <v>0</v>
      </c>
      <c r="AJ118" s="239">
        <v>0</v>
      </c>
      <c r="AK118" s="239">
        <v>0</v>
      </c>
      <c r="AL118" s="239">
        <v>24748993</v>
      </c>
      <c r="AM118" s="239">
        <v>-10839397</v>
      </c>
      <c r="AN118" s="214" t="s">
        <v>317</v>
      </c>
      <c r="AO118" s="214" t="s">
        <v>789</v>
      </c>
      <c r="AP118" s="214" t="s">
        <v>748</v>
      </c>
      <c r="AQ118" s="214" t="s">
        <v>1193</v>
      </c>
    </row>
    <row r="119" spans="1:43" x14ac:dyDescent="0.2">
      <c r="B119" s="609" t="s">
        <v>320</v>
      </c>
      <c r="C119" s="609" t="s">
        <v>319</v>
      </c>
      <c r="D119" s="239">
        <v>58628151</v>
      </c>
      <c r="E119" s="239">
        <v>0</v>
      </c>
      <c r="F119" s="239">
        <v>58628151</v>
      </c>
      <c r="G119" s="239">
        <v>0</v>
      </c>
      <c r="H119" s="239">
        <v>0</v>
      </c>
      <c r="I119" s="239">
        <v>0</v>
      </c>
      <c r="J119" s="239">
        <v>-746014</v>
      </c>
      <c r="K119" s="239">
        <v>0</v>
      </c>
      <c r="L119" s="239">
        <v>-746014</v>
      </c>
      <c r="M119" s="239">
        <v>0</v>
      </c>
      <c r="N119" s="239">
        <v>0</v>
      </c>
      <c r="O119" s="239">
        <v>0</v>
      </c>
      <c r="P119" s="239">
        <v>-747761</v>
      </c>
      <c r="Q119" s="239">
        <v>0</v>
      </c>
      <c r="R119" s="239">
        <v>-747761</v>
      </c>
      <c r="S119" s="239">
        <v>0</v>
      </c>
      <c r="T119" s="239">
        <v>0</v>
      </c>
      <c r="U119" s="239">
        <v>0</v>
      </c>
      <c r="V119" s="239">
        <v>2173536</v>
      </c>
      <c r="W119" s="239">
        <v>0</v>
      </c>
      <c r="X119" s="239">
        <v>2173536</v>
      </c>
      <c r="Y119" s="239">
        <v>60053926</v>
      </c>
      <c r="Z119" s="239">
        <v>0</v>
      </c>
      <c r="AA119" s="239">
        <v>60053926</v>
      </c>
      <c r="AB119" s="239">
        <v>0</v>
      </c>
      <c r="AC119" s="239">
        <v>0</v>
      </c>
      <c r="AD119" s="239">
        <v>0</v>
      </c>
      <c r="AE119" s="239">
        <v>0</v>
      </c>
      <c r="AF119" s="239">
        <v>0</v>
      </c>
      <c r="AG119" s="239">
        <v>0</v>
      </c>
      <c r="AH119" s="239">
        <v>0</v>
      </c>
      <c r="AI119" s="239">
        <v>33529</v>
      </c>
      <c r="AJ119" s="239">
        <v>33529</v>
      </c>
      <c r="AK119" s="239">
        <v>0</v>
      </c>
      <c r="AL119" s="239">
        <v>4123116</v>
      </c>
      <c r="AM119" s="239">
        <v>-380183</v>
      </c>
      <c r="AN119" s="214" t="s">
        <v>910</v>
      </c>
      <c r="AO119" s="214" t="s">
        <v>747</v>
      </c>
      <c r="AP119" s="214" t="s">
        <v>814</v>
      </c>
      <c r="AQ119" s="214" t="s">
        <v>747</v>
      </c>
    </row>
    <row r="120" spans="1:43" x14ac:dyDescent="0.2">
      <c r="B120" s="609" t="s">
        <v>322</v>
      </c>
      <c r="C120" s="609" t="s">
        <v>321</v>
      </c>
      <c r="D120" s="239">
        <v>27305505</v>
      </c>
      <c r="E120" s="239">
        <v>0</v>
      </c>
      <c r="F120" s="239">
        <v>27305505</v>
      </c>
      <c r="G120" s="239">
        <v>-320</v>
      </c>
      <c r="H120" s="239">
        <v>0</v>
      </c>
      <c r="I120" s="239">
        <v>-320</v>
      </c>
      <c r="J120" s="239">
        <v>-133615</v>
      </c>
      <c r="K120" s="239">
        <v>0</v>
      </c>
      <c r="L120" s="239">
        <v>-133615</v>
      </c>
      <c r="M120" s="239">
        <v>0</v>
      </c>
      <c r="N120" s="239">
        <v>0</v>
      </c>
      <c r="O120" s="239">
        <v>0</v>
      </c>
      <c r="P120" s="239">
        <v>-161599</v>
      </c>
      <c r="Q120" s="239">
        <v>0</v>
      </c>
      <c r="R120" s="239">
        <v>-161599</v>
      </c>
      <c r="S120" s="239">
        <v>1192169</v>
      </c>
      <c r="T120" s="239">
        <v>0</v>
      </c>
      <c r="U120" s="239">
        <v>1192169</v>
      </c>
      <c r="V120" s="239">
        <v>-882234</v>
      </c>
      <c r="W120" s="239">
        <v>0</v>
      </c>
      <c r="X120" s="239">
        <v>-882234</v>
      </c>
      <c r="Y120" s="239">
        <v>27453521</v>
      </c>
      <c r="Z120" s="239">
        <v>0</v>
      </c>
      <c r="AA120" s="239">
        <v>27453521</v>
      </c>
      <c r="AB120" s="239">
        <v>0</v>
      </c>
      <c r="AC120" s="239">
        <v>0</v>
      </c>
      <c r="AD120" s="239">
        <v>0</v>
      </c>
      <c r="AE120" s="239">
        <v>0</v>
      </c>
      <c r="AF120" s="239">
        <v>0</v>
      </c>
      <c r="AG120" s="239">
        <v>0</v>
      </c>
      <c r="AH120" s="239">
        <v>0</v>
      </c>
      <c r="AI120" s="239">
        <v>0</v>
      </c>
      <c r="AJ120" s="239">
        <v>0</v>
      </c>
      <c r="AK120" s="239">
        <v>0</v>
      </c>
      <c r="AL120" s="239">
        <v>671930</v>
      </c>
      <c r="AM120" s="239">
        <v>-625742</v>
      </c>
      <c r="AN120" s="214" t="s">
        <v>321</v>
      </c>
      <c r="AO120" s="214" t="s">
        <v>866</v>
      </c>
      <c r="AP120" s="214" t="s">
        <v>745</v>
      </c>
      <c r="AQ120" s="214" t="s">
        <v>1190</v>
      </c>
    </row>
    <row r="121" spans="1:43" x14ac:dyDescent="0.2">
      <c r="B121" s="609" t="s">
        <v>324</v>
      </c>
      <c r="C121" s="609" t="s">
        <v>323</v>
      </c>
      <c r="D121" s="239">
        <v>181512134</v>
      </c>
      <c r="E121" s="239">
        <v>0</v>
      </c>
      <c r="F121" s="239">
        <v>181512134</v>
      </c>
      <c r="G121" s="239">
        <v>-3413</v>
      </c>
      <c r="H121" s="239">
        <v>0</v>
      </c>
      <c r="I121" s="239">
        <v>-3413</v>
      </c>
      <c r="J121" s="239">
        <v>-2249051</v>
      </c>
      <c r="K121" s="239">
        <v>0</v>
      </c>
      <c r="L121" s="239">
        <v>-2249051</v>
      </c>
      <c r="M121" s="239">
        <v>0</v>
      </c>
      <c r="N121" s="239">
        <v>0</v>
      </c>
      <c r="O121" s="239">
        <v>0</v>
      </c>
      <c r="P121" s="239">
        <v>-501920</v>
      </c>
      <c r="Q121" s="239">
        <v>0</v>
      </c>
      <c r="R121" s="239">
        <v>-501920</v>
      </c>
      <c r="S121" s="239">
        <v>16449994</v>
      </c>
      <c r="T121" s="239">
        <v>0</v>
      </c>
      <c r="U121" s="239">
        <v>16449994</v>
      </c>
      <c r="V121" s="239">
        <v>1639785</v>
      </c>
      <c r="W121" s="239">
        <v>0</v>
      </c>
      <c r="X121" s="239">
        <v>1639785</v>
      </c>
      <c r="Y121" s="239">
        <v>199096580</v>
      </c>
      <c r="Z121" s="239">
        <v>0</v>
      </c>
      <c r="AA121" s="239">
        <v>199096580</v>
      </c>
      <c r="AB121" s="239">
        <v>0</v>
      </c>
      <c r="AC121" s="239">
        <v>0</v>
      </c>
      <c r="AD121" s="239">
        <v>0</v>
      </c>
      <c r="AE121" s="239">
        <v>0</v>
      </c>
      <c r="AF121" s="239">
        <v>0</v>
      </c>
      <c r="AG121" s="239">
        <v>0</v>
      </c>
      <c r="AH121" s="239">
        <v>0</v>
      </c>
      <c r="AI121" s="239">
        <v>0</v>
      </c>
      <c r="AJ121" s="239">
        <v>0</v>
      </c>
      <c r="AK121" s="239">
        <v>0</v>
      </c>
      <c r="AL121" s="239">
        <v>20268719.840000268</v>
      </c>
      <c r="AM121" s="239">
        <v>-18226507.300000004</v>
      </c>
      <c r="AN121" s="214" t="s">
        <v>909</v>
      </c>
      <c r="AO121" s="214" t="s">
        <v>789</v>
      </c>
      <c r="AP121" s="214" t="s">
        <v>748</v>
      </c>
      <c r="AQ121" s="214" t="s">
        <v>1193</v>
      </c>
    </row>
    <row r="122" spans="1:43" x14ac:dyDescent="0.2">
      <c r="B122" s="609" t="s">
        <v>326</v>
      </c>
      <c r="C122" s="609" t="s">
        <v>325</v>
      </c>
      <c r="D122" s="239">
        <v>39853972</v>
      </c>
      <c r="E122" s="239">
        <v>0</v>
      </c>
      <c r="F122" s="239">
        <v>39853972</v>
      </c>
      <c r="G122" s="239">
        <v>0</v>
      </c>
      <c r="H122" s="239">
        <v>0</v>
      </c>
      <c r="I122" s="239">
        <v>0</v>
      </c>
      <c r="J122" s="239">
        <v>-64903</v>
      </c>
      <c r="K122" s="239">
        <v>0</v>
      </c>
      <c r="L122" s="239">
        <v>-64903</v>
      </c>
      <c r="M122" s="239">
        <v>0</v>
      </c>
      <c r="N122" s="239">
        <v>0</v>
      </c>
      <c r="O122" s="239">
        <v>0</v>
      </c>
      <c r="P122" s="239">
        <v>-65711</v>
      </c>
      <c r="Q122" s="239">
        <v>0</v>
      </c>
      <c r="R122" s="239">
        <v>-65711</v>
      </c>
      <c r="S122" s="239">
        <v>359529</v>
      </c>
      <c r="T122" s="239">
        <v>0</v>
      </c>
      <c r="U122" s="239">
        <v>359529</v>
      </c>
      <c r="V122" s="239">
        <v>249916</v>
      </c>
      <c r="W122" s="239">
        <v>0</v>
      </c>
      <c r="X122" s="239">
        <v>249916</v>
      </c>
      <c r="Y122" s="239">
        <v>40397706</v>
      </c>
      <c r="Z122" s="239">
        <v>0</v>
      </c>
      <c r="AA122" s="239">
        <v>40397706</v>
      </c>
      <c r="AB122" s="239">
        <v>0</v>
      </c>
      <c r="AC122" s="239">
        <v>0</v>
      </c>
      <c r="AD122" s="239">
        <v>21190</v>
      </c>
      <c r="AE122" s="239">
        <v>0</v>
      </c>
      <c r="AF122" s="239">
        <v>21190</v>
      </c>
      <c r="AG122" s="239">
        <v>0</v>
      </c>
      <c r="AH122" s="239">
        <v>0</v>
      </c>
      <c r="AI122" s="239">
        <v>0</v>
      </c>
      <c r="AJ122" s="239">
        <v>0</v>
      </c>
      <c r="AK122" s="239">
        <v>0</v>
      </c>
      <c r="AL122" s="239">
        <v>291093</v>
      </c>
      <c r="AM122" s="239">
        <v>-510330</v>
      </c>
      <c r="AN122" s="214" t="s">
        <v>325</v>
      </c>
      <c r="AO122" s="214" t="s">
        <v>883</v>
      </c>
      <c r="AP122" s="214" t="s">
        <v>868</v>
      </c>
      <c r="AQ122" s="214" t="s">
        <v>1190</v>
      </c>
    </row>
    <row r="123" spans="1:43" x14ac:dyDescent="0.2">
      <c r="B123" s="609" t="s">
        <v>328</v>
      </c>
      <c r="C123" s="609" t="s">
        <v>327</v>
      </c>
      <c r="D123" s="239">
        <v>66311996</v>
      </c>
      <c r="E123" s="239">
        <v>0</v>
      </c>
      <c r="F123" s="239">
        <v>66311996</v>
      </c>
      <c r="G123" s="239">
        <v>0</v>
      </c>
      <c r="H123" s="239">
        <v>0</v>
      </c>
      <c r="I123" s="239">
        <v>0</v>
      </c>
      <c r="J123" s="239">
        <v>-1504770</v>
      </c>
      <c r="K123" s="239">
        <v>0</v>
      </c>
      <c r="L123" s="239">
        <v>-1504770</v>
      </c>
      <c r="M123" s="239">
        <v>0</v>
      </c>
      <c r="N123" s="239">
        <v>0</v>
      </c>
      <c r="O123" s="239">
        <v>0</v>
      </c>
      <c r="P123" s="239">
        <v>-1342028</v>
      </c>
      <c r="Q123" s="239">
        <v>0</v>
      </c>
      <c r="R123" s="239">
        <v>-1342028</v>
      </c>
      <c r="S123" s="239">
        <v>1430000</v>
      </c>
      <c r="T123" s="239">
        <v>0</v>
      </c>
      <c r="U123" s="239">
        <v>1430000</v>
      </c>
      <c r="V123" s="239">
        <v>2446986</v>
      </c>
      <c r="W123" s="239">
        <v>0</v>
      </c>
      <c r="X123" s="239">
        <v>2446986</v>
      </c>
      <c r="Y123" s="239">
        <v>68846954</v>
      </c>
      <c r="Z123" s="239">
        <v>0</v>
      </c>
      <c r="AA123" s="239">
        <v>68846954</v>
      </c>
      <c r="AB123" s="239">
        <v>0</v>
      </c>
      <c r="AC123" s="239">
        <v>0</v>
      </c>
      <c r="AD123" s="239">
        <v>0</v>
      </c>
      <c r="AE123" s="239">
        <v>0</v>
      </c>
      <c r="AF123" s="239">
        <v>0</v>
      </c>
      <c r="AG123" s="239">
        <v>0</v>
      </c>
      <c r="AH123" s="239">
        <v>0</v>
      </c>
      <c r="AI123" s="239">
        <v>0</v>
      </c>
      <c r="AJ123" s="239">
        <v>0</v>
      </c>
      <c r="AK123" s="239">
        <v>0</v>
      </c>
      <c r="AL123" s="239">
        <v>8601312</v>
      </c>
      <c r="AM123" s="239">
        <v>-8994973</v>
      </c>
      <c r="AN123" s="214" t="s">
        <v>327</v>
      </c>
      <c r="AO123" s="214" t="s">
        <v>789</v>
      </c>
      <c r="AP123" s="214" t="s">
        <v>748</v>
      </c>
      <c r="AQ123" s="214" t="s">
        <v>1191</v>
      </c>
    </row>
    <row r="124" spans="1:43" x14ac:dyDescent="0.2">
      <c r="B124" s="609" t="s">
        <v>330</v>
      </c>
      <c r="C124" s="609" t="s">
        <v>329</v>
      </c>
      <c r="D124" s="239">
        <v>42707414</v>
      </c>
      <c r="E124" s="239">
        <v>2808072</v>
      </c>
      <c r="F124" s="239">
        <v>45515486</v>
      </c>
      <c r="G124" s="239">
        <v>0</v>
      </c>
      <c r="H124" s="239">
        <v>0</v>
      </c>
      <c r="I124" s="239">
        <v>0</v>
      </c>
      <c r="J124" s="239">
        <v>-231025</v>
      </c>
      <c r="K124" s="239">
        <v>-2792</v>
      </c>
      <c r="L124" s="239">
        <v>-233817</v>
      </c>
      <c r="M124" s="239">
        <v>0</v>
      </c>
      <c r="N124" s="239">
        <v>0</v>
      </c>
      <c r="O124" s="239">
        <v>0</v>
      </c>
      <c r="P124" s="239">
        <v>-379817</v>
      </c>
      <c r="Q124" s="239">
        <v>0</v>
      </c>
      <c r="R124" s="239">
        <v>-379817</v>
      </c>
      <c r="S124" s="239">
        <v>1230503</v>
      </c>
      <c r="T124" s="239">
        <v>3359</v>
      </c>
      <c r="U124" s="239">
        <v>1233862</v>
      </c>
      <c r="V124" s="239">
        <v>1324354</v>
      </c>
      <c r="W124" s="239">
        <v>0</v>
      </c>
      <c r="X124" s="239">
        <v>1324354</v>
      </c>
      <c r="Y124" s="239">
        <v>44882454</v>
      </c>
      <c r="Z124" s="239">
        <v>2811431</v>
      </c>
      <c r="AA124" s="239">
        <v>47693885</v>
      </c>
      <c r="AB124" s="239">
        <v>2811431</v>
      </c>
      <c r="AC124" s="239">
        <v>2811431</v>
      </c>
      <c r="AD124" s="239">
        <v>0</v>
      </c>
      <c r="AE124" s="239">
        <v>0</v>
      </c>
      <c r="AF124" s="239">
        <v>0</v>
      </c>
      <c r="AG124" s="239">
        <v>0</v>
      </c>
      <c r="AH124" s="239">
        <v>0</v>
      </c>
      <c r="AI124" s="239">
        <v>2963047</v>
      </c>
      <c r="AJ124" s="239">
        <v>2963047</v>
      </c>
      <c r="AK124" s="239">
        <v>0</v>
      </c>
      <c r="AL124" s="239">
        <v>2478472</v>
      </c>
      <c r="AM124" s="239">
        <v>-2304040</v>
      </c>
      <c r="AN124" s="214" t="s">
        <v>329</v>
      </c>
      <c r="AO124" s="214" t="s">
        <v>821</v>
      </c>
      <c r="AP124" s="214" t="s">
        <v>819</v>
      </c>
      <c r="AQ124" s="214" t="s">
        <v>1190</v>
      </c>
    </row>
    <row r="125" spans="1:43" x14ac:dyDescent="0.2">
      <c r="B125" s="609" t="s">
        <v>332</v>
      </c>
      <c r="C125" s="609" t="s">
        <v>331</v>
      </c>
      <c r="D125" s="239">
        <v>61824988</v>
      </c>
      <c r="E125" s="239">
        <v>0</v>
      </c>
      <c r="F125" s="239">
        <v>61824988</v>
      </c>
      <c r="G125" s="239">
        <v>-2639</v>
      </c>
      <c r="H125" s="239">
        <v>0</v>
      </c>
      <c r="I125" s="239">
        <v>-2639</v>
      </c>
      <c r="J125" s="239">
        <v>-454122</v>
      </c>
      <c r="K125" s="239">
        <v>0</v>
      </c>
      <c r="L125" s="239">
        <v>-454122</v>
      </c>
      <c r="M125" s="239">
        <v>0</v>
      </c>
      <c r="N125" s="239">
        <v>0</v>
      </c>
      <c r="O125" s="239">
        <v>0</v>
      </c>
      <c r="P125" s="239">
        <v>-273470</v>
      </c>
      <c r="Q125" s="239">
        <v>0</v>
      </c>
      <c r="R125" s="239">
        <v>-273470</v>
      </c>
      <c r="S125" s="239">
        <v>2015844</v>
      </c>
      <c r="T125" s="239">
        <v>0</v>
      </c>
      <c r="U125" s="239">
        <v>2015844</v>
      </c>
      <c r="V125" s="239">
        <v>-650861</v>
      </c>
      <c r="W125" s="239">
        <v>0</v>
      </c>
      <c r="X125" s="239">
        <v>-650861</v>
      </c>
      <c r="Y125" s="239">
        <v>62913862</v>
      </c>
      <c r="Z125" s="239">
        <v>0</v>
      </c>
      <c r="AA125" s="239">
        <v>62913862</v>
      </c>
      <c r="AB125" s="239">
        <v>0</v>
      </c>
      <c r="AC125" s="239">
        <v>0</v>
      </c>
      <c r="AD125" s="239">
        <v>0</v>
      </c>
      <c r="AE125" s="239">
        <v>0</v>
      </c>
      <c r="AF125" s="239">
        <v>0</v>
      </c>
      <c r="AG125" s="239">
        <v>0</v>
      </c>
      <c r="AH125" s="239">
        <v>0</v>
      </c>
      <c r="AI125" s="239">
        <v>0</v>
      </c>
      <c r="AJ125" s="239">
        <v>0</v>
      </c>
      <c r="AK125" s="239">
        <v>0</v>
      </c>
      <c r="AL125" s="239">
        <v>1844476</v>
      </c>
      <c r="AM125" s="239">
        <v>-1812379</v>
      </c>
      <c r="AN125" s="214" t="s">
        <v>331</v>
      </c>
      <c r="AO125" s="214" t="s">
        <v>866</v>
      </c>
      <c r="AP125" s="214" t="s">
        <v>745</v>
      </c>
      <c r="AQ125" s="214" t="s">
        <v>1190</v>
      </c>
    </row>
    <row r="126" spans="1:43" x14ac:dyDescent="0.2">
      <c r="B126" s="609" t="s">
        <v>334</v>
      </c>
      <c r="C126" s="609" t="s">
        <v>333</v>
      </c>
      <c r="D126" s="239">
        <v>51141888</v>
      </c>
      <c r="E126" s="239">
        <v>0</v>
      </c>
      <c r="F126" s="239">
        <v>51141888</v>
      </c>
      <c r="G126" s="239">
        <v>0</v>
      </c>
      <c r="H126" s="239">
        <v>0</v>
      </c>
      <c r="I126" s="239">
        <v>0</v>
      </c>
      <c r="J126" s="239">
        <v>-1317698</v>
      </c>
      <c r="K126" s="239">
        <v>0</v>
      </c>
      <c r="L126" s="239">
        <v>-1317698</v>
      </c>
      <c r="M126" s="239">
        <v>0</v>
      </c>
      <c r="N126" s="239">
        <v>0</v>
      </c>
      <c r="O126" s="239">
        <v>0</v>
      </c>
      <c r="P126" s="239">
        <v>-391832</v>
      </c>
      <c r="Q126" s="239">
        <v>0</v>
      </c>
      <c r="R126" s="239">
        <v>-391832</v>
      </c>
      <c r="S126" s="239">
        <v>3919000</v>
      </c>
      <c r="T126" s="239">
        <v>0</v>
      </c>
      <c r="U126" s="239">
        <v>3919000</v>
      </c>
      <c r="V126" s="239">
        <v>-8719000</v>
      </c>
      <c r="W126" s="239">
        <v>0</v>
      </c>
      <c r="X126" s="239">
        <v>-8719000</v>
      </c>
      <c r="Y126" s="239">
        <v>45950056</v>
      </c>
      <c r="Z126" s="239">
        <v>0</v>
      </c>
      <c r="AA126" s="239">
        <v>45950056</v>
      </c>
      <c r="AB126" s="239">
        <v>0</v>
      </c>
      <c r="AC126" s="239">
        <v>0</v>
      </c>
      <c r="AD126" s="239">
        <v>0</v>
      </c>
      <c r="AE126" s="239">
        <v>0</v>
      </c>
      <c r="AF126" s="239">
        <v>0</v>
      </c>
      <c r="AG126" s="239">
        <v>0</v>
      </c>
      <c r="AH126" s="239">
        <v>0</v>
      </c>
      <c r="AI126" s="239">
        <v>0</v>
      </c>
      <c r="AJ126" s="239">
        <v>0</v>
      </c>
      <c r="AK126" s="239">
        <v>0</v>
      </c>
      <c r="AL126" s="239">
        <v>2586065</v>
      </c>
      <c r="AM126" s="239">
        <v>-353083</v>
      </c>
      <c r="AN126" s="214" t="s">
        <v>333</v>
      </c>
      <c r="AO126" s="214" t="s">
        <v>789</v>
      </c>
      <c r="AP126" s="214" t="s">
        <v>748</v>
      </c>
      <c r="AQ126" s="214" t="s">
        <v>1191</v>
      </c>
    </row>
    <row r="127" spans="1:43" x14ac:dyDescent="0.2">
      <c r="B127" s="609" t="s">
        <v>336</v>
      </c>
      <c r="C127" s="609" t="s">
        <v>335</v>
      </c>
      <c r="D127" s="239">
        <v>29510874</v>
      </c>
      <c r="E127" s="239">
        <v>0</v>
      </c>
      <c r="F127" s="239">
        <v>29510874</v>
      </c>
      <c r="G127" s="239">
        <v>0</v>
      </c>
      <c r="H127" s="239">
        <v>0</v>
      </c>
      <c r="I127" s="239">
        <v>0</v>
      </c>
      <c r="J127" s="239">
        <v>-308775</v>
      </c>
      <c r="K127" s="239">
        <v>0</v>
      </c>
      <c r="L127" s="239">
        <v>-308775</v>
      </c>
      <c r="M127" s="239">
        <v>0</v>
      </c>
      <c r="N127" s="239">
        <v>0</v>
      </c>
      <c r="O127" s="239">
        <v>0</v>
      </c>
      <c r="P127" s="239">
        <v>-106938</v>
      </c>
      <c r="Q127" s="239">
        <v>0</v>
      </c>
      <c r="R127" s="239">
        <v>-106938</v>
      </c>
      <c r="S127" s="239">
        <v>1745587</v>
      </c>
      <c r="T127" s="239">
        <v>0</v>
      </c>
      <c r="U127" s="239">
        <v>1745587</v>
      </c>
      <c r="V127" s="239">
        <v>-1619464</v>
      </c>
      <c r="W127" s="239">
        <v>0</v>
      </c>
      <c r="X127" s="239">
        <v>-1619464</v>
      </c>
      <c r="Y127" s="239">
        <v>29530059</v>
      </c>
      <c r="Z127" s="239">
        <v>0</v>
      </c>
      <c r="AA127" s="239">
        <v>29530059</v>
      </c>
      <c r="AB127" s="239">
        <v>0</v>
      </c>
      <c r="AC127" s="239">
        <v>0</v>
      </c>
      <c r="AD127" s="239">
        <v>0</v>
      </c>
      <c r="AE127" s="239">
        <v>0</v>
      </c>
      <c r="AF127" s="239">
        <v>0</v>
      </c>
      <c r="AG127" s="239">
        <v>0</v>
      </c>
      <c r="AH127" s="239">
        <v>0</v>
      </c>
      <c r="AI127" s="239">
        <v>0</v>
      </c>
      <c r="AJ127" s="239">
        <v>0</v>
      </c>
      <c r="AK127" s="239">
        <v>0</v>
      </c>
      <c r="AL127" s="239">
        <v>1502324</v>
      </c>
      <c r="AM127" s="239">
        <v>-822944</v>
      </c>
      <c r="AN127" s="214" t="s">
        <v>335</v>
      </c>
      <c r="AO127" s="214" t="s">
        <v>778</v>
      </c>
      <c r="AP127" s="214" t="s">
        <v>776</v>
      </c>
      <c r="AQ127" s="214" t="s">
        <v>1190</v>
      </c>
    </row>
    <row r="128" spans="1:43" x14ac:dyDescent="0.2">
      <c r="B128" s="609" t="s">
        <v>338</v>
      </c>
      <c r="C128" s="609" t="s">
        <v>337</v>
      </c>
      <c r="D128" s="239">
        <v>32409443</v>
      </c>
      <c r="E128" s="239">
        <v>0</v>
      </c>
      <c r="F128" s="239">
        <v>32409443</v>
      </c>
      <c r="G128" s="239">
        <v>0</v>
      </c>
      <c r="H128" s="239">
        <v>0</v>
      </c>
      <c r="I128" s="239">
        <v>0</v>
      </c>
      <c r="J128" s="239">
        <v>-551604</v>
      </c>
      <c r="K128" s="239">
        <v>0</v>
      </c>
      <c r="L128" s="239">
        <v>-551604</v>
      </c>
      <c r="M128" s="239">
        <v>0</v>
      </c>
      <c r="N128" s="239">
        <v>0</v>
      </c>
      <c r="O128" s="239">
        <v>0</v>
      </c>
      <c r="P128" s="239">
        <v>-379909</v>
      </c>
      <c r="Q128" s="239">
        <v>0</v>
      </c>
      <c r="R128" s="239">
        <v>-379909</v>
      </c>
      <c r="S128" s="239">
        <v>1937120</v>
      </c>
      <c r="T128" s="239">
        <v>0</v>
      </c>
      <c r="U128" s="239">
        <v>1937120</v>
      </c>
      <c r="V128" s="239">
        <v>665844</v>
      </c>
      <c r="W128" s="239">
        <v>0</v>
      </c>
      <c r="X128" s="239">
        <v>665844</v>
      </c>
      <c r="Y128" s="239">
        <v>34632498</v>
      </c>
      <c r="Z128" s="239">
        <v>0</v>
      </c>
      <c r="AA128" s="239">
        <v>34632498</v>
      </c>
      <c r="AB128" s="239">
        <v>0</v>
      </c>
      <c r="AC128" s="239">
        <v>0</v>
      </c>
      <c r="AD128" s="239">
        <v>0</v>
      </c>
      <c r="AE128" s="239">
        <v>0</v>
      </c>
      <c r="AF128" s="239">
        <v>0</v>
      </c>
      <c r="AG128" s="239">
        <v>0</v>
      </c>
      <c r="AH128" s="239">
        <v>0</v>
      </c>
      <c r="AI128" s="239">
        <v>0</v>
      </c>
      <c r="AJ128" s="239">
        <v>0</v>
      </c>
      <c r="AK128" s="239">
        <v>0</v>
      </c>
      <c r="AL128" s="239">
        <v>1911671</v>
      </c>
      <c r="AM128" s="239">
        <v>-1471285</v>
      </c>
      <c r="AN128" s="214" t="s">
        <v>908</v>
      </c>
      <c r="AO128" s="214" t="s">
        <v>747</v>
      </c>
      <c r="AP128" s="214" t="s">
        <v>843</v>
      </c>
      <c r="AQ128" s="214" t="s">
        <v>747</v>
      </c>
    </row>
    <row r="129" spans="2:43" x14ac:dyDescent="0.2">
      <c r="B129" s="609" t="s">
        <v>340</v>
      </c>
      <c r="C129" s="609" t="s">
        <v>339</v>
      </c>
      <c r="D129" s="239">
        <v>21016062</v>
      </c>
      <c r="E129" s="239">
        <v>0</v>
      </c>
      <c r="F129" s="239">
        <v>21016062</v>
      </c>
      <c r="G129" s="239">
        <v>0</v>
      </c>
      <c r="H129" s="239">
        <v>0</v>
      </c>
      <c r="I129" s="239">
        <v>0</v>
      </c>
      <c r="J129" s="239">
        <v>-310894</v>
      </c>
      <c r="K129" s="239">
        <v>0</v>
      </c>
      <c r="L129" s="239">
        <v>-310894</v>
      </c>
      <c r="M129" s="239">
        <v>-9989</v>
      </c>
      <c r="N129" s="239">
        <v>0</v>
      </c>
      <c r="O129" s="239">
        <v>-9989</v>
      </c>
      <c r="P129" s="239">
        <v>-270164</v>
      </c>
      <c r="Q129" s="239">
        <v>0</v>
      </c>
      <c r="R129" s="239">
        <v>-270164</v>
      </c>
      <c r="S129" s="239">
        <v>1527327</v>
      </c>
      <c r="T129" s="239">
        <v>0</v>
      </c>
      <c r="U129" s="239">
        <v>1527327</v>
      </c>
      <c r="V129" s="239">
        <v>-1152327</v>
      </c>
      <c r="W129" s="239">
        <v>0</v>
      </c>
      <c r="X129" s="239">
        <v>-1152327</v>
      </c>
      <c r="Y129" s="239">
        <v>21110909</v>
      </c>
      <c r="Z129" s="239">
        <v>0</v>
      </c>
      <c r="AA129" s="239">
        <v>21110909</v>
      </c>
      <c r="AB129" s="239">
        <v>0</v>
      </c>
      <c r="AC129" s="239">
        <v>0</v>
      </c>
      <c r="AD129" s="239">
        <v>0</v>
      </c>
      <c r="AE129" s="239">
        <v>0</v>
      </c>
      <c r="AF129" s="239">
        <v>0</v>
      </c>
      <c r="AG129" s="239">
        <v>0</v>
      </c>
      <c r="AH129" s="239">
        <v>0</v>
      </c>
      <c r="AI129" s="239">
        <v>0</v>
      </c>
      <c r="AJ129" s="239">
        <v>0</v>
      </c>
      <c r="AK129" s="239">
        <v>0</v>
      </c>
      <c r="AL129" s="239">
        <v>1114379</v>
      </c>
      <c r="AM129" s="239">
        <v>-684556</v>
      </c>
      <c r="AN129" s="214" t="s">
        <v>339</v>
      </c>
      <c r="AO129" s="214" t="s">
        <v>808</v>
      </c>
      <c r="AP129" s="214" t="s">
        <v>806</v>
      </c>
      <c r="AQ129" s="214" t="s">
        <v>1190</v>
      </c>
    </row>
    <row r="130" spans="2:43" x14ac:dyDescent="0.2">
      <c r="B130" s="609" t="s">
        <v>342</v>
      </c>
      <c r="C130" s="609" t="s">
        <v>341</v>
      </c>
      <c r="D130" s="239">
        <v>34524688</v>
      </c>
      <c r="E130" s="239">
        <v>0</v>
      </c>
      <c r="F130" s="239">
        <v>34524688</v>
      </c>
      <c r="G130" s="239">
        <v>-77</v>
      </c>
      <c r="H130" s="239">
        <v>0</v>
      </c>
      <c r="I130" s="239">
        <v>-77</v>
      </c>
      <c r="J130" s="239">
        <v>-134562</v>
      </c>
      <c r="K130" s="239">
        <v>0</v>
      </c>
      <c r="L130" s="239">
        <v>-134562</v>
      </c>
      <c r="M130" s="239">
        <v>0</v>
      </c>
      <c r="N130" s="239">
        <v>0</v>
      </c>
      <c r="O130" s="239">
        <v>0</v>
      </c>
      <c r="P130" s="239">
        <v>-111000</v>
      </c>
      <c r="Q130" s="239">
        <v>0</v>
      </c>
      <c r="R130" s="239">
        <v>-111000</v>
      </c>
      <c r="S130" s="239">
        <v>500000</v>
      </c>
      <c r="T130" s="239">
        <v>0</v>
      </c>
      <c r="U130" s="239">
        <v>500000</v>
      </c>
      <c r="V130" s="239">
        <v>-1000000</v>
      </c>
      <c r="W130" s="239">
        <v>0</v>
      </c>
      <c r="X130" s="239">
        <v>-1000000</v>
      </c>
      <c r="Y130" s="239">
        <v>33913611</v>
      </c>
      <c r="Z130" s="239">
        <v>0</v>
      </c>
      <c r="AA130" s="239">
        <v>33913611</v>
      </c>
      <c r="AB130" s="239">
        <v>0</v>
      </c>
      <c r="AC130" s="239">
        <v>0</v>
      </c>
      <c r="AD130" s="239">
        <v>0</v>
      </c>
      <c r="AE130" s="239">
        <v>0</v>
      </c>
      <c r="AF130" s="239">
        <v>0</v>
      </c>
      <c r="AG130" s="239">
        <v>0</v>
      </c>
      <c r="AH130" s="239">
        <v>0</v>
      </c>
      <c r="AI130" s="239">
        <v>0</v>
      </c>
      <c r="AJ130" s="239">
        <v>0</v>
      </c>
      <c r="AK130" s="239">
        <v>0</v>
      </c>
      <c r="AL130" s="239">
        <v>631569</v>
      </c>
      <c r="AM130" s="239">
        <v>-805653</v>
      </c>
      <c r="AN130" s="214" t="s">
        <v>341</v>
      </c>
      <c r="AO130" s="214" t="s">
        <v>778</v>
      </c>
      <c r="AP130" s="214" t="s">
        <v>776</v>
      </c>
      <c r="AQ130" s="214" t="s">
        <v>1190</v>
      </c>
    </row>
    <row r="131" spans="2:43" x14ac:dyDescent="0.2">
      <c r="B131" s="609" t="s">
        <v>344</v>
      </c>
      <c r="C131" s="609" t="s">
        <v>343</v>
      </c>
      <c r="D131" s="239">
        <v>75137311</v>
      </c>
      <c r="E131" s="239">
        <v>0</v>
      </c>
      <c r="F131" s="239">
        <v>75137311</v>
      </c>
      <c r="G131" s="239">
        <v>0</v>
      </c>
      <c r="H131" s="239">
        <v>0</v>
      </c>
      <c r="I131" s="239">
        <v>0</v>
      </c>
      <c r="J131" s="239">
        <v>-749486</v>
      </c>
      <c r="K131" s="239">
        <v>0</v>
      </c>
      <c r="L131" s="239">
        <v>-749486</v>
      </c>
      <c r="M131" s="239">
        <v>0</v>
      </c>
      <c r="N131" s="239">
        <v>0</v>
      </c>
      <c r="O131" s="239">
        <v>0</v>
      </c>
      <c r="P131" s="239">
        <v>-497341</v>
      </c>
      <c r="Q131" s="239">
        <v>0</v>
      </c>
      <c r="R131" s="239">
        <v>-497341</v>
      </c>
      <c r="S131" s="239">
        <v>283439</v>
      </c>
      <c r="T131" s="239">
        <v>0</v>
      </c>
      <c r="U131" s="239">
        <v>283439</v>
      </c>
      <c r="V131" s="239">
        <v>533266</v>
      </c>
      <c r="W131" s="239">
        <v>0</v>
      </c>
      <c r="X131" s="239">
        <v>533266</v>
      </c>
      <c r="Y131" s="239">
        <v>75456675</v>
      </c>
      <c r="Z131" s="239">
        <v>0</v>
      </c>
      <c r="AA131" s="239">
        <v>75456675</v>
      </c>
      <c r="AB131" s="239">
        <v>0</v>
      </c>
      <c r="AC131" s="239">
        <v>0</v>
      </c>
      <c r="AD131" s="239">
        <v>0</v>
      </c>
      <c r="AE131" s="239">
        <v>0</v>
      </c>
      <c r="AF131" s="239">
        <v>0</v>
      </c>
      <c r="AG131" s="239">
        <v>0</v>
      </c>
      <c r="AH131" s="239">
        <v>0</v>
      </c>
      <c r="AI131" s="239">
        <v>0</v>
      </c>
      <c r="AJ131" s="239">
        <v>0</v>
      </c>
      <c r="AK131" s="239">
        <v>0</v>
      </c>
      <c r="AL131" s="239">
        <v>2299929</v>
      </c>
      <c r="AM131" s="239">
        <v>-3711877</v>
      </c>
      <c r="AN131" s="214" t="s">
        <v>343</v>
      </c>
      <c r="AO131" s="214" t="s">
        <v>789</v>
      </c>
      <c r="AP131" s="214" t="s">
        <v>748</v>
      </c>
      <c r="AQ131" s="214" t="s">
        <v>1191</v>
      </c>
    </row>
    <row r="132" spans="2:43" x14ac:dyDescent="0.2">
      <c r="B132" s="609" t="s">
        <v>346</v>
      </c>
      <c r="C132" s="609" t="s">
        <v>345</v>
      </c>
      <c r="D132" s="239">
        <v>48665500</v>
      </c>
      <c r="E132" s="239">
        <v>302555</v>
      </c>
      <c r="F132" s="239">
        <v>48968055</v>
      </c>
      <c r="G132" s="239">
        <v>0</v>
      </c>
      <c r="H132" s="239">
        <v>0</v>
      </c>
      <c r="I132" s="239">
        <v>0</v>
      </c>
      <c r="J132" s="239">
        <v>-153071</v>
      </c>
      <c r="K132" s="239">
        <v>0</v>
      </c>
      <c r="L132" s="239">
        <v>-153071</v>
      </c>
      <c r="M132" s="239">
        <v>0</v>
      </c>
      <c r="N132" s="239">
        <v>0</v>
      </c>
      <c r="O132" s="239">
        <v>0</v>
      </c>
      <c r="P132" s="239">
        <v>-245597</v>
      </c>
      <c r="Q132" s="239">
        <v>0</v>
      </c>
      <c r="R132" s="239">
        <v>-245597</v>
      </c>
      <c r="S132" s="239">
        <v>959269</v>
      </c>
      <c r="T132" s="239">
        <v>0</v>
      </c>
      <c r="U132" s="239">
        <v>959269</v>
      </c>
      <c r="V132" s="239">
        <v>-1606857</v>
      </c>
      <c r="W132" s="239">
        <v>0</v>
      </c>
      <c r="X132" s="239">
        <v>-1606857</v>
      </c>
      <c r="Y132" s="239">
        <v>47772315</v>
      </c>
      <c r="Z132" s="239">
        <v>302555</v>
      </c>
      <c r="AA132" s="239">
        <v>48074870</v>
      </c>
      <c r="AB132" s="239">
        <v>302555</v>
      </c>
      <c r="AC132" s="239">
        <v>302555</v>
      </c>
      <c r="AD132" s="239">
        <v>100340</v>
      </c>
      <c r="AE132" s="239">
        <v>0</v>
      </c>
      <c r="AF132" s="239">
        <v>100340</v>
      </c>
      <c r="AG132" s="239">
        <v>0</v>
      </c>
      <c r="AH132" s="239">
        <v>0</v>
      </c>
      <c r="AI132" s="239">
        <v>236492</v>
      </c>
      <c r="AJ132" s="239">
        <v>236492</v>
      </c>
      <c r="AK132" s="239">
        <v>66063</v>
      </c>
      <c r="AL132" s="239">
        <v>1521568</v>
      </c>
      <c r="AM132" s="239">
        <v>-1117115</v>
      </c>
      <c r="AN132" s="214" t="s">
        <v>907</v>
      </c>
      <c r="AO132" s="214" t="s">
        <v>747</v>
      </c>
      <c r="AP132" s="214" t="s">
        <v>750</v>
      </c>
      <c r="AQ132" s="214" t="s">
        <v>747</v>
      </c>
    </row>
    <row r="133" spans="2:43" x14ac:dyDescent="0.2">
      <c r="B133" s="609" t="s">
        <v>348</v>
      </c>
      <c r="C133" s="609" t="s">
        <v>347</v>
      </c>
      <c r="D133" s="239">
        <v>46699067</v>
      </c>
      <c r="E133" s="239">
        <v>0</v>
      </c>
      <c r="F133" s="239">
        <v>46699067</v>
      </c>
      <c r="G133" s="239">
        <v>-4625</v>
      </c>
      <c r="H133" s="239">
        <v>0</v>
      </c>
      <c r="I133" s="239">
        <v>-4625</v>
      </c>
      <c r="J133" s="239">
        <v>-54092</v>
      </c>
      <c r="K133" s="239">
        <v>0</v>
      </c>
      <c r="L133" s="239">
        <v>-54092</v>
      </c>
      <c r="M133" s="239">
        <v>0</v>
      </c>
      <c r="N133" s="239">
        <v>0</v>
      </c>
      <c r="O133" s="239">
        <v>0</v>
      </c>
      <c r="P133" s="239">
        <v>29054</v>
      </c>
      <c r="Q133" s="239">
        <v>0</v>
      </c>
      <c r="R133" s="239">
        <v>29054</v>
      </c>
      <c r="S133" s="239">
        <v>1559855</v>
      </c>
      <c r="T133" s="239">
        <v>0</v>
      </c>
      <c r="U133" s="239">
        <v>1559855</v>
      </c>
      <c r="V133" s="239">
        <v>1273522</v>
      </c>
      <c r="W133" s="239">
        <v>0</v>
      </c>
      <c r="X133" s="239">
        <v>1273522</v>
      </c>
      <c r="Y133" s="239">
        <v>49556873</v>
      </c>
      <c r="Z133" s="239">
        <v>0</v>
      </c>
      <c r="AA133" s="239">
        <v>49556873</v>
      </c>
      <c r="AB133" s="239">
        <v>0</v>
      </c>
      <c r="AC133" s="239">
        <v>0</v>
      </c>
      <c r="AD133" s="239">
        <v>0</v>
      </c>
      <c r="AE133" s="239">
        <v>0</v>
      </c>
      <c r="AF133" s="239">
        <v>0</v>
      </c>
      <c r="AG133" s="239">
        <v>0</v>
      </c>
      <c r="AH133" s="239">
        <v>0</v>
      </c>
      <c r="AI133" s="239">
        <v>0</v>
      </c>
      <c r="AJ133" s="239">
        <v>0</v>
      </c>
      <c r="AK133" s="239">
        <v>0</v>
      </c>
      <c r="AL133" s="239">
        <v>863336</v>
      </c>
      <c r="AM133" s="239">
        <v>-2391968</v>
      </c>
      <c r="AN133" s="214" t="s">
        <v>347</v>
      </c>
      <c r="AO133" s="214" t="s">
        <v>802</v>
      </c>
      <c r="AP133" s="214" t="s">
        <v>762</v>
      </c>
      <c r="AQ133" s="214" t="s">
        <v>1190</v>
      </c>
    </row>
    <row r="134" spans="2:43" x14ac:dyDescent="0.2">
      <c r="B134" s="609" t="s">
        <v>350</v>
      </c>
      <c r="C134" s="609" t="s">
        <v>349</v>
      </c>
      <c r="D134" s="239">
        <v>24888784</v>
      </c>
      <c r="E134" s="239">
        <v>0</v>
      </c>
      <c r="F134" s="239">
        <v>24888784</v>
      </c>
      <c r="G134" s="239">
        <v>0</v>
      </c>
      <c r="H134" s="239">
        <v>0</v>
      </c>
      <c r="I134" s="239">
        <v>0</v>
      </c>
      <c r="J134" s="239">
        <v>-7611</v>
      </c>
      <c r="K134" s="239">
        <v>0</v>
      </c>
      <c r="L134" s="239">
        <v>-7611</v>
      </c>
      <c r="M134" s="239">
        <v>0</v>
      </c>
      <c r="N134" s="239">
        <v>0</v>
      </c>
      <c r="O134" s="239">
        <v>0</v>
      </c>
      <c r="P134" s="239">
        <v>-81809</v>
      </c>
      <c r="Q134" s="239">
        <v>0</v>
      </c>
      <c r="R134" s="239">
        <v>-81809</v>
      </c>
      <c r="S134" s="239">
        <v>169281</v>
      </c>
      <c r="T134" s="239">
        <v>0</v>
      </c>
      <c r="U134" s="239">
        <v>169281</v>
      </c>
      <c r="V134" s="239">
        <v>-64963</v>
      </c>
      <c r="W134" s="239">
        <v>0</v>
      </c>
      <c r="X134" s="239">
        <v>-64963</v>
      </c>
      <c r="Y134" s="239">
        <v>24911293</v>
      </c>
      <c r="Z134" s="239">
        <v>0</v>
      </c>
      <c r="AA134" s="239">
        <v>24911293</v>
      </c>
      <c r="AB134" s="239">
        <v>0</v>
      </c>
      <c r="AC134" s="239">
        <v>0</v>
      </c>
      <c r="AD134" s="239">
        <v>0</v>
      </c>
      <c r="AE134" s="239">
        <v>0</v>
      </c>
      <c r="AF134" s="239">
        <v>0</v>
      </c>
      <c r="AG134" s="239">
        <v>0</v>
      </c>
      <c r="AH134" s="239">
        <v>0</v>
      </c>
      <c r="AI134" s="239">
        <v>0</v>
      </c>
      <c r="AJ134" s="239">
        <v>0</v>
      </c>
      <c r="AK134" s="239">
        <v>0</v>
      </c>
      <c r="AL134" s="239">
        <v>1140949</v>
      </c>
      <c r="AM134" s="239">
        <v>-489718</v>
      </c>
      <c r="AN134" s="214" t="s">
        <v>349</v>
      </c>
      <c r="AO134" s="214" t="s">
        <v>857</v>
      </c>
      <c r="AP134" s="214" t="s">
        <v>855</v>
      </c>
      <c r="AQ134" s="214" t="s">
        <v>1190</v>
      </c>
    </row>
    <row r="135" spans="2:43" x14ac:dyDescent="0.2">
      <c r="B135" s="609" t="s">
        <v>352</v>
      </c>
      <c r="C135" s="609" t="s">
        <v>351</v>
      </c>
      <c r="D135" s="239">
        <v>376436961</v>
      </c>
      <c r="E135" s="239">
        <v>0</v>
      </c>
      <c r="F135" s="239">
        <v>376436961</v>
      </c>
      <c r="G135" s="239">
        <v>0</v>
      </c>
      <c r="H135" s="239">
        <v>0</v>
      </c>
      <c r="I135" s="239">
        <v>0</v>
      </c>
      <c r="J135" s="239">
        <v>-1196371</v>
      </c>
      <c r="K135" s="239">
        <v>0</v>
      </c>
      <c r="L135" s="239">
        <v>-1196371</v>
      </c>
      <c r="M135" s="239">
        <v>-1153999</v>
      </c>
      <c r="N135" s="239">
        <v>0</v>
      </c>
      <c r="O135" s="239">
        <v>-1153999</v>
      </c>
      <c r="P135" s="239">
        <v>883346</v>
      </c>
      <c r="Q135" s="239">
        <v>0</v>
      </c>
      <c r="R135" s="239">
        <v>883346</v>
      </c>
      <c r="S135" s="239">
        <v>2467417</v>
      </c>
      <c r="T135" s="239">
        <v>0</v>
      </c>
      <c r="U135" s="239">
        <v>2467417</v>
      </c>
      <c r="V135" s="239">
        <v>-2615091</v>
      </c>
      <c r="W135" s="239">
        <v>0</v>
      </c>
      <c r="X135" s="239">
        <v>-2615091</v>
      </c>
      <c r="Y135" s="239">
        <v>376018634</v>
      </c>
      <c r="Z135" s="239">
        <v>0</v>
      </c>
      <c r="AA135" s="239">
        <v>376018634</v>
      </c>
      <c r="AB135" s="239">
        <v>0</v>
      </c>
      <c r="AC135" s="239">
        <v>0</v>
      </c>
      <c r="AD135" s="239">
        <v>0</v>
      </c>
      <c r="AE135" s="239">
        <v>0</v>
      </c>
      <c r="AF135" s="239">
        <v>0</v>
      </c>
      <c r="AG135" s="239">
        <v>0</v>
      </c>
      <c r="AH135" s="239">
        <v>0</v>
      </c>
      <c r="AI135" s="239">
        <v>0</v>
      </c>
      <c r="AJ135" s="239">
        <v>0</v>
      </c>
      <c r="AK135" s="239">
        <v>0</v>
      </c>
      <c r="AL135" s="239">
        <v>12192238</v>
      </c>
      <c r="AM135" s="239">
        <v>-22588604</v>
      </c>
      <c r="AN135" s="214" t="s">
        <v>351</v>
      </c>
      <c r="AO135" s="214" t="s">
        <v>789</v>
      </c>
      <c r="AP135" s="214" t="s">
        <v>748</v>
      </c>
      <c r="AQ135" s="214" t="s">
        <v>1191</v>
      </c>
    </row>
    <row r="136" spans="2:43" x14ac:dyDescent="0.2">
      <c r="B136" s="609" t="s">
        <v>354</v>
      </c>
      <c r="C136" s="609" t="s">
        <v>353</v>
      </c>
      <c r="D136" s="239">
        <v>32607787</v>
      </c>
      <c r="E136" s="239">
        <v>942572</v>
      </c>
      <c r="F136" s="239">
        <v>33550359</v>
      </c>
      <c r="G136" s="239">
        <v>0</v>
      </c>
      <c r="H136" s="239">
        <v>0</v>
      </c>
      <c r="I136" s="239">
        <v>0</v>
      </c>
      <c r="J136" s="239">
        <v>-184273</v>
      </c>
      <c r="K136" s="239">
        <v>0</v>
      </c>
      <c r="L136" s="239">
        <v>-184273</v>
      </c>
      <c r="M136" s="239">
        <v>-120474</v>
      </c>
      <c r="N136" s="239">
        <v>0</v>
      </c>
      <c r="O136" s="239">
        <v>-120474</v>
      </c>
      <c r="P136" s="239">
        <v>-318007</v>
      </c>
      <c r="Q136" s="239">
        <v>0</v>
      </c>
      <c r="R136" s="239">
        <v>-318007</v>
      </c>
      <c r="S136" s="239">
        <v>324572</v>
      </c>
      <c r="T136" s="239">
        <v>0</v>
      </c>
      <c r="U136" s="239">
        <v>324572</v>
      </c>
      <c r="V136" s="239">
        <v>-1323847</v>
      </c>
      <c r="W136" s="239">
        <v>0</v>
      </c>
      <c r="X136" s="239">
        <v>-1323847</v>
      </c>
      <c r="Y136" s="239">
        <v>31170031</v>
      </c>
      <c r="Z136" s="239">
        <v>942572</v>
      </c>
      <c r="AA136" s="239">
        <v>32112603</v>
      </c>
      <c r="AB136" s="239">
        <v>942572</v>
      </c>
      <c r="AC136" s="239">
        <v>942572</v>
      </c>
      <c r="AD136" s="239">
        <v>119068</v>
      </c>
      <c r="AE136" s="239">
        <v>0</v>
      </c>
      <c r="AF136" s="239">
        <v>119068</v>
      </c>
      <c r="AG136" s="239">
        <v>0</v>
      </c>
      <c r="AH136" s="239">
        <v>0</v>
      </c>
      <c r="AI136" s="239">
        <v>915012</v>
      </c>
      <c r="AJ136" s="239">
        <v>915012</v>
      </c>
      <c r="AK136" s="239">
        <v>27560</v>
      </c>
      <c r="AL136" s="239">
        <v>303954</v>
      </c>
      <c r="AM136" s="239">
        <v>-223077</v>
      </c>
      <c r="AN136" s="214" t="s">
        <v>906</v>
      </c>
      <c r="AO136" s="214" t="s">
        <v>883</v>
      </c>
      <c r="AP136" s="214" t="s">
        <v>868</v>
      </c>
      <c r="AQ136" s="214" t="s">
        <v>1190</v>
      </c>
    </row>
    <row r="137" spans="2:43" x14ac:dyDescent="0.2">
      <c r="B137" s="609" t="s">
        <v>356</v>
      </c>
      <c r="C137" s="609" t="s">
        <v>355</v>
      </c>
      <c r="D137" s="239">
        <v>42230361</v>
      </c>
      <c r="E137" s="239">
        <v>0</v>
      </c>
      <c r="F137" s="239">
        <v>42230361</v>
      </c>
      <c r="G137" s="239">
        <v>-1903</v>
      </c>
      <c r="H137" s="239">
        <v>0</v>
      </c>
      <c r="I137" s="239">
        <v>-1903</v>
      </c>
      <c r="J137" s="239">
        <v>-308856</v>
      </c>
      <c r="K137" s="239">
        <v>0</v>
      </c>
      <c r="L137" s="239">
        <v>-308856</v>
      </c>
      <c r="M137" s="239">
        <v>0</v>
      </c>
      <c r="N137" s="239">
        <v>0</v>
      </c>
      <c r="O137" s="239">
        <v>0</v>
      </c>
      <c r="P137" s="239">
        <v>-448137</v>
      </c>
      <c r="Q137" s="239">
        <v>0</v>
      </c>
      <c r="R137" s="239">
        <v>-448137</v>
      </c>
      <c r="S137" s="239">
        <v>1518919</v>
      </c>
      <c r="T137" s="239">
        <v>0</v>
      </c>
      <c r="U137" s="239">
        <v>1518919</v>
      </c>
      <c r="V137" s="239">
        <v>-1682531</v>
      </c>
      <c r="W137" s="239">
        <v>0</v>
      </c>
      <c r="X137" s="239">
        <v>-1682531</v>
      </c>
      <c r="Y137" s="239">
        <v>41616709</v>
      </c>
      <c r="Z137" s="239">
        <v>0</v>
      </c>
      <c r="AA137" s="239">
        <v>41616709</v>
      </c>
      <c r="AB137" s="239">
        <v>0</v>
      </c>
      <c r="AC137" s="239">
        <v>0</v>
      </c>
      <c r="AD137" s="239">
        <v>0</v>
      </c>
      <c r="AE137" s="239">
        <v>0</v>
      </c>
      <c r="AF137" s="239">
        <v>0</v>
      </c>
      <c r="AG137" s="239">
        <v>0</v>
      </c>
      <c r="AH137" s="239">
        <v>0</v>
      </c>
      <c r="AI137" s="239">
        <v>0</v>
      </c>
      <c r="AJ137" s="239">
        <v>0</v>
      </c>
      <c r="AK137" s="239">
        <v>0</v>
      </c>
      <c r="AL137" s="239">
        <v>2812217</v>
      </c>
      <c r="AM137" s="239">
        <v>-2056975</v>
      </c>
      <c r="AN137" s="214" t="s">
        <v>355</v>
      </c>
      <c r="AO137" s="214" t="s">
        <v>763</v>
      </c>
      <c r="AP137" s="214" t="s">
        <v>762</v>
      </c>
      <c r="AQ137" s="214" t="s">
        <v>1190</v>
      </c>
    </row>
    <row r="138" spans="2:43" x14ac:dyDescent="0.2">
      <c r="B138" s="609" t="s">
        <v>358</v>
      </c>
      <c r="C138" s="609" t="s">
        <v>357</v>
      </c>
      <c r="D138" s="239">
        <v>162842777</v>
      </c>
      <c r="E138" s="239">
        <v>0</v>
      </c>
      <c r="F138" s="239">
        <v>162842777</v>
      </c>
      <c r="G138" s="239">
        <v>-1835</v>
      </c>
      <c r="H138" s="239">
        <v>0</v>
      </c>
      <c r="I138" s="239">
        <v>-1835</v>
      </c>
      <c r="J138" s="239">
        <v>-2317752</v>
      </c>
      <c r="K138" s="239">
        <v>0</v>
      </c>
      <c r="L138" s="239">
        <v>-2317752</v>
      </c>
      <c r="M138" s="239">
        <v>0</v>
      </c>
      <c r="N138" s="239">
        <v>0</v>
      </c>
      <c r="O138" s="239">
        <v>0</v>
      </c>
      <c r="P138" s="239">
        <v>-6597597</v>
      </c>
      <c r="Q138" s="239">
        <v>0</v>
      </c>
      <c r="R138" s="239">
        <v>-6597597</v>
      </c>
      <c r="S138" s="239">
        <v>3000000</v>
      </c>
      <c r="T138" s="239">
        <v>0</v>
      </c>
      <c r="U138" s="239">
        <v>3000000</v>
      </c>
      <c r="V138" s="239">
        <v>-7900000</v>
      </c>
      <c r="W138" s="239">
        <v>0</v>
      </c>
      <c r="X138" s="239">
        <v>-7900000</v>
      </c>
      <c r="Y138" s="239">
        <v>151343345</v>
      </c>
      <c r="Z138" s="239">
        <v>0</v>
      </c>
      <c r="AA138" s="239">
        <v>151343345</v>
      </c>
      <c r="AB138" s="239">
        <v>0</v>
      </c>
      <c r="AC138" s="239">
        <v>0</v>
      </c>
      <c r="AD138" s="239">
        <v>0</v>
      </c>
      <c r="AE138" s="239">
        <v>0</v>
      </c>
      <c r="AF138" s="239">
        <v>0</v>
      </c>
      <c r="AG138" s="239">
        <v>0</v>
      </c>
      <c r="AH138" s="239">
        <v>0</v>
      </c>
      <c r="AI138" s="239">
        <v>0</v>
      </c>
      <c r="AJ138" s="239">
        <v>0</v>
      </c>
      <c r="AK138" s="239">
        <v>0</v>
      </c>
      <c r="AL138" s="239">
        <v>9461897</v>
      </c>
      <c r="AM138" s="239">
        <v>-12742442</v>
      </c>
      <c r="AN138" s="214" t="s">
        <v>357</v>
      </c>
      <c r="AO138" s="214" t="s">
        <v>789</v>
      </c>
      <c r="AP138" s="214" t="s">
        <v>748</v>
      </c>
      <c r="AQ138" s="214" t="s">
        <v>1191</v>
      </c>
    </row>
    <row r="139" spans="2:43" x14ac:dyDescent="0.2">
      <c r="B139" s="609" t="s">
        <v>360</v>
      </c>
      <c r="C139" s="609" t="s">
        <v>359</v>
      </c>
      <c r="D139" s="239">
        <v>59629850</v>
      </c>
      <c r="E139" s="239">
        <v>349791</v>
      </c>
      <c r="F139" s="239">
        <v>59979641</v>
      </c>
      <c r="G139" s="239">
        <v>0</v>
      </c>
      <c r="H139" s="239">
        <v>0</v>
      </c>
      <c r="I139" s="239">
        <v>0</v>
      </c>
      <c r="J139" s="239">
        <v>-189147</v>
      </c>
      <c r="K139" s="239">
        <v>0</v>
      </c>
      <c r="L139" s="239">
        <v>-189147</v>
      </c>
      <c r="M139" s="239">
        <v>0</v>
      </c>
      <c r="N139" s="239">
        <v>0</v>
      </c>
      <c r="O139" s="239">
        <v>0</v>
      </c>
      <c r="P139" s="239">
        <v>175547</v>
      </c>
      <c r="Q139" s="239">
        <v>0</v>
      </c>
      <c r="R139" s="239">
        <v>175547</v>
      </c>
      <c r="S139" s="239">
        <v>3350780</v>
      </c>
      <c r="T139" s="239">
        <v>0</v>
      </c>
      <c r="U139" s="239">
        <v>3350780</v>
      </c>
      <c r="V139" s="239">
        <v>-1163746</v>
      </c>
      <c r="W139" s="239">
        <v>0</v>
      </c>
      <c r="X139" s="239">
        <v>-1163746</v>
      </c>
      <c r="Y139" s="239">
        <v>61992431</v>
      </c>
      <c r="Z139" s="239">
        <v>349791</v>
      </c>
      <c r="AA139" s="239">
        <v>62342222</v>
      </c>
      <c r="AB139" s="239">
        <v>349791</v>
      </c>
      <c r="AC139" s="239">
        <v>349791</v>
      </c>
      <c r="AD139" s="239">
        <v>874156</v>
      </c>
      <c r="AE139" s="239">
        <v>0</v>
      </c>
      <c r="AF139" s="239">
        <v>874156</v>
      </c>
      <c r="AG139" s="239">
        <v>-30388</v>
      </c>
      <c r="AH139" s="239">
        <v>-30388</v>
      </c>
      <c r="AI139" s="239">
        <v>642108</v>
      </c>
      <c r="AJ139" s="239">
        <v>642108</v>
      </c>
      <c r="AK139" s="239">
        <v>0</v>
      </c>
      <c r="AL139" s="239">
        <v>286868</v>
      </c>
      <c r="AM139" s="239">
        <v>-137765</v>
      </c>
      <c r="AN139" s="214" t="s">
        <v>359</v>
      </c>
      <c r="AO139" s="214" t="s">
        <v>861</v>
      </c>
      <c r="AP139" s="214" t="s">
        <v>859</v>
      </c>
      <c r="AQ139" s="214" t="s">
        <v>1190</v>
      </c>
    </row>
    <row r="140" spans="2:43" x14ac:dyDescent="0.2">
      <c r="B140" s="609" t="s">
        <v>362</v>
      </c>
      <c r="C140" s="609" t="s">
        <v>361</v>
      </c>
      <c r="D140" s="239">
        <v>23394027</v>
      </c>
      <c r="E140" s="239">
        <v>0</v>
      </c>
      <c r="F140" s="239">
        <v>23394027</v>
      </c>
      <c r="G140" s="239">
        <v>0</v>
      </c>
      <c r="H140" s="239">
        <v>0</v>
      </c>
      <c r="I140" s="239">
        <v>0</v>
      </c>
      <c r="J140" s="239">
        <v>-879395</v>
      </c>
      <c r="K140" s="239">
        <v>0</v>
      </c>
      <c r="L140" s="239">
        <v>-879395</v>
      </c>
      <c r="M140" s="239">
        <v>0</v>
      </c>
      <c r="N140" s="239">
        <v>0</v>
      </c>
      <c r="O140" s="239">
        <v>0</v>
      </c>
      <c r="P140" s="239">
        <v>-1406362</v>
      </c>
      <c r="Q140" s="239">
        <v>0</v>
      </c>
      <c r="R140" s="239">
        <v>-1406362</v>
      </c>
      <c r="S140" s="239">
        <v>257960</v>
      </c>
      <c r="T140" s="239">
        <v>0</v>
      </c>
      <c r="U140" s="239">
        <v>257960</v>
      </c>
      <c r="V140" s="239">
        <v>-1040107</v>
      </c>
      <c r="W140" s="239">
        <v>0</v>
      </c>
      <c r="X140" s="239">
        <v>-1040107</v>
      </c>
      <c r="Y140" s="239">
        <v>21205518</v>
      </c>
      <c r="Z140" s="239">
        <v>0</v>
      </c>
      <c r="AA140" s="239">
        <v>21205518</v>
      </c>
      <c r="AB140" s="239">
        <v>0</v>
      </c>
      <c r="AC140" s="239">
        <v>0</v>
      </c>
      <c r="AD140" s="239">
        <v>0</v>
      </c>
      <c r="AE140" s="239">
        <v>0</v>
      </c>
      <c r="AF140" s="239">
        <v>0</v>
      </c>
      <c r="AG140" s="239">
        <v>0</v>
      </c>
      <c r="AH140" s="239">
        <v>0</v>
      </c>
      <c r="AI140" s="239">
        <v>0</v>
      </c>
      <c r="AJ140" s="239">
        <v>0</v>
      </c>
      <c r="AK140" s="239">
        <v>0</v>
      </c>
      <c r="AL140" s="239">
        <v>4347090</v>
      </c>
      <c r="AM140" s="239">
        <v>-1077161</v>
      </c>
      <c r="AN140" s="214" t="s">
        <v>361</v>
      </c>
      <c r="AO140" s="214" t="s">
        <v>756</v>
      </c>
      <c r="AP140" s="214" t="s">
        <v>754</v>
      </c>
      <c r="AQ140" s="214" t="s">
        <v>1190</v>
      </c>
    </row>
    <row r="141" spans="2:43" x14ac:dyDescent="0.2">
      <c r="B141" s="609" t="s">
        <v>364</v>
      </c>
      <c r="C141" s="609" t="s">
        <v>363</v>
      </c>
      <c r="D141" s="239">
        <v>56321935</v>
      </c>
      <c r="E141" s="239">
        <v>0</v>
      </c>
      <c r="F141" s="239">
        <v>56321935</v>
      </c>
      <c r="G141" s="239">
        <v>0</v>
      </c>
      <c r="H141" s="239">
        <v>0</v>
      </c>
      <c r="I141" s="239">
        <v>0</v>
      </c>
      <c r="J141" s="239">
        <v>-385825</v>
      </c>
      <c r="K141" s="239">
        <v>0</v>
      </c>
      <c r="L141" s="239">
        <v>-385825</v>
      </c>
      <c r="M141" s="239">
        <v>0</v>
      </c>
      <c r="N141" s="239">
        <v>0</v>
      </c>
      <c r="O141" s="239">
        <v>0</v>
      </c>
      <c r="P141" s="239">
        <v>-471408</v>
      </c>
      <c r="Q141" s="239">
        <v>0</v>
      </c>
      <c r="R141" s="239">
        <v>-471408</v>
      </c>
      <c r="S141" s="239">
        <v>1046814</v>
      </c>
      <c r="T141" s="239">
        <v>0</v>
      </c>
      <c r="U141" s="239">
        <v>1046814</v>
      </c>
      <c r="V141" s="239">
        <v>617392</v>
      </c>
      <c r="W141" s="239">
        <v>0</v>
      </c>
      <c r="X141" s="239">
        <v>617392</v>
      </c>
      <c r="Y141" s="239">
        <v>57514733</v>
      </c>
      <c r="Z141" s="239">
        <v>0</v>
      </c>
      <c r="AA141" s="239">
        <v>57514733</v>
      </c>
      <c r="AB141" s="239">
        <v>0</v>
      </c>
      <c r="AC141" s="239">
        <v>0</v>
      </c>
      <c r="AD141" s="239">
        <v>0</v>
      </c>
      <c r="AE141" s="239">
        <v>0</v>
      </c>
      <c r="AF141" s="239">
        <v>0</v>
      </c>
      <c r="AG141" s="239">
        <v>0</v>
      </c>
      <c r="AH141" s="239">
        <v>0</v>
      </c>
      <c r="AI141" s="239">
        <v>186217</v>
      </c>
      <c r="AJ141" s="239">
        <v>186217</v>
      </c>
      <c r="AK141" s="239">
        <v>0</v>
      </c>
      <c r="AL141" s="239">
        <v>1475797</v>
      </c>
      <c r="AM141" s="239">
        <v>-238366</v>
      </c>
      <c r="AN141" s="214" t="s">
        <v>363</v>
      </c>
      <c r="AO141" s="214" t="s">
        <v>810</v>
      </c>
      <c r="AP141" s="214" t="s">
        <v>762</v>
      </c>
      <c r="AQ141" s="214" t="s">
        <v>1190</v>
      </c>
    </row>
    <row r="142" spans="2:43" x14ac:dyDescent="0.2">
      <c r="B142" s="609" t="s">
        <v>366</v>
      </c>
      <c r="C142" s="609" t="s">
        <v>365</v>
      </c>
      <c r="D142" s="239">
        <v>35627851</v>
      </c>
      <c r="E142" s="239">
        <v>0</v>
      </c>
      <c r="F142" s="239">
        <v>35627851</v>
      </c>
      <c r="G142" s="239">
        <v>0</v>
      </c>
      <c r="H142" s="239">
        <v>0</v>
      </c>
      <c r="I142" s="239">
        <v>0</v>
      </c>
      <c r="J142" s="239">
        <v>-413451</v>
      </c>
      <c r="K142" s="239">
        <v>0</v>
      </c>
      <c r="L142" s="239">
        <v>-413451</v>
      </c>
      <c r="M142" s="239">
        <v>0</v>
      </c>
      <c r="N142" s="239">
        <v>0</v>
      </c>
      <c r="O142" s="239">
        <v>0</v>
      </c>
      <c r="P142" s="239">
        <v>-391781</v>
      </c>
      <c r="Q142" s="239">
        <v>0</v>
      </c>
      <c r="R142" s="239">
        <v>-391781</v>
      </c>
      <c r="S142" s="239">
        <v>1027734</v>
      </c>
      <c r="T142" s="239">
        <v>0</v>
      </c>
      <c r="U142" s="239">
        <v>1027734</v>
      </c>
      <c r="V142" s="239">
        <v>-750854</v>
      </c>
      <c r="W142" s="239">
        <v>0</v>
      </c>
      <c r="X142" s="239">
        <v>-750854</v>
      </c>
      <c r="Y142" s="239">
        <v>35512950</v>
      </c>
      <c r="Z142" s="239">
        <v>0</v>
      </c>
      <c r="AA142" s="239">
        <v>35512950</v>
      </c>
      <c r="AB142" s="239">
        <v>0</v>
      </c>
      <c r="AC142" s="239">
        <v>0</v>
      </c>
      <c r="AD142" s="239">
        <v>289194</v>
      </c>
      <c r="AE142" s="239">
        <v>0</v>
      </c>
      <c r="AF142" s="239">
        <v>289194</v>
      </c>
      <c r="AG142" s="239">
        <v>0</v>
      </c>
      <c r="AH142" s="239">
        <v>0</v>
      </c>
      <c r="AI142" s="239">
        <v>0</v>
      </c>
      <c r="AJ142" s="239">
        <v>0</v>
      </c>
      <c r="AK142" s="239">
        <v>0</v>
      </c>
      <c r="AL142" s="239">
        <v>1093814</v>
      </c>
      <c r="AM142" s="239">
        <v>-419417</v>
      </c>
      <c r="AN142" s="214" t="s">
        <v>905</v>
      </c>
      <c r="AO142" s="214" t="s">
        <v>747</v>
      </c>
      <c r="AP142" s="214" t="s">
        <v>762</v>
      </c>
      <c r="AQ142" s="214" t="s">
        <v>747</v>
      </c>
    </row>
    <row r="143" spans="2:43" x14ac:dyDescent="0.2">
      <c r="B143" s="609" t="s">
        <v>368</v>
      </c>
      <c r="C143" s="609" t="s">
        <v>367</v>
      </c>
      <c r="D143" s="239">
        <v>1493046</v>
      </c>
      <c r="E143" s="239">
        <v>0</v>
      </c>
      <c r="F143" s="239">
        <v>1493046</v>
      </c>
      <c r="G143" s="239">
        <v>0</v>
      </c>
      <c r="H143" s="239">
        <v>0</v>
      </c>
      <c r="I143" s="239">
        <v>0</v>
      </c>
      <c r="J143" s="239">
        <v>0</v>
      </c>
      <c r="K143" s="239">
        <v>0</v>
      </c>
      <c r="L143" s="239">
        <v>0</v>
      </c>
      <c r="M143" s="239">
        <v>0</v>
      </c>
      <c r="N143" s="239">
        <v>0</v>
      </c>
      <c r="O143" s="239">
        <v>0</v>
      </c>
      <c r="P143" s="239">
        <v>-25920</v>
      </c>
      <c r="Q143" s="239">
        <v>0</v>
      </c>
      <c r="R143" s="239">
        <v>-25920</v>
      </c>
      <c r="S143" s="239">
        <v>0</v>
      </c>
      <c r="T143" s="239">
        <v>0</v>
      </c>
      <c r="U143" s="239">
        <v>0</v>
      </c>
      <c r="V143" s="239">
        <v>-3274</v>
      </c>
      <c r="W143" s="239">
        <v>0</v>
      </c>
      <c r="X143" s="239">
        <v>-3274</v>
      </c>
      <c r="Y143" s="239">
        <v>1463852</v>
      </c>
      <c r="Z143" s="239">
        <v>0</v>
      </c>
      <c r="AA143" s="239">
        <v>1463852</v>
      </c>
      <c r="AB143" s="239">
        <v>0</v>
      </c>
      <c r="AC143" s="239">
        <v>0</v>
      </c>
      <c r="AD143" s="239">
        <v>0</v>
      </c>
      <c r="AE143" s="239">
        <v>0</v>
      </c>
      <c r="AF143" s="239">
        <v>0</v>
      </c>
      <c r="AG143" s="239">
        <v>0</v>
      </c>
      <c r="AH143" s="239">
        <v>0</v>
      </c>
      <c r="AI143" s="239">
        <v>0</v>
      </c>
      <c r="AJ143" s="239">
        <v>0</v>
      </c>
      <c r="AK143" s="239">
        <v>0</v>
      </c>
      <c r="AL143" s="239">
        <v>62725</v>
      </c>
      <c r="AM143" s="239">
        <v>-29213</v>
      </c>
      <c r="AN143" s="214" t="s">
        <v>367</v>
      </c>
      <c r="AO143" s="214" t="s">
        <v>747</v>
      </c>
      <c r="AP143" s="214" t="s">
        <v>762</v>
      </c>
      <c r="AQ143" s="214" t="s">
        <v>747</v>
      </c>
    </row>
    <row r="144" spans="2:43" x14ac:dyDescent="0.2">
      <c r="B144" s="609" t="s">
        <v>370</v>
      </c>
      <c r="C144" s="609" t="s">
        <v>369</v>
      </c>
      <c r="D144" s="239">
        <v>209251142</v>
      </c>
      <c r="E144" s="239">
        <v>0</v>
      </c>
      <c r="F144" s="239">
        <v>209251142</v>
      </c>
      <c r="G144" s="239">
        <v>0</v>
      </c>
      <c r="H144" s="239">
        <v>0</v>
      </c>
      <c r="I144" s="239">
        <v>0</v>
      </c>
      <c r="J144" s="239">
        <v>-2018305</v>
      </c>
      <c r="K144" s="239">
        <v>0</v>
      </c>
      <c r="L144" s="239">
        <v>-2018305</v>
      </c>
      <c r="M144" s="239">
        <v>-103994</v>
      </c>
      <c r="N144" s="239">
        <v>0</v>
      </c>
      <c r="O144" s="239">
        <v>-103994</v>
      </c>
      <c r="P144" s="239">
        <v>-2587021</v>
      </c>
      <c r="Q144" s="239">
        <v>0</v>
      </c>
      <c r="R144" s="239">
        <v>-2587021</v>
      </c>
      <c r="S144" s="239">
        <v>6807658</v>
      </c>
      <c r="T144" s="239">
        <v>0</v>
      </c>
      <c r="U144" s="239">
        <v>6807658</v>
      </c>
      <c r="V144" s="239">
        <v>-11396219</v>
      </c>
      <c r="W144" s="239">
        <v>0</v>
      </c>
      <c r="X144" s="239">
        <v>-11396219</v>
      </c>
      <c r="Y144" s="239">
        <v>201971566</v>
      </c>
      <c r="Z144" s="239">
        <v>0</v>
      </c>
      <c r="AA144" s="239">
        <v>201971566</v>
      </c>
      <c r="AB144" s="239">
        <v>0</v>
      </c>
      <c r="AC144" s="239">
        <v>0</v>
      </c>
      <c r="AD144" s="239">
        <v>62040</v>
      </c>
      <c r="AE144" s="239">
        <v>0</v>
      </c>
      <c r="AF144" s="239">
        <v>62040</v>
      </c>
      <c r="AG144" s="239">
        <v>0</v>
      </c>
      <c r="AH144" s="239">
        <v>0</v>
      </c>
      <c r="AI144" s="239">
        <v>0</v>
      </c>
      <c r="AJ144" s="239">
        <v>0</v>
      </c>
      <c r="AK144" s="239">
        <v>0</v>
      </c>
      <c r="AL144" s="239">
        <v>18879468</v>
      </c>
      <c r="AM144" s="239">
        <v>-13732407</v>
      </c>
      <c r="AN144" s="214" t="s">
        <v>369</v>
      </c>
      <c r="AO144" s="214" t="s">
        <v>789</v>
      </c>
      <c r="AP144" s="214" t="s">
        <v>748</v>
      </c>
      <c r="AQ144" s="214" t="s">
        <v>1193</v>
      </c>
    </row>
    <row r="145" spans="2:43" x14ac:dyDescent="0.2">
      <c r="B145" s="609" t="s">
        <v>372</v>
      </c>
      <c r="C145" s="609" t="s">
        <v>371</v>
      </c>
      <c r="D145" s="239">
        <v>284936593</v>
      </c>
      <c r="E145" s="239">
        <v>0</v>
      </c>
      <c r="F145" s="239">
        <v>284936593</v>
      </c>
      <c r="G145" s="239">
        <v>-11598</v>
      </c>
      <c r="H145" s="239">
        <v>0</v>
      </c>
      <c r="I145" s="239">
        <v>-11598</v>
      </c>
      <c r="J145" s="239">
        <v>-1972876</v>
      </c>
      <c r="K145" s="239">
        <v>0</v>
      </c>
      <c r="L145" s="239">
        <v>-1972876</v>
      </c>
      <c r="M145" s="239">
        <v>-221974</v>
      </c>
      <c r="N145" s="239">
        <v>0</v>
      </c>
      <c r="O145" s="239">
        <v>-221974</v>
      </c>
      <c r="P145" s="239">
        <v>-2426432</v>
      </c>
      <c r="Q145" s="239">
        <v>0</v>
      </c>
      <c r="R145" s="239">
        <v>-2426432</v>
      </c>
      <c r="S145" s="239">
        <v>8248968</v>
      </c>
      <c r="T145" s="239">
        <v>0</v>
      </c>
      <c r="U145" s="239">
        <v>8248968</v>
      </c>
      <c r="V145" s="239">
        <v>-9844841</v>
      </c>
      <c r="W145" s="239">
        <v>0</v>
      </c>
      <c r="X145" s="239">
        <v>-9844841</v>
      </c>
      <c r="Y145" s="239">
        <v>280680716</v>
      </c>
      <c r="Z145" s="239">
        <v>0</v>
      </c>
      <c r="AA145" s="239">
        <v>280680716</v>
      </c>
      <c r="AB145" s="239">
        <v>0</v>
      </c>
      <c r="AC145" s="239">
        <v>0</v>
      </c>
      <c r="AD145" s="239">
        <v>0</v>
      </c>
      <c r="AE145" s="239">
        <v>0</v>
      </c>
      <c r="AF145" s="239">
        <v>0</v>
      </c>
      <c r="AG145" s="239">
        <v>0</v>
      </c>
      <c r="AH145" s="239">
        <v>0</v>
      </c>
      <c r="AI145" s="239">
        <v>0</v>
      </c>
      <c r="AJ145" s="239">
        <v>0</v>
      </c>
      <c r="AK145" s="239">
        <v>0</v>
      </c>
      <c r="AL145" s="239">
        <v>8527556</v>
      </c>
      <c r="AM145" s="239">
        <v>-7687751</v>
      </c>
      <c r="AN145" s="214" t="s">
        <v>904</v>
      </c>
      <c r="AO145" s="214" t="s">
        <v>789</v>
      </c>
      <c r="AP145" s="214" t="s">
        <v>748</v>
      </c>
      <c r="AQ145" s="214" t="s">
        <v>1193</v>
      </c>
    </row>
    <row r="146" spans="2:43" x14ac:dyDescent="0.2">
      <c r="B146" s="609" t="s">
        <v>374</v>
      </c>
      <c r="C146" s="609" t="s">
        <v>373</v>
      </c>
      <c r="D146" s="239">
        <v>31514923</v>
      </c>
      <c r="E146" s="239">
        <v>0</v>
      </c>
      <c r="F146" s="239">
        <v>31514923</v>
      </c>
      <c r="G146" s="239">
        <v>0</v>
      </c>
      <c r="H146" s="239">
        <v>0</v>
      </c>
      <c r="I146" s="239">
        <v>0</v>
      </c>
      <c r="J146" s="239">
        <v>-89022</v>
      </c>
      <c r="K146" s="239">
        <v>0</v>
      </c>
      <c r="L146" s="239">
        <v>-89022</v>
      </c>
      <c r="M146" s="239">
        <v>0</v>
      </c>
      <c r="N146" s="239">
        <v>0</v>
      </c>
      <c r="O146" s="239">
        <v>0</v>
      </c>
      <c r="P146" s="239">
        <v>-58330</v>
      </c>
      <c r="Q146" s="239">
        <v>0</v>
      </c>
      <c r="R146" s="239">
        <v>-58330</v>
      </c>
      <c r="S146" s="239">
        <v>1902178</v>
      </c>
      <c r="T146" s="239">
        <v>0</v>
      </c>
      <c r="U146" s="239">
        <v>1902178</v>
      </c>
      <c r="V146" s="239">
        <v>-2385093</v>
      </c>
      <c r="W146" s="239">
        <v>0</v>
      </c>
      <c r="X146" s="239">
        <v>-2385093</v>
      </c>
      <c r="Y146" s="239">
        <v>30973678</v>
      </c>
      <c r="Z146" s="239">
        <v>0</v>
      </c>
      <c r="AA146" s="239">
        <v>30973678</v>
      </c>
      <c r="AB146" s="239">
        <v>0</v>
      </c>
      <c r="AC146" s="239">
        <v>0</v>
      </c>
      <c r="AD146" s="239">
        <v>296709</v>
      </c>
      <c r="AE146" s="239">
        <v>0</v>
      </c>
      <c r="AF146" s="239">
        <v>296709</v>
      </c>
      <c r="AG146" s="239">
        <v>0</v>
      </c>
      <c r="AH146" s="239">
        <v>0</v>
      </c>
      <c r="AI146" s="239">
        <v>0</v>
      </c>
      <c r="AJ146" s="239">
        <v>0</v>
      </c>
      <c r="AK146" s="239">
        <v>0</v>
      </c>
      <c r="AL146" s="239">
        <v>368427</v>
      </c>
      <c r="AM146" s="239">
        <v>-849827</v>
      </c>
      <c r="AN146" s="214" t="s">
        <v>373</v>
      </c>
      <c r="AO146" s="214" t="s">
        <v>804</v>
      </c>
      <c r="AP146" s="214" t="s">
        <v>762</v>
      </c>
      <c r="AQ146" s="214" t="s">
        <v>1190</v>
      </c>
    </row>
    <row r="147" spans="2:43" x14ac:dyDescent="0.2">
      <c r="B147" s="609" t="s">
        <v>376</v>
      </c>
      <c r="C147" s="609" t="s">
        <v>375</v>
      </c>
      <c r="D147" s="239">
        <v>46653109</v>
      </c>
      <c r="E147" s="239">
        <v>0</v>
      </c>
      <c r="F147" s="239">
        <v>46653109</v>
      </c>
      <c r="G147" s="239">
        <v>0</v>
      </c>
      <c r="H147" s="239">
        <v>0</v>
      </c>
      <c r="I147" s="239">
        <v>0</v>
      </c>
      <c r="J147" s="239">
        <v>-223685</v>
      </c>
      <c r="K147" s="239">
        <v>0</v>
      </c>
      <c r="L147" s="239">
        <v>-223685</v>
      </c>
      <c r="M147" s="239">
        <v>-522910</v>
      </c>
      <c r="N147" s="239">
        <v>0</v>
      </c>
      <c r="O147" s="239">
        <v>-522910</v>
      </c>
      <c r="P147" s="239">
        <v>-310651</v>
      </c>
      <c r="Q147" s="239">
        <v>0</v>
      </c>
      <c r="R147" s="239">
        <v>-310651</v>
      </c>
      <c r="S147" s="239">
        <v>423823</v>
      </c>
      <c r="T147" s="239">
        <v>0</v>
      </c>
      <c r="U147" s="239">
        <v>423823</v>
      </c>
      <c r="V147" s="239">
        <v>2469029</v>
      </c>
      <c r="W147" s="239">
        <v>0</v>
      </c>
      <c r="X147" s="239">
        <v>2469029</v>
      </c>
      <c r="Y147" s="239">
        <v>48712400</v>
      </c>
      <c r="Z147" s="239">
        <v>0</v>
      </c>
      <c r="AA147" s="239">
        <v>48712400</v>
      </c>
      <c r="AB147" s="239">
        <v>0</v>
      </c>
      <c r="AC147" s="239">
        <v>0</v>
      </c>
      <c r="AD147" s="239">
        <v>1170715</v>
      </c>
      <c r="AE147" s="239">
        <v>0</v>
      </c>
      <c r="AF147" s="239">
        <v>1170715</v>
      </c>
      <c r="AG147" s="239">
        <v>0</v>
      </c>
      <c r="AH147" s="239">
        <v>0</v>
      </c>
      <c r="AI147" s="239">
        <v>0</v>
      </c>
      <c r="AJ147" s="239">
        <v>0</v>
      </c>
      <c r="AK147" s="239">
        <v>0</v>
      </c>
      <c r="AL147" s="239">
        <v>1039150</v>
      </c>
      <c r="AM147" s="239">
        <v>-461080</v>
      </c>
      <c r="AN147" s="214" t="s">
        <v>903</v>
      </c>
      <c r="AO147" s="214" t="s">
        <v>848</v>
      </c>
      <c r="AP147" s="214" t="s">
        <v>762</v>
      </c>
      <c r="AQ147" s="214" t="s">
        <v>1190</v>
      </c>
    </row>
    <row r="148" spans="2:43" x14ac:dyDescent="0.2">
      <c r="B148" s="609" t="s">
        <v>378</v>
      </c>
      <c r="C148" s="609" t="s">
        <v>377</v>
      </c>
      <c r="D148" s="239">
        <v>82794381</v>
      </c>
      <c r="E148" s="239">
        <v>13514</v>
      </c>
      <c r="F148" s="239">
        <v>82807895</v>
      </c>
      <c r="G148" s="239">
        <v>-2931</v>
      </c>
      <c r="H148" s="239">
        <v>0</v>
      </c>
      <c r="I148" s="239">
        <v>-2931</v>
      </c>
      <c r="J148" s="239">
        <v>-1251731</v>
      </c>
      <c r="K148" s="239">
        <v>0</v>
      </c>
      <c r="L148" s="239">
        <v>-1251731</v>
      </c>
      <c r="M148" s="239">
        <v>0</v>
      </c>
      <c r="N148" s="239">
        <v>0</v>
      </c>
      <c r="O148" s="239">
        <v>0</v>
      </c>
      <c r="P148" s="239">
        <v>-1168936</v>
      </c>
      <c r="Q148" s="239">
        <v>0</v>
      </c>
      <c r="R148" s="239">
        <v>-1168936</v>
      </c>
      <c r="S148" s="239">
        <v>9121753</v>
      </c>
      <c r="T148" s="239">
        <v>0</v>
      </c>
      <c r="U148" s="239">
        <v>9121753</v>
      </c>
      <c r="V148" s="239">
        <v>-5728753</v>
      </c>
      <c r="W148" s="239">
        <v>0</v>
      </c>
      <c r="X148" s="239">
        <v>-5728753</v>
      </c>
      <c r="Y148" s="239">
        <v>85015514</v>
      </c>
      <c r="Z148" s="239">
        <v>13514</v>
      </c>
      <c r="AA148" s="239">
        <v>85029028</v>
      </c>
      <c r="AB148" s="239">
        <v>13514</v>
      </c>
      <c r="AC148" s="239">
        <v>13514</v>
      </c>
      <c r="AD148" s="239">
        <v>0</v>
      </c>
      <c r="AE148" s="239">
        <v>0</v>
      </c>
      <c r="AF148" s="239">
        <v>0</v>
      </c>
      <c r="AG148" s="239">
        <v>0</v>
      </c>
      <c r="AH148" s="239">
        <v>0</v>
      </c>
      <c r="AI148" s="239">
        <v>333598</v>
      </c>
      <c r="AJ148" s="239">
        <v>333598</v>
      </c>
      <c r="AK148" s="239">
        <v>13514</v>
      </c>
      <c r="AL148" s="239">
        <v>4831072</v>
      </c>
      <c r="AM148" s="239">
        <v>-500289</v>
      </c>
      <c r="AN148" s="214" t="s">
        <v>902</v>
      </c>
      <c r="AO148" s="214" t="s">
        <v>747</v>
      </c>
      <c r="AP148" s="214" t="s">
        <v>889</v>
      </c>
      <c r="AQ148" s="214" t="s">
        <v>747</v>
      </c>
    </row>
    <row r="149" spans="2:43" x14ac:dyDescent="0.2">
      <c r="B149" s="609" t="s">
        <v>380</v>
      </c>
      <c r="C149" s="609" t="s">
        <v>379</v>
      </c>
      <c r="D149" s="239">
        <v>84249752</v>
      </c>
      <c r="E149" s="239">
        <v>0</v>
      </c>
      <c r="F149" s="239">
        <v>84249752</v>
      </c>
      <c r="G149" s="239">
        <v>0</v>
      </c>
      <c r="H149" s="239">
        <v>0</v>
      </c>
      <c r="I149" s="239">
        <v>0</v>
      </c>
      <c r="J149" s="239">
        <v>-25521</v>
      </c>
      <c r="K149" s="239">
        <v>0</v>
      </c>
      <c r="L149" s="239">
        <v>-25521</v>
      </c>
      <c r="M149" s="239">
        <v>-7519</v>
      </c>
      <c r="N149" s="239">
        <v>0</v>
      </c>
      <c r="O149" s="239">
        <v>-7519</v>
      </c>
      <c r="P149" s="239">
        <v>-1773573</v>
      </c>
      <c r="Q149" s="239">
        <v>0</v>
      </c>
      <c r="R149" s="239">
        <v>-1773573</v>
      </c>
      <c r="S149" s="239">
        <v>2920799</v>
      </c>
      <c r="T149" s="239">
        <v>0</v>
      </c>
      <c r="U149" s="239">
        <v>2920799</v>
      </c>
      <c r="V149" s="239">
        <v>-2184552</v>
      </c>
      <c r="W149" s="239">
        <v>0</v>
      </c>
      <c r="X149" s="239">
        <v>-2184552</v>
      </c>
      <c r="Y149" s="239">
        <v>83204907</v>
      </c>
      <c r="Z149" s="239">
        <v>0</v>
      </c>
      <c r="AA149" s="239">
        <v>83204907</v>
      </c>
      <c r="AB149" s="239">
        <v>0</v>
      </c>
      <c r="AC149" s="239">
        <v>0</v>
      </c>
      <c r="AD149" s="239">
        <v>0</v>
      </c>
      <c r="AE149" s="239">
        <v>0</v>
      </c>
      <c r="AF149" s="239">
        <v>0</v>
      </c>
      <c r="AG149" s="239">
        <v>0</v>
      </c>
      <c r="AH149" s="239">
        <v>0</v>
      </c>
      <c r="AI149" s="239">
        <v>0</v>
      </c>
      <c r="AJ149" s="239">
        <v>0</v>
      </c>
      <c r="AK149" s="239">
        <v>0</v>
      </c>
      <c r="AL149" s="239">
        <v>5230397</v>
      </c>
      <c r="AM149" s="239">
        <v>-1106373</v>
      </c>
      <c r="AN149" s="214" t="s">
        <v>901</v>
      </c>
      <c r="AO149" s="214" t="s">
        <v>789</v>
      </c>
      <c r="AP149" s="214" t="s">
        <v>748</v>
      </c>
      <c r="AQ149" s="214" t="s">
        <v>1191</v>
      </c>
    </row>
    <row r="150" spans="2:43" x14ac:dyDescent="0.2">
      <c r="B150" s="609" t="s">
        <v>382</v>
      </c>
      <c r="C150" s="609" t="s">
        <v>381</v>
      </c>
      <c r="D150" s="239">
        <v>106406539</v>
      </c>
      <c r="E150" s="239">
        <v>0</v>
      </c>
      <c r="F150" s="239">
        <v>106406539</v>
      </c>
      <c r="G150" s="239">
        <v>0</v>
      </c>
      <c r="H150" s="239">
        <v>0</v>
      </c>
      <c r="I150" s="239">
        <v>0</v>
      </c>
      <c r="J150" s="239">
        <v>-1356243</v>
      </c>
      <c r="K150" s="239">
        <v>0</v>
      </c>
      <c r="L150" s="239">
        <v>-1356243</v>
      </c>
      <c r="M150" s="239">
        <v>0</v>
      </c>
      <c r="N150" s="239">
        <v>0</v>
      </c>
      <c r="O150" s="239">
        <v>0</v>
      </c>
      <c r="P150" s="239">
        <v>-1423614</v>
      </c>
      <c r="Q150" s="239">
        <v>0</v>
      </c>
      <c r="R150" s="239">
        <v>-1423614</v>
      </c>
      <c r="S150" s="239">
        <v>0</v>
      </c>
      <c r="T150" s="239">
        <v>0</v>
      </c>
      <c r="U150" s="239">
        <v>0</v>
      </c>
      <c r="V150" s="239">
        <v>159101</v>
      </c>
      <c r="W150" s="239">
        <v>0</v>
      </c>
      <c r="X150" s="239">
        <v>159101</v>
      </c>
      <c r="Y150" s="239">
        <v>105142026</v>
      </c>
      <c r="Z150" s="239">
        <v>0</v>
      </c>
      <c r="AA150" s="239">
        <v>105142026</v>
      </c>
      <c r="AB150" s="239">
        <v>0</v>
      </c>
      <c r="AC150" s="239">
        <v>0</v>
      </c>
      <c r="AD150" s="239">
        <v>0</v>
      </c>
      <c r="AE150" s="239">
        <v>0</v>
      </c>
      <c r="AF150" s="239">
        <v>0</v>
      </c>
      <c r="AG150" s="239">
        <v>0</v>
      </c>
      <c r="AH150" s="239">
        <v>0</v>
      </c>
      <c r="AI150" s="239">
        <v>0</v>
      </c>
      <c r="AJ150" s="239">
        <v>0</v>
      </c>
      <c r="AK150" s="239">
        <v>0</v>
      </c>
      <c r="AL150" s="239">
        <v>5111685</v>
      </c>
      <c r="AM150" s="239">
        <v>-886476</v>
      </c>
      <c r="AN150" s="214" t="s">
        <v>381</v>
      </c>
      <c r="AO150" s="214" t="s">
        <v>767</v>
      </c>
      <c r="AP150" s="214" t="s">
        <v>817</v>
      </c>
      <c r="AQ150" s="214" t="s">
        <v>1192</v>
      </c>
    </row>
    <row r="151" spans="2:43" x14ac:dyDescent="0.2">
      <c r="B151" s="609" t="s">
        <v>384</v>
      </c>
      <c r="C151" s="609" t="s">
        <v>383</v>
      </c>
      <c r="D151" s="239">
        <v>43560598</v>
      </c>
      <c r="E151" s="239">
        <v>0</v>
      </c>
      <c r="F151" s="239">
        <v>43560598</v>
      </c>
      <c r="G151" s="239">
        <v>0</v>
      </c>
      <c r="H151" s="239">
        <v>0</v>
      </c>
      <c r="I151" s="239">
        <v>0</v>
      </c>
      <c r="J151" s="239">
        <v>-16763</v>
      </c>
      <c r="K151" s="239">
        <v>0</v>
      </c>
      <c r="L151" s="239">
        <v>-16763</v>
      </c>
      <c r="M151" s="239">
        <v>0</v>
      </c>
      <c r="N151" s="239">
        <v>0</v>
      </c>
      <c r="O151" s="239">
        <v>0</v>
      </c>
      <c r="P151" s="239">
        <v>0</v>
      </c>
      <c r="Q151" s="239">
        <v>0</v>
      </c>
      <c r="R151" s="239">
        <v>0</v>
      </c>
      <c r="S151" s="239">
        <v>1216328</v>
      </c>
      <c r="T151" s="239">
        <v>0</v>
      </c>
      <c r="U151" s="239">
        <v>1216328</v>
      </c>
      <c r="V151" s="239">
        <v>-1952695</v>
      </c>
      <c r="W151" s="239">
        <v>0</v>
      </c>
      <c r="X151" s="239">
        <v>-1952695</v>
      </c>
      <c r="Y151" s="239">
        <v>42824231</v>
      </c>
      <c r="Z151" s="239">
        <v>0</v>
      </c>
      <c r="AA151" s="239">
        <v>42824231</v>
      </c>
      <c r="AB151" s="239">
        <v>0</v>
      </c>
      <c r="AC151" s="239">
        <v>0</v>
      </c>
      <c r="AD151" s="239">
        <v>0</v>
      </c>
      <c r="AE151" s="239">
        <v>0</v>
      </c>
      <c r="AF151" s="239">
        <v>0</v>
      </c>
      <c r="AG151" s="239">
        <v>0</v>
      </c>
      <c r="AH151" s="239">
        <v>0</v>
      </c>
      <c r="AI151" s="239">
        <v>0</v>
      </c>
      <c r="AJ151" s="239">
        <v>0</v>
      </c>
      <c r="AK151" s="239">
        <v>0</v>
      </c>
      <c r="AL151" s="239">
        <v>4303577</v>
      </c>
      <c r="AM151" s="239">
        <v>-1268677</v>
      </c>
      <c r="AN151" s="214" t="s">
        <v>383</v>
      </c>
      <c r="AO151" s="214" t="s">
        <v>767</v>
      </c>
      <c r="AP151" s="214" t="s">
        <v>773</v>
      </c>
      <c r="AQ151" s="214" t="s">
        <v>1192</v>
      </c>
    </row>
    <row r="152" spans="2:43" x14ac:dyDescent="0.2">
      <c r="B152" s="609" t="s">
        <v>386</v>
      </c>
      <c r="C152" s="609" t="s">
        <v>385</v>
      </c>
      <c r="D152" s="239">
        <v>118366728</v>
      </c>
      <c r="E152" s="239">
        <v>1873841</v>
      </c>
      <c r="F152" s="239">
        <v>120240569</v>
      </c>
      <c r="G152" s="239">
        <v>-15978</v>
      </c>
      <c r="H152" s="239">
        <v>0</v>
      </c>
      <c r="I152" s="239">
        <v>-15978</v>
      </c>
      <c r="J152" s="239">
        <v>-1186248</v>
      </c>
      <c r="K152" s="239">
        <v>0</v>
      </c>
      <c r="L152" s="239">
        <v>-1186248</v>
      </c>
      <c r="M152" s="239">
        <v>0</v>
      </c>
      <c r="N152" s="239">
        <v>0</v>
      </c>
      <c r="O152" s="239">
        <v>0</v>
      </c>
      <c r="P152" s="239">
        <v>-1813254</v>
      </c>
      <c r="Q152" s="239">
        <v>0</v>
      </c>
      <c r="R152" s="239">
        <v>-1813254</v>
      </c>
      <c r="S152" s="239">
        <v>8397114</v>
      </c>
      <c r="T152" s="239">
        <v>0</v>
      </c>
      <c r="U152" s="239">
        <v>8397114</v>
      </c>
      <c r="V152" s="239">
        <v>-8397114</v>
      </c>
      <c r="W152" s="239">
        <v>0</v>
      </c>
      <c r="X152" s="239">
        <v>-8397114</v>
      </c>
      <c r="Y152" s="239">
        <v>116537496</v>
      </c>
      <c r="Z152" s="239">
        <v>1873841</v>
      </c>
      <c r="AA152" s="239">
        <v>118411337</v>
      </c>
      <c r="AB152" s="239">
        <v>1873841</v>
      </c>
      <c r="AC152" s="239">
        <v>1873841</v>
      </c>
      <c r="AD152" s="239">
        <v>0</v>
      </c>
      <c r="AE152" s="239">
        <v>0</v>
      </c>
      <c r="AF152" s="239">
        <v>0</v>
      </c>
      <c r="AG152" s="239">
        <v>0</v>
      </c>
      <c r="AH152" s="239">
        <v>0</v>
      </c>
      <c r="AI152" s="239">
        <v>1353295</v>
      </c>
      <c r="AJ152" s="239">
        <v>1353295</v>
      </c>
      <c r="AK152" s="239">
        <v>520546</v>
      </c>
      <c r="AL152" s="239">
        <v>4300368</v>
      </c>
      <c r="AM152" s="239">
        <v>-8884592</v>
      </c>
      <c r="AN152" s="214" t="s">
        <v>385</v>
      </c>
      <c r="AO152" s="214" t="s">
        <v>789</v>
      </c>
      <c r="AP152" s="214" t="s">
        <v>748</v>
      </c>
      <c r="AQ152" s="214" t="s">
        <v>1193</v>
      </c>
    </row>
    <row r="153" spans="2:43" x14ac:dyDescent="0.2">
      <c r="B153" s="609" t="s">
        <v>388</v>
      </c>
      <c r="C153" s="609" t="s">
        <v>387</v>
      </c>
      <c r="D153" s="239">
        <v>59869764</v>
      </c>
      <c r="E153" s="239">
        <v>0</v>
      </c>
      <c r="F153" s="239">
        <v>59869764</v>
      </c>
      <c r="G153" s="239">
        <v>0</v>
      </c>
      <c r="H153" s="239">
        <v>0</v>
      </c>
      <c r="I153" s="239">
        <v>0</v>
      </c>
      <c r="J153" s="239">
        <v>0</v>
      </c>
      <c r="K153" s="239">
        <v>0</v>
      </c>
      <c r="L153" s="239">
        <v>0</v>
      </c>
      <c r="M153" s="239">
        <v>-351290</v>
      </c>
      <c r="N153" s="239">
        <v>0</v>
      </c>
      <c r="O153" s="239">
        <v>-351290</v>
      </c>
      <c r="P153" s="239">
        <v>18041</v>
      </c>
      <c r="Q153" s="239">
        <v>0</v>
      </c>
      <c r="R153" s="239">
        <v>18041</v>
      </c>
      <c r="S153" s="239">
        <v>7783258</v>
      </c>
      <c r="T153" s="239">
        <v>0</v>
      </c>
      <c r="U153" s="239">
        <v>7783258</v>
      </c>
      <c r="V153" s="239">
        <v>21994887</v>
      </c>
      <c r="W153" s="239">
        <v>0</v>
      </c>
      <c r="X153" s="239">
        <v>21994887</v>
      </c>
      <c r="Y153" s="239">
        <v>89314660</v>
      </c>
      <c r="Z153" s="239">
        <v>0</v>
      </c>
      <c r="AA153" s="239">
        <v>89314660</v>
      </c>
      <c r="AB153" s="239">
        <v>0</v>
      </c>
      <c r="AC153" s="239">
        <v>0</v>
      </c>
      <c r="AD153" s="239">
        <v>958456</v>
      </c>
      <c r="AE153" s="239">
        <v>0</v>
      </c>
      <c r="AF153" s="239">
        <v>958456</v>
      </c>
      <c r="AG153" s="239">
        <v>0</v>
      </c>
      <c r="AH153" s="239">
        <v>0</v>
      </c>
      <c r="AI153" s="239">
        <v>0</v>
      </c>
      <c r="AJ153" s="239">
        <v>0</v>
      </c>
      <c r="AK153" s="239">
        <v>0</v>
      </c>
      <c r="AL153" s="239">
        <v>877592</v>
      </c>
      <c r="AM153" s="239">
        <v>-493142</v>
      </c>
      <c r="AN153" s="214" t="s">
        <v>387</v>
      </c>
      <c r="AO153" s="214" t="s">
        <v>756</v>
      </c>
      <c r="AP153" s="214" t="s">
        <v>754</v>
      </c>
      <c r="AQ153" s="214" t="s">
        <v>1190</v>
      </c>
    </row>
    <row r="154" spans="2:43" x14ac:dyDescent="0.2">
      <c r="B154" s="609" t="s">
        <v>390</v>
      </c>
      <c r="C154" s="609" t="s">
        <v>389</v>
      </c>
      <c r="D154" s="239">
        <v>371961119</v>
      </c>
      <c r="E154" s="239">
        <v>1674411</v>
      </c>
      <c r="F154" s="239">
        <v>373635530</v>
      </c>
      <c r="G154" s="239">
        <v>0</v>
      </c>
      <c r="H154" s="239">
        <v>0</v>
      </c>
      <c r="I154" s="239">
        <v>0</v>
      </c>
      <c r="J154" s="239">
        <v>-4375991</v>
      </c>
      <c r="K154" s="239">
        <v>0</v>
      </c>
      <c r="L154" s="239">
        <v>-4375991</v>
      </c>
      <c r="M154" s="239">
        <v>0</v>
      </c>
      <c r="N154" s="239">
        <v>0</v>
      </c>
      <c r="O154" s="239">
        <v>0</v>
      </c>
      <c r="P154" s="239">
        <v>-3607203</v>
      </c>
      <c r="Q154" s="239">
        <v>0</v>
      </c>
      <c r="R154" s="239">
        <v>-3607203</v>
      </c>
      <c r="S154" s="239">
        <v>15010426</v>
      </c>
      <c r="T154" s="239">
        <v>0</v>
      </c>
      <c r="U154" s="239">
        <v>15010426</v>
      </c>
      <c r="V154" s="239">
        <v>-14737620</v>
      </c>
      <c r="W154" s="239">
        <v>0</v>
      </c>
      <c r="X154" s="239">
        <v>-14737620</v>
      </c>
      <c r="Y154" s="239">
        <v>368626722</v>
      </c>
      <c r="Z154" s="239">
        <v>1674411</v>
      </c>
      <c r="AA154" s="239">
        <v>370301133</v>
      </c>
      <c r="AB154" s="239">
        <v>1674411</v>
      </c>
      <c r="AC154" s="239">
        <v>1674411</v>
      </c>
      <c r="AD154" s="239">
        <v>152118</v>
      </c>
      <c r="AE154" s="239">
        <v>0</v>
      </c>
      <c r="AF154" s="239">
        <v>152118</v>
      </c>
      <c r="AG154" s="239">
        <v>0</v>
      </c>
      <c r="AH154" s="239">
        <v>0</v>
      </c>
      <c r="AI154" s="239">
        <v>948075</v>
      </c>
      <c r="AJ154" s="239">
        <v>948075</v>
      </c>
      <c r="AK154" s="239">
        <v>726336</v>
      </c>
      <c r="AL154" s="239">
        <v>12934457</v>
      </c>
      <c r="AM154" s="239">
        <v>-9389378</v>
      </c>
      <c r="AN154" s="214" t="s">
        <v>389</v>
      </c>
      <c r="AO154" s="214" t="s">
        <v>767</v>
      </c>
      <c r="AP154" s="214" t="s">
        <v>817</v>
      </c>
      <c r="AQ154" s="214" t="s">
        <v>1192</v>
      </c>
    </row>
    <row r="155" spans="2:43" x14ac:dyDescent="0.2">
      <c r="B155" s="609" t="s">
        <v>392</v>
      </c>
      <c r="C155" s="609" t="s">
        <v>391</v>
      </c>
      <c r="D155" s="239">
        <v>105436621</v>
      </c>
      <c r="E155" s="239">
        <v>0</v>
      </c>
      <c r="F155" s="239">
        <v>105436621</v>
      </c>
      <c r="G155" s="239">
        <v>0</v>
      </c>
      <c r="H155" s="239">
        <v>0</v>
      </c>
      <c r="I155" s="239">
        <v>0</v>
      </c>
      <c r="J155" s="239">
        <v>-855691</v>
      </c>
      <c r="K155" s="239">
        <v>0</v>
      </c>
      <c r="L155" s="239">
        <v>-855691</v>
      </c>
      <c r="M155" s="239">
        <v>0</v>
      </c>
      <c r="N155" s="239">
        <v>0</v>
      </c>
      <c r="O155" s="239">
        <v>0</v>
      </c>
      <c r="P155" s="239">
        <v>-1866674</v>
      </c>
      <c r="Q155" s="239">
        <v>0</v>
      </c>
      <c r="R155" s="239">
        <v>-1866674</v>
      </c>
      <c r="S155" s="239">
        <v>2334664</v>
      </c>
      <c r="T155" s="239">
        <v>0</v>
      </c>
      <c r="U155" s="239">
        <v>2334664</v>
      </c>
      <c r="V155" s="239">
        <v>583149</v>
      </c>
      <c r="W155" s="239">
        <v>0</v>
      </c>
      <c r="X155" s="239">
        <v>583149</v>
      </c>
      <c r="Y155" s="239">
        <v>106487760</v>
      </c>
      <c r="Z155" s="239">
        <v>0</v>
      </c>
      <c r="AA155" s="239">
        <v>106487760</v>
      </c>
      <c r="AB155" s="239">
        <v>0</v>
      </c>
      <c r="AC155" s="239">
        <v>0</v>
      </c>
      <c r="AD155" s="239">
        <v>0</v>
      </c>
      <c r="AE155" s="239">
        <v>0</v>
      </c>
      <c r="AF155" s="239">
        <v>0</v>
      </c>
      <c r="AG155" s="239">
        <v>0</v>
      </c>
      <c r="AH155" s="239">
        <v>0</v>
      </c>
      <c r="AI155" s="239">
        <v>0</v>
      </c>
      <c r="AJ155" s="239">
        <v>0</v>
      </c>
      <c r="AK155" s="239">
        <v>0</v>
      </c>
      <c r="AL155" s="239">
        <v>9655630</v>
      </c>
      <c r="AM155" s="239">
        <v>-2382978</v>
      </c>
      <c r="AN155" s="214" t="s">
        <v>900</v>
      </c>
      <c r="AO155" s="214" t="s">
        <v>747</v>
      </c>
      <c r="AP155" s="214" t="s">
        <v>868</v>
      </c>
      <c r="AQ155" s="214" t="s">
        <v>747</v>
      </c>
    </row>
    <row r="156" spans="2:43" x14ac:dyDescent="0.2">
      <c r="B156" s="609" t="s">
        <v>394</v>
      </c>
      <c r="C156" s="609" t="s">
        <v>393</v>
      </c>
      <c r="D156" s="239">
        <v>24851458</v>
      </c>
      <c r="E156" s="239">
        <v>0</v>
      </c>
      <c r="F156" s="239">
        <v>24851458</v>
      </c>
      <c r="G156" s="239">
        <v>-2338</v>
      </c>
      <c r="H156" s="239">
        <v>0</v>
      </c>
      <c r="I156" s="239">
        <v>-2338</v>
      </c>
      <c r="J156" s="239">
        <v>-67064</v>
      </c>
      <c r="K156" s="239">
        <v>0</v>
      </c>
      <c r="L156" s="239">
        <v>-67064</v>
      </c>
      <c r="M156" s="239">
        <v>0</v>
      </c>
      <c r="N156" s="239">
        <v>0</v>
      </c>
      <c r="O156" s="239">
        <v>0</v>
      </c>
      <c r="P156" s="239">
        <v>-184064</v>
      </c>
      <c r="Q156" s="239">
        <v>0</v>
      </c>
      <c r="R156" s="239">
        <v>-184064</v>
      </c>
      <c r="S156" s="239">
        <v>0</v>
      </c>
      <c r="T156" s="239">
        <v>0</v>
      </c>
      <c r="U156" s="239">
        <v>0</v>
      </c>
      <c r="V156" s="239">
        <v>100000</v>
      </c>
      <c r="W156" s="239">
        <v>0</v>
      </c>
      <c r="X156" s="239">
        <v>100000</v>
      </c>
      <c r="Y156" s="239">
        <v>24765056</v>
      </c>
      <c r="Z156" s="239">
        <v>0</v>
      </c>
      <c r="AA156" s="239">
        <v>24765056</v>
      </c>
      <c r="AB156" s="239">
        <v>0</v>
      </c>
      <c r="AC156" s="239">
        <v>0</v>
      </c>
      <c r="AD156" s="239">
        <v>0</v>
      </c>
      <c r="AE156" s="239">
        <v>0</v>
      </c>
      <c r="AF156" s="239">
        <v>0</v>
      </c>
      <c r="AG156" s="239">
        <v>0</v>
      </c>
      <c r="AH156" s="239">
        <v>0</v>
      </c>
      <c r="AI156" s="239">
        <v>0</v>
      </c>
      <c r="AJ156" s="239">
        <v>0</v>
      </c>
      <c r="AK156" s="239">
        <v>0</v>
      </c>
      <c r="AL156" s="239">
        <v>1134690</v>
      </c>
      <c r="AM156" s="239">
        <v>-670406</v>
      </c>
      <c r="AN156" s="214" t="s">
        <v>393</v>
      </c>
      <c r="AO156" s="214" t="s">
        <v>808</v>
      </c>
      <c r="AP156" s="214" t="s">
        <v>806</v>
      </c>
      <c r="AQ156" s="214" t="s">
        <v>1190</v>
      </c>
    </row>
    <row r="157" spans="2:43" x14ac:dyDescent="0.2">
      <c r="B157" s="609" t="s">
        <v>396</v>
      </c>
      <c r="C157" s="609" t="s">
        <v>395</v>
      </c>
      <c r="D157" s="239">
        <v>53723650</v>
      </c>
      <c r="E157" s="239">
        <v>0</v>
      </c>
      <c r="F157" s="239">
        <v>53723650</v>
      </c>
      <c r="G157" s="239">
        <v>-1820</v>
      </c>
      <c r="H157" s="239">
        <v>0</v>
      </c>
      <c r="I157" s="239">
        <v>-1820</v>
      </c>
      <c r="J157" s="239">
        <v>-806775</v>
      </c>
      <c r="K157" s="239">
        <v>0</v>
      </c>
      <c r="L157" s="239">
        <v>-806775</v>
      </c>
      <c r="M157" s="239">
        <v>0</v>
      </c>
      <c r="N157" s="239">
        <v>0</v>
      </c>
      <c r="O157" s="239">
        <v>0</v>
      </c>
      <c r="P157" s="239">
        <v>4624</v>
      </c>
      <c r="Q157" s="239">
        <v>0</v>
      </c>
      <c r="R157" s="239">
        <v>4624</v>
      </c>
      <c r="S157" s="239">
        <v>2152907</v>
      </c>
      <c r="T157" s="239">
        <v>0</v>
      </c>
      <c r="U157" s="239">
        <v>2152907</v>
      </c>
      <c r="V157" s="239">
        <v>-2637625</v>
      </c>
      <c r="W157" s="239">
        <v>0</v>
      </c>
      <c r="X157" s="239">
        <v>-2637625</v>
      </c>
      <c r="Y157" s="239">
        <v>53241736</v>
      </c>
      <c r="Z157" s="239">
        <v>0</v>
      </c>
      <c r="AA157" s="239">
        <v>53241736</v>
      </c>
      <c r="AB157" s="239">
        <v>0</v>
      </c>
      <c r="AC157" s="239">
        <v>0</v>
      </c>
      <c r="AD157" s="239">
        <v>0</v>
      </c>
      <c r="AE157" s="239">
        <v>0</v>
      </c>
      <c r="AF157" s="239">
        <v>0</v>
      </c>
      <c r="AG157" s="239">
        <v>0</v>
      </c>
      <c r="AH157" s="239">
        <v>0</v>
      </c>
      <c r="AI157" s="239">
        <v>0</v>
      </c>
      <c r="AJ157" s="239">
        <v>0</v>
      </c>
      <c r="AK157" s="239">
        <v>0</v>
      </c>
      <c r="AL157" s="239">
        <v>3931027</v>
      </c>
      <c r="AM157" s="239">
        <v>-7230830</v>
      </c>
      <c r="AN157" s="214" t="s">
        <v>395</v>
      </c>
      <c r="AO157" s="214" t="s">
        <v>789</v>
      </c>
      <c r="AP157" s="214" t="s">
        <v>748</v>
      </c>
      <c r="AQ157" s="214" t="s">
        <v>1193</v>
      </c>
    </row>
    <row r="158" spans="2:43" x14ac:dyDescent="0.2">
      <c r="B158" s="609" t="s">
        <v>398</v>
      </c>
      <c r="C158" s="609" t="s">
        <v>397</v>
      </c>
      <c r="D158" s="239">
        <v>35520312</v>
      </c>
      <c r="E158" s="239">
        <v>0</v>
      </c>
      <c r="F158" s="239">
        <v>35520312</v>
      </c>
      <c r="G158" s="239">
        <v>0</v>
      </c>
      <c r="H158" s="239">
        <v>0</v>
      </c>
      <c r="I158" s="239">
        <v>0</v>
      </c>
      <c r="J158" s="239">
        <v>-448052</v>
      </c>
      <c r="K158" s="239">
        <v>0</v>
      </c>
      <c r="L158" s="239">
        <v>-448052</v>
      </c>
      <c r="M158" s="239">
        <v>0</v>
      </c>
      <c r="N158" s="239">
        <v>0</v>
      </c>
      <c r="O158" s="239">
        <v>0</v>
      </c>
      <c r="P158" s="239">
        <v>-305526</v>
      </c>
      <c r="Q158" s="239">
        <v>0</v>
      </c>
      <c r="R158" s="239">
        <v>-305526</v>
      </c>
      <c r="S158" s="239">
        <v>642519</v>
      </c>
      <c r="T158" s="239">
        <v>0</v>
      </c>
      <c r="U158" s="239">
        <v>642519</v>
      </c>
      <c r="V158" s="239">
        <v>-422159</v>
      </c>
      <c r="W158" s="239">
        <v>0</v>
      </c>
      <c r="X158" s="239">
        <v>-422159</v>
      </c>
      <c r="Y158" s="239">
        <v>35435146</v>
      </c>
      <c r="Z158" s="239">
        <v>0</v>
      </c>
      <c r="AA158" s="239">
        <v>35435146</v>
      </c>
      <c r="AB158" s="239">
        <v>0</v>
      </c>
      <c r="AC158" s="239">
        <v>0</v>
      </c>
      <c r="AD158" s="239">
        <v>0</v>
      </c>
      <c r="AE158" s="239">
        <v>0</v>
      </c>
      <c r="AF158" s="239">
        <v>0</v>
      </c>
      <c r="AG158" s="239">
        <v>0</v>
      </c>
      <c r="AH158" s="239">
        <v>0</v>
      </c>
      <c r="AI158" s="239">
        <v>0</v>
      </c>
      <c r="AJ158" s="239">
        <v>0</v>
      </c>
      <c r="AK158" s="239">
        <v>0</v>
      </c>
      <c r="AL158" s="239">
        <v>1208399</v>
      </c>
      <c r="AM158" s="239">
        <v>-1100382</v>
      </c>
      <c r="AN158" s="214" t="s">
        <v>397</v>
      </c>
      <c r="AO158" s="214" t="s">
        <v>837</v>
      </c>
      <c r="AP158" s="214" t="s">
        <v>835</v>
      </c>
      <c r="AQ158" s="214" t="s">
        <v>1190</v>
      </c>
    </row>
    <row r="159" spans="2:43" x14ac:dyDescent="0.2">
      <c r="B159" s="609" t="s">
        <v>400</v>
      </c>
      <c r="C159" s="609" t="s">
        <v>399</v>
      </c>
      <c r="D159" s="239">
        <v>43135815</v>
      </c>
      <c r="E159" s="239">
        <v>0</v>
      </c>
      <c r="F159" s="239">
        <v>43135815</v>
      </c>
      <c r="G159" s="239">
        <v>0</v>
      </c>
      <c r="H159" s="239">
        <v>0</v>
      </c>
      <c r="I159" s="239">
        <v>0</v>
      </c>
      <c r="J159" s="239">
        <v>-255421</v>
      </c>
      <c r="K159" s="239">
        <v>0</v>
      </c>
      <c r="L159" s="239">
        <v>-255421</v>
      </c>
      <c r="M159" s="239">
        <v>0</v>
      </c>
      <c r="N159" s="239">
        <v>0</v>
      </c>
      <c r="O159" s="239">
        <v>0</v>
      </c>
      <c r="P159" s="239">
        <v>-349957</v>
      </c>
      <c r="Q159" s="239">
        <v>0</v>
      </c>
      <c r="R159" s="239">
        <v>-349957</v>
      </c>
      <c r="S159" s="239">
        <v>547475</v>
      </c>
      <c r="T159" s="239">
        <v>0</v>
      </c>
      <c r="U159" s="239">
        <v>547475</v>
      </c>
      <c r="V159" s="239">
        <v>-1931626</v>
      </c>
      <c r="W159" s="239">
        <v>0</v>
      </c>
      <c r="X159" s="239">
        <v>-1931626</v>
      </c>
      <c r="Y159" s="239">
        <v>41401707</v>
      </c>
      <c r="Z159" s="239">
        <v>0</v>
      </c>
      <c r="AA159" s="239">
        <v>41401707</v>
      </c>
      <c r="AB159" s="239">
        <v>0</v>
      </c>
      <c r="AC159" s="239">
        <v>0</v>
      </c>
      <c r="AD159" s="239">
        <v>0</v>
      </c>
      <c r="AE159" s="239">
        <v>0</v>
      </c>
      <c r="AF159" s="239">
        <v>0</v>
      </c>
      <c r="AG159" s="239">
        <v>0</v>
      </c>
      <c r="AH159" s="239">
        <v>0</v>
      </c>
      <c r="AI159" s="239">
        <v>0</v>
      </c>
      <c r="AJ159" s="239">
        <v>0</v>
      </c>
      <c r="AK159" s="239">
        <v>0</v>
      </c>
      <c r="AL159" s="239">
        <v>1011684</v>
      </c>
      <c r="AM159" s="239">
        <v>-2029449</v>
      </c>
      <c r="AN159" s="214" t="s">
        <v>399</v>
      </c>
      <c r="AO159" s="214" t="s">
        <v>797</v>
      </c>
      <c r="AP159" s="214" t="s">
        <v>762</v>
      </c>
      <c r="AQ159" s="214" t="s">
        <v>1190</v>
      </c>
    </row>
    <row r="160" spans="2:43" x14ac:dyDescent="0.2">
      <c r="B160" s="609" t="s">
        <v>402</v>
      </c>
      <c r="C160" s="609" t="s">
        <v>401</v>
      </c>
      <c r="D160" s="239">
        <v>173013693</v>
      </c>
      <c r="E160" s="239">
        <v>26906564</v>
      </c>
      <c r="F160" s="239">
        <v>199920257</v>
      </c>
      <c r="G160" s="239">
        <v>-166</v>
      </c>
      <c r="H160" s="239">
        <v>-15</v>
      </c>
      <c r="I160" s="239">
        <v>-181</v>
      </c>
      <c r="J160" s="239">
        <v>-32799151</v>
      </c>
      <c r="K160" s="239">
        <v>0</v>
      </c>
      <c r="L160" s="239">
        <v>-32799151</v>
      </c>
      <c r="M160" s="239">
        <v>0</v>
      </c>
      <c r="N160" s="239">
        <v>0</v>
      </c>
      <c r="O160" s="239">
        <v>0</v>
      </c>
      <c r="P160" s="239">
        <v>-17400455</v>
      </c>
      <c r="Q160" s="239">
        <v>0</v>
      </c>
      <c r="R160" s="239">
        <v>-17400455</v>
      </c>
      <c r="S160" s="239">
        <v>7921116</v>
      </c>
      <c r="T160" s="239">
        <v>0</v>
      </c>
      <c r="U160" s="239">
        <v>7921116</v>
      </c>
      <c r="V160" s="239">
        <v>-11314451</v>
      </c>
      <c r="W160" s="239">
        <v>0</v>
      </c>
      <c r="X160" s="239">
        <v>-11314451</v>
      </c>
      <c r="Y160" s="239">
        <v>152219737</v>
      </c>
      <c r="Z160" s="239">
        <v>26906549</v>
      </c>
      <c r="AA160" s="239">
        <v>179126286</v>
      </c>
      <c r="AB160" s="239">
        <v>26906549</v>
      </c>
      <c r="AC160" s="239">
        <v>26906549</v>
      </c>
      <c r="AD160" s="239">
        <v>0</v>
      </c>
      <c r="AE160" s="239">
        <v>0</v>
      </c>
      <c r="AF160" s="239">
        <v>0</v>
      </c>
      <c r="AG160" s="239">
        <v>-200136</v>
      </c>
      <c r="AH160" s="239">
        <v>-200136</v>
      </c>
      <c r="AI160" s="239">
        <v>35341887</v>
      </c>
      <c r="AJ160" s="239">
        <v>35341887</v>
      </c>
      <c r="AK160" s="239">
        <v>0</v>
      </c>
      <c r="AL160" s="239">
        <v>48445860</v>
      </c>
      <c r="AM160" s="239">
        <v>-2326672</v>
      </c>
      <c r="AN160" s="214" t="s">
        <v>401</v>
      </c>
      <c r="AO160" s="214" t="s">
        <v>767</v>
      </c>
      <c r="AP160" s="214" t="s">
        <v>773</v>
      </c>
      <c r="AQ160" s="214" t="s">
        <v>1192</v>
      </c>
    </row>
    <row r="161" spans="1:43" x14ac:dyDescent="0.2">
      <c r="B161" s="609" t="s">
        <v>404</v>
      </c>
      <c r="C161" s="609" t="s">
        <v>403</v>
      </c>
      <c r="D161" s="239">
        <v>64118145</v>
      </c>
      <c r="E161" s="239">
        <v>4472917</v>
      </c>
      <c r="F161" s="239">
        <v>68591062</v>
      </c>
      <c r="G161" s="239">
        <v>0</v>
      </c>
      <c r="H161" s="239">
        <v>0</v>
      </c>
      <c r="I161" s="239">
        <v>0</v>
      </c>
      <c r="J161" s="239">
        <v>-361593</v>
      </c>
      <c r="K161" s="239">
        <v>-18921</v>
      </c>
      <c r="L161" s="239">
        <v>-380514</v>
      </c>
      <c r="M161" s="239">
        <v>0</v>
      </c>
      <c r="N161" s="239">
        <v>0</v>
      </c>
      <c r="O161" s="239">
        <v>0</v>
      </c>
      <c r="P161" s="239">
        <v>-290891</v>
      </c>
      <c r="Q161" s="239">
        <v>0</v>
      </c>
      <c r="R161" s="239">
        <v>-290891</v>
      </c>
      <c r="S161" s="239">
        <v>2174132</v>
      </c>
      <c r="T161" s="239">
        <v>0</v>
      </c>
      <c r="U161" s="239">
        <v>2174132</v>
      </c>
      <c r="V161" s="239">
        <v>2639565</v>
      </c>
      <c r="W161" s="239">
        <v>0</v>
      </c>
      <c r="X161" s="239">
        <v>2639565</v>
      </c>
      <c r="Y161" s="239">
        <v>68640951</v>
      </c>
      <c r="Z161" s="239">
        <v>4472917</v>
      </c>
      <c r="AA161" s="239">
        <v>73113868</v>
      </c>
      <c r="AB161" s="239">
        <v>4472917</v>
      </c>
      <c r="AC161" s="239">
        <v>4472917</v>
      </c>
      <c r="AD161" s="239">
        <v>0</v>
      </c>
      <c r="AE161" s="239">
        <v>0</v>
      </c>
      <c r="AF161" s="239">
        <v>0</v>
      </c>
      <c r="AG161" s="239">
        <v>0</v>
      </c>
      <c r="AH161" s="239">
        <v>0</v>
      </c>
      <c r="AI161" s="239">
        <v>4781000</v>
      </c>
      <c r="AJ161" s="239">
        <v>4781000</v>
      </c>
      <c r="AK161" s="239">
        <v>0</v>
      </c>
      <c r="AL161" s="239">
        <v>12710654</v>
      </c>
      <c r="AM161" s="239">
        <v>-4305198</v>
      </c>
      <c r="AN161" s="214" t="s">
        <v>899</v>
      </c>
      <c r="AO161" s="214" t="s">
        <v>747</v>
      </c>
      <c r="AP161" s="214" t="s">
        <v>897</v>
      </c>
      <c r="AQ161" s="214" t="s">
        <v>747</v>
      </c>
    </row>
    <row r="162" spans="1:43" x14ac:dyDescent="0.2">
      <c r="B162" s="609" t="s">
        <v>406</v>
      </c>
      <c r="C162" s="609" t="s">
        <v>405</v>
      </c>
      <c r="D162" s="239">
        <v>60507372</v>
      </c>
      <c r="E162" s="239">
        <v>0</v>
      </c>
      <c r="F162" s="239">
        <v>60507372</v>
      </c>
      <c r="G162" s="239">
        <v>0</v>
      </c>
      <c r="H162" s="239">
        <v>0</v>
      </c>
      <c r="I162" s="239">
        <v>0</v>
      </c>
      <c r="J162" s="239">
        <v>-816543</v>
      </c>
      <c r="K162" s="239">
        <v>0</v>
      </c>
      <c r="L162" s="239">
        <v>-816543</v>
      </c>
      <c r="M162" s="239">
        <v>0</v>
      </c>
      <c r="N162" s="239">
        <v>0</v>
      </c>
      <c r="O162" s="239">
        <v>0</v>
      </c>
      <c r="P162" s="239">
        <v>-1957723</v>
      </c>
      <c r="Q162" s="239">
        <v>0</v>
      </c>
      <c r="R162" s="239">
        <v>-1957723</v>
      </c>
      <c r="S162" s="239">
        <v>1273540</v>
      </c>
      <c r="T162" s="239">
        <v>0</v>
      </c>
      <c r="U162" s="239">
        <v>1273540</v>
      </c>
      <c r="V162" s="239">
        <v>-2600638</v>
      </c>
      <c r="W162" s="239">
        <v>0</v>
      </c>
      <c r="X162" s="239">
        <v>-2600638</v>
      </c>
      <c r="Y162" s="239">
        <v>57222551</v>
      </c>
      <c r="Z162" s="239">
        <v>0</v>
      </c>
      <c r="AA162" s="239">
        <v>57222551</v>
      </c>
      <c r="AB162" s="239">
        <v>0</v>
      </c>
      <c r="AC162" s="239">
        <v>0</v>
      </c>
      <c r="AD162" s="239">
        <v>0</v>
      </c>
      <c r="AE162" s="239">
        <v>0</v>
      </c>
      <c r="AF162" s="239">
        <v>0</v>
      </c>
      <c r="AG162" s="239">
        <v>0</v>
      </c>
      <c r="AH162" s="239">
        <v>0</v>
      </c>
      <c r="AI162" s="239">
        <v>0</v>
      </c>
      <c r="AJ162" s="239">
        <v>0</v>
      </c>
      <c r="AK162" s="239">
        <v>0</v>
      </c>
      <c r="AL162" s="239">
        <v>4102122</v>
      </c>
      <c r="AM162" s="239">
        <v>-1146381</v>
      </c>
      <c r="AN162" s="214" t="s">
        <v>405</v>
      </c>
      <c r="AO162" s="214" t="s">
        <v>825</v>
      </c>
      <c r="AP162" s="214" t="s">
        <v>823</v>
      </c>
      <c r="AQ162" s="214" t="s">
        <v>1190</v>
      </c>
    </row>
    <row r="163" spans="1:43" x14ac:dyDescent="0.2">
      <c r="A163" s="215" t="s">
        <v>1211</v>
      </c>
      <c r="B163" s="609" t="s">
        <v>408</v>
      </c>
      <c r="C163" s="609" t="s">
        <v>407</v>
      </c>
      <c r="D163" s="239">
        <v>14850763</v>
      </c>
      <c r="E163" s="239">
        <v>0</v>
      </c>
      <c r="F163" s="239">
        <v>14850763</v>
      </c>
      <c r="G163" s="239">
        <v>0</v>
      </c>
      <c r="H163" s="239">
        <v>0</v>
      </c>
      <c r="I163" s="239">
        <v>0</v>
      </c>
      <c r="J163" s="239">
        <v>-65918</v>
      </c>
      <c r="K163" s="239">
        <v>0</v>
      </c>
      <c r="L163" s="239">
        <v>-65918</v>
      </c>
      <c r="M163" s="239">
        <v>0</v>
      </c>
      <c r="N163" s="239">
        <v>0</v>
      </c>
      <c r="O163" s="239">
        <v>0</v>
      </c>
      <c r="P163" s="239">
        <v>10082</v>
      </c>
      <c r="Q163" s="239">
        <v>0</v>
      </c>
      <c r="R163" s="239">
        <v>10082</v>
      </c>
      <c r="S163" s="239">
        <v>85087</v>
      </c>
      <c r="T163" s="239">
        <v>0</v>
      </c>
      <c r="U163" s="239">
        <v>85087</v>
      </c>
      <c r="V163" s="239">
        <v>-132055</v>
      </c>
      <c r="W163" s="239">
        <v>0</v>
      </c>
      <c r="X163" s="239">
        <v>-132055</v>
      </c>
      <c r="Y163" s="239">
        <v>14813877</v>
      </c>
      <c r="Z163" s="239">
        <v>0</v>
      </c>
      <c r="AA163" s="239">
        <v>14813877</v>
      </c>
      <c r="AB163" s="239">
        <v>0</v>
      </c>
      <c r="AC163" s="239">
        <v>0</v>
      </c>
      <c r="AD163" s="239">
        <v>538251</v>
      </c>
      <c r="AE163" s="239">
        <v>0</v>
      </c>
      <c r="AF163" s="239">
        <v>538251</v>
      </c>
      <c r="AG163" s="239">
        <v>0</v>
      </c>
      <c r="AH163" s="239">
        <v>0</v>
      </c>
      <c r="AI163" s="239">
        <v>0</v>
      </c>
      <c r="AJ163" s="239">
        <v>0</v>
      </c>
      <c r="AK163" s="239">
        <v>0</v>
      </c>
      <c r="AL163" s="239">
        <v>692374</v>
      </c>
      <c r="AM163" s="239">
        <v>-433164</v>
      </c>
      <c r="AN163" s="214" t="s">
        <v>407</v>
      </c>
      <c r="AO163" s="214" t="s">
        <v>821</v>
      </c>
      <c r="AP163" s="214" t="s">
        <v>819</v>
      </c>
      <c r="AQ163" s="214" t="s">
        <v>1190</v>
      </c>
    </row>
    <row r="164" spans="1:43" x14ac:dyDescent="0.2">
      <c r="B164" s="609" t="s">
        <v>410</v>
      </c>
      <c r="C164" s="609" t="s">
        <v>409</v>
      </c>
      <c r="D164" s="239">
        <v>16552665</v>
      </c>
      <c r="E164" s="239">
        <v>0</v>
      </c>
      <c r="F164" s="239">
        <v>16552665</v>
      </c>
      <c r="G164" s="239">
        <v>0</v>
      </c>
      <c r="H164" s="239">
        <v>0</v>
      </c>
      <c r="I164" s="239">
        <v>0</v>
      </c>
      <c r="J164" s="239">
        <v>-17947</v>
      </c>
      <c r="K164" s="239">
        <v>0</v>
      </c>
      <c r="L164" s="239">
        <v>-17947</v>
      </c>
      <c r="M164" s="239">
        <v>0</v>
      </c>
      <c r="N164" s="239">
        <v>0</v>
      </c>
      <c r="O164" s="239">
        <v>0</v>
      </c>
      <c r="P164" s="239">
        <v>-170431</v>
      </c>
      <c r="Q164" s="239">
        <v>0</v>
      </c>
      <c r="R164" s="239">
        <v>-170431</v>
      </c>
      <c r="S164" s="239">
        <v>584067</v>
      </c>
      <c r="T164" s="239">
        <v>0</v>
      </c>
      <c r="U164" s="239">
        <v>584067</v>
      </c>
      <c r="V164" s="239">
        <v>-1360750</v>
      </c>
      <c r="W164" s="239">
        <v>0</v>
      </c>
      <c r="X164" s="239">
        <v>-1360750</v>
      </c>
      <c r="Y164" s="239">
        <v>15605551</v>
      </c>
      <c r="Z164" s="239">
        <v>0</v>
      </c>
      <c r="AA164" s="239">
        <v>15605551</v>
      </c>
      <c r="AB164" s="239">
        <v>0</v>
      </c>
      <c r="AC164" s="239">
        <v>0</v>
      </c>
      <c r="AD164" s="239">
        <v>0</v>
      </c>
      <c r="AE164" s="239">
        <v>0</v>
      </c>
      <c r="AF164" s="239">
        <v>0</v>
      </c>
      <c r="AG164" s="239">
        <v>0</v>
      </c>
      <c r="AH164" s="239">
        <v>0</v>
      </c>
      <c r="AI164" s="239">
        <v>0</v>
      </c>
      <c r="AJ164" s="239">
        <v>0</v>
      </c>
      <c r="AK164" s="239">
        <v>0</v>
      </c>
      <c r="AL164" s="239">
        <v>419521</v>
      </c>
      <c r="AM164" s="239">
        <v>-119095</v>
      </c>
      <c r="AN164" s="214" t="s">
        <v>409</v>
      </c>
      <c r="AO164" s="214" t="s">
        <v>752</v>
      </c>
      <c r="AP164" s="214" t="s">
        <v>750</v>
      </c>
      <c r="AQ164" s="214" t="s">
        <v>1190</v>
      </c>
    </row>
    <row r="165" spans="1:43" x14ac:dyDescent="0.2">
      <c r="B165" s="609" t="s">
        <v>412</v>
      </c>
      <c r="C165" s="609" t="s">
        <v>411</v>
      </c>
      <c r="D165" s="239">
        <v>330794736</v>
      </c>
      <c r="E165" s="239">
        <v>11564390</v>
      </c>
      <c r="F165" s="239">
        <v>342359126</v>
      </c>
      <c r="G165" s="239">
        <v>0</v>
      </c>
      <c r="H165" s="239">
        <v>0</v>
      </c>
      <c r="I165" s="239">
        <v>0</v>
      </c>
      <c r="J165" s="239">
        <v>-1541594</v>
      </c>
      <c r="K165" s="239">
        <v>-49791</v>
      </c>
      <c r="L165" s="239">
        <v>-1591385</v>
      </c>
      <c r="M165" s="239">
        <v>0</v>
      </c>
      <c r="N165" s="239">
        <v>0</v>
      </c>
      <c r="O165" s="239">
        <v>0</v>
      </c>
      <c r="P165" s="239">
        <v>-2879653</v>
      </c>
      <c r="Q165" s="239">
        <v>-100671</v>
      </c>
      <c r="R165" s="239">
        <v>-2980324</v>
      </c>
      <c r="S165" s="239">
        <v>14306832</v>
      </c>
      <c r="T165" s="239">
        <v>500159</v>
      </c>
      <c r="U165" s="239">
        <v>14806991</v>
      </c>
      <c r="V165" s="239">
        <v>-10499738</v>
      </c>
      <c r="W165" s="239">
        <v>-367065</v>
      </c>
      <c r="X165" s="239">
        <v>-10866803</v>
      </c>
      <c r="Y165" s="239">
        <v>331722177</v>
      </c>
      <c r="Z165" s="239">
        <v>11596813</v>
      </c>
      <c r="AA165" s="239">
        <v>343318990</v>
      </c>
      <c r="AB165" s="239">
        <v>11596813</v>
      </c>
      <c r="AC165" s="239">
        <v>11596813</v>
      </c>
      <c r="AD165" s="239">
        <v>0</v>
      </c>
      <c r="AE165" s="239">
        <v>0</v>
      </c>
      <c r="AF165" s="239">
        <v>0</v>
      </c>
      <c r="AG165" s="239">
        <v>-334799</v>
      </c>
      <c r="AH165" s="239">
        <v>-334799</v>
      </c>
      <c r="AI165" s="239">
        <v>12530450</v>
      </c>
      <c r="AJ165" s="239">
        <v>12530450</v>
      </c>
      <c r="AK165" s="239">
        <v>0</v>
      </c>
      <c r="AL165" s="239">
        <v>28415087</v>
      </c>
      <c r="AM165" s="239">
        <v>-15476910</v>
      </c>
      <c r="AN165" s="214" t="s">
        <v>411</v>
      </c>
      <c r="AO165" s="214" t="s">
        <v>767</v>
      </c>
      <c r="AP165" s="214" t="s">
        <v>782</v>
      </c>
      <c r="AQ165" s="214" t="s">
        <v>1192</v>
      </c>
    </row>
    <row r="166" spans="1:43" x14ac:dyDescent="0.2">
      <c r="B166" s="609" t="s">
        <v>414</v>
      </c>
      <c r="C166" s="609" t="s">
        <v>413</v>
      </c>
      <c r="D166" s="239">
        <v>29600669</v>
      </c>
      <c r="E166" s="239">
        <v>0</v>
      </c>
      <c r="F166" s="239">
        <v>29600669</v>
      </c>
      <c r="G166" s="239">
        <v>0</v>
      </c>
      <c r="H166" s="239">
        <v>0</v>
      </c>
      <c r="I166" s="239">
        <v>0</v>
      </c>
      <c r="J166" s="239">
        <v>-285469</v>
      </c>
      <c r="K166" s="239">
        <v>0</v>
      </c>
      <c r="L166" s="239">
        <v>-285469</v>
      </c>
      <c r="M166" s="239">
        <v>0</v>
      </c>
      <c r="N166" s="239">
        <v>0</v>
      </c>
      <c r="O166" s="239">
        <v>0</v>
      </c>
      <c r="P166" s="239">
        <v>-153915</v>
      </c>
      <c r="Q166" s="239">
        <v>0</v>
      </c>
      <c r="R166" s="239">
        <v>-153915</v>
      </c>
      <c r="S166" s="239">
        <v>265314</v>
      </c>
      <c r="T166" s="239">
        <v>0</v>
      </c>
      <c r="U166" s="239">
        <v>265314</v>
      </c>
      <c r="V166" s="239">
        <v>1976149</v>
      </c>
      <c r="W166" s="239">
        <v>0</v>
      </c>
      <c r="X166" s="239">
        <v>1976149</v>
      </c>
      <c r="Y166" s="239">
        <v>31688217</v>
      </c>
      <c r="Z166" s="239">
        <v>0</v>
      </c>
      <c r="AA166" s="239">
        <v>31688217</v>
      </c>
      <c r="AB166" s="239">
        <v>0</v>
      </c>
      <c r="AC166" s="239">
        <v>0</v>
      </c>
      <c r="AD166" s="239">
        <v>35743</v>
      </c>
      <c r="AE166" s="239">
        <v>0</v>
      </c>
      <c r="AF166" s="239">
        <v>35743</v>
      </c>
      <c r="AG166" s="239">
        <v>0</v>
      </c>
      <c r="AH166" s="239">
        <v>0</v>
      </c>
      <c r="AI166" s="239">
        <v>0</v>
      </c>
      <c r="AJ166" s="239">
        <v>0</v>
      </c>
      <c r="AK166" s="239">
        <v>0</v>
      </c>
      <c r="AL166" s="239">
        <v>631544</v>
      </c>
      <c r="AM166" s="239">
        <v>-62783</v>
      </c>
      <c r="AN166" s="214" t="s">
        <v>413</v>
      </c>
      <c r="AO166" s="214" t="s">
        <v>873</v>
      </c>
      <c r="AP166" s="214" t="s">
        <v>871</v>
      </c>
      <c r="AQ166" s="214" t="s">
        <v>1190</v>
      </c>
    </row>
    <row r="167" spans="1:43" x14ac:dyDescent="0.2">
      <c r="B167" s="609" t="s">
        <v>416</v>
      </c>
      <c r="C167" s="609" t="s">
        <v>415</v>
      </c>
      <c r="D167" s="239">
        <v>92659034</v>
      </c>
      <c r="E167" s="239">
        <v>0</v>
      </c>
      <c r="F167" s="239">
        <v>92659034</v>
      </c>
      <c r="G167" s="239">
        <v>0</v>
      </c>
      <c r="H167" s="239">
        <v>0</v>
      </c>
      <c r="I167" s="239">
        <v>0</v>
      </c>
      <c r="J167" s="239">
        <v>-923826</v>
      </c>
      <c r="K167" s="239">
        <v>0</v>
      </c>
      <c r="L167" s="239">
        <v>-923826</v>
      </c>
      <c r="M167" s="239">
        <v>0</v>
      </c>
      <c r="N167" s="239">
        <v>0</v>
      </c>
      <c r="O167" s="239">
        <v>0</v>
      </c>
      <c r="P167" s="239">
        <v>-1035447</v>
      </c>
      <c r="Q167" s="239">
        <v>0</v>
      </c>
      <c r="R167" s="239">
        <v>-1035447</v>
      </c>
      <c r="S167" s="239">
        <v>0</v>
      </c>
      <c r="T167" s="239">
        <v>0</v>
      </c>
      <c r="U167" s="239">
        <v>0</v>
      </c>
      <c r="V167" s="239">
        <v>0</v>
      </c>
      <c r="W167" s="239">
        <v>0</v>
      </c>
      <c r="X167" s="239">
        <v>0</v>
      </c>
      <c r="Y167" s="239">
        <v>91623587</v>
      </c>
      <c r="Z167" s="239">
        <v>0</v>
      </c>
      <c r="AA167" s="239">
        <v>91623587</v>
      </c>
      <c r="AB167" s="239">
        <v>0</v>
      </c>
      <c r="AC167" s="239">
        <v>0</v>
      </c>
      <c r="AD167" s="239">
        <v>0</v>
      </c>
      <c r="AE167" s="239">
        <v>0</v>
      </c>
      <c r="AF167" s="239">
        <v>0</v>
      </c>
      <c r="AG167" s="239">
        <v>0</v>
      </c>
      <c r="AH167" s="239">
        <v>0</v>
      </c>
      <c r="AI167" s="239">
        <v>0</v>
      </c>
      <c r="AJ167" s="239">
        <v>0</v>
      </c>
      <c r="AK167" s="239">
        <v>0</v>
      </c>
      <c r="AL167" s="239">
        <v>4424648</v>
      </c>
      <c r="AM167" s="239">
        <v>-1740437</v>
      </c>
      <c r="AN167" s="214" t="s">
        <v>896</v>
      </c>
      <c r="AO167" s="214" t="s">
        <v>747</v>
      </c>
      <c r="AP167" s="214" t="s">
        <v>823</v>
      </c>
      <c r="AQ167" s="214" t="s">
        <v>747</v>
      </c>
    </row>
    <row r="168" spans="1:43" x14ac:dyDescent="0.2">
      <c r="B168" s="609" t="s">
        <v>418</v>
      </c>
      <c r="C168" s="609" t="s">
        <v>417</v>
      </c>
      <c r="D168" s="239">
        <v>14115350</v>
      </c>
      <c r="E168" s="239">
        <v>0</v>
      </c>
      <c r="F168" s="239">
        <v>14115350</v>
      </c>
      <c r="G168" s="239">
        <v>0</v>
      </c>
      <c r="H168" s="239">
        <v>0</v>
      </c>
      <c r="I168" s="239">
        <v>0</v>
      </c>
      <c r="J168" s="239">
        <v>-122815</v>
      </c>
      <c r="K168" s="239">
        <v>0</v>
      </c>
      <c r="L168" s="239">
        <v>-122815</v>
      </c>
      <c r="M168" s="239">
        <v>0</v>
      </c>
      <c r="N168" s="239">
        <v>0</v>
      </c>
      <c r="O168" s="239">
        <v>0</v>
      </c>
      <c r="P168" s="239">
        <v>-108944</v>
      </c>
      <c r="Q168" s="239">
        <v>0</v>
      </c>
      <c r="R168" s="239">
        <v>-108944</v>
      </c>
      <c r="S168" s="239">
        <v>219388</v>
      </c>
      <c r="T168" s="239">
        <v>0</v>
      </c>
      <c r="U168" s="239">
        <v>219388</v>
      </c>
      <c r="V168" s="239">
        <v>-203838</v>
      </c>
      <c r="W168" s="239">
        <v>0</v>
      </c>
      <c r="X168" s="239">
        <v>-203838</v>
      </c>
      <c r="Y168" s="239">
        <v>14021956</v>
      </c>
      <c r="Z168" s="239">
        <v>0</v>
      </c>
      <c r="AA168" s="239">
        <v>14021956</v>
      </c>
      <c r="AB168" s="239">
        <v>0</v>
      </c>
      <c r="AC168" s="239">
        <v>0</v>
      </c>
      <c r="AD168" s="239">
        <v>153858</v>
      </c>
      <c r="AE168" s="239">
        <v>0</v>
      </c>
      <c r="AF168" s="239">
        <v>153858</v>
      </c>
      <c r="AG168" s="239">
        <v>0</v>
      </c>
      <c r="AH168" s="239">
        <v>0</v>
      </c>
      <c r="AI168" s="239">
        <v>0</v>
      </c>
      <c r="AJ168" s="239">
        <v>0</v>
      </c>
      <c r="AK168" s="239">
        <v>0</v>
      </c>
      <c r="AL168" s="239">
        <v>520407</v>
      </c>
      <c r="AM168" s="239">
        <v>-233240</v>
      </c>
      <c r="AN168" s="214" t="s">
        <v>417</v>
      </c>
      <c r="AO168" s="214" t="s">
        <v>883</v>
      </c>
      <c r="AP168" s="214" t="s">
        <v>868</v>
      </c>
      <c r="AQ168" s="214" t="s">
        <v>1190</v>
      </c>
    </row>
    <row r="169" spans="1:43" x14ac:dyDescent="0.2">
      <c r="B169" s="609" t="s">
        <v>420</v>
      </c>
      <c r="C169" s="609" t="s">
        <v>419</v>
      </c>
      <c r="D169" s="239">
        <v>33497740</v>
      </c>
      <c r="E169" s="239">
        <v>0</v>
      </c>
      <c r="F169" s="239">
        <v>33497740</v>
      </c>
      <c r="G169" s="239">
        <v>0</v>
      </c>
      <c r="H169" s="239">
        <v>0</v>
      </c>
      <c r="I169" s="239">
        <v>0</v>
      </c>
      <c r="J169" s="239">
        <v>-193011</v>
      </c>
      <c r="K169" s="239">
        <v>0</v>
      </c>
      <c r="L169" s="239">
        <v>-193011</v>
      </c>
      <c r="M169" s="239">
        <v>0</v>
      </c>
      <c r="N169" s="239">
        <v>0</v>
      </c>
      <c r="O169" s="239">
        <v>0</v>
      </c>
      <c r="P169" s="239">
        <v>-14799</v>
      </c>
      <c r="Q169" s="239">
        <v>0</v>
      </c>
      <c r="R169" s="239">
        <v>-14799</v>
      </c>
      <c r="S169" s="239">
        <v>2819715</v>
      </c>
      <c r="T169" s="239">
        <v>0</v>
      </c>
      <c r="U169" s="239">
        <v>2819715</v>
      </c>
      <c r="V169" s="239">
        <v>-3956899</v>
      </c>
      <c r="W169" s="239">
        <v>0</v>
      </c>
      <c r="X169" s="239">
        <v>-3956899</v>
      </c>
      <c r="Y169" s="239">
        <v>32345757</v>
      </c>
      <c r="Z169" s="239">
        <v>0</v>
      </c>
      <c r="AA169" s="239">
        <v>32345757</v>
      </c>
      <c r="AB169" s="239">
        <v>0</v>
      </c>
      <c r="AC169" s="239">
        <v>0</v>
      </c>
      <c r="AD169" s="239">
        <v>150906</v>
      </c>
      <c r="AE169" s="239">
        <v>0</v>
      </c>
      <c r="AF169" s="239">
        <v>150906</v>
      </c>
      <c r="AG169" s="239">
        <v>0</v>
      </c>
      <c r="AH169" s="239">
        <v>0</v>
      </c>
      <c r="AI169" s="239">
        <v>0</v>
      </c>
      <c r="AJ169" s="239">
        <v>0</v>
      </c>
      <c r="AK169" s="239">
        <v>0</v>
      </c>
      <c r="AL169" s="239">
        <v>703118</v>
      </c>
      <c r="AM169" s="239">
        <v>-2381086</v>
      </c>
      <c r="AN169" s="214" t="s">
        <v>419</v>
      </c>
      <c r="AO169" s="214" t="s">
        <v>793</v>
      </c>
      <c r="AP169" s="214" t="s">
        <v>791</v>
      </c>
      <c r="AQ169" s="214" t="s">
        <v>1190</v>
      </c>
    </row>
    <row r="170" spans="1:43" x14ac:dyDescent="0.2">
      <c r="B170" s="609" t="s">
        <v>422</v>
      </c>
      <c r="C170" s="609" t="s">
        <v>421</v>
      </c>
      <c r="D170" s="239">
        <v>86431051</v>
      </c>
      <c r="E170" s="239">
        <v>0</v>
      </c>
      <c r="F170" s="239">
        <v>86431051</v>
      </c>
      <c r="G170" s="239">
        <v>0</v>
      </c>
      <c r="H170" s="239">
        <v>0</v>
      </c>
      <c r="I170" s="239">
        <v>0</v>
      </c>
      <c r="J170" s="239">
        <v>-556239</v>
      </c>
      <c r="K170" s="239">
        <v>0</v>
      </c>
      <c r="L170" s="239">
        <v>-556239</v>
      </c>
      <c r="M170" s="239">
        <v>0</v>
      </c>
      <c r="N170" s="239">
        <v>0</v>
      </c>
      <c r="O170" s="239">
        <v>0</v>
      </c>
      <c r="P170" s="239">
        <v>-673314</v>
      </c>
      <c r="Q170" s="239">
        <v>0</v>
      </c>
      <c r="R170" s="239">
        <v>-673314</v>
      </c>
      <c r="S170" s="239">
        <v>2875110</v>
      </c>
      <c r="T170" s="239">
        <v>0</v>
      </c>
      <c r="U170" s="239">
        <v>2875110</v>
      </c>
      <c r="V170" s="239">
        <v>-1936097</v>
      </c>
      <c r="W170" s="239">
        <v>0</v>
      </c>
      <c r="X170" s="239">
        <v>-1936097</v>
      </c>
      <c r="Y170" s="239">
        <v>86696750</v>
      </c>
      <c r="Z170" s="239">
        <v>0</v>
      </c>
      <c r="AA170" s="239">
        <v>86696750</v>
      </c>
      <c r="AB170" s="239">
        <v>0</v>
      </c>
      <c r="AC170" s="239">
        <v>0</v>
      </c>
      <c r="AD170" s="239">
        <v>0</v>
      </c>
      <c r="AE170" s="239">
        <v>0</v>
      </c>
      <c r="AF170" s="239">
        <v>0</v>
      </c>
      <c r="AG170" s="239">
        <v>0</v>
      </c>
      <c r="AH170" s="239">
        <v>0</v>
      </c>
      <c r="AI170" s="239">
        <v>0</v>
      </c>
      <c r="AJ170" s="239">
        <v>0</v>
      </c>
      <c r="AK170" s="239">
        <v>0</v>
      </c>
      <c r="AL170" s="239">
        <v>3483846</v>
      </c>
      <c r="AM170" s="239">
        <v>-2865079</v>
      </c>
      <c r="AN170" s="214" t="s">
        <v>421</v>
      </c>
      <c r="AO170" s="214" t="s">
        <v>789</v>
      </c>
      <c r="AP170" s="214" t="s">
        <v>748</v>
      </c>
      <c r="AQ170" s="214" t="s">
        <v>1191</v>
      </c>
    </row>
    <row r="171" spans="1:43" x14ac:dyDescent="0.2">
      <c r="B171" s="609" t="s">
        <v>424</v>
      </c>
      <c r="C171" s="609" t="s">
        <v>423</v>
      </c>
      <c r="D171" s="239">
        <v>14260439</v>
      </c>
      <c r="E171" s="239">
        <v>0</v>
      </c>
      <c r="F171" s="239">
        <v>14260439</v>
      </c>
      <c r="G171" s="239">
        <v>0</v>
      </c>
      <c r="H171" s="239">
        <v>0</v>
      </c>
      <c r="I171" s="239">
        <v>0</v>
      </c>
      <c r="J171" s="239">
        <v>0</v>
      </c>
      <c r="K171" s="239">
        <v>0</v>
      </c>
      <c r="L171" s="239">
        <v>0</v>
      </c>
      <c r="M171" s="239">
        <v>-141847</v>
      </c>
      <c r="N171" s="239">
        <v>0</v>
      </c>
      <c r="O171" s="239">
        <v>-141847</v>
      </c>
      <c r="P171" s="239">
        <v>62569</v>
      </c>
      <c r="Q171" s="239">
        <v>0</v>
      </c>
      <c r="R171" s="239">
        <v>62569</v>
      </c>
      <c r="S171" s="239">
        <v>2065301</v>
      </c>
      <c r="T171" s="239">
        <v>0</v>
      </c>
      <c r="U171" s="239">
        <v>2065301</v>
      </c>
      <c r="V171" s="239">
        <v>-526772</v>
      </c>
      <c r="W171" s="239">
        <v>0</v>
      </c>
      <c r="X171" s="239">
        <v>-526772</v>
      </c>
      <c r="Y171" s="239">
        <v>15719690</v>
      </c>
      <c r="Z171" s="239">
        <v>0</v>
      </c>
      <c r="AA171" s="239">
        <v>15719690</v>
      </c>
      <c r="AB171" s="239">
        <v>0</v>
      </c>
      <c r="AC171" s="239">
        <v>0</v>
      </c>
      <c r="AD171" s="239">
        <v>135654</v>
      </c>
      <c r="AE171" s="239">
        <v>0</v>
      </c>
      <c r="AF171" s="239">
        <v>135654</v>
      </c>
      <c r="AG171" s="239">
        <v>0</v>
      </c>
      <c r="AH171" s="239">
        <v>0</v>
      </c>
      <c r="AI171" s="239">
        <v>0</v>
      </c>
      <c r="AJ171" s="239">
        <v>0</v>
      </c>
      <c r="AK171" s="239">
        <v>0</v>
      </c>
      <c r="AL171" s="239">
        <v>377028</v>
      </c>
      <c r="AM171" s="239">
        <v>-1043367</v>
      </c>
      <c r="AN171" s="214" t="s">
        <v>423</v>
      </c>
      <c r="AO171" s="214" t="s">
        <v>799</v>
      </c>
      <c r="AP171" s="214" t="s">
        <v>791</v>
      </c>
      <c r="AQ171" s="214" t="s">
        <v>1190</v>
      </c>
    </row>
    <row r="172" spans="1:43" x14ac:dyDescent="0.2">
      <c r="B172" s="609" t="s">
        <v>426</v>
      </c>
      <c r="C172" s="609" t="s">
        <v>425</v>
      </c>
      <c r="D172" s="239">
        <v>22567796</v>
      </c>
      <c r="E172" s="239">
        <v>0</v>
      </c>
      <c r="F172" s="239">
        <v>22567796</v>
      </c>
      <c r="G172" s="239">
        <v>0</v>
      </c>
      <c r="H172" s="239">
        <v>0</v>
      </c>
      <c r="I172" s="239">
        <v>0</v>
      </c>
      <c r="J172" s="239">
        <v>-100625</v>
      </c>
      <c r="K172" s="239">
        <v>0</v>
      </c>
      <c r="L172" s="239">
        <v>-100625</v>
      </c>
      <c r="M172" s="239">
        <v>0</v>
      </c>
      <c r="N172" s="239">
        <v>0</v>
      </c>
      <c r="O172" s="239">
        <v>0</v>
      </c>
      <c r="P172" s="239">
        <v>-28598</v>
      </c>
      <c r="Q172" s="239">
        <v>0</v>
      </c>
      <c r="R172" s="239">
        <v>-28598</v>
      </c>
      <c r="S172" s="239">
        <v>323566</v>
      </c>
      <c r="T172" s="239">
        <v>0</v>
      </c>
      <c r="U172" s="239">
        <v>323566</v>
      </c>
      <c r="V172" s="239">
        <v>10984</v>
      </c>
      <c r="W172" s="239">
        <v>0</v>
      </c>
      <c r="X172" s="239">
        <v>10984</v>
      </c>
      <c r="Y172" s="239">
        <v>22873748</v>
      </c>
      <c r="Z172" s="239">
        <v>0</v>
      </c>
      <c r="AA172" s="239">
        <v>22873748</v>
      </c>
      <c r="AB172" s="239">
        <v>0</v>
      </c>
      <c r="AC172" s="239">
        <v>0</v>
      </c>
      <c r="AD172" s="239">
        <v>293607</v>
      </c>
      <c r="AE172" s="239">
        <v>0</v>
      </c>
      <c r="AF172" s="239">
        <v>293607</v>
      </c>
      <c r="AG172" s="239">
        <v>0</v>
      </c>
      <c r="AH172" s="239">
        <v>0</v>
      </c>
      <c r="AI172" s="239">
        <v>0</v>
      </c>
      <c r="AJ172" s="239">
        <v>0</v>
      </c>
      <c r="AK172" s="239">
        <v>0</v>
      </c>
      <c r="AL172" s="239">
        <v>519981</v>
      </c>
      <c r="AM172" s="239">
        <v>-414847</v>
      </c>
      <c r="AN172" s="214" t="s">
        <v>425</v>
      </c>
      <c r="AO172" s="214" t="s">
        <v>810</v>
      </c>
      <c r="AP172" s="214" t="s">
        <v>762</v>
      </c>
      <c r="AQ172" s="214" t="s">
        <v>1190</v>
      </c>
    </row>
    <row r="173" spans="1:43" x14ac:dyDescent="0.2">
      <c r="B173" s="609" t="s">
        <v>428</v>
      </c>
      <c r="C173" s="609" t="s">
        <v>427</v>
      </c>
      <c r="D173" s="239">
        <v>43996168</v>
      </c>
      <c r="E173" s="239">
        <v>0</v>
      </c>
      <c r="F173" s="239">
        <v>43996168</v>
      </c>
      <c r="G173" s="239">
        <v>0</v>
      </c>
      <c r="H173" s="239">
        <v>0</v>
      </c>
      <c r="I173" s="239">
        <v>0</v>
      </c>
      <c r="J173" s="239">
        <v>-614085</v>
      </c>
      <c r="K173" s="239">
        <v>0</v>
      </c>
      <c r="L173" s="239">
        <v>-614085</v>
      </c>
      <c r="M173" s="239">
        <v>0</v>
      </c>
      <c r="N173" s="239">
        <v>0</v>
      </c>
      <c r="O173" s="239">
        <v>0</v>
      </c>
      <c r="P173" s="239">
        <v>-173591</v>
      </c>
      <c r="Q173" s="239">
        <v>0</v>
      </c>
      <c r="R173" s="239">
        <v>-173591</v>
      </c>
      <c r="S173" s="239">
        <v>954452</v>
      </c>
      <c r="T173" s="239">
        <v>0</v>
      </c>
      <c r="U173" s="239">
        <v>954452</v>
      </c>
      <c r="V173" s="239">
        <v>-2986687</v>
      </c>
      <c r="W173" s="239">
        <v>0</v>
      </c>
      <c r="X173" s="239">
        <v>-2986687</v>
      </c>
      <c r="Y173" s="239">
        <v>41790342</v>
      </c>
      <c r="Z173" s="239">
        <v>0</v>
      </c>
      <c r="AA173" s="239">
        <v>41790342</v>
      </c>
      <c r="AB173" s="239">
        <v>0</v>
      </c>
      <c r="AC173" s="239">
        <v>0</v>
      </c>
      <c r="AD173" s="239">
        <v>0</v>
      </c>
      <c r="AE173" s="239">
        <v>0</v>
      </c>
      <c r="AF173" s="239">
        <v>0</v>
      </c>
      <c r="AG173" s="239">
        <v>0</v>
      </c>
      <c r="AH173" s="239">
        <v>0</v>
      </c>
      <c r="AI173" s="239">
        <v>0</v>
      </c>
      <c r="AJ173" s="239">
        <v>0</v>
      </c>
      <c r="AK173" s="239">
        <v>0</v>
      </c>
      <c r="AL173" s="239">
        <v>2200894</v>
      </c>
      <c r="AM173" s="239">
        <v>-1670512</v>
      </c>
      <c r="AN173" s="214" t="s">
        <v>427</v>
      </c>
      <c r="AO173" s="214" t="s">
        <v>763</v>
      </c>
      <c r="AP173" s="214" t="s">
        <v>762</v>
      </c>
      <c r="AQ173" s="214" t="s">
        <v>1190</v>
      </c>
    </row>
    <row r="174" spans="1:43" x14ac:dyDescent="0.2">
      <c r="B174" s="609" t="s">
        <v>430</v>
      </c>
      <c r="C174" s="609" t="s">
        <v>429</v>
      </c>
      <c r="D174" s="239">
        <v>38903763</v>
      </c>
      <c r="E174" s="239">
        <v>3572650</v>
      </c>
      <c r="F174" s="239">
        <v>42476413</v>
      </c>
      <c r="G174" s="239">
        <v>0</v>
      </c>
      <c r="H174" s="239">
        <v>0</v>
      </c>
      <c r="I174" s="239">
        <v>0</v>
      </c>
      <c r="J174" s="239">
        <v>-1703054</v>
      </c>
      <c r="K174" s="239">
        <v>-324269</v>
      </c>
      <c r="L174" s="239">
        <v>-2027323</v>
      </c>
      <c r="M174" s="239">
        <v>331902</v>
      </c>
      <c r="N174" s="239">
        <v>8882</v>
      </c>
      <c r="O174" s="239">
        <v>340784</v>
      </c>
      <c r="P174" s="239">
        <v>-1874641</v>
      </c>
      <c r="Q174" s="239">
        <v>-285767</v>
      </c>
      <c r="R174" s="239">
        <v>-2160408</v>
      </c>
      <c r="S174" s="239">
        <v>918937</v>
      </c>
      <c r="T174" s="239">
        <v>81063</v>
      </c>
      <c r="U174" s="239">
        <v>1000000</v>
      </c>
      <c r="V174" s="239">
        <v>-1378405</v>
      </c>
      <c r="W174" s="239">
        <v>-121595</v>
      </c>
      <c r="X174" s="239">
        <v>-1500000</v>
      </c>
      <c r="Y174" s="239">
        <v>36901556</v>
      </c>
      <c r="Z174" s="239">
        <v>3255233</v>
      </c>
      <c r="AA174" s="239">
        <v>40156789</v>
      </c>
      <c r="AB174" s="239">
        <v>3255233</v>
      </c>
      <c r="AC174" s="239">
        <v>3255233</v>
      </c>
      <c r="AD174" s="239">
        <v>0</v>
      </c>
      <c r="AE174" s="239">
        <v>0</v>
      </c>
      <c r="AF174" s="239">
        <v>0</v>
      </c>
      <c r="AG174" s="239">
        <v>-1719</v>
      </c>
      <c r="AH174" s="239">
        <v>-1719</v>
      </c>
      <c r="AI174" s="239">
        <v>3303024</v>
      </c>
      <c r="AJ174" s="239">
        <v>3303024</v>
      </c>
      <c r="AK174" s="239">
        <v>0</v>
      </c>
      <c r="AL174" s="239">
        <v>7610339</v>
      </c>
      <c r="AM174" s="239">
        <v>-2458663</v>
      </c>
      <c r="AN174" s="214" t="s">
        <v>895</v>
      </c>
      <c r="AO174" s="214" t="s">
        <v>747</v>
      </c>
      <c r="AP174" s="214" t="s">
        <v>843</v>
      </c>
      <c r="AQ174" s="214" t="s">
        <v>747</v>
      </c>
    </row>
    <row r="175" spans="1:43" x14ac:dyDescent="0.2">
      <c r="B175" s="609" t="s">
        <v>432</v>
      </c>
      <c r="C175" s="609" t="s">
        <v>431</v>
      </c>
      <c r="D175" s="239">
        <v>162417726</v>
      </c>
      <c r="E175" s="239">
        <v>0</v>
      </c>
      <c r="F175" s="239">
        <v>162417726</v>
      </c>
      <c r="G175" s="239">
        <v>-299</v>
      </c>
      <c r="H175" s="239">
        <v>0</v>
      </c>
      <c r="I175" s="239">
        <v>-299</v>
      </c>
      <c r="J175" s="239">
        <v>-692010</v>
      </c>
      <c r="K175" s="239">
        <v>0</v>
      </c>
      <c r="L175" s="239">
        <v>-692010</v>
      </c>
      <c r="M175" s="239">
        <v>0</v>
      </c>
      <c r="N175" s="239">
        <v>0</v>
      </c>
      <c r="O175" s="239">
        <v>0</v>
      </c>
      <c r="P175" s="239">
        <v>1717990</v>
      </c>
      <c r="Q175" s="239">
        <v>0</v>
      </c>
      <c r="R175" s="239">
        <v>1717990</v>
      </c>
      <c r="S175" s="239">
        <v>4397640</v>
      </c>
      <c r="T175" s="239">
        <v>0</v>
      </c>
      <c r="U175" s="239">
        <v>4397640</v>
      </c>
      <c r="V175" s="239">
        <v>-8224311</v>
      </c>
      <c r="W175" s="239">
        <v>0</v>
      </c>
      <c r="X175" s="239">
        <v>-8224311</v>
      </c>
      <c r="Y175" s="239">
        <v>160308746</v>
      </c>
      <c r="Z175" s="239">
        <v>0</v>
      </c>
      <c r="AA175" s="239">
        <v>160308746</v>
      </c>
      <c r="AB175" s="239">
        <v>0</v>
      </c>
      <c r="AC175" s="239">
        <v>0</v>
      </c>
      <c r="AD175" s="239">
        <v>214298</v>
      </c>
      <c r="AE175" s="239">
        <v>0</v>
      </c>
      <c r="AF175" s="239">
        <v>214298</v>
      </c>
      <c r="AG175" s="239">
        <v>0</v>
      </c>
      <c r="AH175" s="239">
        <v>0</v>
      </c>
      <c r="AI175" s="239">
        <v>0</v>
      </c>
      <c r="AJ175" s="239">
        <v>0</v>
      </c>
      <c r="AK175" s="239">
        <v>0</v>
      </c>
      <c r="AL175" s="239">
        <v>3803113</v>
      </c>
      <c r="AM175" s="239">
        <v>-3555232</v>
      </c>
      <c r="AN175" s="214" t="s">
        <v>894</v>
      </c>
      <c r="AO175" s="214" t="s">
        <v>747</v>
      </c>
      <c r="AP175" s="214" t="s">
        <v>758</v>
      </c>
      <c r="AQ175" s="214" t="s">
        <v>747</v>
      </c>
    </row>
    <row r="176" spans="1:43" x14ac:dyDescent="0.2">
      <c r="B176" s="609" t="s">
        <v>434</v>
      </c>
      <c r="C176" s="609" t="s">
        <v>433</v>
      </c>
      <c r="D176" s="239">
        <v>38034734</v>
      </c>
      <c r="E176" s="239">
        <v>0</v>
      </c>
      <c r="F176" s="239">
        <v>38034734</v>
      </c>
      <c r="G176" s="239">
        <v>0</v>
      </c>
      <c r="H176" s="239">
        <v>0</v>
      </c>
      <c r="I176" s="239">
        <v>0</v>
      </c>
      <c r="J176" s="239">
        <v>-81850</v>
      </c>
      <c r="K176" s="239">
        <v>0</v>
      </c>
      <c r="L176" s="239">
        <v>-81850</v>
      </c>
      <c r="M176" s="239">
        <v>0</v>
      </c>
      <c r="N176" s="239">
        <v>0</v>
      </c>
      <c r="O176" s="239">
        <v>0</v>
      </c>
      <c r="P176" s="239">
        <v>-181850</v>
      </c>
      <c r="Q176" s="239">
        <v>0</v>
      </c>
      <c r="R176" s="239">
        <v>-181850</v>
      </c>
      <c r="S176" s="239">
        <v>640000</v>
      </c>
      <c r="T176" s="239">
        <v>0</v>
      </c>
      <c r="U176" s="239">
        <v>640000</v>
      </c>
      <c r="V176" s="239">
        <v>-3297180</v>
      </c>
      <c r="W176" s="239">
        <v>0</v>
      </c>
      <c r="X176" s="239">
        <v>-3297180</v>
      </c>
      <c r="Y176" s="239">
        <v>35195704</v>
      </c>
      <c r="Z176" s="239">
        <v>0</v>
      </c>
      <c r="AA176" s="239">
        <v>35195704</v>
      </c>
      <c r="AB176" s="239">
        <v>0</v>
      </c>
      <c r="AC176" s="239">
        <v>0</v>
      </c>
      <c r="AD176" s="239">
        <v>0</v>
      </c>
      <c r="AE176" s="239">
        <v>0</v>
      </c>
      <c r="AF176" s="239">
        <v>0</v>
      </c>
      <c r="AG176" s="239">
        <v>0</v>
      </c>
      <c r="AH176" s="239">
        <v>0</v>
      </c>
      <c r="AI176" s="239">
        <v>0</v>
      </c>
      <c r="AJ176" s="239">
        <v>0</v>
      </c>
      <c r="AK176" s="239">
        <v>0</v>
      </c>
      <c r="AL176" s="239">
        <v>1342633</v>
      </c>
      <c r="AM176" s="239">
        <v>-881488</v>
      </c>
      <c r="AN176" s="214" t="s">
        <v>433</v>
      </c>
      <c r="AO176" s="214" t="s">
        <v>771</v>
      </c>
      <c r="AP176" s="214" t="s">
        <v>762</v>
      </c>
      <c r="AQ176" s="214" t="s">
        <v>1190</v>
      </c>
    </row>
    <row r="177" spans="2:43" x14ac:dyDescent="0.2">
      <c r="B177" s="609" t="s">
        <v>436</v>
      </c>
      <c r="C177" s="609" t="s">
        <v>435</v>
      </c>
      <c r="D177" s="239">
        <v>61606063</v>
      </c>
      <c r="E177" s="239">
        <v>0</v>
      </c>
      <c r="F177" s="239">
        <v>61606063</v>
      </c>
      <c r="G177" s="239">
        <v>-110874</v>
      </c>
      <c r="H177" s="239">
        <v>0</v>
      </c>
      <c r="I177" s="239">
        <v>-110874</v>
      </c>
      <c r="J177" s="239">
        <v>-227881</v>
      </c>
      <c r="K177" s="239">
        <v>0</v>
      </c>
      <c r="L177" s="239">
        <v>-227881</v>
      </c>
      <c r="M177" s="239">
        <v>0</v>
      </c>
      <c r="N177" s="239">
        <v>0</v>
      </c>
      <c r="O177" s="239">
        <v>0</v>
      </c>
      <c r="P177" s="239">
        <v>-293651</v>
      </c>
      <c r="Q177" s="239">
        <v>0</v>
      </c>
      <c r="R177" s="239">
        <v>-293651</v>
      </c>
      <c r="S177" s="239">
        <v>4465247</v>
      </c>
      <c r="T177" s="239">
        <v>0</v>
      </c>
      <c r="U177" s="239">
        <v>4465247</v>
      </c>
      <c r="V177" s="239">
        <v>1594753</v>
      </c>
      <c r="W177" s="239">
        <v>0</v>
      </c>
      <c r="X177" s="239">
        <v>1594753</v>
      </c>
      <c r="Y177" s="239">
        <v>67261538</v>
      </c>
      <c r="Z177" s="239">
        <v>0</v>
      </c>
      <c r="AA177" s="239">
        <v>67261538</v>
      </c>
      <c r="AB177" s="239">
        <v>0</v>
      </c>
      <c r="AC177" s="239">
        <v>0</v>
      </c>
      <c r="AD177" s="239">
        <v>25122</v>
      </c>
      <c r="AE177" s="239">
        <v>0</v>
      </c>
      <c r="AF177" s="239">
        <v>25122</v>
      </c>
      <c r="AG177" s="239">
        <v>0</v>
      </c>
      <c r="AH177" s="239">
        <v>0</v>
      </c>
      <c r="AI177" s="239">
        <v>0</v>
      </c>
      <c r="AJ177" s="239">
        <v>0</v>
      </c>
      <c r="AK177" s="239">
        <v>0</v>
      </c>
      <c r="AL177" s="239">
        <v>1220382</v>
      </c>
      <c r="AM177" s="239">
        <v>-2633975</v>
      </c>
      <c r="AN177" s="214" t="s">
        <v>435</v>
      </c>
      <c r="AO177" s="214" t="s">
        <v>778</v>
      </c>
      <c r="AP177" s="214" t="s">
        <v>776</v>
      </c>
      <c r="AQ177" s="214" t="s">
        <v>1190</v>
      </c>
    </row>
    <row r="178" spans="2:43" x14ac:dyDescent="0.2">
      <c r="B178" s="609" t="s">
        <v>438</v>
      </c>
      <c r="C178" s="609" t="s">
        <v>437</v>
      </c>
      <c r="D178" s="239">
        <v>39575421</v>
      </c>
      <c r="E178" s="239">
        <v>0</v>
      </c>
      <c r="F178" s="239">
        <v>39575421</v>
      </c>
      <c r="G178" s="239">
        <v>0</v>
      </c>
      <c r="H178" s="239">
        <v>0</v>
      </c>
      <c r="I178" s="239">
        <v>0</v>
      </c>
      <c r="J178" s="239">
        <v>-128648</v>
      </c>
      <c r="K178" s="239">
        <v>0</v>
      </c>
      <c r="L178" s="239">
        <v>-128648</v>
      </c>
      <c r="M178" s="239">
        <v>0</v>
      </c>
      <c r="N178" s="239">
        <v>0</v>
      </c>
      <c r="O178" s="239">
        <v>0</v>
      </c>
      <c r="P178" s="239">
        <v>-92903</v>
      </c>
      <c r="Q178" s="239">
        <v>0</v>
      </c>
      <c r="R178" s="239">
        <v>-92903</v>
      </c>
      <c r="S178" s="239">
        <v>259944</v>
      </c>
      <c r="T178" s="239">
        <v>0</v>
      </c>
      <c r="U178" s="239">
        <v>259944</v>
      </c>
      <c r="V178" s="239">
        <v>-5732527</v>
      </c>
      <c r="W178" s="239">
        <v>0</v>
      </c>
      <c r="X178" s="239">
        <v>-5732527</v>
      </c>
      <c r="Y178" s="239">
        <v>34009935</v>
      </c>
      <c r="Z178" s="239">
        <v>0</v>
      </c>
      <c r="AA178" s="239">
        <v>34009935</v>
      </c>
      <c r="AB178" s="239">
        <v>0</v>
      </c>
      <c r="AC178" s="239">
        <v>0</v>
      </c>
      <c r="AD178" s="239">
        <v>197873</v>
      </c>
      <c r="AE178" s="239">
        <v>0</v>
      </c>
      <c r="AF178" s="239">
        <v>197873</v>
      </c>
      <c r="AG178" s="239">
        <v>0</v>
      </c>
      <c r="AH178" s="239">
        <v>0</v>
      </c>
      <c r="AI178" s="239">
        <v>0</v>
      </c>
      <c r="AJ178" s="239">
        <v>0</v>
      </c>
      <c r="AK178" s="239">
        <v>0</v>
      </c>
      <c r="AL178" s="239">
        <v>1131160</v>
      </c>
      <c r="AM178" s="239">
        <v>-241093</v>
      </c>
      <c r="AN178" s="214" t="s">
        <v>893</v>
      </c>
      <c r="AO178" s="214" t="s">
        <v>873</v>
      </c>
      <c r="AP178" s="214" t="s">
        <v>871</v>
      </c>
      <c r="AQ178" s="214" t="s">
        <v>1190</v>
      </c>
    </row>
    <row r="179" spans="2:43" x14ac:dyDescent="0.2">
      <c r="B179" s="609" t="s">
        <v>440</v>
      </c>
      <c r="C179" s="609" t="s">
        <v>1087</v>
      </c>
      <c r="D179" s="239">
        <v>141229548</v>
      </c>
      <c r="E179" s="239">
        <v>7343584</v>
      </c>
      <c r="F179" s="239">
        <v>148573132</v>
      </c>
      <c r="G179" s="239">
        <v>-4623</v>
      </c>
      <c r="H179" s="239">
        <v>0</v>
      </c>
      <c r="I179" s="239">
        <v>-4623</v>
      </c>
      <c r="J179" s="239">
        <v>-2860582</v>
      </c>
      <c r="K179" s="239">
        <v>-41977</v>
      </c>
      <c r="L179" s="239">
        <v>-2902559</v>
      </c>
      <c r="M179" s="239">
        <v>0</v>
      </c>
      <c r="N179" s="239">
        <v>0</v>
      </c>
      <c r="O179" s="239">
        <v>0</v>
      </c>
      <c r="P179" s="239">
        <v>-3963073</v>
      </c>
      <c r="Q179" s="239">
        <v>-41977</v>
      </c>
      <c r="R179" s="239">
        <v>-4005050</v>
      </c>
      <c r="S179" s="239">
        <v>3250702</v>
      </c>
      <c r="T179" s="239">
        <v>0</v>
      </c>
      <c r="U179" s="239">
        <v>3250702</v>
      </c>
      <c r="V179" s="239">
        <v>-631908</v>
      </c>
      <c r="W179" s="239">
        <v>0</v>
      </c>
      <c r="X179" s="239">
        <v>-631908</v>
      </c>
      <c r="Y179" s="239">
        <v>139880646</v>
      </c>
      <c r="Z179" s="239">
        <v>7301607</v>
      </c>
      <c r="AA179" s="239">
        <v>147182253</v>
      </c>
      <c r="AB179" s="239">
        <v>7301607</v>
      </c>
      <c r="AC179" s="239">
        <v>7301607</v>
      </c>
      <c r="AD179" s="239">
        <v>0</v>
      </c>
      <c r="AE179" s="239">
        <v>0</v>
      </c>
      <c r="AF179" s="239">
        <v>0</v>
      </c>
      <c r="AG179" s="239">
        <v>-7935</v>
      </c>
      <c r="AH179" s="239">
        <v>-7935</v>
      </c>
      <c r="AI179" s="239">
        <v>6091496</v>
      </c>
      <c r="AJ179" s="239">
        <v>6091496</v>
      </c>
      <c r="AK179" s="239">
        <v>1202176</v>
      </c>
      <c r="AL179" s="239">
        <v>8248622</v>
      </c>
      <c r="AM179" s="239">
        <v>-6632442</v>
      </c>
      <c r="AN179" s="214" t="s">
        <v>439</v>
      </c>
      <c r="AO179" s="214" t="s">
        <v>767</v>
      </c>
      <c r="AP179" s="214" t="s">
        <v>840</v>
      </c>
      <c r="AQ179" s="214" t="s">
        <v>1192</v>
      </c>
    </row>
    <row r="180" spans="2:43" x14ac:dyDescent="0.2">
      <c r="B180" s="609" t="s">
        <v>442</v>
      </c>
      <c r="C180" s="609" t="s">
        <v>441</v>
      </c>
      <c r="D180" s="239">
        <v>34678369</v>
      </c>
      <c r="E180" s="239">
        <v>0</v>
      </c>
      <c r="F180" s="239">
        <v>34678369</v>
      </c>
      <c r="G180" s="239">
        <v>0</v>
      </c>
      <c r="H180" s="239">
        <v>0</v>
      </c>
      <c r="I180" s="239">
        <v>0</v>
      </c>
      <c r="J180" s="239">
        <v>-555223</v>
      </c>
      <c r="K180" s="239">
        <v>0</v>
      </c>
      <c r="L180" s="239">
        <v>-555223</v>
      </c>
      <c r="M180" s="239">
        <v>0</v>
      </c>
      <c r="N180" s="239">
        <v>0</v>
      </c>
      <c r="O180" s="239">
        <v>0</v>
      </c>
      <c r="P180" s="239">
        <v>-448062</v>
      </c>
      <c r="Q180" s="239">
        <v>0</v>
      </c>
      <c r="R180" s="239">
        <v>-448062</v>
      </c>
      <c r="S180" s="239">
        <v>1730962</v>
      </c>
      <c r="T180" s="239">
        <v>0</v>
      </c>
      <c r="U180" s="239">
        <v>1730962</v>
      </c>
      <c r="V180" s="239">
        <v>-1610834</v>
      </c>
      <c r="W180" s="239">
        <v>0</v>
      </c>
      <c r="X180" s="239">
        <v>-1610834</v>
      </c>
      <c r="Y180" s="239">
        <v>34350435</v>
      </c>
      <c r="Z180" s="239">
        <v>0</v>
      </c>
      <c r="AA180" s="239">
        <v>34350435</v>
      </c>
      <c r="AB180" s="239">
        <v>0</v>
      </c>
      <c r="AC180" s="239">
        <v>0</v>
      </c>
      <c r="AD180" s="239">
        <v>0</v>
      </c>
      <c r="AE180" s="239">
        <v>0</v>
      </c>
      <c r="AF180" s="239">
        <v>0</v>
      </c>
      <c r="AG180" s="239">
        <v>0</v>
      </c>
      <c r="AH180" s="239">
        <v>0</v>
      </c>
      <c r="AI180" s="239">
        <v>0</v>
      </c>
      <c r="AJ180" s="239">
        <v>0</v>
      </c>
      <c r="AK180" s="239">
        <v>0</v>
      </c>
      <c r="AL180" s="239">
        <v>1931465</v>
      </c>
      <c r="AM180" s="239">
        <v>-431133</v>
      </c>
      <c r="AN180" s="214" t="s">
        <v>441</v>
      </c>
      <c r="AO180" s="214" t="s">
        <v>837</v>
      </c>
      <c r="AP180" s="214" t="s">
        <v>835</v>
      </c>
      <c r="AQ180" s="214" t="s">
        <v>1190</v>
      </c>
    </row>
    <row r="181" spans="2:43" x14ac:dyDescent="0.2">
      <c r="B181" s="609" t="s">
        <v>444</v>
      </c>
      <c r="C181" s="609" t="s">
        <v>443</v>
      </c>
      <c r="D181" s="239">
        <v>126732095</v>
      </c>
      <c r="E181" s="239">
        <v>-379416</v>
      </c>
      <c r="F181" s="239">
        <v>126352679</v>
      </c>
      <c r="G181" s="239">
        <v>0</v>
      </c>
      <c r="H181" s="239">
        <v>0</v>
      </c>
      <c r="I181" s="239">
        <v>0</v>
      </c>
      <c r="J181" s="239">
        <v>-32500</v>
      </c>
      <c r="K181" s="239">
        <v>0</v>
      </c>
      <c r="L181" s="239">
        <v>-32500</v>
      </c>
      <c r="M181" s="239">
        <v>0</v>
      </c>
      <c r="N181" s="239">
        <v>0</v>
      </c>
      <c r="O181" s="239">
        <v>0</v>
      </c>
      <c r="P181" s="239">
        <v>-943741</v>
      </c>
      <c r="Q181" s="239">
        <v>0</v>
      </c>
      <c r="R181" s="239">
        <v>-943741</v>
      </c>
      <c r="S181" s="239">
        <v>3599665</v>
      </c>
      <c r="T181" s="239">
        <v>0</v>
      </c>
      <c r="U181" s="239">
        <v>3599665</v>
      </c>
      <c r="V181" s="239">
        <v>1905043</v>
      </c>
      <c r="W181" s="239">
        <v>0</v>
      </c>
      <c r="X181" s="239">
        <v>1905043</v>
      </c>
      <c r="Y181" s="239">
        <v>131293062</v>
      </c>
      <c r="Z181" s="239">
        <v>-379416</v>
      </c>
      <c r="AA181" s="239">
        <v>130913646</v>
      </c>
      <c r="AB181" s="239">
        <v>-379416</v>
      </c>
      <c r="AC181" s="239">
        <v>-379416</v>
      </c>
      <c r="AD181" s="239">
        <v>0</v>
      </c>
      <c r="AE181" s="239">
        <v>0</v>
      </c>
      <c r="AF181" s="239">
        <v>0</v>
      </c>
      <c r="AG181" s="239">
        <v>0</v>
      </c>
      <c r="AH181" s="239">
        <v>0</v>
      </c>
      <c r="AI181" s="239">
        <v>241749</v>
      </c>
      <c r="AJ181" s="239">
        <v>241749</v>
      </c>
      <c r="AK181" s="239">
        <v>0</v>
      </c>
      <c r="AL181" s="239">
        <v>4414837</v>
      </c>
      <c r="AM181" s="239">
        <v>-13362145</v>
      </c>
      <c r="AN181" s="214" t="s">
        <v>443</v>
      </c>
      <c r="AO181" s="214" t="s">
        <v>789</v>
      </c>
      <c r="AP181" s="214" t="s">
        <v>748</v>
      </c>
      <c r="AQ181" s="214" t="s">
        <v>1191</v>
      </c>
    </row>
    <row r="182" spans="2:43" x14ac:dyDescent="0.2">
      <c r="B182" s="609" t="s">
        <v>446</v>
      </c>
      <c r="C182" s="609" t="s">
        <v>445</v>
      </c>
      <c r="D182" s="239">
        <v>32186783</v>
      </c>
      <c r="E182" s="239">
        <v>0</v>
      </c>
      <c r="F182" s="239">
        <v>32186783</v>
      </c>
      <c r="G182" s="239">
        <v>0</v>
      </c>
      <c r="H182" s="239">
        <v>0</v>
      </c>
      <c r="I182" s="239">
        <v>0</v>
      </c>
      <c r="J182" s="239">
        <v>-297743</v>
      </c>
      <c r="K182" s="239">
        <v>0</v>
      </c>
      <c r="L182" s="239">
        <v>-297743</v>
      </c>
      <c r="M182" s="239">
        <v>0</v>
      </c>
      <c r="N182" s="239">
        <v>0</v>
      </c>
      <c r="O182" s="239">
        <v>0</v>
      </c>
      <c r="P182" s="239">
        <v>-312234</v>
      </c>
      <c r="Q182" s="239">
        <v>0</v>
      </c>
      <c r="R182" s="239">
        <v>-312234</v>
      </c>
      <c r="S182" s="239">
        <v>2315079</v>
      </c>
      <c r="T182" s="239">
        <v>0</v>
      </c>
      <c r="U182" s="239">
        <v>2315079</v>
      </c>
      <c r="V182" s="239">
        <v>-1123979</v>
      </c>
      <c r="W182" s="239">
        <v>0</v>
      </c>
      <c r="X182" s="239">
        <v>-1123979</v>
      </c>
      <c r="Y182" s="239">
        <v>33065649</v>
      </c>
      <c r="Z182" s="239">
        <v>0</v>
      </c>
      <c r="AA182" s="239">
        <v>33065649</v>
      </c>
      <c r="AB182" s="239">
        <v>0</v>
      </c>
      <c r="AC182" s="239">
        <v>0</v>
      </c>
      <c r="AD182" s="239">
        <v>311483</v>
      </c>
      <c r="AE182" s="239">
        <v>0</v>
      </c>
      <c r="AF182" s="239">
        <v>311483</v>
      </c>
      <c r="AG182" s="239">
        <v>0</v>
      </c>
      <c r="AH182" s="239">
        <v>0</v>
      </c>
      <c r="AI182" s="239">
        <v>0</v>
      </c>
      <c r="AJ182" s="239">
        <v>0</v>
      </c>
      <c r="AK182" s="239">
        <v>0</v>
      </c>
      <c r="AL182" s="239">
        <v>1848626</v>
      </c>
      <c r="AM182" s="239">
        <v>-1005395</v>
      </c>
      <c r="AN182" s="214" t="s">
        <v>445</v>
      </c>
      <c r="AO182" s="214" t="s">
        <v>799</v>
      </c>
      <c r="AP182" s="214" t="s">
        <v>791</v>
      </c>
      <c r="AQ182" s="214" t="s">
        <v>1190</v>
      </c>
    </row>
    <row r="183" spans="2:43" x14ac:dyDescent="0.2">
      <c r="B183" s="609" t="s">
        <v>448</v>
      </c>
      <c r="C183" s="609" t="s">
        <v>447</v>
      </c>
      <c r="D183" s="239">
        <v>13951032</v>
      </c>
      <c r="E183" s="239">
        <v>0</v>
      </c>
      <c r="F183" s="239">
        <v>13951032</v>
      </c>
      <c r="G183" s="239">
        <v>0</v>
      </c>
      <c r="H183" s="239">
        <v>0</v>
      </c>
      <c r="I183" s="239">
        <v>0</v>
      </c>
      <c r="J183" s="239">
        <v>-154815</v>
      </c>
      <c r="K183" s="239">
        <v>0</v>
      </c>
      <c r="L183" s="239">
        <v>-154815</v>
      </c>
      <c r="M183" s="239">
        <v>0</v>
      </c>
      <c r="N183" s="239">
        <v>0</v>
      </c>
      <c r="O183" s="239">
        <v>0</v>
      </c>
      <c r="P183" s="239">
        <v>-294211</v>
      </c>
      <c r="Q183" s="239">
        <v>0</v>
      </c>
      <c r="R183" s="239">
        <v>-294211</v>
      </c>
      <c r="S183" s="239">
        <v>832475</v>
      </c>
      <c r="T183" s="239">
        <v>0</v>
      </c>
      <c r="U183" s="239">
        <v>832475</v>
      </c>
      <c r="V183" s="239">
        <v>-1776975</v>
      </c>
      <c r="W183" s="239">
        <v>0</v>
      </c>
      <c r="X183" s="239">
        <v>-1776975</v>
      </c>
      <c r="Y183" s="239">
        <v>12712321</v>
      </c>
      <c r="Z183" s="239">
        <v>0</v>
      </c>
      <c r="AA183" s="239">
        <v>12712321</v>
      </c>
      <c r="AB183" s="239">
        <v>0</v>
      </c>
      <c r="AC183" s="239">
        <v>0</v>
      </c>
      <c r="AD183" s="239">
        <v>180940</v>
      </c>
      <c r="AE183" s="239">
        <v>0</v>
      </c>
      <c r="AF183" s="239">
        <v>180940</v>
      </c>
      <c r="AG183" s="239">
        <v>0</v>
      </c>
      <c r="AH183" s="239">
        <v>0</v>
      </c>
      <c r="AI183" s="239">
        <v>0</v>
      </c>
      <c r="AJ183" s="239">
        <v>0</v>
      </c>
      <c r="AK183" s="239">
        <v>0</v>
      </c>
      <c r="AL183" s="239">
        <v>516530</v>
      </c>
      <c r="AM183" s="239">
        <v>-170510</v>
      </c>
      <c r="AN183" s="214" t="s">
        <v>447</v>
      </c>
      <c r="AO183" s="214" t="s">
        <v>786</v>
      </c>
      <c r="AP183" s="214" t="s">
        <v>784</v>
      </c>
      <c r="AQ183" s="214" t="s">
        <v>1190</v>
      </c>
    </row>
    <row r="184" spans="2:43" x14ac:dyDescent="0.2">
      <c r="B184" s="609" t="s">
        <v>450</v>
      </c>
      <c r="C184" s="609" t="s">
        <v>449</v>
      </c>
      <c r="D184" s="239">
        <v>16022889</v>
      </c>
      <c r="E184" s="239">
        <v>0</v>
      </c>
      <c r="F184" s="239">
        <v>16022889</v>
      </c>
      <c r="G184" s="239">
        <v>0</v>
      </c>
      <c r="H184" s="239">
        <v>0</v>
      </c>
      <c r="I184" s="239">
        <v>0</v>
      </c>
      <c r="J184" s="239">
        <v>-125206</v>
      </c>
      <c r="K184" s="239">
        <v>0</v>
      </c>
      <c r="L184" s="239">
        <v>-125206</v>
      </c>
      <c r="M184" s="239">
        <v>0</v>
      </c>
      <c r="N184" s="239">
        <v>0</v>
      </c>
      <c r="O184" s="239">
        <v>0</v>
      </c>
      <c r="P184" s="239">
        <v>-198598</v>
      </c>
      <c r="Q184" s="239">
        <v>0</v>
      </c>
      <c r="R184" s="239">
        <v>-198598</v>
      </c>
      <c r="S184" s="239">
        <v>1477828</v>
      </c>
      <c r="T184" s="239">
        <v>0</v>
      </c>
      <c r="U184" s="239">
        <v>1477828</v>
      </c>
      <c r="V184" s="239">
        <v>-614290</v>
      </c>
      <c r="W184" s="239">
        <v>0</v>
      </c>
      <c r="X184" s="239">
        <v>-614290</v>
      </c>
      <c r="Y184" s="239">
        <v>16687829</v>
      </c>
      <c r="Z184" s="239">
        <v>0</v>
      </c>
      <c r="AA184" s="239">
        <v>16687829</v>
      </c>
      <c r="AB184" s="239">
        <v>0</v>
      </c>
      <c r="AC184" s="239">
        <v>0</v>
      </c>
      <c r="AD184" s="239">
        <v>0</v>
      </c>
      <c r="AE184" s="239">
        <v>0</v>
      </c>
      <c r="AF184" s="239">
        <v>0</v>
      </c>
      <c r="AG184" s="239">
        <v>0</v>
      </c>
      <c r="AH184" s="239">
        <v>0</v>
      </c>
      <c r="AI184" s="239">
        <v>0</v>
      </c>
      <c r="AJ184" s="239">
        <v>0</v>
      </c>
      <c r="AK184" s="239">
        <v>0</v>
      </c>
      <c r="AL184" s="239">
        <v>798661</v>
      </c>
      <c r="AM184" s="239">
        <v>-198241</v>
      </c>
      <c r="AN184" s="214" t="s">
        <v>449</v>
      </c>
      <c r="AO184" s="214" t="s">
        <v>857</v>
      </c>
      <c r="AP184" s="214" t="s">
        <v>855</v>
      </c>
      <c r="AQ184" s="214" t="s">
        <v>1190</v>
      </c>
    </row>
    <row r="185" spans="2:43" x14ac:dyDescent="0.2">
      <c r="B185" s="609" t="s">
        <v>452</v>
      </c>
      <c r="C185" s="609" t="s">
        <v>451</v>
      </c>
      <c r="D185" s="239">
        <v>65562626</v>
      </c>
      <c r="E185" s="239">
        <v>0</v>
      </c>
      <c r="F185" s="239">
        <v>65562626</v>
      </c>
      <c r="G185" s="239">
        <v>-3433</v>
      </c>
      <c r="H185" s="239">
        <v>0</v>
      </c>
      <c r="I185" s="239">
        <v>-3433</v>
      </c>
      <c r="J185" s="239">
        <v>-224333</v>
      </c>
      <c r="K185" s="239">
        <v>0</v>
      </c>
      <c r="L185" s="239">
        <v>-224333</v>
      </c>
      <c r="M185" s="239">
        <v>0</v>
      </c>
      <c r="N185" s="239">
        <v>0</v>
      </c>
      <c r="O185" s="239">
        <v>0</v>
      </c>
      <c r="P185" s="239">
        <v>-445155</v>
      </c>
      <c r="Q185" s="239">
        <v>0</v>
      </c>
      <c r="R185" s="239">
        <v>-445155</v>
      </c>
      <c r="S185" s="239">
        <v>8162974</v>
      </c>
      <c r="T185" s="239">
        <v>0</v>
      </c>
      <c r="U185" s="239">
        <v>8162974</v>
      </c>
      <c r="V185" s="239">
        <v>-6582657</v>
      </c>
      <c r="W185" s="239">
        <v>0</v>
      </c>
      <c r="X185" s="239">
        <v>-6582657</v>
      </c>
      <c r="Y185" s="239">
        <v>66694355</v>
      </c>
      <c r="Z185" s="239">
        <v>0</v>
      </c>
      <c r="AA185" s="239">
        <v>66694355</v>
      </c>
      <c r="AB185" s="239">
        <v>0</v>
      </c>
      <c r="AC185" s="239">
        <v>0</v>
      </c>
      <c r="AD185" s="239">
        <v>96790</v>
      </c>
      <c r="AE185" s="239">
        <v>0</v>
      </c>
      <c r="AF185" s="239">
        <v>96790</v>
      </c>
      <c r="AG185" s="239">
        <v>0</v>
      </c>
      <c r="AH185" s="239">
        <v>0</v>
      </c>
      <c r="AI185" s="239">
        <v>0</v>
      </c>
      <c r="AJ185" s="239">
        <v>0</v>
      </c>
      <c r="AK185" s="239">
        <v>0</v>
      </c>
      <c r="AL185" s="239">
        <v>5854322</v>
      </c>
      <c r="AM185" s="239">
        <v>-3032696</v>
      </c>
      <c r="AN185" s="214" t="s">
        <v>892</v>
      </c>
      <c r="AO185" s="214" t="s">
        <v>747</v>
      </c>
      <c r="AP185" s="214" t="s">
        <v>889</v>
      </c>
      <c r="AQ185" s="214" t="s">
        <v>747</v>
      </c>
    </row>
    <row r="186" spans="2:43" x14ac:dyDescent="0.2">
      <c r="B186" s="609" t="s">
        <v>454</v>
      </c>
      <c r="C186" s="609" t="s">
        <v>453</v>
      </c>
      <c r="D186" s="239">
        <v>38888308</v>
      </c>
      <c r="E186" s="239">
        <v>0</v>
      </c>
      <c r="F186" s="239">
        <v>38888308</v>
      </c>
      <c r="G186" s="239">
        <v>-270</v>
      </c>
      <c r="H186" s="239">
        <v>0</v>
      </c>
      <c r="I186" s="239">
        <v>-270</v>
      </c>
      <c r="J186" s="239">
        <v>456786</v>
      </c>
      <c r="K186" s="239">
        <v>0</v>
      </c>
      <c r="L186" s="239">
        <v>456786</v>
      </c>
      <c r="M186" s="239">
        <v>0</v>
      </c>
      <c r="N186" s="239">
        <v>0</v>
      </c>
      <c r="O186" s="239">
        <v>0</v>
      </c>
      <c r="P186" s="239">
        <v>-389481</v>
      </c>
      <c r="Q186" s="239">
        <v>0</v>
      </c>
      <c r="R186" s="239">
        <v>-389481</v>
      </c>
      <c r="S186" s="239">
        <v>1229153</v>
      </c>
      <c r="T186" s="239">
        <v>0</v>
      </c>
      <c r="U186" s="239">
        <v>1229153</v>
      </c>
      <c r="V186" s="239">
        <v>-1274625</v>
      </c>
      <c r="W186" s="239">
        <v>0</v>
      </c>
      <c r="X186" s="239">
        <v>-1274625</v>
      </c>
      <c r="Y186" s="239">
        <v>38453085</v>
      </c>
      <c r="Z186" s="239">
        <v>0</v>
      </c>
      <c r="AA186" s="239">
        <v>38453085</v>
      </c>
      <c r="AB186" s="239">
        <v>0</v>
      </c>
      <c r="AC186" s="239">
        <v>0</v>
      </c>
      <c r="AD186" s="239">
        <v>54086</v>
      </c>
      <c r="AE186" s="239">
        <v>0</v>
      </c>
      <c r="AF186" s="239">
        <v>54086</v>
      </c>
      <c r="AG186" s="239">
        <v>0</v>
      </c>
      <c r="AH186" s="239">
        <v>0</v>
      </c>
      <c r="AI186" s="239">
        <v>0</v>
      </c>
      <c r="AJ186" s="239">
        <v>0</v>
      </c>
      <c r="AK186" s="239">
        <v>0</v>
      </c>
      <c r="AL186" s="239">
        <v>1434265</v>
      </c>
      <c r="AM186" s="239">
        <v>-747387</v>
      </c>
      <c r="AN186" s="214" t="s">
        <v>453</v>
      </c>
      <c r="AO186" s="214" t="s">
        <v>802</v>
      </c>
      <c r="AP186" s="214" t="s">
        <v>762</v>
      </c>
      <c r="AQ186" s="214" t="s">
        <v>1190</v>
      </c>
    </row>
    <row r="187" spans="2:43" x14ac:dyDescent="0.2">
      <c r="B187" s="609" t="s">
        <v>456</v>
      </c>
      <c r="C187" s="609" t="s">
        <v>455</v>
      </c>
      <c r="D187" s="239">
        <v>26262384</v>
      </c>
      <c r="E187" s="239">
        <v>0</v>
      </c>
      <c r="F187" s="239">
        <v>26262384</v>
      </c>
      <c r="G187" s="239">
        <v>0</v>
      </c>
      <c r="H187" s="239">
        <v>0</v>
      </c>
      <c r="I187" s="239">
        <v>0</v>
      </c>
      <c r="J187" s="239">
        <v>-170675</v>
      </c>
      <c r="K187" s="239">
        <v>0</v>
      </c>
      <c r="L187" s="239">
        <v>-170675</v>
      </c>
      <c r="M187" s="239">
        <v>0</v>
      </c>
      <c r="N187" s="239">
        <v>0</v>
      </c>
      <c r="O187" s="239">
        <v>0</v>
      </c>
      <c r="P187" s="239">
        <v>-144094</v>
      </c>
      <c r="Q187" s="239">
        <v>0</v>
      </c>
      <c r="R187" s="239">
        <v>-144094</v>
      </c>
      <c r="S187" s="239">
        <v>375034</v>
      </c>
      <c r="T187" s="239">
        <v>0</v>
      </c>
      <c r="U187" s="239">
        <v>375034</v>
      </c>
      <c r="V187" s="239">
        <v>-437253</v>
      </c>
      <c r="W187" s="239">
        <v>0</v>
      </c>
      <c r="X187" s="239">
        <v>-437253</v>
      </c>
      <c r="Y187" s="239">
        <v>26056071</v>
      </c>
      <c r="Z187" s="239">
        <v>0</v>
      </c>
      <c r="AA187" s="239">
        <v>26056071</v>
      </c>
      <c r="AB187" s="239">
        <v>0</v>
      </c>
      <c r="AC187" s="239">
        <v>0</v>
      </c>
      <c r="AD187" s="239">
        <v>1510963</v>
      </c>
      <c r="AE187" s="239">
        <v>0</v>
      </c>
      <c r="AF187" s="239">
        <v>1510963</v>
      </c>
      <c r="AG187" s="239">
        <v>0</v>
      </c>
      <c r="AH187" s="239">
        <v>0</v>
      </c>
      <c r="AI187" s="239">
        <v>0</v>
      </c>
      <c r="AJ187" s="239">
        <v>0</v>
      </c>
      <c r="AK187" s="239">
        <v>0</v>
      </c>
      <c r="AL187" s="239">
        <v>643302</v>
      </c>
      <c r="AM187" s="239">
        <v>-732484</v>
      </c>
      <c r="AN187" s="214" t="s">
        <v>455</v>
      </c>
      <c r="AO187" s="214" t="s">
        <v>797</v>
      </c>
      <c r="AP187" s="214" t="s">
        <v>762</v>
      </c>
      <c r="AQ187" s="214" t="s">
        <v>1190</v>
      </c>
    </row>
    <row r="188" spans="2:43" x14ac:dyDescent="0.2">
      <c r="B188" s="609" t="s">
        <v>458</v>
      </c>
      <c r="C188" s="609" t="s">
        <v>457</v>
      </c>
      <c r="D188" s="239">
        <v>88787109</v>
      </c>
      <c r="E188" s="239">
        <v>2052043</v>
      </c>
      <c r="F188" s="239">
        <v>90839152</v>
      </c>
      <c r="G188" s="239">
        <v>-5623</v>
      </c>
      <c r="H188" s="239">
        <v>0</v>
      </c>
      <c r="I188" s="239">
        <v>-5623</v>
      </c>
      <c r="J188" s="239">
        <v>-831341</v>
      </c>
      <c r="K188" s="239">
        <v>0</v>
      </c>
      <c r="L188" s="239">
        <v>-831341</v>
      </c>
      <c r="M188" s="239">
        <v>0</v>
      </c>
      <c r="N188" s="239">
        <v>0</v>
      </c>
      <c r="O188" s="239">
        <v>0</v>
      </c>
      <c r="P188" s="239">
        <v>-1517341</v>
      </c>
      <c r="Q188" s="239">
        <v>0</v>
      </c>
      <c r="R188" s="239">
        <v>-1517341</v>
      </c>
      <c r="S188" s="239">
        <v>4320199</v>
      </c>
      <c r="T188" s="239">
        <v>0</v>
      </c>
      <c r="U188" s="239">
        <v>4320199</v>
      </c>
      <c r="V188" s="239">
        <v>-6737609</v>
      </c>
      <c r="W188" s="239">
        <v>0</v>
      </c>
      <c r="X188" s="239">
        <v>-6737609</v>
      </c>
      <c r="Y188" s="239">
        <v>84846735</v>
      </c>
      <c r="Z188" s="239">
        <v>2052043</v>
      </c>
      <c r="AA188" s="239">
        <v>86898778</v>
      </c>
      <c r="AB188" s="239">
        <v>2052043</v>
      </c>
      <c r="AC188" s="239">
        <v>2052043</v>
      </c>
      <c r="AD188" s="239">
        <v>2485795</v>
      </c>
      <c r="AE188" s="239">
        <v>0</v>
      </c>
      <c r="AF188" s="239">
        <v>2485795</v>
      </c>
      <c r="AG188" s="239">
        <v>-1072</v>
      </c>
      <c r="AH188" s="239">
        <v>-1072</v>
      </c>
      <c r="AI188" s="239">
        <v>1001010</v>
      </c>
      <c r="AJ188" s="239">
        <v>1001010</v>
      </c>
      <c r="AK188" s="239">
        <v>1049961</v>
      </c>
      <c r="AL188" s="239">
        <v>4093686</v>
      </c>
      <c r="AM188" s="239">
        <v>-258032</v>
      </c>
      <c r="AN188" s="214" t="s">
        <v>891</v>
      </c>
      <c r="AO188" s="214" t="s">
        <v>747</v>
      </c>
      <c r="AP188" s="214" t="s">
        <v>889</v>
      </c>
      <c r="AQ188" s="214" t="s">
        <v>747</v>
      </c>
    </row>
    <row r="189" spans="2:43" x14ac:dyDescent="0.2">
      <c r="B189" s="609" t="s">
        <v>460</v>
      </c>
      <c r="C189" s="609" t="s">
        <v>459</v>
      </c>
      <c r="D189" s="239">
        <v>25455364</v>
      </c>
      <c r="E189" s="239">
        <v>0</v>
      </c>
      <c r="F189" s="239">
        <v>25455364</v>
      </c>
      <c r="G189" s="239">
        <v>0</v>
      </c>
      <c r="H189" s="239">
        <v>0</v>
      </c>
      <c r="I189" s="239">
        <v>0</v>
      </c>
      <c r="J189" s="239">
        <v>-48275</v>
      </c>
      <c r="K189" s="239">
        <v>0</v>
      </c>
      <c r="L189" s="239">
        <v>-48275</v>
      </c>
      <c r="M189" s="239">
        <v>0</v>
      </c>
      <c r="N189" s="239">
        <v>0</v>
      </c>
      <c r="O189" s="239">
        <v>0</v>
      </c>
      <c r="P189" s="239">
        <v>-37696</v>
      </c>
      <c r="Q189" s="239">
        <v>0</v>
      </c>
      <c r="R189" s="239">
        <v>-37696</v>
      </c>
      <c r="S189" s="239">
        <v>691780</v>
      </c>
      <c r="T189" s="239">
        <v>0</v>
      </c>
      <c r="U189" s="239">
        <v>691780</v>
      </c>
      <c r="V189" s="239">
        <v>-463312</v>
      </c>
      <c r="W189" s="239">
        <v>0</v>
      </c>
      <c r="X189" s="239">
        <v>-463312</v>
      </c>
      <c r="Y189" s="239">
        <v>25646136</v>
      </c>
      <c r="Z189" s="239">
        <v>0</v>
      </c>
      <c r="AA189" s="239">
        <v>25646136</v>
      </c>
      <c r="AB189" s="239">
        <v>0</v>
      </c>
      <c r="AC189" s="239">
        <v>0</v>
      </c>
      <c r="AD189" s="239">
        <v>599879</v>
      </c>
      <c r="AE189" s="239">
        <v>0</v>
      </c>
      <c r="AF189" s="239">
        <v>599879</v>
      </c>
      <c r="AG189" s="239">
        <v>0</v>
      </c>
      <c r="AH189" s="239">
        <v>0</v>
      </c>
      <c r="AI189" s="239">
        <v>0</v>
      </c>
      <c r="AJ189" s="239">
        <v>0</v>
      </c>
      <c r="AK189" s="239">
        <v>0</v>
      </c>
      <c r="AL189" s="239">
        <v>331919</v>
      </c>
      <c r="AM189" s="239">
        <v>-284576</v>
      </c>
      <c r="AN189" s="214" t="s">
        <v>459</v>
      </c>
      <c r="AO189" s="214" t="s">
        <v>848</v>
      </c>
      <c r="AP189" s="214" t="s">
        <v>762</v>
      </c>
      <c r="AQ189" s="214" t="s">
        <v>1190</v>
      </c>
    </row>
    <row r="190" spans="2:43" x14ac:dyDescent="0.2">
      <c r="B190" s="609" t="s">
        <v>462</v>
      </c>
      <c r="C190" s="609" t="s">
        <v>461</v>
      </c>
      <c r="D190" s="239">
        <v>61606267</v>
      </c>
      <c r="E190" s="239">
        <v>767985</v>
      </c>
      <c r="F190" s="239">
        <v>62374252</v>
      </c>
      <c r="G190" s="239">
        <v>0</v>
      </c>
      <c r="H190" s="239">
        <v>0</v>
      </c>
      <c r="I190" s="239">
        <v>0</v>
      </c>
      <c r="J190" s="239">
        <v>-385719</v>
      </c>
      <c r="K190" s="239">
        <v>0</v>
      </c>
      <c r="L190" s="239">
        <v>-385719</v>
      </c>
      <c r="M190" s="239">
        <v>0</v>
      </c>
      <c r="N190" s="239">
        <v>0</v>
      </c>
      <c r="O190" s="239">
        <v>0</v>
      </c>
      <c r="P190" s="239">
        <v>-222302</v>
      </c>
      <c r="Q190" s="239">
        <v>-32879</v>
      </c>
      <c r="R190" s="239">
        <v>-255181</v>
      </c>
      <c r="S190" s="239">
        <v>2052000</v>
      </c>
      <c r="T190" s="239">
        <v>11551</v>
      </c>
      <c r="U190" s="239">
        <v>2063551</v>
      </c>
      <c r="V190" s="239">
        <v>-1087799</v>
      </c>
      <c r="W190" s="239">
        <v>-19915</v>
      </c>
      <c r="X190" s="239">
        <v>-1107714</v>
      </c>
      <c r="Y190" s="239">
        <v>62348166</v>
      </c>
      <c r="Z190" s="239">
        <v>726742</v>
      </c>
      <c r="AA190" s="239">
        <v>63074908</v>
      </c>
      <c r="AB190" s="239">
        <v>726742</v>
      </c>
      <c r="AC190" s="239">
        <v>726742</v>
      </c>
      <c r="AD190" s="239">
        <v>167850</v>
      </c>
      <c r="AE190" s="239">
        <v>0</v>
      </c>
      <c r="AF190" s="239">
        <v>167850</v>
      </c>
      <c r="AG190" s="239">
        <v>0</v>
      </c>
      <c r="AH190" s="239">
        <v>0</v>
      </c>
      <c r="AI190" s="239">
        <v>200354</v>
      </c>
      <c r="AJ190" s="239">
        <v>200354</v>
      </c>
      <c r="AK190" s="239">
        <v>526388</v>
      </c>
      <c r="AL190" s="239">
        <v>4181107</v>
      </c>
      <c r="AM190" s="239">
        <v>-1809571</v>
      </c>
      <c r="AN190" s="214" t="s">
        <v>888</v>
      </c>
      <c r="AO190" s="214" t="s">
        <v>747</v>
      </c>
      <c r="AP190" s="214" t="s">
        <v>852</v>
      </c>
      <c r="AQ190" s="214" t="s">
        <v>747</v>
      </c>
    </row>
    <row r="191" spans="2:43" x14ac:dyDescent="0.2">
      <c r="B191" s="609" t="s">
        <v>464</v>
      </c>
      <c r="C191" s="609" t="s">
        <v>463</v>
      </c>
      <c r="D191" s="239">
        <v>59578174</v>
      </c>
      <c r="E191" s="239">
        <v>650122</v>
      </c>
      <c r="F191" s="239">
        <v>60228296</v>
      </c>
      <c r="G191" s="239">
        <v>-882</v>
      </c>
      <c r="H191" s="239">
        <v>0</v>
      </c>
      <c r="I191" s="239">
        <v>-882</v>
      </c>
      <c r="J191" s="239">
        <v>-1489113</v>
      </c>
      <c r="K191" s="239">
        <v>0</v>
      </c>
      <c r="L191" s="239">
        <v>-1489113</v>
      </c>
      <c r="M191" s="239">
        <v>0</v>
      </c>
      <c r="N191" s="239">
        <v>0</v>
      </c>
      <c r="O191" s="239">
        <v>0</v>
      </c>
      <c r="P191" s="239">
        <v>-513947</v>
      </c>
      <c r="Q191" s="239">
        <v>0</v>
      </c>
      <c r="R191" s="239">
        <v>-513947</v>
      </c>
      <c r="S191" s="239">
        <v>2391000</v>
      </c>
      <c r="T191" s="239">
        <v>0</v>
      </c>
      <c r="U191" s="239">
        <v>2391000</v>
      </c>
      <c r="V191" s="239">
        <v>-1957193</v>
      </c>
      <c r="W191" s="239">
        <v>0</v>
      </c>
      <c r="X191" s="239">
        <v>-1957193</v>
      </c>
      <c r="Y191" s="239">
        <v>59497152</v>
      </c>
      <c r="Z191" s="239">
        <v>650122</v>
      </c>
      <c r="AA191" s="239">
        <v>60147274</v>
      </c>
      <c r="AB191" s="239">
        <v>650122</v>
      </c>
      <c r="AC191" s="239">
        <v>650122</v>
      </c>
      <c r="AD191" s="239">
        <v>0</v>
      </c>
      <c r="AE191" s="239">
        <v>0</v>
      </c>
      <c r="AF191" s="239">
        <v>0</v>
      </c>
      <c r="AG191" s="239">
        <v>0</v>
      </c>
      <c r="AH191" s="239">
        <v>0</v>
      </c>
      <c r="AI191" s="239">
        <v>555434</v>
      </c>
      <c r="AJ191" s="239">
        <v>555434</v>
      </c>
      <c r="AK191" s="239">
        <v>94688</v>
      </c>
      <c r="AL191" s="239">
        <v>5331335</v>
      </c>
      <c r="AM191" s="239">
        <v>-1669681</v>
      </c>
      <c r="AN191" s="214" t="s">
        <v>463</v>
      </c>
      <c r="AO191" s="214" t="s">
        <v>767</v>
      </c>
      <c r="AP191" s="214" t="s">
        <v>840</v>
      </c>
      <c r="AQ191" s="214" t="s">
        <v>1192</v>
      </c>
    </row>
    <row r="192" spans="2:43" x14ac:dyDescent="0.2">
      <c r="B192" s="609" t="s">
        <v>466</v>
      </c>
      <c r="C192" s="609" t="s">
        <v>465</v>
      </c>
      <c r="D192" s="239">
        <v>43695012</v>
      </c>
      <c r="E192" s="239">
        <v>0</v>
      </c>
      <c r="F192" s="239">
        <v>43695012</v>
      </c>
      <c r="G192" s="239">
        <v>0</v>
      </c>
      <c r="H192" s="239">
        <v>0</v>
      </c>
      <c r="I192" s="239">
        <v>0</v>
      </c>
      <c r="J192" s="239">
        <v>-170692</v>
      </c>
      <c r="K192" s="239">
        <v>0</v>
      </c>
      <c r="L192" s="239">
        <v>-170692</v>
      </c>
      <c r="M192" s="239">
        <v>0</v>
      </c>
      <c r="N192" s="239">
        <v>0</v>
      </c>
      <c r="O192" s="239">
        <v>0</v>
      </c>
      <c r="P192" s="239">
        <v>-149878</v>
      </c>
      <c r="Q192" s="239">
        <v>0</v>
      </c>
      <c r="R192" s="239">
        <v>-149878</v>
      </c>
      <c r="S192" s="239">
        <v>2196936</v>
      </c>
      <c r="T192" s="239">
        <v>0</v>
      </c>
      <c r="U192" s="239">
        <v>2196936</v>
      </c>
      <c r="V192" s="239">
        <v>-1528672</v>
      </c>
      <c r="W192" s="239">
        <v>0</v>
      </c>
      <c r="X192" s="239">
        <v>-1528672</v>
      </c>
      <c r="Y192" s="239">
        <v>44213398</v>
      </c>
      <c r="Z192" s="239">
        <v>0</v>
      </c>
      <c r="AA192" s="239">
        <v>44213398</v>
      </c>
      <c r="AB192" s="239">
        <v>0</v>
      </c>
      <c r="AC192" s="239">
        <v>0</v>
      </c>
      <c r="AD192" s="239">
        <v>0</v>
      </c>
      <c r="AE192" s="239">
        <v>0</v>
      </c>
      <c r="AF192" s="239">
        <v>0</v>
      </c>
      <c r="AG192" s="239">
        <v>0</v>
      </c>
      <c r="AH192" s="239">
        <v>0</v>
      </c>
      <c r="AI192" s="239">
        <v>0</v>
      </c>
      <c r="AJ192" s="239">
        <v>0</v>
      </c>
      <c r="AK192" s="239">
        <v>0</v>
      </c>
      <c r="AL192" s="239">
        <v>298890</v>
      </c>
      <c r="AM192" s="239">
        <v>-42748</v>
      </c>
      <c r="AN192" s="214" t="s">
        <v>465</v>
      </c>
      <c r="AO192" s="214" t="s">
        <v>812</v>
      </c>
      <c r="AP192" s="214" t="s">
        <v>762</v>
      </c>
      <c r="AQ192" s="214" t="s">
        <v>1190</v>
      </c>
    </row>
    <row r="193" spans="2:43" x14ac:dyDescent="0.2">
      <c r="B193" s="609" t="s">
        <v>468</v>
      </c>
      <c r="C193" s="609" t="s">
        <v>467</v>
      </c>
      <c r="D193" s="239">
        <v>54288547</v>
      </c>
      <c r="E193" s="239">
        <v>0</v>
      </c>
      <c r="F193" s="239">
        <v>54288547</v>
      </c>
      <c r="G193" s="239">
        <v>0</v>
      </c>
      <c r="H193" s="239">
        <v>0</v>
      </c>
      <c r="I193" s="239">
        <v>0</v>
      </c>
      <c r="J193" s="239">
        <v>-368895</v>
      </c>
      <c r="K193" s="239">
        <v>0</v>
      </c>
      <c r="L193" s="239">
        <v>-368895</v>
      </c>
      <c r="M193" s="239">
        <v>0</v>
      </c>
      <c r="N193" s="239">
        <v>0</v>
      </c>
      <c r="O193" s="239">
        <v>0</v>
      </c>
      <c r="P193" s="239">
        <v>-311246</v>
      </c>
      <c r="Q193" s="239">
        <v>0</v>
      </c>
      <c r="R193" s="239">
        <v>-311246</v>
      </c>
      <c r="S193" s="239">
        <v>517288</v>
      </c>
      <c r="T193" s="239">
        <v>0</v>
      </c>
      <c r="U193" s="239">
        <v>517288</v>
      </c>
      <c r="V193" s="239">
        <v>-1913177</v>
      </c>
      <c r="W193" s="239">
        <v>0</v>
      </c>
      <c r="X193" s="239">
        <v>-1913177</v>
      </c>
      <c r="Y193" s="239">
        <v>52581412</v>
      </c>
      <c r="Z193" s="239">
        <v>0</v>
      </c>
      <c r="AA193" s="239">
        <v>52581412</v>
      </c>
      <c r="AB193" s="239">
        <v>0</v>
      </c>
      <c r="AC193" s="239">
        <v>0</v>
      </c>
      <c r="AD193" s="239">
        <v>366299</v>
      </c>
      <c r="AE193" s="239">
        <v>0</v>
      </c>
      <c r="AF193" s="239">
        <v>366299</v>
      </c>
      <c r="AG193" s="239">
        <v>0</v>
      </c>
      <c r="AH193" s="239">
        <v>0</v>
      </c>
      <c r="AI193" s="239">
        <v>0</v>
      </c>
      <c r="AJ193" s="239">
        <v>0</v>
      </c>
      <c r="AK193" s="239">
        <v>0</v>
      </c>
      <c r="AL193" s="239">
        <v>464780</v>
      </c>
      <c r="AM193" s="239">
        <v>-1495957</v>
      </c>
      <c r="AN193" s="214" t="s">
        <v>467</v>
      </c>
      <c r="AO193" s="214" t="s">
        <v>883</v>
      </c>
      <c r="AP193" s="214" t="s">
        <v>868</v>
      </c>
      <c r="AQ193" s="214" t="s">
        <v>1190</v>
      </c>
    </row>
    <row r="194" spans="2:43" x14ac:dyDescent="0.2">
      <c r="B194" s="609" t="s">
        <v>470</v>
      </c>
      <c r="C194" s="609" t="s">
        <v>469</v>
      </c>
      <c r="D194" s="239">
        <v>99054470</v>
      </c>
      <c r="E194" s="239">
        <v>4530783</v>
      </c>
      <c r="F194" s="239">
        <v>103585253</v>
      </c>
      <c r="G194" s="239">
        <v>0</v>
      </c>
      <c r="H194" s="239">
        <v>0</v>
      </c>
      <c r="I194" s="239">
        <v>0</v>
      </c>
      <c r="J194" s="239">
        <v>-580143</v>
      </c>
      <c r="K194" s="239">
        <v>0</v>
      </c>
      <c r="L194" s="239">
        <v>-580143</v>
      </c>
      <c r="M194" s="239">
        <v>-278682</v>
      </c>
      <c r="N194" s="239">
        <v>0</v>
      </c>
      <c r="O194" s="239">
        <v>-278682</v>
      </c>
      <c r="P194" s="239">
        <v>-619998</v>
      </c>
      <c r="Q194" s="239">
        <v>0</v>
      </c>
      <c r="R194" s="239">
        <v>-619998</v>
      </c>
      <c r="S194" s="239">
        <v>2357907</v>
      </c>
      <c r="T194" s="239">
        <v>86899</v>
      </c>
      <c r="U194" s="239">
        <v>2444806</v>
      </c>
      <c r="V194" s="239">
        <v>-4914679</v>
      </c>
      <c r="W194" s="239">
        <v>254722</v>
      </c>
      <c r="X194" s="239">
        <v>-4659957</v>
      </c>
      <c r="Y194" s="239">
        <v>95599018</v>
      </c>
      <c r="Z194" s="239">
        <v>4872404</v>
      </c>
      <c r="AA194" s="239">
        <v>100471422</v>
      </c>
      <c r="AB194" s="239">
        <v>4872404</v>
      </c>
      <c r="AC194" s="239">
        <v>4872404</v>
      </c>
      <c r="AD194" s="239">
        <v>0</v>
      </c>
      <c r="AE194" s="239">
        <v>0</v>
      </c>
      <c r="AF194" s="239">
        <v>0</v>
      </c>
      <c r="AG194" s="239">
        <v>1900</v>
      </c>
      <c r="AH194" s="239">
        <v>1900</v>
      </c>
      <c r="AI194" s="239">
        <v>3435843</v>
      </c>
      <c r="AJ194" s="239">
        <v>3435843</v>
      </c>
      <c r="AK194" s="239">
        <v>1438461</v>
      </c>
      <c r="AL194" s="239">
        <v>4992120</v>
      </c>
      <c r="AM194" s="239">
        <v>-1867038</v>
      </c>
      <c r="AN194" s="214" t="s">
        <v>469</v>
      </c>
      <c r="AO194" s="214" t="s">
        <v>804</v>
      </c>
      <c r="AP194" s="214" t="s">
        <v>762</v>
      </c>
      <c r="AQ194" s="214" t="s">
        <v>1190</v>
      </c>
    </row>
    <row r="195" spans="2:43" x14ac:dyDescent="0.2">
      <c r="B195" s="609" t="s">
        <v>472</v>
      </c>
      <c r="C195" s="609" t="s">
        <v>471</v>
      </c>
      <c r="D195" s="239">
        <v>79114822</v>
      </c>
      <c r="E195" s="239">
        <v>41683</v>
      </c>
      <c r="F195" s="239">
        <v>79156505</v>
      </c>
      <c r="G195" s="239">
        <v>0</v>
      </c>
      <c r="H195" s="239">
        <v>0</v>
      </c>
      <c r="I195" s="239">
        <v>0</v>
      </c>
      <c r="J195" s="239">
        <v>-656608</v>
      </c>
      <c r="K195" s="239">
        <v>0</v>
      </c>
      <c r="L195" s="239">
        <v>-656608</v>
      </c>
      <c r="M195" s="239">
        <v>0</v>
      </c>
      <c r="N195" s="239">
        <v>0</v>
      </c>
      <c r="O195" s="239">
        <v>0</v>
      </c>
      <c r="P195" s="239">
        <v>-1020397</v>
      </c>
      <c r="Q195" s="239">
        <v>0</v>
      </c>
      <c r="R195" s="239">
        <v>-1020397</v>
      </c>
      <c r="S195" s="239">
        <v>2973991</v>
      </c>
      <c r="T195" s="239">
        <v>0</v>
      </c>
      <c r="U195" s="239">
        <v>2973991</v>
      </c>
      <c r="V195" s="239">
        <v>-3452172</v>
      </c>
      <c r="W195" s="239">
        <v>0</v>
      </c>
      <c r="X195" s="239">
        <v>-3452172</v>
      </c>
      <c r="Y195" s="239">
        <v>77616244</v>
      </c>
      <c r="Z195" s="239">
        <v>41683</v>
      </c>
      <c r="AA195" s="239">
        <v>77657927</v>
      </c>
      <c r="AB195" s="239">
        <v>41683</v>
      </c>
      <c r="AC195" s="239">
        <v>41683</v>
      </c>
      <c r="AD195" s="239">
        <v>1377191</v>
      </c>
      <c r="AE195" s="239">
        <v>0</v>
      </c>
      <c r="AF195" s="239">
        <v>1377191</v>
      </c>
      <c r="AG195" s="239">
        <v>0</v>
      </c>
      <c r="AH195" s="239">
        <v>0</v>
      </c>
      <c r="AI195" s="239">
        <v>11945</v>
      </c>
      <c r="AJ195" s="239">
        <v>11945</v>
      </c>
      <c r="AK195" s="239">
        <v>29738</v>
      </c>
      <c r="AL195" s="239">
        <v>2874345</v>
      </c>
      <c r="AM195" s="239">
        <v>-276137</v>
      </c>
      <c r="AN195" s="214" t="s">
        <v>471</v>
      </c>
      <c r="AO195" s="214" t="s">
        <v>747</v>
      </c>
      <c r="AP195" s="214" t="s">
        <v>762</v>
      </c>
      <c r="AQ195" s="214" t="s">
        <v>747</v>
      </c>
    </row>
    <row r="196" spans="2:43" x14ac:dyDescent="0.2">
      <c r="B196" s="609" t="s">
        <v>474</v>
      </c>
      <c r="C196" s="609" t="s">
        <v>473</v>
      </c>
      <c r="D196" s="239">
        <v>80867435</v>
      </c>
      <c r="E196" s="239">
        <v>0</v>
      </c>
      <c r="F196" s="239">
        <v>80867435</v>
      </c>
      <c r="G196" s="239">
        <v>0</v>
      </c>
      <c r="H196" s="239">
        <v>0</v>
      </c>
      <c r="I196" s="239">
        <v>0</v>
      </c>
      <c r="J196" s="239">
        <v>-447552</v>
      </c>
      <c r="K196" s="239">
        <v>0</v>
      </c>
      <c r="L196" s="239">
        <v>-447552</v>
      </c>
      <c r="M196" s="239">
        <v>0</v>
      </c>
      <c r="N196" s="239">
        <v>0</v>
      </c>
      <c r="O196" s="239">
        <v>0</v>
      </c>
      <c r="P196" s="239">
        <v>-1301591</v>
      </c>
      <c r="Q196" s="239">
        <v>0</v>
      </c>
      <c r="R196" s="239">
        <v>-1301591</v>
      </c>
      <c r="S196" s="239">
        <v>2056858</v>
      </c>
      <c r="T196" s="239">
        <v>0</v>
      </c>
      <c r="U196" s="239">
        <v>2056858</v>
      </c>
      <c r="V196" s="239">
        <v>-3531874</v>
      </c>
      <c r="W196" s="239">
        <v>0</v>
      </c>
      <c r="X196" s="239">
        <v>-3531874</v>
      </c>
      <c r="Y196" s="239">
        <v>78090828</v>
      </c>
      <c r="Z196" s="239">
        <v>0</v>
      </c>
      <c r="AA196" s="239">
        <v>78090828</v>
      </c>
      <c r="AB196" s="239">
        <v>0</v>
      </c>
      <c r="AC196" s="239">
        <v>0</v>
      </c>
      <c r="AD196" s="239">
        <v>0</v>
      </c>
      <c r="AE196" s="239">
        <v>0</v>
      </c>
      <c r="AF196" s="239">
        <v>0</v>
      </c>
      <c r="AG196" s="239">
        <v>0</v>
      </c>
      <c r="AH196" s="239">
        <v>0</v>
      </c>
      <c r="AI196" s="239">
        <v>0</v>
      </c>
      <c r="AJ196" s="239">
        <v>0</v>
      </c>
      <c r="AK196" s="239">
        <v>0</v>
      </c>
      <c r="AL196" s="239">
        <v>3514145</v>
      </c>
      <c r="AM196" s="239">
        <v>-1066217</v>
      </c>
      <c r="AN196" s="214" t="s">
        <v>473</v>
      </c>
      <c r="AO196" s="214" t="s">
        <v>848</v>
      </c>
      <c r="AP196" s="214" t="s">
        <v>762</v>
      </c>
      <c r="AQ196" s="214" t="s">
        <v>1190</v>
      </c>
    </row>
    <row r="197" spans="2:43" x14ac:dyDescent="0.2">
      <c r="B197" s="609" t="s">
        <v>476</v>
      </c>
      <c r="C197" s="609" t="s">
        <v>475</v>
      </c>
      <c r="D197" s="239">
        <v>121625871</v>
      </c>
      <c r="E197" s="239">
        <v>9622362</v>
      </c>
      <c r="F197" s="239">
        <v>131248233</v>
      </c>
      <c r="G197" s="239">
        <v>-2267</v>
      </c>
      <c r="H197" s="239">
        <v>0</v>
      </c>
      <c r="I197" s="239">
        <v>-2267</v>
      </c>
      <c r="J197" s="239">
        <v>-884526</v>
      </c>
      <c r="K197" s="239">
        <v>-113074</v>
      </c>
      <c r="L197" s="239">
        <v>-997600</v>
      </c>
      <c r="M197" s="239">
        <v>0</v>
      </c>
      <c r="N197" s="239">
        <v>0</v>
      </c>
      <c r="O197" s="239">
        <v>0</v>
      </c>
      <c r="P197" s="239">
        <v>-1234666</v>
      </c>
      <c r="Q197" s="239">
        <v>-157834</v>
      </c>
      <c r="R197" s="239">
        <v>-1392500</v>
      </c>
      <c r="S197" s="239">
        <v>2736164</v>
      </c>
      <c r="T197" s="239">
        <v>221851</v>
      </c>
      <c r="U197" s="239">
        <v>2958015</v>
      </c>
      <c r="V197" s="239">
        <v>257140</v>
      </c>
      <c r="W197" s="239">
        <v>20850</v>
      </c>
      <c r="X197" s="239">
        <v>277990</v>
      </c>
      <c r="Y197" s="239">
        <v>123382242</v>
      </c>
      <c r="Z197" s="239">
        <v>9707229</v>
      </c>
      <c r="AA197" s="239">
        <v>133089471</v>
      </c>
      <c r="AB197" s="239">
        <v>9707229</v>
      </c>
      <c r="AC197" s="239">
        <v>9707229</v>
      </c>
      <c r="AD197" s="239">
        <v>0</v>
      </c>
      <c r="AE197" s="239">
        <v>0</v>
      </c>
      <c r="AF197" s="239">
        <v>0</v>
      </c>
      <c r="AG197" s="239">
        <v>-8411</v>
      </c>
      <c r="AH197" s="239">
        <v>-8411</v>
      </c>
      <c r="AI197" s="239">
        <v>10042470</v>
      </c>
      <c r="AJ197" s="239">
        <v>10042470</v>
      </c>
      <c r="AK197" s="239">
        <v>0</v>
      </c>
      <c r="AL197" s="239">
        <v>10735128</v>
      </c>
      <c r="AM197" s="239">
        <v>-2212665</v>
      </c>
      <c r="AN197" s="214" t="s">
        <v>887</v>
      </c>
      <c r="AO197" s="214" t="s">
        <v>747</v>
      </c>
      <c r="AP197" s="214" t="s">
        <v>871</v>
      </c>
      <c r="AQ197" s="214" t="s">
        <v>747</v>
      </c>
    </row>
    <row r="198" spans="2:43" x14ac:dyDescent="0.2">
      <c r="B198" s="609" t="s">
        <v>478</v>
      </c>
      <c r="C198" s="609" t="s">
        <v>477</v>
      </c>
      <c r="D198" s="239">
        <v>35731104</v>
      </c>
      <c r="E198" s="239">
        <v>0</v>
      </c>
      <c r="F198" s="239">
        <v>35731104</v>
      </c>
      <c r="G198" s="239">
        <v>0</v>
      </c>
      <c r="H198" s="239">
        <v>0</v>
      </c>
      <c r="I198" s="239">
        <v>0</v>
      </c>
      <c r="J198" s="239">
        <v>-275856</v>
      </c>
      <c r="K198" s="239">
        <v>0</v>
      </c>
      <c r="L198" s="239">
        <v>-275856</v>
      </c>
      <c r="M198" s="239">
        <v>0</v>
      </c>
      <c r="N198" s="239">
        <v>0</v>
      </c>
      <c r="O198" s="239">
        <v>0</v>
      </c>
      <c r="P198" s="239">
        <v>-243256</v>
      </c>
      <c r="Q198" s="239">
        <v>0</v>
      </c>
      <c r="R198" s="239">
        <v>-243256</v>
      </c>
      <c r="S198" s="239">
        <v>731372</v>
      </c>
      <c r="T198" s="239">
        <v>0</v>
      </c>
      <c r="U198" s="239">
        <v>731372</v>
      </c>
      <c r="V198" s="239">
        <v>161130</v>
      </c>
      <c r="W198" s="239">
        <v>0</v>
      </c>
      <c r="X198" s="239">
        <v>161130</v>
      </c>
      <c r="Y198" s="239">
        <v>36380350</v>
      </c>
      <c r="Z198" s="239">
        <v>0</v>
      </c>
      <c r="AA198" s="239">
        <v>36380350</v>
      </c>
      <c r="AB198" s="239">
        <v>0</v>
      </c>
      <c r="AC198" s="239">
        <v>0</v>
      </c>
      <c r="AD198" s="239">
        <v>0</v>
      </c>
      <c r="AE198" s="239">
        <v>0</v>
      </c>
      <c r="AF198" s="239">
        <v>0</v>
      </c>
      <c r="AG198" s="239">
        <v>0</v>
      </c>
      <c r="AH198" s="239">
        <v>0</v>
      </c>
      <c r="AI198" s="239">
        <v>0</v>
      </c>
      <c r="AJ198" s="239">
        <v>0</v>
      </c>
      <c r="AK198" s="239">
        <v>0</v>
      </c>
      <c r="AL198" s="239">
        <v>1358265</v>
      </c>
      <c r="AM198" s="239">
        <v>-153368</v>
      </c>
      <c r="AN198" s="214" t="s">
        <v>886</v>
      </c>
      <c r="AO198" s="214" t="s">
        <v>812</v>
      </c>
      <c r="AP198" s="214" t="s">
        <v>762</v>
      </c>
      <c r="AQ198" s="214" t="s">
        <v>1190</v>
      </c>
    </row>
    <row r="199" spans="2:43" x14ac:dyDescent="0.2">
      <c r="B199" s="609" t="s">
        <v>480</v>
      </c>
      <c r="C199" s="609" t="s">
        <v>479</v>
      </c>
      <c r="D199" s="239">
        <v>12219154</v>
      </c>
      <c r="E199" s="239">
        <v>0</v>
      </c>
      <c r="F199" s="239">
        <v>12219154</v>
      </c>
      <c r="G199" s="239">
        <v>0</v>
      </c>
      <c r="H199" s="239">
        <v>0</v>
      </c>
      <c r="I199" s="239">
        <v>0</v>
      </c>
      <c r="J199" s="239">
        <v>-69179</v>
      </c>
      <c r="K199" s="239">
        <v>0</v>
      </c>
      <c r="L199" s="239">
        <v>-69179</v>
      </c>
      <c r="M199" s="239">
        <v>0</v>
      </c>
      <c r="N199" s="239">
        <v>0</v>
      </c>
      <c r="O199" s="239">
        <v>0</v>
      </c>
      <c r="P199" s="239">
        <v>-47672</v>
      </c>
      <c r="Q199" s="239">
        <v>0</v>
      </c>
      <c r="R199" s="239">
        <v>-47672</v>
      </c>
      <c r="S199" s="239">
        <v>200489</v>
      </c>
      <c r="T199" s="239">
        <v>0</v>
      </c>
      <c r="U199" s="239">
        <v>200489</v>
      </c>
      <c r="V199" s="239">
        <v>-212377</v>
      </c>
      <c r="W199" s="239">
        <v>0</v>
      </c>
      <c r="X199" s="239">
        <v>-212377</v>
      </c>
      <c r="Y199" s="239">
        <v>12159594</v>
      </c>
      <c r="Z199" s="239">
        <v>0</v>
      </c>
      <c r="AA199" s="239">
        <v>12159594</v>
      </c>
      <c r="AB199" s="239">
        <v>0</v>
      </c>
      <c r="AC199" s="239">
        <v>0</v>
      </c>
      <c r="AD199" s="239">
        <v>14029</v>
      </c>
      <c r="AE199" s="239">
        <v>0</v>
      </c>
      <c r="AF199" s="239">
        <v>14029</v>
      </c>
      <c r="AG199" s="239">
        <v>0</v>
      </c>
      <c r="AH199" s="239">
        <v>0</v>
      </c>
      <c r="AI199" s="239">
        <v>0</v>
      </c>
      <c r="AJ199" s="239">
        <v>0</v>
      </c>
      <c r="AK199" s="239">
        <v>0</v>
      </c>
      <c r="AL199" s="239">
        <v>986312</v>
      </c>
      <c r="AM199" s="239">
        <v>-380690</v>
      </c>
      <c r="AN199" s="214" t="s">
        <v>885</v>
      </c>
      <c r="AO199" s="214" t="s">
        <v>883</v>
      </c>
      <c r="AP199" s="214" t="s">
        <v>868</v>
      </c>
      <c r="AQ199" s="214" t="s">
        <v>1190</v>
      </c>
    </row>
    <row r="200" spans="2:43" x14ac:dyDescent="0.2">
      <c r="B200" s="609" t="s">
        <v>482</v>
      </c>
      <c r="C200" s="609" t="s">
        <v>481</v>
      </c>
      <c r="D200" s="239">
        <v>58810160</v>
      </c>
      <c r="E200" s="239">
        <v>0</v>
      </c>
      <c r="F200" s="239">
        <v>58810160</v>
      </c>
      <c r="G200" s="239">
        <v>-94</v>
      </c>
      <c r="H200" s="239">
        <v>0</v>
      </c>
      <c r="I200" s="239">
        <v>-94</v>
      </c>
      <c r="J200" s="239">
        <v>-1649992</v>
      </c>
      <c r="K200" s="239">
        <v>0</v>
      </c>
      <c r="L200" s="239">
        <v>-1649992</v>
      </c>
      <c r="M200" s="239">
        <v>0</v>
      </c>
      <c r="N200" s="239">
        <v>0</v>
      </c>
      <c r="O200" s="239">
        <v>0</v>
      </c>
      <c r="P200" s="239">
        <v>-738567</v>
      </c>
      <c r="Q200" s="239">
        <v>0</v>
      </c>
      <c r="R200" s="239">
        <v>-738567</v>
      </c>
      <c r="S200" s="239">
        <v>1114041</v>
      </c>
      <c r="T200" s="239">
        <v>0</v>
      </c>
      <c r="U200" s="239">
        <v>1114041</v>
      </c>
      <c r="V200" s="239">
        <v>-1686752</v>
      </c>
      <c r="W200" s="239">
        <v>0</v>
      </c>
      <c r="X200" s="239">
        <v>-1686752</v>
      </c>
      <c r="Y200" s="239">
        <v>57498788</v>
      </c>
      <c r="Z200" s="239">
        <v>0</v>
      </c>
      <c r="AA200" s="239">
        <v>57498788</v>
      </c>
      <c r="AB200" s="239">
        <v>0</v>
      </c>
      <c r="AC200" s="239">
        <v>0</v>
      </c>
      <c r="AD200" s="239">
        <v>1912</v>
      </c>
      <c r="AE200" s="239">
        <v>0</v>
      </c>
      <c r="AF200" s="239">
        <v>1912</v>
      </c>
      <c r="AG200" s="239">
        <v>0</v>
      </c>
      <c r="AH200" s="239">
        <v>0</v>
      </c>
      <c r="AI200" s="239">
        <v>0</v>
      </c>
      <c r="AJ200" s="239">
        <v>0</v>
      </c>
      <c r="AK200" s="239">
        <v>0</v>
      </c>
      <c r="AL200" s="239">
        <v>5849630</v>
      </c>
      <c r="AM200" s="239">
        <v>-2227735</v>
      </c>
      <c r="AN200" s="214" t="s">
        <v>481</v>
      </c>
      <c r="AO200" s="214" t="s">
        <v>767</v>
      </c>
      <c r="AP200" s="214" t="s">
        <v>782</v>
      </c>
      <c r="AQ200" s="214" t="s">
        <v>1192</v>
      </c>
    </row>
    <row r="201" spans="2:43" x14ac:dyDescent="0.2">
      <c r="B201" s="609" t="s">
        <v>484</v>
      </c>
      <c r="C201" s="609" t="s">
        <v>483</v>
      </c>
      <c r="D201" s="239">
        <v>86126365</v>
      </c>
      <c r="E201" s="239">
        <v>0</v>
      </c>
      <c r="F201" s="239">
        <v>86126365</v>
      </c>
      <c r="G201" s="239">
        <v>0</v>
      </c>
      <c r="H201" s="239">
        <v>0</v>
      </c>
      <c r="I201" s="239">
        <v>0</v>
      </c>
      <c r="J201" s="239">
        <v>0</v>
      </c>
      <c r="K201" s="239">
        <v>0</v>
      </c>
      <c r="L201" s="239">
        <v>0</v>
      </c>
      <c r="M201" s="239">
        <v>-571322</v>
      </c>
      <c r="N201" s="239">
        <v>0</v>
      </c>
      <c r="O201" s="239">
        <v>-571322</v>
      </c>
      <c r="P201" s="239">
        <v>144251</v>
      </c>
      <c r="Q201" s="239">
        <v>0</v>
      </c>
      <c r="R201" s="239">
        <v>144251</v>
      </c>
      <c r="S201" s="239">
        <v>3440160</v>
      </c>
      <c r="T201" s="239">
        <v>0</v>
      </c>
      <c r="U201" s="239">
        <v>3440160</v>
      </c>
      <c r="V201" s="239">
        <v>-2104662</v>
      </c>
      <c r="W201" s="239">
        <v>0</v>
      </c>
      <c r="X201" s="239">
        <v>-2104662</v>
      </c>
      <c r="Y201" s="239">
        <v>87034792</v>
      </c>
      <c r="Z201" s="239">
        <v>0</v>
      </c>
      <c r="AA201" s="239">
        <v>87034792</v>
      </c>
      <c r="AB201" s="239">
        <v>0</v>
      </c>
      <c r="AC201" s="239">
        <v>0</v>
      </c>
      <c r="AD201" s="239">
        <v>12052</v>
      </c>
      <c r="AE201" s="239">
        <v>0</v>
      </c>
      <c r="AF201" s="239">
        <v>12052</v>
      </c>
      <c r="AG201" s="239">
        <v>0</v>
      </c>
      <c r="AH201" s="239">
        <v>0</v>
      </c>
      <c r="AI201" s="239">
        <v>0</v>
      </c>
      <c r="AJ201" s="239">
        <v>0</v>
      </c>
      <c r="AK201" s="239">
        <v>0</v>
      </c>
      <c r="AL201" s="239">
        <v>2045407</v>
      </c>
      <c r="AM201" s="239">
        <v>-2980815</v>
      </c>
      <c r="AN201" s="214" t="s">
        <v>483</v>
      </c>
      <c r="AO201" s="214" t="s">
        <v>795</v>
      </c>
      <c r="AP201" s="214" t="s">
        <v>762</v>
      </c>
      <c r="AQ201" s="214" t="s">
        <v>1190</v>
      </c>
    </row>
    <row r="202" spans="2:43" x14ac:dyDescent="0.2">
      <c r="B202" s="609" t="s">
        <v>486</v>
      </c>
      <c r="C202" s="609" t="s">
        <v>485</v>
      </c>
      <c r="D202" s="239">
        <v>20304085</v>
      </c>
      <c r="E202" s="239">
        <v>0</v>
      </c>
      <c r="F202" s="239">
        <v>20304085</v>
      </c>
      <c r="G202" s="239">
        <v>0</v>
      </c>
      <c r="H202" s="239">
        <v>0</v>
      </c>
      <c r="I202" s="239">
        <v>0</v>
      </c>
      <c r="J202" s="239">
        <v>0</v>
      </c>
      <c r="K202" s="239">
        <v>0</v>
      </c>
      <c r="L202" s="239">
        <v>0</v>
      </c>
      <c r="M202" s="239">
        <v>-201648</v>
      </c>
      <c r="N202" s="239">
        <v>0</v>
      </c>
      <c r="O202" s="239">
        <v>-201648</v>
      </c>
      <c r="P202" s="239">
        <v>260000</v>
      </c>
      <c r="Q202" s="239">
        <v>0</v>
      </c>
      <c r="R202" s="239">
        <v>260000</v>
      </c>
      <c r="S202" s="239">
        <v>368025</v>
      </c>
      <c r="T202" s="239">
        <v>0</v>
      </c>
      <c r="U202" s="239">
        <v>368025</v>
      </c>
      <c r="V202" s="239">
        <v>109975</v>
      </c>
      <c r="W202" s="239">
        <v>0</v>
      </c>
      <c r="X202" s="239">
        <v>109975</v>
      </c>
      <c r="Y202" s="239">
        <v>20840437</v>
      </c>
      <c r="Z202" s="239">
        <v>0</v>
      </c>
      <c r="AA202" s="239">
        <v>20840437</v>
      </c>
      <c r="AB202" s="239">
        <v>0</v>
      </c>
      <c r="AC202" s="239">
        <v>0</v>
      </c>
      <c r="AD202" s="239">
        <v>0</v>
      </c>
      <c r="AE202" s="239">
        <v>0</v>
      </c>
      <c r="AF202" s="239">
        <v>0</v>
      </c>
      <c r="AG202" s="239">
        <v>0</v>
      </c>
      <c r="AH202" s="239">
        <v>0</v>
      </c>
      <c r="AI202" s="239">
        <v>0</v>
      </c>
      <c r="AJ202" s="239">
        <v>0</v>
      </c>
      <c r="AK202" s="239">
        <v>0</v>
      </c>
      <c r="AL202" s="239">
        <v>631116</v>
      </c>
      <c r="AM202" s="239">
        <v>-243780</v>
      </c>
      <c r="AN202" s="214" t="s">
        <v>485</v>
      </c>
      <c r="AO202" s="214" t="s">
        <v>756</v>
      </c>
      <c r="AP202" s="214" t="s">
        <v>754</v>
      </c>
      <c r="AQ202" s="214" t="s">
        <v>1190</v>
      </c>
    </row>
    <row r="203" spans="2:43" x14ac:dyDescent="0.2">
      <c r="B203" s="609" t="s">
        <v>488</v>
      </c>
      <c r="C203" s="609" t="s">
        <v>487</v>
      </c>
      <c r="D203" s="239">
        <v>99085061</v>
      </c>
      <c r="E203" s="239">
        <v>0</v>
      </c>
      <c r="F203" s="239">
        <v>99085061</v>
      </c>
      <c r="G203" s="239">
        <v>0</v>
      </c>
      <c r="H203" s="239">
        <v>0</v>
      </c>
      <c r="I203" s="239">
        <v>0</v>
      </c>
      <c r="J203" s="239">
        <v>-281762</v>
      </c>
      <c r="K203" s="239">
        <v>0</v>
      </c>
      <c r="L203" s="239">
        <v>-281762</v>
      </c>
      <c r="M203" s="239">
        <v>0</v>
      </c>
      <c r="N203" s="239">
        <v>0</v>
      </c>
      <c r="O203" s="239">
        <v>0</v>
      </c>
      <c r="P203" s="239">
        <v>-2356438</v>
      </c>
      <c r="Q203" s="239">
        <v>0</v>
      </c>
      <c r="R203" s="239">
        <v>-2356438</v>
      </c>
      <c r="S203" s="239">
        <v>6090815</v>
      </c>
      <c r="T203" s="239">
        <v>0</v>
      </c>
      <c r="U203" s="239">
        <v>6090815</v>
      </c>
      <c r="V203" s="239">
        <v>-2924765</v>
      </c>
      <c r="W203" s="239">
        <v>0</v>
      </c>
      <c r="X203" s="239">
        <v>-2924765</v>
      </c>
      <c r="Y203" s="239">
        <v>99894673</v>
      </c>
      <c r="Z203" s="239">
        <v>0</v>
      </c>
      <c r="AA203" s="239">
        <v>99894673</v>
      </c>
      <c r="AB203" s="239">
        <v>0</v>
      </c>
      <c r="AC203" s="239">
        <v>0</v>
      </c>
      <c r="AD203" s="239">
        <v>323255</v>
      </c>
      <c r="AE203" s="239">
        <v>0</v>
      </c>
      <c r="AF203" s="239">
        <v>323255</v>
      </c>
      <c r="AG203" s="239">
        <v>0</v>
      </c>
      <c r="AH203" s="239">
        <v>0</v>
      </c>
      <c r="AI203" s="239">
        <v>0</v>
      </c>
      <c r="AJ203" s="239">
        <v>0</v>
      </c>
      <c r="AK203" s="239">
        <v>0</v>
      </c>
      <c r="AL203" s="239">
        <v>10591316</v>
      </c>
      <c r="AM203" s="239">
        <v>-2619982</v>
      </c>
      <c r="AN203" s="214" t="s">
        <v>882</v>
      </c>
      <c r="AO203" s="214" t="s">
        <v>747</v>
      </c>
      <c r="AP203" s="214" t="s">
        <v>859</v>
      </c>
      <c r="AQ203" s="214" t="s">
        <v>747</v>
      </c>
    </row>
    <row r="204" spans="2:43" x14ac:dyDescent="0.2">
      <c r="B204" s="609" t="s">
        <v>490</v>
      </c>
      <c r="C204" s="609" t="s">
        <v>489</v>
      </c>
      <c r="D204" s="239">
        <v>91614773</v>
      </c>
      <c r="E204" s="239">
        <v>0</v>
      </c>
      <c r="F204" s="239">
        <v>91614773</v>
      </c>
      <c r="G204" s="239">
        <v>-645</v>
      </c>
      <c r="H204" s="239">
        <v>0</v>
      </c>
      <c r="I204" s="239">
        <v>-645</v>
      </c>
      <c r="J204" s="239">
        <v>-655447</v>
      </c>
      <c r="K204" s="239">
        <v>0</v>
      </c>
      <c r="L204" s="239">
        <v>-655447</v>
      </c>
      <c r="M204" s="239">
        <v>0</v>
      </c>
      <c r="N204" s="239">
        <v>0</v>
      </c>
      <c r="O204" s="239">
        <v>0</v>
      </c>
      <c r="P204" s="239">
        <v>-546061</v>
      </c>
      <c r="Q204" s="239">
        <v>0</v>
      </c>
      <c r="R204" s="239">
        <v>-546061</v>
      </c>
      <c r="S204" s="239">
        <v>2117575</v>
      </c>
      <c r="T204" s="239">
        <v>0</v>
      </c>
      <c r="U204" s="239">
        <v>2117575</v>
      </c>
      <c r="V204" s="239">
        <v>-2161736</v>
      </c>
      <c r="W204" s="239">
        <v>0</v>
      </c>
      <c r="X204" s="239">
        <v>-2161736</v>
      </c>
      <c r="Y204" s="239">
        <v>91023906</v>
      </c>
      <c r="Z204" s="239">
        <v>0</v>
      </c>
      <c r="AA204" s="239">
        <v>91023906</v>
      </c>
      <c r="AB204" s="239">
        <v>0</v>
      </c>
      <c r="AC204" s="239">
        <v>0</v>
      </c>
      <c r="AD204" s="239">
        <v>235877</v>
      </c>
      <c r="AE204" s="239">
        <v>0</v>
      </c>
      <c r="AF204" s="239">
        <v>235877</v>
      </c>
      <c r="AG204" s="239">
        <v>0</v>
      </c>
      <c r="AH204" s="239">
        <v>0</v>
      </c>
      <c r="AI204" s="239">
        <v>0</v>
      </c>
      <c r="AJ204" s="239">
        <v>0</v>
      </c>
      <c r="AK204" s="239">
        <v>0</v>
      </c>
      <c r="AL204" s="239">
        <v>2337891</v>
      </c>
      <c r="AM204" s="239">
        <v>-1897902</v>
      </c>
      <c r="AN204" s="214" t="s">
        <v>881</v>
      </c>
      <c r="AO204" s="214" t="s">
        <v>747</v>
      </c>
      <c r="AP204" s="214" t="s">
        <v>791</v>
      </c>
      <c r="AQ204" s="214" t="s">
        <v>747</v>
      </c>
    </row>
    <row r="205" spans="2:43" x14ac:dyDescent="0.2">
      <c r="B205" s="609" t="s">
        <v>492</v>
      </c>
      <c r="C205" s="609" t="s">
        <v>491</v>
      </c>
      <c r="D205" s="239">
        <v>62764720</v>
      </c>
      <c r="E205" s="239">
        <v>0</v>
      </c>
      <c r="F205" s="239">
        <v>62764720</v>
      </c>
      <c r="G205" s="239">
        <v>0</v>
      </c>
      <c r="H205" s="239">
        <v>0</v>
      </c>
      <c r="I205" s="239">
        <v>0</v>
      </c>
      <c r="J205" s="239">
        <v>-301351</v>
      </c>
      <c r="K205" s="239">
        <v>0</v>
      </c>
      <c r="L205" s="239">
        <v>-301351</v>
      </c>
      <c r="M205" s="239">
        <v>0</v>
      </c>
      <c r="N205" s="239">
        <v>0</v>
      </c>
      <c r="O205" s="239">
        <v>0</v>
      </c>
      <c r="P205" s="239">
        <v>-309724</v>
      </c>
      <c r="Q205" s="239">
        <v>0</v>
      </c>
      <c r="R205" s="239">
        <v>-309724</v>
      </c>
      <c r="S205" s="239">
        <v>2526965</v>
      </c>
      <c r="T205" s="239">
        <v>0</v>
      </c>
      <c r="U205" s="239">
        <v>2526965</v>
      </c>
      <c r="V205" s="239">
        <v>-2477700</v>
      </c>
      <c r="W205" s="239">
        <v>0</v>
      </c>
      <c r="X205" s="239">
        <v>-2477700</v>
      </c>
      <c r="Y205" s="239">
        <v>62504261</v>
      </c>
      <c r="Z205" s="239">
        <v>0</v>
      </c>
      <c r="AA205" s="239">
        <v>62504261</v>
      </c>
      <c r="AB205" s="239">
        <v>0</v>
      </c>
      <c r="AC205" s="239">
        <v>0</v>
      </c>
      <c r="AD205" s="239">
        <v>0</v>
      </c>
      <c r="AE205" s="239">
        <v>0</v>
      </c>
      <c r="AF205" s="239">
        <v>0</v>
      </c>
      <c r="AG205" s="239">
        <v>0</v>
      </c>
      <c r="AH205" s="239">
        <v>0</v>
      </c>
      <c r="AI205" s="239">
        <v>0</v>
      </c>
      <c r="AJ205" s="239">
        <v>0</v>
      </c>
      <c r="AK205" s="239">
        <v>0</v>
      </c>
      <c r="AL205" s="239">
        <v>1208671</v>
      </c>
      <c r="AM205" s="239">
        <v>-1200806</v>
      </c>
      <c r="AN205" s="214" t="s">
        <v>880</v>
      </c>
      <c r="AO205" s="214" t="s">
        <v>747</v>
      </c>
      <c r="AP205" s="214" t="s">
        <v>784</v>
      </c>
      <c r="AQ205" s="214" t="s">
        <v>747</v>
      </c>
    </row>
    <row r="206" spans="2:43" x14ac:dyDescent="0.2">
      <c r="B206" s="609" t="s">
        <v>494</v>
      </c>
      <c r="C206" s="609" t="s">
        <v>493</v>
      </c>
      <c r="D206" s="239">
        <v>86550295</v>
      </c>
      <c r="E206" s="239">
        <v>0</v>
      </c>
      <c r="F206" s="239">
        <v>86550295</v>
      </c>
      <c r="G206" s="239">
        <v>-18154</v>
      </c>
      <c r="H206" s="239">
        <v>0</v>
      </c>
      <c r="I206" s="239">
        <v>-18154</v>
      </c>
      <c r="J206" s="239">
        <v>-740631</v>
      </c>
      <c r="K206" s="239">
        <v>0</v>
      </c>
      <c r="L206" s="239">
        <v>-740631</v>
      </c>
      <c r="M206" s="239">
        <v>0</v>
      </c>
      <c r="N206" s="239">
        <v>0</v>
      </c>
      <c r="O206" s="239">
        <v>0</v>
      </c>
      <c r="P206" s="239">
        <v>-584631</v>
      </c>
      <c r="Q206" s="239">
        <v>0</v>
      </c>
      <c r="R206" s="239">
        <v>-584631</v>
      </c>
      <c r="S206" s="239">
        <v>3823084</v>
      </c>
      <c r="T206" s="239">
        <v>0</v>
      </c>
      <c r="U206" s="239">
        <v>3823084</v>
      </c>
      <c r="V206" s="239">
        <v>-4688950</v>
      </c>
      <c r="W206" s="239">
        <v>0</v>
      </c>
      <c r="X206" s="239">
        <v>-4688950</v>
      </c>
      <c r="Y206" s="239">
        <v>85081644</v>
      </c>
      <c r="Z206" s="239">
        <v>0</v>
      </c>
      <c r="AA206" s="239">
        <v>85081644</v>
      </c>
      <c r="AB206" s="239">
        <v>0</v>
      </c>
      <c r="AC206" s="239">
        <v>0</v>
      </c>
      <c r="AD206" s="239">
        <v>0</v>
      </c>
      <c r="AE206" s="239">
        <v>0</v>
      </c>
      <c r="AF206" s="239">
        <v>0</v>
      </c>
      <c r="AG206" s="239">
        <v>0</v>
      </c>
      <c r="AH206" s="239">
        <v>0</v>
      </c>
      <c r="AI206" s="239">
        <v>0</v>
      </c>
      <c r="AJ206" s="239">
        <v>0</v>
      </c>
      <c r="AK206" s="239">
        <v>0</v>
      </c>
      <c r="AL206" s="239">
        <v>3407220</v>
      </c>
      <c r="AM206" s="239">
        <v>-2621411</v>
      </c>
      <c r="AN206" s="214" t="s">
        <v>879</v>
      </c>
      <c r="AO206" s="214" t="s">
        <v>747</v>
      </c>
      <c r="AP206" s="214" t="s">
        <v>776</v>
      </c>
      <c r="AQ206" s="214" t="s">
        <v>747</v>
      </c>
    </row>
    <row r="207" spans="2:43" x14ac:dyDescent="0.2">
      <c r="B207" s="609" t="s">
        <v>496</v>
      </c>
      <c r="C207" s="609" t="s">
        <v>495</v>
      </c>
      <c r="D207" s="239">
        <v>69491624</v>
      </c>
      <c r="E207" s="239">
        <v>0</v>
      </c>
      <c r="F207" s="239">
        <v>69491624</v>
      </c>
      <c r="G207" s="239">
        <v>0</v>
      </c>
      <c r="H207" s="239">
        <v>0</v>
      </c>
      <c r="I207" s="239">
        <v>0</v>
      </c>
      <c r="J207" s="239">
        <v>-235990</v>
      </c>
      <c r="K207" s="239">
        <v>0</v>
      </c>
      <c r="L207" s="239">
        <v>-235990</v>
      </c>
      <c r="M207" s="239">
        <v>0</v>
      </c>
      <c r="N207" s="239">
        <v>0</v>
      </c>
      <c r="O207" s="239">
        <v>0</v>
      </c>
      <c r="P207" s="239">
        <v>-1329054</v>
      </c>
      <c r="Q207" s="239">
        <v>0</v>
      </c>
      <c r="R207" s="239">
        <v>-1329054</v>
      </c>
      <c r="S207" s="239">
        <v>3790315</v>
      </c>
      <c r="T207" s="239">
        <v>0</v>
      </c>
      <c r="U207" s="239">
        <v>3790315</v>
      </c>
      <c r="V207" s="239">
        <v>-1689769</v>
      </c>
      <c r="W207" s="239">
        <v>0</v>
      </c>
      <c r="X207" s="239">
        <v>-1689769</v>
      </c>
      <c r="Y207" s="239">
        <v>70263116</v>
      </c>
      <c r="Z207" s="239">
        <v>0</v>
      </c>
      <c r="AA207" s="239">
        <v>70263116</v>
      </c>
      <c r="AB207" s="239">
        <v>0</v>
      </c>
      <c r="AC207" s="239">
        <v>0</v>
      </c>
      <c r="AD207" s="239">
        <v>18902</v>
      </c>
      <c r="AE207" s="239">
        <v>0</v>
      </c>
      <c r="AF207" s="239">
        <v>18902</v>
      </c>
      <c r="AG207" s="239">
        <v>0</v>
      </c>
      <c r="AH207" s="239">
        <v>0</v>
      </c>
      <c r="AI207" s="239">
        <v>0</v>
      </c>
      <c r="AJ207" s="239">
        <v>0</v>
      </c>
      <c r="AK207" s="239">
        <v>0</v>
      </c>
      <c r="AL207" s="239">
        <v>5662820</v>
      </c>
      <c r="AM207" s="239">
        <v>-1754885</v>
      </c>
      <c r="AN207" s="214" t="s">
        <v>495</v>
      </c>
      <c r="AO207" s="214" t="s">
        <v>756</v>
      </c>
      <c r="AP207" s="214" t="s">
        <v>754</v>
      </c>
      <c r="AQ207" s="214" t="s">
        <v>1190</v>
      </c>
    </row>
    <row r="208" spans="2:43" x14ac:dyDescent="0.2">
      <c r="B208" s="609" t="s">
        <v>498</v>
      </c>
      <c r="C208" s="609" t="s">
        <v>497</v>
      </c>
      <c r="D208" s="239">
        <v>11138239</v>
      </c>
      <c r="E208" s="239">
        <v>0</v>
      </c>
      <c r="F208" s="239">
        <v>11138239</v>
      </c>
      <c r="G208" s="239">
        <v>0</v>
      </c>
      <c r="H208" s="239">
        <v>0</v>
      </c>
      <c r="I208" s="239">
        <v>0</v>
      </c>
      <c r="J208" s="239">
        <v>-96783</v>
      </c>
      <c r="K208" s="239">
        <v>0</v>
      </c>
      <c r="L208" s="239">
        <v>-96783</v>
      </c>
      <c r="M208" s="239">
        <v>0</v>
      </c>
      <c r="N208" s="239">
        <v>0</v>
      </c>
      <c r="O208" s="239">
        <v>0</v>
      </c>
      <c r="P208" s="239">
        <v>-24000</v>
      </c>
      <c r="Q208" s="239">
        <v>0</v>
      </c>
      <c r="R208" s="239">
        <v>-24000</v>
      </c>
      <c r="S208" s="239">
        <v>5103287</v>
      </c>
      <c r="T208" s="239">
        <v>0</v>
      </c>
      <c r="U208" s="239">
        <v>5103287</v>
      </c>
      <c r="V208" s="239">
        <v>-3300000</v>
      </c>
      <c r="W208" s="239">
        <v>0</v>
      </c>
      <c r="X208" s="239">
        <v>-3300000</v>
      </c>
      <c r="Y208" s="239">
        <v>12917526</v>
      </c>
      <c r="Z208" s="239">
        <v>0</v>
      </c>
      <c r="AA208" s="239">
        <v>12917526</v>
      </c>
      <c r="AB208" s="239">
        <v>0</v>
      </c>
      <c r="AC208" s="239">
        <v>0</v>
      </c>
      <c r="AD208" s="239">
        <v>150787</v>
      </c>
      <c r="AE208" s="239">
        <v>0</v>
      </c>
      <c r="AF208" s="239">
        <v>150787</v>
      </c>
      <c r="AG208" s="239">
        <v>0</v>
      </c>
      <c r="AH208" s="239">
        <v>0</v>
      </c>
      <c r="AI208" s="239">
        <v>0</v>
      </c>
      <c r="AJ208" s="239">
        <v>0</v>
      </c>
      <c r="AK208" s="239">
        <v>0</v>
      </c>
      <c r="AL208" s="239">
        <v>539107</v>
      </c>
      <c r="AM208" s="239">
        <v>-368021</v>
      </c>
      <c r="AN208" s="214" t="s">
        <v>497</v>
      </c>
      <c r="AO208" s="214" t="s">
        <v>786</v>
      </c>
      <c r="AP208" s="214" t="s">
        <v>784</v>
      </c>
      <c r="AQ208" s="214" t="s">
        <v>1190</v>
      </c>
    </row>
    <row r="209" spans="2:43" x14ac:dyDescent="0.2">
      <c r="B209" s="609" t="s">
        <v>500</v>
      </c>
      <c r="C209" s="609" t="s">
        <v>499</v>
      </c>
      <c r="D209" s="239">
        <v>113422254</v>
      </c>
      <c r="E209" s="239">
        <v>0</v>
      </c>
      <c r="F209" s="239">
        <v>113422254</v>
      </c>
      <c r="G209" s="239">
        <v>0</v>
      </c>
      <c r="H209" s="239">
        <v>0</v>
      </c>
      <c r="I209" s="239">
        <v>0</v>
      </c>
      <c r="J209" s="239">
        <v>-265739</v>
      </c>
      <c r="K209" s="239">
        <v>0</v>
      </c>
      <c r="L209" s="239">
        <v>-265739</v>
      </c>
      <c r="M209" s="239">
        <v>0</v>
      </c>
      <c r="N209" s="239">
        <v>0</v>
      </c>
      <c r="O209" s="239">
        <v>0</v>
      </c>
      <c r="P209" s="239">
        <v>-722654</v>
      </c>
      <c r="Q209" s="239">
        <v>0</v>
      </c>
      <c r="R209" s="239">
        <v>-722654</v>
      </c>
      <c r="S209" s="239">
        <v>0</v>
      </c>
      <c r="T209" s="239">
        <v>0</v>
      </c>
      <c r="U209" s="239">
        <v>0</v>
      </c>
      <c r="V209" s="239">
        <v>5950000</v>
      </c>
      <c r="W209" s="239">
        <v>0</v>
      </c>
      <c r="X209" s="239">
        <v>5950000</v>
      </c>
      <c r="Y209" s="239">
        <v>118649600</v>
      </c>
      <c r="Z209" s="239">
        <v>0</v>
      </c>
      <c r="AA209" s="239">
        <v>118649600</v>
      </c>
      <c r="AB209" s="239">
        <v>0</v>
      </c>
      <c r="AC209" s="239">
        <v>0</v>
      </c>
      <c r="AD209" s="239">
        <v>0</v>
      </c>
      <c r="AE209" s="239">
        <v>0</v>
      </c>
      <c r="AF209" s="239">
        <v>0</v>
      </c>
      <c r="AG209" s="239">
        <v>0</v>
      </c>
      <c r="AH209" s="239">
        <v>0</v>
      </c>
      <c r="AI209" s="239">
        <v>0</v>
      </c>
      <c r="AJ209" s="239">
        <v>0</v>
      </c>
      <c r="AK209" s="239">
        <v>0</v>
      </c>
      <c r="AL209" s="239">
        <v>6075322</v>
      </c>
      <c r="AM209" s="239">
        <v>-2625725</v>
      </c>
      <c r="AN209" s="214" t="s">
        <v>878</v>
      </c>
      <c r="AO209" s="214" t="s">
        <v>747</v>
      </c>
      <c r="AP209" s="214" t="s">
        <v>768</v>
      </c>
      <c r="AQ209" s="214" t="s">
        <v>747</v>
      </c>
    </row>
    <row r="210" spans="2:43" x14ac:dyDescent="0.2">
      <c r="B210" s="609" t="s">
        <v>502</v>
      </c>
      <c r="C210" s="609" t="s">
        <v>501</v>
      </c>
      <c r="D210" s="239">
        <v>55206733</v>
      </c>
      <c r="E210" s="239">
        <v>0</v>
      </c>
      <c r="F210" s="239">
        <v>55206733</v>
      </c>
      <c r="G210" s="239">
        <v>0</v>
      </c>
      <c r="H210" s="239">
        <v>0</v>
      </c>
      <c r="I210" s="239">
        <v>0</v>
      </c>
      <c r="J210" s="239">
        <v>-1391164</v>
      </c>
      <c r="K210" s="239">
        <v>0</v>
      </c>
      <c r="L210" s="239">
        <v>-1391164</v>
      </c>
      <c r="M210" s="239">
        <v>596744</v>
      </c>
      <c r="N210" s="239">
        <v>0</v>
      </c>
      <c r="O210" s="239">
        <v>596744</v>
      </c>
      <c r="P210" s="239">
        <v>-1661166</v>
      </c>
      <c r="Q210" s="239">
        <v>0</v>
      </c>
      <c r="R210" s="239">
        <v>-1661166</v>
      </c>
      <c r="S210" s="239">
        <v>0</v>
      </c>
      <c r="T210" s="239">
        <v>0</v>
      </c>
      <c r="U210" s="239">
        <v>0</v>
      </c>
      <c r="V210" s="239">
        <v>450000</v>
      </c>
      <c r="W210" s="239">
        <v>0</v>
      </c>
      <c r="X210" s="239">
        <v>450000</v>
      </c>
      <c r="Y210" s="239">
        <v>54592311</v>
      </c>
      <c r="Z210" s="239">
        <v>0</v>
      </c>
      <c r="AA210" s="239">
        <v>54592311</v>
      </c>
      <c r="AB210" s="239">
        <v>0</v>
      </c>
      <c r="AC210" s="239">
        <v>0</v>
      </c>
      <c r="AD210" s="239">
        <v>0</v>
      </c>
      <c r="AE210" s="239">
        <v>0</v>
      </c>
      <c r="AF210" s="239">
        <v>0</v>
      </c>
      <c r="AG210" s="239">
        <v>0</v>
      </c>
      <c r="AH210" s="239">
        <v>0</v>
      </c>
      <c r="AI210" s="239">
        <v>0</v>
      </c>
      <c r="AJ210" s="239">
        <v>0</v>
      </c>
      <c r="AK210" s="239">
        <v>0</v>
      </c>
      <c r="AL210" s="239">
        <v>9379417</v>
      </c>
      <c r="AM210" s="239">
        <v>-3306138</v>
      </c>
      <c r="AN210" s="214" t="s">
        <v>501</v>
      </c>
      <c r="AO210" s="214" t="s">
        <v>789</v>
      </c>
      <c r="AP210" s="214" t="s">
        <v>748</v>
      </c>
      <c r="AQ210" s="214" t="s">
        <v>1191</v>
      </c>
    </row>
    <row r="211" spans="2:43" x14ac:dyDescent="0.2">
      <c r="B211" s="609" t="s">
        <v>504</v>
      </c>
      <c r="C211" s="609" t="s">
        <v>503</v>
      </c>
      <c r="D211" s="239">
        <v>36206075</v>
      </c>
      <c r="E211" s="239">
        <v>850326</v>
      </c>
      <c r="F211" s="239">
        <v>37056401</v>
      </c>
      <c r="G211" s="239">
        <v>0</v>
      </c>
      <c r="H211" s="239">
        <v>0</v>
      </c>
      <c r="I211" s="239">
        <v>0</v>
      </c>
      <c r="J211" s="239">
        <v>-226224</v>
      </c>
      <c r="K211" s="239">
        <v>0</v>
      </c>
      <c r="L211" s="239">
        <v>-226224</v>
      </c>
      <c r="M211" s="239">
        <v>0</v>
      </c>
      <c r="N211" s="239">
        <v>0</v>
      </c>
      <c r="O211" s="239">
        <v>0</v>
      </c>
      <c r="P211" s="239">
        <v>19372</v>
      </c>
      <c r="Q211" s="239">
        <v>0</v>
      </c>
      <c r="R211" s="239">
        <v>19372</v>
      </c>
      <c r="S211" s="239">
        <v>1929760</v>
      </c>
      <c r="T211" s="239">
        <v>0</v>
      </c>
      <c r="U211" s="239">
        <v>1929760</v>
      </c>
      <c r="V211" s="239">
        <v>-1730389</v>
      </c>
      <c r="W211" s="239">
        <v>0</v>
      </c>
      <c r="X211" s="239">
        <v>-1730389</v>
      </c>
      <c r="Y211" s="239">
        <v>36424818</v>
      </c>
      <c r="Z211" s="239">
        <v>850326</v>
      </c>
      <c r="AA211" s="239">
        <v>37275144</v>
      </c>
      <c r="AB211" s="239">
        <v>850326</v>
      </c>
      <c r="AC211" s="239">
        <v>850326</v>
      </c>
      <c r="AD211" s="239">
        <v>0</v>
      </c>
      <c r="AE211" s="239">
        <v>0</v>
      </c>
      <c r="AF211" s="239">
        <v>0</v>
      </c>
      <c r="AG211" s="239">
        <v>0</v>
      </c>
      <c r="AH211" s="239">
        <v>0</v>
      </c>
      <c r="AI211" s="239">
        <v>0</v>
      </c>
      <c r="AJ211" s="239">
        <v>0</v>
      </c>
      <c r="AK211" s="239">
        <v>850326</v>
      </c>
      <c r="AL211" s="239">
        <v>14060645</v>
      </c>
      <c r="AM211" s="239">
        <v>-1247291</v>
      </c>
      <c r="AN211" s="214" t="s">
        <v>877</v>
      </c>
      <c r="AO211" s="214" t="s">
        <v>747</v>
      </c>
      <c r="AP211" s="214" t="s">
        <v>843</v>
      </c>
      <c r="AQ211" s="214" t="s">
        <v>747</v>
      </c>
    </row>
    <row r="212" spans="2:43" x14ac:dyDescent="0.2">
      <c r="B212" s="609" t="s">
        <v>506</v>
      </c>
      <c r="C212" s="609" t="s">
        <v>505</v>
      </c>
      <c r="D212" s="239">
        <v>37073228</v>
      </c>
      <c r="E212" s="239">
        <v>0</v>
      </c>
      <c r="F212" s="239">
        <v>37073228</v>
      </c>
      <c r="G212" s="239">
        <v>0</v>
      </c>
      <c r="H212" s="239">
        <v>0</v>
      </c>
      <c r="I212" s="239">
        <v>0</v>
      </c>
      <c r="J212" s="239">
        <v>-175575</v>
      </c>
      <c r="K212" s="239">
        <v>0</v>
      </c>
      <c r="L212" s="239">
        <v>-175575</v>
      </c>
      <c r="M212" s="239">
        <v>0</v>
      </c>
      <c r="N212" s="239">
        <v>0</v>
      </c>
      <c r="O212" s="239">
        <v>0</v>
      </c>
      <c r="P212" s="239">
        <v>58805</v>
      </c>
      <c r="Q212" s="239">
        <v>0</v>
      </c>
      <c r="R212" s="239">
        <v>58805</v>
      </c>
      <c r="S212" s="239">
        <v>492039</v>
      </c>
      <c r="T212" s="239">
        <v>0</v>
      </c>
      <c r="U212" s="239">
        <v>492039</v>
      </c>
      <c r="V212" s="239">
        <v>-846881</v>
      </c>
      <c r="W212" s="239">
        <v>0</v>
      </c>
      <c r="X212" s="239">
        <v>-846881</v>
      </c>
      <c r="Y212" s="239">
        <v>36777191</v>
      </c>
      <c r="Z212" s="239">
        <v>0</v>
      </c>
      <c r="AA212" s="239">
        <v>36777191</v>
      </c>
      <c r="AB212" s="239">
        <v>0</v>
      </c>
      <c r="AC212" s="239">
        <v>0</v>
      </c>
      <c r="AD212" s="239">
        <v>0</v>
      </c>
      <c r="AE212" s="239">
        <v>0</v>
      </c>
      <c r="AF212" s="239">
        <v>0</v>
      </c>
      <c r="AG212" s="239">
        <v>0</v>
      </c>
      <c r="AH212" s="239">
        <v>0</v>
      </c>
      <c r="AI212" s="239">
        <v>0</v>
      </c>
      <c r="AJ212" s="239">
        <v>0</v>
      </c>
      <c r="AK212" s="239">
        <v>0</v>
      </c>
      <c r="AL212" s="239">
        <v>2774253</v>
      </c>
      <c r="AM212" s="239">
        <v>-309513</v>
      </c>
      <c r="AN212" s="214" t="s">
        <v>505</v>
      </c>
      <c r="AO212" s="214" t="s">
        <v>752</v>
      </c>
      <c r="AP212" s="214" t="s">
        <v>750</v>
      </c>
      <c r="AQ212" s="214" t="s">
        <v>1190</v>
      </c>
    </row>
    <row r="213" spans="2:43" x14ac:dyDescent="0.2">
      <c r="B213" s="609" t="s">
        <v>508</v>
      </c>
      <c r="C213" s="609" t="s">
        <v>507</v>
      </c>
      <c r="D213" s="239">
        <v>50551701</v>
      </c>
      <c r="E213" s="239">
        <v>0</v>
      </c>
      <c r="F213" s="239">
        <v>50551701</v>
      </c>
      <c r="G213" s="239">
        <v>0</v>
      </c>
      <c r="H213" s="239">
        <v>0</v>
      </c>
      <c r="I213" s="239">
        <v>0</v>
      </c>
      <c r="J213" s="239">
        <v>-157407</v>
      </c>
      <c r="K213" s="239">
        <v>0</v>
      </c>
      <c r="L213" s="239">
        <v>-157407</v>
      </c>
      <c r="M213" s="239">
        <v>0</v>
      </c>
      <c r="N213" s="239">
        <v>0</v>
      </c>
      <c r="O213" s="239">
        <v>0</v>
      </c>
      <c r="P213" s="239">
        <v>-115751</v>
      </c>
      <c r="Q213" s="239">
        <v>0</v>
      </c>
      <c r="R213" s="239">
        <v>-115751</v>
      </c>
      <c r="S213" s="239">
        <v>819530</v>
      </c>
      <c r="T213" s="239">
        <v>0</v>
      </c>
      <c r="U213" s="239">
        <v>819530</v>
      </c>
      <c r="V213" s="239">
        <v>-1315715</v>
      </c>
      <c r="W213" s="239">
        <v>0</v>
      </c>
      <c r="X213" s="239">
        <v>-1315715</v>
      </c>
      <c r="Y213" s="239">
        <v>49939765</v>
      </c>
      <c r="Z213" s="239">
        <v>0</v>
      </c>
      <c r="AA213" s="239">
        <v>49939765</v>
      </c>
      <c r="AB213" s="239">
        <v>0</v>
      </c>
      <c r="AC213" s="239">
        <v>0</v>
      </c>
      <c r="AD213" s="239">
        <v>0</v>
      </c>
      <c r="AE213" s="239">
        <v>0</v>
      </c>
      <c r="AF213" s="239">
        <v>0</v>
      </c>
      <c r="AG213" s="239">
        <v>0</v>
      </c>
      <c r="AH213" s="239">
        <v>0</v>
      </c>
      <c r="AI213" s="239">
        <v>0</v>
      </c>
      <c r="AJ213" s="239">
        <v>0</v>
      </c>
      <c r="AK213" s="239">
        <v>0</v>
      </c>
      <c r="AL213" s="239">
        <v>571552</v>
      </c>
      <c r="AM213" s="239">
        <v>-1747481</v>
      </c>
      <c r="AN213" s="214" t="s">
        <v>876</v>
      </c>
      <c r="AO213" s="214" t="s">
        <v>771</v>
      </c>
      <c r="AP213" s="214" t="s">
        <v>762</v>
      </c>
      <c r="AQ213" s="214" t="s">
        <v>1190</v>
      </c>
    </row>
    <row r="214" spans="2:43" x14ac:dyDescent="0.2">
      <c r="B214" s="609" t="s">
        <v>510</v>
      </c>
      <c r="C214" s="609" t="s">
        <v>509</v>
      </c>
      <c r="D214" s="239">
        <v>13324095</v>
      </c>
      <c r="E214" s="239">
        <v>1903510</v>
      </c>
      <c r="F214" s="239">
        <v>15227605</v>
      </c>
      <c r="G214" s="239">
        <v>0</v>
      </c>
      <c r="H214" s="239">
        <v>0</v>
      </c>
      <c r="I214" s="239">
        <v>0</v>
      </c>
      <c r="J214" s="239">
        <v>-130947</v>
      </c>
      <c r="K214" s="239">
        <v>0</v>
      </c>
      <c r="L214" s="239">
        <v>-130947</v>
      </c>
      <c r="M214" s="239">
        <v>0</v>
      </c>
      <c r="N214" s="239">
        <v>0</v>
      </c>
      <c r="O214" s="239">
        <v>0</v>
      </c>
      <c r="P214" s="239">
        <v>-85947</v>
      </c>
      <c r="Q214" s="239">
        <v>0</v>
      </c>
      <c r="R214" s="239">
        <v>-85947</v>
      </c>
      <c r="S214" s="239">
        <v>410520</v>
      </c>
      <c r="T214" s="239">
        <v>0</v>
      </c>
      <c r="U214" s="239">
        <v>410520</v>
      </c>
      <c r="V214" s="239">
        <v>-507920</v>
      </c>
      <c r="W214" s="239">
        <v>0</v>
      </c>
      <c r="X214" s="239">
        <v>-507920</v>
      </c>
      <c r="Y214" s="239">
        <v>13140748</v>
      </c>
      <c r="Z214" s="239">
        <v>1903510</v>
      </c>
      <c r="AA214" s="239">
        <v>15044258</v>
      </c>
      <c r="AB214" s="239">
        <v>1903510</v>
      </c>
      <c r="AC214" s="239">
        <v>1903510</v>
      </c>
      <c r="AD214" s="239">
        <v>25524</v>
      </c>
      <c r="AE214" s="239">
        <v>7157</v>
      </c>
      <c r="AF214" s="239">
        <v>32681</v>
      </c>
      <c r="AG214" s="239">
        <v>0</v>
      </c>
      <c r="AH214" s="239">
        <v>0</v>
      </c>
      <c r="AI214" s="239">
        <v>1876823</v>
      </c>
      <c r="AJ214" s="239">
        <v>1876823</v>
      </c>
      <c r="AK214" s="239">
        <v>19530</v>
      </c>
      <c r="AL214" s="239">
        <v>495809</v>
      </c>
      <c r="AM214" s="239">
        <v>-139946</v>
      </c>
      <c r="AN214" s="214" t="s">
        <v>509</v>
      </c>
      <c r="AO214" s="214" t="s">
        <v>756</v>
      </c>
      <c r="AP214" s="214" t="s">
        <v>754</v>
      </c>
      <c r="AQ214" s="214" t="s">
        <v>1190</v>
      </c>
    </row>
    <row r="215" spans="2:43" x14ac:dyDescent="0.2">
      <c r="B215" s="609" t="s">
        <v>512</v>
      </c>
      <c r="C215" s="609" t="s">
        <v>511</v>
      </c>
      <c r="D215" s="239">
        <v>83156720</v>
      </c>
      <c r="E215" s="239">
        <v>0</v>
      </c>
      <c r="F215" s="239">
        <v>83156720</v>
      </c>
      <c r="G215" s="239">
        <v>0</v>
      </c>
      <c r="H215" s="239">
        <v>0</v>
      </c>
      <c r="I215" s="239">
        <v>0</v>
      </c>
      <c r="J215" s="239">
        <v>0</v>
      </c>
      <c r="K215" s="239">
        <v>0</v>
      </c>
      <c r="L215" s="239">
        <v>0</v>
      </c>
      <c r="M215" s="239">
        <v>-589998</v>
      </c>
      <c r="N215" s="239">
        <v>0</v>
      </c>
      <c r="O215" s="239">
        <v>-589998</v>
      </c>
      <c r="P215" s="239">
        <v>-34052</v>
      </c>
      <c r="Q215" s="239">
        <v>0</v>
      </c>
      <c r="R215" s="239">
        <v>-34052</v>
      </c>
      <c r="S215" s="239">
        <v>3893252</v>
      </c>
      <c r="T215" s="239">
        <v>0</v>
      </c>
      <c r="U215" s="239">
        <v>3893252</v>
      </c>
      <c r="V215" s="239">
        <v>-3138866</v>
      </c>
      <c r="W215" s="239">
        <v>0</v>
      </c>
      <c r="X215" s="239">
        <v>-3138866</v>
      </c>
      <c r="Y215" s="239">
        <v>83287056</v>
      </c>
      <c r="Z215" s="239">
        <v>0</v>
      </c>
      <c r="AA215" s="239">
        <v>83287056</v>
      </c>
      <c r="AB215" s="239">
        <v>0</v>
      </c>
      <c r="AC215" s="239">
        <v>0</v>
      </c>
      <c r="AD215" s="239">
        <v>0</v>
      </c>
      <c r="AE215" s="239">
        <v>0</v>
      </c>
      <c r="AF215" s="239">
        <v>0</v>
      </c>
      <c r="AG215" s="239">
        <v>0</v>
      </c>
      <c r="AH215" s="239">
        <v>0</v>
      </c>
      <c r="AI215" s="239">
        <v>0</v>
      </c>
      <c r="AJ215" s="239">
        <v>0</v>
      </c>
      <c r="AK215" s="239">
        <v>0</v>
      </c>
      <c r="AL215" s="239">
        <v>3563756</v>
      </c>
      <c r="AM215" s="239">
        <v>-2833259</v>
      </c>
      <c r="AN215" s="214" t="s">
        <v>875</v>
      </c>
      <c r="AO215" s="214" t="s">
        <v>789</v>
      </c>
      <c r="AP215" s="214" t="s">
        <v>748</v>
      </c>
      <c r="AQ215" s="214" t="s">
        <v>1191</v>
      </c>
    </row>
    <row r="216" spans="2:43" x14ac:dyDescent="0.2">
      <c r="B216" s="609" t="s">
        <v>514</v>
      </c>
      <c r="C216" s="609" t="s">
        <v>513</v>
      </c>
      <c r="D216" s="239">
        <v>13233303</v>
      </c>
      <c r="E216" s="239">
        <v>0</v>
      </c>
      <c r="F216" s="239">
        <v>13233303</v>
      </c>
      <c r="G216" s="239">
        <v>0</v>
      </c>
      <c r="H216" s="239">
        <v>0</v>
      </c>
      <c r="I216" s="239">
        <v>0</v>
      </c>
      <c r="J216" s="239">
        <v>-130041</v>
      </c>
      <c r="K216" s="239">
        <v>0</v>
      </c>
      <c r="L216" s="239">
        <v>-130041</v>
      </c>
      <c r="M216" s="239">
        <v>0</v>
      </c>
      <c r="N216" s="239">
        <v>0</v>
      </c>
      <c r="O216" s="239">
        <v>0</v>
      </c>
      <c r="P216" s="239">
        <v>-115239</v>
      </c>
      <c r="Q216" s="239">
        <v>0</v>
      </c>
      <c r="R216" s="239">
        <v>-115239</v>
      </c>
      <c r="S216" s="239">
        <v>494005</v>
      </c>
      <c r="T216" s="239">
        <v>0</v>
      </c>
      <c r="U216" s="239">
        <v>494005</v>
      </c>
      <c r="V216" s="239">
        <v>-855654</v>
      </c>
      <c r="W216" s="239">
        <v>0</v>
      </c>
      <c r="X216" s="239">
        <v>-855654</v>
      </c>
      <c r="Y216" s="239">
        <v>12756415</v>
      </c>
      <c r="Z216" s="239">
        <v>0</v>
      </c>
      <c r="AA216" s="239">
        <v>12756415</v>
      </c>
      <c r="AB216" s="239">
        <v>0</v>
      </c>
      <c r="AC216" s="239">
        <v>0</v>
      </c>
      <c r="AD216" s="239">
        <v>0</v>
      </c>
      <c r="AE216" s="239">
        <v>0</v>
      </c>
      <c r="AF216" s="239">
        <v>0</v>
      </c>
      <c r="AG216" s="239">
        <v>0</v>
      </c>
      <c r="AH216" s="239">
        <v>0</v>
      </c>
      <c r="AI216" s="239">
        <v>0</v>
      </c>
      <c r="AJ216" s="239">
        <v>0</v>
      </c>
      <c r="AK216" s="239">
        <v>0</v>
      </c>
      <c r="AL216" s="239">
        <v>330523</v>
      </c>
      <c r="AM216" s="239">
        <v>-201454</v>
      </c>
      <c r="AN216" s="214" t="s">
        <v>513</v>
      </c>
      <c r="AO216" s="214" t="s">
        <v>866</v>
      </c>
      <c r="AP216" s="214" t="s">
        <v>745</v>
      </c>
      <c r="AQ216" s="214" t="s">
        <v>1190</v>
      </c>
    </row>
    <row r="217" spans="2:43" x14ac:dyDescent="0.2">
      <c r="B217" s="609" t="s">
        <v>516</v>
      </c>
      <c r="C217" s="609" t="s">
        <v>515</v>
      </c>
      <c r="D217" s="239">
        <v>65305007</v>
      </c>
      <c r="E217" s="239">
        <v>0</v>
      </c>
      <c r="F217" s="239">
        <v>65305007</v>
      </c>
      <c r="G217" s="239">
        <v>0</v>
      </c>
      <c r="H217" s="239">
        <v>0</v>
      </c>
      <c r="I217" s="239">
        <v>0</v>
      </c>
      <c r="J217" s="239">
        <v>-890350</v>
      </c>
      <c r="K217" s="239">
        <v>0</v>
      </c>
      <c r="L217" s="239">
        <v>-890350</v>
      </c>
      <c r="M217" s="239">
        <v>-312472</v>
      </c>
      <c r="N217" s="239">
        <v>0</v>
      </c>
      <c r="O217" s="239">
        <v>-312472</v>
      </c>
      <c r="P217" s="239">
        <v>-698655</v>
      </c>
      <c r="Q217" s="239">
        <v>0</v>
      </c>
      <c r="R217" s="239">
        <v>-698655</v>
      </c>
      <c r="S217" s="239">
        <v>2247153</v>
      </c>
      <c r="T217" s="239">
        <v>0</v>
      </c>
      <c r="U217" s="239">
        <v>2247153</v>
      </c>
      <c r="V217" s="239">
        <v>-3213232</v>
      </c>
      <c r="W217" s="239">
        <v>0</v>
      </c>
      <c r="X217" s="239">
        <v>-3213232</v>
      </c>
      <c r="Y217" s="239">
        <v>63327801</v>
      </c>
      <c r="Z217" s="239">
        <v>0</v>
      </c>
      <c r="AA217" s="239">
        <v>63327801</v>
      </c>
      <c r="AB217" s="239">
        <v>0</v>
      </c>
      <c r="AC217" s="239">
        <v>0</v>
      </c>
      <c r="AD217" s="239">
        <v>674022</v>
      </c>
      <c r="AE217" s="239">
        <v>0</v>
      </c>
      <c r="AF217" s="239">
        <v>674022</v>
      </c>
      <c r="AG217" s="239">
        <v>0</v>
      </c>
      <c r="AH217" s="239">
        <v>0</v>
      </c>
      <c r="AI217" s="239">
        <v>0</v>
      </c>
      <c r="AJ217" s="239">
        <v>0</v>
      </c>
      <c r="AK217" s="239">
        <v>0</v>
      </c>
      <c r="AL217" s="239">
        <v>1808362</v>
      </c>
      <c r="AM217" s="239">
        <v>-1167553</v>
      </c>
      <c r="AN217" s="214" t="s">
        <v>515</v>
      </c>
      <c r="AO217" s="214" t="s">
        <v>767</v>
      </c>
      <c r="AP217" s="214" t="s">
        <v>782</v>
      </c>
      <c r="AQ217" s="214" t="s">
        <v>1192</v>
      </c>
    </row>
    <row r="218" spans="2:43" x14ac:dyDescent="0.2">
      <c r="B218" s="609" t="s">
        <v>518</v>
      </c>
      <c r="C218" s="609" t="s">
        <v>517</v>
      </c>
      <c r="D218" s="239">
        <v>15760115</v>
      </c>
      <c r="E218" s="239">
        <v>0</v>
      </c>
      <c r="F218" s="239">
        <v>15760115</v>
      </c>
      <c r="G218" s="239">
        <v>0</v>
      </c>
      <c r="H218" s="239">
        <v>0</v>
      </c>
      <c r="I218" s="239">
        <v>0</v>
      </c>
      <c r="J218" s="239">
        <v>0</v>
      </c>
      <c r="K218" s="239">
        <v>0</v>
      </c>
      <c r="L218" s="239">
        <v>0</v>
      </c>
      <c r="M218" s="239">
        <v>-70406</v>
      </c>
      <c r="N218" s="239">
        <v>0</v>
      </c>
      <c r="O218" s="239">
        <v>-70406</v>
      </c>
      <c r="P218" s="239">
        <v>-21245</v>
      </c>
      <c r="Q218" s="239">
        <v>0</v>
      </c>
      <c r="R218" s="239">
        <v>-21245</v>
      </c>
      <c r="S218" s="239">
        <v>494987</v>
      </c>
      <c r="T218" s="239">
        <v>0</v>
      </c>
      <c r="U218" s="239">
        <v>494987</v>
      </c>
      <c r="V218" s="239">
        <v>-733432</v>
      </c>
      <c r="W218" s="239">
        <v>0</v>
      </c>
      <c r="X218" s="239">
        <v>-733432</v>
      </c>
      <c r="Y218" s="239">
        <v>15430019</v>
      </c>
      <c r="Z218" s="239">
        <v>0</v>
      </c>
      <c r="AA218" s="239">
        <v>15430019</v>
      </c>
      <c r="AB218" s="239">
        <v>0</v>
      </c>
      <c r="AC218" s="239">
        <v>0</v>
      </c>
      <c r="AD218" s="239">
        <v>35348</v>
      </c>
      <c r="AE218" s="239">
        <v>0</v>
      </c>
      <c r="AF218" s="239">
        <v>35348</v>
      </c>
      <c r="AG218" s="239">
        <v>0</v>
      </c>
      <c r="AH218" s="239">
        <v>0</v>
      </c>
      <c r="AI218" s="239">
        <v>0</v>
      </c>
      <c r="AJ218" s="239">
        <v>0</v>
      </c>
      <c r="AK218" s="239">
        <v>0</v>
      </c>
      <c r="AL218" s="239">
        <v>296558</v>
      </c>
      <c r="AM218" s="239">
        <v>-179029</v>
      </c>
      <c r="AN218" s="214" t="s">
        <v>517</v>
      </c>
      <c r="AO218" s="214" t="s">
        <v>821</v>
      </c>
      <c r="AP218" s="214" t="s">
        <v>819</v>
      </c>
      <c r="AQ218" s="214" t="s">
        <v>1190</v>
      </c>
    </row>
    <row r="219" spans="2:43" x14ac:dyDescent="0.2">
      <c r="B219" s="609" t="s">
        <v>520</v>
      </c>
      <c r="C219" s="609" t="s">
        <v>519</v>
      </c>
      <c r="D219" s="239">
        <v>14739591</v>
      </c>
      <c r="E219" s="239">
        <v>0</v>
      </c>
      <c r="F219" s="239">
        <v>14739591</v>
      </c>
      <c r="G219" s="239">
        <v>0</v>
      </c>
      <c r="H219" s="239">
        <v>0</v>
      </c>
      <c r="I219" s="239">
        <v>0</v>
      </c>
      <c r="J219" s="239">
        <v>-92766</v>
      </c>
      <c r="K219" s="239">
        <v>0</v>
      </c>
      <c r="L219" s="239">
        <v>-92766</v>
      </c>
      <c r="M219" s="239">
        <v>0</v>
      </c>
      <c r="N219" s="239">
        <v>0</v>
      </c>
      <c r="O219" s="239">
        <v>0</v>
      </c>
      <c r="P219" s="239">
        <v>-165177</v>
      </c>
      <c r="Q219" s="239">
        <v>0</v>
      </c>
      <c r="R219" s="239">
        <v>-165177</v>
      </c>
      <c r="S219" s="239">
        <v>0</v>
      </c>
      <c r="T219" s="239">
        <v>0</v>
      </c>
      <c r="U219" s="239">
        <v>0</v>
      </c>
      <c r="V219" s="239">
        <v>-197815</v>
      </c>
      <c r="W219" s="239">
        <v>0</v>
      </c>
      <c r="X219" s="239">
        <v>-197815</v>
      </c>
      <c r="Y219" s="239">
        <v>14376599</v>
      </c>
      <c r="Z219" s="239">
        <v>0</v>
      </c>
      <c r="AA219" s="239">
        <v>14376599</v>
      </c>
      <c r="AB219" s="239">
        <v>0</v>
      </c>
      <c r="AC219" s="239">
        <v>0</v>
      </c>
      <c r="AD219" s="239">
        <v>241714</v>
      </c>
      <c r="AE219" s="239">
        <v>0</v>
      </c>
      <c r="AF219" s="239">
        <v>241714</v>
      </c>
      <c r="AG219" s="239">
        <v>0</v>
      </c>
      <c r="AH219" s="239">
        <v>0</v>
      </c>
      <c r="AI219" s="239">
        <v>0</v>
      </c>
      <c r="AJ219" s="239">
        <v>0</v>
      </c>
      <c r="AK219" s="239">
        <v>0</v>
      </c>
      <c r="AL219" s="239">
        <v>1511030</v>
      </c>
      <c r="AM219" s="239">
        <v>-157746</v>
      </c>
      <c r="AN219" s="214" t="s">
        <v>519</v>
      </c>
      <c r="AO219" s="214" t="s">
        <v>756</v>
      </c>
      <c r="AP219" s="214" t="s">
        <v>754</v>
      </c>
      <c r="AQ219" s="214" t="s">
        <v>1190</v>
      </c>
    </row>
    <row r="220" spans="2:43" x14ac:dyDescent="0.2">
      <c r="B220" s="609" t="s">
        <v>522</v>
      </c>
      <c r="C220" s="609" t="s">
        <v>521</v>
      </c>
      <c r="D220" s="239">
        <v>17711215</v>
      </c>
      <c r="E220" s="239">
        <v>0</v>
      </c>
      <c r="F220" s="239">
        <v>17711215</v>
      </c>
      <c r="G220" s="239">
        <v>0</v>
      </c>
      <c r="H220" s="239">
        <v>0</v>
      </c>
      <c r="I220" s="239">
        <v>0</v>
      </c>
      <c r="J220" s="239">
        <v>0</v>
      </c>
      <c r="K220" s="239">
        <v>0</v>
      </c>
      <c r="L220" s="239">
        <v>0</v>
      </c>
      <c r="M220" s="239">
        <v>-39576</v>
      </c>
      <c r="N220" s="239">
        <v>0</v>
      </c>
      <c r="O220" s="239">
        <v>-39576</v>
      </c>
      <c r="P220" s="239">
        <v>-31353</v>
      </c>
      <c r="Q220" s="239">
        <v>0</v>
      </c>
      <c r="R220" s="239">
        <v>-31353</v>
      </c>
      <c r="S220" s="239">
        <v>602505</v>
      </c>
      <c r="T220" s="239">
        <v>0</v>
      </c>
      <c r="U220" s="239">
        <v>602505</v>
      </c>
      <c r="V220" s="239">
        <v>-648465</v>
      </c>
      <c r="W220" s="239">
        <v>0</v>
      </c>
      <c r="X220" s="239">
        <v>-648465</v>
      </c>
      <c r="Y220" s="239">
        <v>17594326</v>
      </c>
      <c r="Z220" s="239">
        <v>0</v>
      </c>
      <c r="AA220" s="239">
        <v>17594326</v>
      </c>
      <c r="AB220" s="239">
        <v>0</v>
      </c>
      <c r="AC220" s="239">
        <v>0</v>
      </c>
      <c r="AD220" s="239">
        <v>0</v>
      </c>
      <c r="AE220" s="239">
        <v>0</v>
      </c>
      <c r="AF220" s="239">
        <v>0</v>
      </c>
      <c r="AG220" s="239">
        <v>0</v>
      </c>
      <c r="AH220" s="239">
        <v>0</v>
      </c>
      <c r="AI220" s="239">
        <v>0</v>
      </c>
      <c r="AJ220" s="239">
        <v>0</v>
      </c>
      <c r="AK220" s="239">
        <v>0</v>
      </c>
      <c r="AL220" s="239">
        <v>738356</v>
      </c>
      <c r="AM220" s="239">
        <v>-206025</v>
      </c>
      <c r="AN220" s="214" t="s">
        <v>521</v>
      </c>
      <c r="AO220" s="214" t="s">
        <v>808</v>
      </c>
      <c r="AP220" s="214" t="s">
        <v>806</v>
      </c>
      <c r="AQ220" s="214" t="s">
        <v>1190</v>
      </c>
    </row>
    <row r="221" spans="2:43" x14ac:dyDescent="0.2">
      <c r="B221" s="609" t="s">
        <v>524</v>
      </c>
      <c r="C221" s="609" t="s">
        <v>523</v>
      </c>
      <c r="D221" s="239">
        <v>75191644</v>
      </c>
      <c r="E221" s="239">
        <v>208356</v>
      </c>
      <c r="F221" s="239">
        <v>75400000</v>
      </c>
      <c r="G221" s="239">
        <v>0</v>
      </c>
      <c r="H221" s="239">
        <v>0</v>
      </c>
      <c r="I221" s="239">
        <v>0</v>
      </c>
      <c r="J221" s="239">
        <v>-551595</v>
      </c>
      <c r="K221" s="239">
        <v>0</v>
      </c>
      <c r="L221" s="239">
        <v>-551595</v>
      </c>
      <c r="M221" s="239">
        <v>-3193</v>
      </c>
      <c r="N221" s="239">
        <v>0</v>
      </c>
      <c r="O221" s="239">
        <v>-3193</v>
      </c>
      <c r="P221" s="239">
        <v>-1129250</v>
      </c>
      <c r="Q221" s="239">
        <v>0</v>
      </c>
      <c r="R221" s="239">
        <v>-1129250</v>
      </c>
      <c r="S221" s="239">
        <v>4094889</v>
      </c>
      <c r="T221" s="239">
        <v>0</v>
      </c>
      <c r="U221" s="239">
        <v>4094889</v>
      </c>
      <c r="V221" s="239">
        <v>-310064</v>
      </c>
      <c r="W221" s="239">
        <v>0</v>
      </c>
      <c r="X221" s="239">
        <v>-310064</v>
      </c>
      <c r="Y221" s="239">
        <v>77844026</v>
      </c>
      <c r="Z221" s="239">
        <v>208356</v>
      </c>
      <c r="AA221" s="239">
        <v>78052382</v>
      </c>
      <c r="AB221" s="239">
        <v>208356</v>
      </c>
      <c r="AC221" s="239">
        <v>208356</v>
      </c>
      <c r="AD221" s="239">
        <v>169291</v>
      </c>
      <c r="AE221" s="239">
        <v>0</v>
      </c>
      <c r="AF221" s="239">
        <v>169291</v>
      </c>
      <c r="AG221" s="239">
        <v>0</v>
      </c>
      <c r="AH221" s="239">
        <v>0</v>
      </c>
      <c r="AI221" s="239">
        <v>339626</v>
      </c>
      <c r="AJ221" s="239">
        <v>339626</v>
      </c>
      <c r="AK221" s="239">
        <v>0</v>
      </c>
      <c r="AL221" s="239">
        <v>2817004</v>
      </c>
      <c r="AM221" s="239">
        <v>-851449</v>
      </c>
      <c r="AN221" s="214" t="s">
        <v>523</v>
      </c>
      <c r="AO221" s="214" t="s">
        <v>767</v>
      </c>
      <c r="AP221" s="214" t="s">
        <v>864</v>
      </c>
      <c r="AQ221" s="214" t="s">
        <v>1192</v>
      </c>
    </row>
    <row r="222" spans="2:43" x14ac:dyDescent="0.2">
      <c r="B222" s="609" t="s">
        <v>526</v>
      </c>
      <c r="C222" s="609" t="s">
        <v>525</v>
      </c>
      <c r="D222" s="239">
        <v>49350973</v>
      </c>
      <c r="E222" s="239">
        <v>0</v>
      </c>
      <c r="F222" s="239">
        <v>49350973</v>
      </c>
      <c r="G222" s="239">
        <v>0</v>
      </c>
      <c r="H222" s="239">
        <v>0</v>
      </c>
      <c r="I222" s="239">
        <v>0</v>
      </c>
      <c r="J222" s="239">
        <v>-55112</v>
      </c>
      <c r="K222" s="239">
        <v>0</v>
      </c>
      <c r="L222" s="239">
        <v>-55112</v>
      </c>
      <c r="M222" s="239">
        <v>0</v>
      </c>
      <c r="N222" s="239">
        <v>0</v>
      </c>
      <c r="O222" s="239">
        <v>0</v>
      </c>
      <c r="P222" s="239">
        <v>-47367</v>
      </c>
      <c r="Q222" s="239">
        <v>0</v>
      </c>
      <c r="R222" s="239">
        <v>-47367</v>
      </c>
      <c r="S222" s="239">
        <v>751931</v>
      </c>
      <c r="T222" s="239">
        <v>0</v>
      </c>
      <c r="U222" s="239">
        <v>751931</v>
      </c>
      <c r="V222" s="239">
        <v>-2110156</v>
      </c>
      <c r="W222" s="239">
        <v>0</v>
      </c>
      <c r="X222" s="239">
        <v>-2110156</v>
      </c>
      <c r="Y222" s="239">
        <v>47945381</v>
      </c>
      <c r="Z222" s="239">
        <v>0</v>
      </c>
      <c r="AA222" s="239">
        <v>47945381</v>
      </c>
      <c r="AB222" s="239">
        <v>0</v>
      </c>
      <c r="AC222" s="239">
        <v>0</v>
      </c>
      <c r="AD222" s="239">
        <v>0</v>
      </c>
      <c r="AE222" s="239">
        <v>0</v>
      </c>
      <c r="AF222" s="239">
        <v>0</v>
      </c>
      <c r="AG222" s="239">
        <v>0</v>
      </c>
      <c r="AH222" s="239">
        <v>0</v>
      </c>
      <c r="AI222" s="239">
        <v>0</v>
      </c>
      <c r="AJ222" s="239">
        <v>0</v>
      </c>
      <c r="AK222" s="239">
        <v>0</v>
      </c>
      <c r="AL222" s="239">
        <v>1152502</v>
      </c>
      <c r="AM222" s="239">
        <v>-418678</v>
      </c>
      <c r="AN222" s="214" t="s">
        <v>525</v>
      </c>
      <c r="AO222" s="214" t="s">
        <v>812</v>
      </c>
      <c r="AP222" s="214" t="s">
        <v>762</v>
      </c>
      <c r="AQ222" s="214" t="s">
        <v>1190</v>
      </c>
    </row>
    <row r="223" spans="2:43" x14ac:dyDescent="0.2">
      <c r="B223" s="609" t="s">
        <v>528</v>
      </c>
      <c r="C223" s="609" t="s">
        <v>527</v>
      </c>
      <c r="D223" s="239">
        <v>46805719</v>
      </c>
      <c r="E223" s="239">
        <v>0</v>
      </c>
      <c r="F223" s="239">
        <v>46805719</v>
      </c>
      <c r="G223" s="239">
        <v>0</v>
      </c>
      <c r="H223" s="239">
        <v>0</v>
      </c>
      <c r="I223" s="239">
        <v>0</v>
      </c>
      <c r="J223" s="239">
        <v>0</v>
      </c>
      <c r="K223" s="239">
        <v>0</v>
      </c>
      <c r="L223" s="239">
        <v>0</v>
      </c>
      <c r="M223" s="239">
        <v>9648</v>
      </c>
      <c r="N223" s="239">
        <v>0</v>
      </c>
      <c r="O223" s="239">
        <v>9648</v>
      </c>
      <c r="P223" s="239">
        <v>1400</v>
      </c>
      <c r="Q223" s="239">
        <v>0</v>
      </c>
      <c r="R223" s="239">
        <v>1400</v>
      </c>
      <c r="S223" s="239">
        <v>0</v>
      </c>
      <c r="T223" s="239">
        <v>0</v>
      </c>
      <c r="U223" s="239">
        <v>0</v>
      </c>
      <c r="V223" s="239">
        <v>-2000000</v>
      </c>
      <c r="W223" s="239">
        <v>0</v>
      </c>
      <c r="X223" s="239">
        <v>-2000000</v>
      </c>
      <c r="Y223" s="239">
        <v>44816767</v>
      </c>
      <c r="Z223" s="239">
        <v>0</v>
      </c>
      <c r="AA223" s="239">
        <v>44816767</v>
      </c>
      <c r="AB223" s="239">
        <v>0</v>
      </c>
      <c r="AC223" s="239">
        <v>0</v>
      </c>
      <c r="AD223" s="239">
        <v>0</v>
      </c>
      <c r="AE223" s="239">
        <v>0</v>
      </c>
      <c r="AF223" s="239">
        <v>0</v>
      </c>
      <c r="AG223" s="239">
        <v>0</v>
      </c>
      <c r="AH223" s="239">
        <v>0</v>
      </c>
      <c r="AI223" s="239">
        <v>0</v>
      </c>
      <c r="AJ223" s="239">
        <v>0</v>
      </c>
      <c r="AK223" s="239">
        <v>0</v>
      </c>
      <c r="AL223" s="239">
        <v>983900</v>
      </c>
      <c r="AM223" s="239">
        <v>-1103300</v>
      </c>
      <c r="AN223" s="214" t="s">
        <v>527</v>
      </c>
      <c r="AO223" s="214" t="s">
        <v>771</v>
      </c>
      <c r="AP223" s="214" t="s">
        <v>762</v>
      </c>
      <c r="AQ223" s="214" t="s">
        <v>1190</v>
      </c>
    </row>
    <row r="224" spans="2:43" x14ac:dyDescent="0.2">
      <c r="B224" s="609" t="s">
        <v>530</v>
      </c>
      <c r="C224" s="609" t="s">
        <v>529</v>
      </c>
      <c r="D224" s="239">
        <v>28876335</v>
      </c>
      <c r="E224" s="239">
        <v>0</v>
      </c>
      <c r="F224" s="239">
        <v>28876335</v>
      </c>
      <c r="G224" s="239">
        <v>0</v>
      </c>
      <c r="H224" s="239">
        <v>0</v>
      </c>
      <c r="I224" s="239">
        <v>0</v>
      </c>
      <c r="J224" s="239">
        <v>-249593</v>
      </c>
      <c r="K224" s="239">
        <v>0</v>
      </c>
      <c r="L224" s="239">
        <v>-249593</v>
      </c>
      <c r="M224" s="239">
        <v>0</v>
      </c>
      <c r="N224" s="239">
        <v>0</v>
      </c>
      <c r="O224" s="239">
        <v>0</v>
      </c>
      <c r="P224" s="239">
        <v>-60091</v>
      </c>
      <c r="Q224" s="239">
        <v>0</v>
      </c>
      <c r="R224" s="239">
        <v>-60091</v>
      </c>
      <c r="S224" s="239">
        <v>445697</v>
      </c>
      <c r="T224" s="239">
        <v>0</v>
      </c>
      <c r="U224" s="239">
        <v>445697</v>
      </c>
      <c r="V224" s="239">
        <v>-1683401</v>
      </c>
      <c r="W224" s="239">
        <v>0</v>
      </c>
      <c r="X224" s="239">
        <v>-1683401</v>
      </c>
      <c r="Y224" s="239">
        <v>27578540</v>
      </c>
      <c r="Z224" s="239">
        <v>0</v>
      </c>
      <c r="AA224" s="239">
        <v>27578540</v>
      </c>
      <c r="AB224" s="239">
        <v>0</v>
      </c>
      <c r="AC224" s="239">
        <v>0</v>
      </c>
      <c r="AD224" s="239">
        <v>144846</v>
      </c>
      <c r="AE224" s="239">
        <v>0</v>
      </c>
      <c r="AF224" s="239">
        <v>144846</v>
      </c>
      <c r="AG224" s="239">
        <v>0</v>
      </c>
      <c r="AH224" s="239">
        <v>0</v>
      </c>
      <c r="AI224" s="239">
        <v>0</v>
      </c>
      <c r="AJ224" s="239">
        <v>0</v>
      </c>
      <c r="AK224" s="239">
        <v>0</v>
      </c>
      <c r="AL224" s="239">
        <v>521724</v>
      </c>
      <c r="AM224" s="239">
        <v>-723016</v>
      </c>
      <c r="AN224" s="214" t="s">
        <v>529</v>
      </c>
      <c r="AO224" s="214" t="s">
        <v>873</v>
      </c>
      <c r="AP224" s="214" t="s">
        <v>871</v>
      </c>
      <c r="AQ224" s="214" t="s">
        <v>1190</v>
      </c>
    </row>
    <row r="225" spans="2:43" x14ac:dyDescent="0.2">
      <c r="B225" s="609" t="s">
        <v>532</v>
      </c>
      <c r="C225" s="609" t="s">
        <v>531</v>
      </c>
      <c r="D225" s="239">
        <v>47886987</v>
      </c>
      <c r="E225" s="239">
        <v>0</v>
      </c>
      <c r="F225" s="239">
        <v>47886987</v>
      </c>
      <c r="G225" s="239">
        <v>-1048</v>
      </c>
      <c r="H225" s="239">
        <v>0</v>
      </c>
      <c r="I225" s="239">
        <v>-1048</v>
      </c>
      <c r="J225" s="239">
        <v>-260288</v>
      </c>
      <c r="K225" s="239">
        <v>0</v>
      </c>
      <c r="L225" s="239">
        <v>-260288</v>
      </c>
      <c r="M225" s="239">
        <v>0</v>
      </c>
      <c r="N225" s="239">
        <v>0</v>
      </c>
      <c r="O225" s="239">
        <v>0</v>
      </c>
      <c r="P225" s="239">
        <v>-272370</v>
      </c>
      <c r="Q225" s="239">
        <v>0</v>
      </c>
      <c r="R225" s="239">
        <v>-272370</v>
      </c>
      <c r="S225" s="239">
        <v>518392</v>
      </c>
      <c r="T225" s="239">
        <v>0</v>
      </c>
      <c r="U225" s="239">
        <v>518392</v>
      </c>
      <c r="V225" s="239">
        <v>-1370468</v>
      </c>
      <c r="W225" s="239">
        <v>0</v>
      </c>
      <c r="X225" s="239">
        <v>-1370468</v>
      </c>
      <c r="Y225" s="239">
        <v>46761493</v>
      </c>
      <c r="Z225" s="239">
        <v>0</v>
      </c>
      <c r="AA225" s="239">
        <v>46761493</v>
      </c>
      <c r="AB225" s="239">
        <v>0</v>
      </c>
      <c r="AC225" s="239">
        <v>0</v>
      </c>
      <c r="AD225" s="239">
        <v>0</v>
      </c>
      <c r="AE225" s="239">
        <v>0</v>
      </c>
      <c r="AF225" s="239">
        <v>0</v>
      </c>
      <c r="AG225" s="239">
        <v>0</v>
      </c>
      <c r="AH225" s="239">
        <v>0</v>
      </c>
      <c r="AI225" s="239">
        <v>0</v>
      </c>
      <c r="AJ225" s="239">
        <v>0</v>
      </c>
      <c r="AK225" s="239">
        <v>0</v>
      </c>
      <c r="AL225" s="239">
        <v>1523730</v>
      </c>
      <c r="AM225" s="239">
        <v>-1346802</v>
      </c>
      <c r="AN225" s="214" t="s">
        <v>531</v>
      </c>
      <c r="AO225" s="214" t="s">
        <v>778</v>
      </c>
      <c r="AP225" s="214" t="s">
        <v>776</v>
      </c>
      <c r="AQ225" s="214" t="s">
        <v>1190</v>
      </c>
    </row>
    <row r="226" spans="2:43" x14ac:dyDescent="0.2">
      <c r="B226" s="609" t="s">
        <v>534</v>
      </c>
      <c r="C226" s="609" t="s">
        <v>533</v>
      </c>
      <c r="D226" s="239">
        <v>10742999</v>
      </c>
      <c r="E226" s="239">
        <v>0</v>
      </c>
      <c r="F226" s="239">
        <v>10742999</v>
      </c>
      <c r="G226" s="239">
        <v>0</v>
      </c>
      <c r="H226" s="239">
        <v>0</v>
      </c>
      <c r="I226" s="239">
        <v>0</v>
      </c>
      <c r="J226" s="239">
        <v>-10133</v>
      </c>
      <c r="K226" s="239">
        <v>0</v>
      </c>
      <c r="L226" s="239">
        <v>-10133</v>
      </c>
      <c r="M226" s="239">
        <v>0</v>
      </c>
      <c r="N226" s="239">
        <v>0</v>
      </c>
      <c r="O226" s="239">
        <v>0</v>
      </c>
      <c r="P226" s="239">
        <v>-10133</v>
      </c>
      <c r="Q226" s="239">
        <v>0</v>
      </c>
      <c r="R226" s="239">
        <v>-10133</v>
      </c>
      <c r="S226" s="239">
        <v>45146</v>
      </c>
      <c r="T226" s="239">
        <v>0</v>
      </c>
      <c r="U226" s="239">
        <v>45146</v>
      </c>
      <c r="V226" s="239">
        <v>-80700</v>
      </c>
      <c r="W226" s="239">
        <v>0</v>
      </c>
      <c r="X226" s="239">
        <v>-80700</v>
      </c>
      <c r="Y226" s="239">
        <v>10697312</v>
      </c>
      <c r="Z226" s="239">
        <v>0</v>
      </c>
      <c r="AA226" s="239">
        <v>10697312</v>
      </c>
      <c r="AB226" s="239">
        <v>0</v>
      </c>
      <c r="AC226" s="239">
        <v>0</v>
      </c>
      <c r="AD226" s="239">
        <v>35908</v>
      </c>
      <c r="AE226" s="239">
        <v>0</v>
      </c>
      <c r="AF226" s="239">
        <v>35908</v>
      </c>
      <c r="AG226" s="239">
        <v>0</v>
      </c>
      <c r="AH226" s="239">
        <v>0</v>
      </c>
      <c r="AI226" s="239">
        <v>0</v>
      </c>
      <c r="AJ226" s="239">
        <v>0</v>
      </c>
      <c r="AK226" s="239">
        <v>0</v>
      </c>
      <c r="AL226" s="239">
        <v>114527</v>
      </c>
      <c r="AM226" s="239">
        <v>-1462</v>
      </c>
      <c r="AN226" s="214" t="s">
        <v>870</v>
      </c>
      <c r="AO226" s="214" t="s">
        <v>747</v>
      </c>
      <c r="AP226" s="214" t="s">
        <v>868</v>
      </c>
      <c r="AQ226" s="214" t="s">
        <v>747</v>
      </c>
    </row>
    <row r="227" spans="2:43" x14ac:dyDescent="0.2">
      <c r="B227" s="609" t="s">
        <v>536</v>
      </c>
      <c r="C227" s="609" t="s">
        <v>535</v>
      </c>
      <c r="D227" s="239">
        <v>16872649</v>
      </c>
      <c r="E227" s="239">
        <v>0</v>
      </c>
      <c r="F227" s="239">
        <v>16872649</v>
      </c>
      <c r="G227" s="239">
        <v>0</v>
      </c>
      <c r="H227" s="239">
        <v>0</v>
      </c>
      <c r="I227" s="239">
        <v>0</v>
      </c>
      <c r="J227" s="239">
        <v>-22062</v>
      </c>
      <c r="K227" s="239">
        <v>0</v>
      </c>
      <c r="L227" s="239">
        <v>-22062</v>
      </c>
      <c r="M227" s="239">
        <v>0</v>
      </c>
      <c r="N227" s="239">
        <v>0</v>
      </c>
      <c r="O227" s="239">
        <v>0</v>
      </c>
      <c r="P227" s="239">
        <v>17938</v>
      </c>
      <c r="Q227" s="239">
        <v>0</v>
      </c>
      <c r="R227" s="239">
        <v>17938</v>
      </c>
      <c r="S227" s="239">
        <v>965816</v>
      </c>
      <c r="T227" s="239">
        <v>0</v>
      </c>
      <c r="U227" s="239">
        <v>965816</v>
      </c>
      <c r="V227" s="239">
        <v>-1213816</v>
      </c>
      <c r="W227" s="239">
        <v>0</v>
      </c>
      <c r="X227" s="239">
        <v>-1213816</v>
      </c>
      <c r="Y227" s="239">
        <v>16642587</v>
      </c>
      <c r="Z227" s="239">
        <v>0</v>
      </c>
      <c r="AA227" s="239">
        <v>16642587</v>
      </c>
      <c r="AB227" s="239">
        <v>0</v>
      </c>
      <c r="AC227" s="239">
        <v>0</v>
      </c>
      <c r="AD227" s="239">
        <v>40891</v>
      </c>
      <c r="AE227" s="239">
        <v>0</v>
      </c>
      <c r="AF227" s="239">
        <v>40891</v>
      </c>
      <c r="AG227" s="239">
        <v>0</v>
      </c>
      <c r="AH227" s="239">
        <v>0</v>
      </c>
      <c r="AI227" s="239">
        <v>0</v>
      </c>
      <c r="AJ227" s="239">
        <v>0</v>
      </c>
      <c r="AK227" s="239">
        <v>0</v>
      </c>
      <c r="AL227" s="239">
        <v>126223</v>
      </c>
      <c r="AM227" s="239">
        <v>-174001</v>
      </c>
      <c r="AN227" s="214" t="s">
        <v>535</v>
      </c>
      <c r="AO227" s="214" t="s">
        <v>866</v>
      </c>
      <c r="AP227" s="214" t="s">
        <v>745</v>
      </c>
      <c r="AQ227" s="214" t="s">
        <v>1190</v>
      </c>
    </row>
    <row r="228" spans="2:43" x14ac:dyDescent="0.2">
      <c r="B228" s="609" t="s">
        <v>538</v>
      </c>
      <c r="C228" s="609" t="s">
        <v>537</v>
      </c>
      <c r="D228" s="239">
        <v>97920072</v>
      </c>
      <c r="E228" s="239">
        <v>0</v>
      </c>
      <c r="F228" s="239">
        <v>97920072</v>
      </c>
      <c r="G228" s="239">
        <v>-9777</v>
      </c>
      <c r="H228" s="239">
        <v>0</v>
      </c>
      <c r="I228" s="239">
        <v>-9777</v>
      </c>
      <c r="J228" s="239">
        <v>-5159454</v>
      </c>
      <c r="K228" s="239">
        <v>0</v>
      </c>
      <c r="L228" s="239">
        <v>-5159454</v>
      </c>
      <c r="M228" s="239">
        <v>0</v>
      </c>
      <c r="N228" s="239">
        <v>0</v>
      </c>
      <c r="O228" s="239">
        <v>0</v>
      </c>
      <c r="P228" s="239">
        <v>-3348233</v>
      </c>
      <c r="Q228" s="239">
        <v>0</v>
      </c>
      <c r="R228" s="239">
        <v>-3348233</v>
      </c>
      <c r="S228" s="239">
        <v>4634815</v>
      </c>
      <c r="T228" s="239">
        <v>0</v>
      </c>
      <c r="U228" s="239">
        <v>4634815</v>
      </c>
      <c r="V228" s="239">
        <v>-6092042</v>
      </c>
      <c r="W228" s="239">
        <v>0</v>
      </c>
      <c r="X228" s="239">
        <v>-6092042</v>
      </c>
      <c r="Y228" s="239">
        <v>93104835</v>
      </c>
      <c r="Z228" s="239">
        <v>0</v>
      </c>
      <c r="AA228" s="239">
        <v>93104835</v>
      </c>
      <c r="AB228" s="239">
        <v>0</v>
      </c>
      <c r="AC228" s="239">
        <v>0</v>
      </c>
      <c r="AD228" s="239">
        <v>0</v>
      </c>
      <c r="AE228" s="239">
        <v>0</v>
      </c>
      <c r="AF228" s="239">
        <v>0</v>
      </c>
      <c r="AG228" s="239">
        <v>0</v>
      </c>
      <c r="AH228" s="239">
        <v>0</v>
      </c>
      <c r="AI228" s="239">
        <v>0</v>
      </c>
      <c r="AJ228" s="239">
        <v>0</v>
      </c>
      <c r="AK228" s="239">
        <v>0</v>
      </c>
      <c r="AL228" s="239">
        <v>28016080</v>
      </c>
      <c r="AM228" s="239">
        <v>-6337401</v>
      </c>
      <c r="AN228" s="214" t="s">
        <v>537</v>
      </c>
      <c r="AO228" s="214" t="s">
        <v>767</v>
      </c>
      <c r="AP228" s="214" t="s">
        <v>782</v>
      </c>
      <c r="AQ228" s="214" t="s">
        <v>1192</v>
      </c>
    </row>
    <row r="229" spans="2:43" x14ac:dyDescent="0.2">
      <c r="B229" s="609" t="s">
        <v>540</v>
      </c>
      <c r="C229" s="609" t="s">
        <v>539</v>
      </c>
      <c r="D229" s="239">
        <v>104341472</v>
      </c>
      <c r="E229" s="239">
        <v>0</v>
      </c>
      <c r="F229" s="239">
        <v>104341472</v>
      </c>
      <c r="G229" s="239">
        <v>0</v>
      </c>
      <c r="H229" s="239">
        <v>0</v>
      </c>
      <c r="I229" s="239">
        <v>0</v>
      </c>
      <c r="J229" s="239">
        <v>-3025272</v>
      </c>
      <c r="K229" s="239">
        <v>0</v>
      </c>
      <c r="L229" s="239">
        <v>-3025272</v>
      </c>
      <c r="M229" s="239">
        <v>0</v>
      </c>
      <c r="N229" s="239">
        <v>0</v>
      </c>
      <c r="O229" s="239">
        <v>0</v>
      </c>
      <c r="P229" s="239">
        <v>-2857317</v>
      </c>
      <c r="Q229" s="239">
        <v>0</v>
      </c>
      <c r="R229" s="239">
        <v>-2857317</v>
      </c>
      <c r="S229" s="239">
        <v>0</v>
      </c>
      <c r="T229" s="239">
        <v>0</v>
      </c>
      <c r="U229" s="239">
        <v>0</v>
      </c>
      <c r="V229" s="239">
        <v>342523</v>
      </c>
      <c r="W229" s="239">
        <v>0</v>
      </c>
      <c r="X229" s="239">
        <v>342523</v>
      </c>
      <c r="Y229" s="239">
        <v>101826678</v>
      </c>
      <c r="Z229" s="239">
        <v>0</v>
      </c>
      <c r="AA229" s="239">
        <v>101826678</v>
      </c>
      <c r="AB229" s="239">
        <v>0</v>
      </c>
      <c r="AC229" s="239">
        <v>0</v>
      </c>
      <c r="AD229" s="239">
        <v>0</v>
      </c>
      <c r="AE229" s="239">
        <v>0</v>
      </c>
      <c r="AF229" s="239">
        <v>0</v>
      </c>
      <c r="AG229" s="239">
        <v>0</v>
      </c>
      <c r="AH229" s="239">
        <v>0</v>
      </c>
      <c r="AI229" s="239">
        <v>0</v>
      </c>
      <c r="AJ229" s="239">
        <v>0</v>
      </c>
      <c r="AK229" s="239">
        <v>0</v>
      </c>
      <c r="AL229" s="239">
        <v>4517730</v>
      </c>
      <c r="AM229" s="239">
        <v>-781530</v>
      </c>
      <c r="AN229" s="214" t="s">
        <v>539</v>
      </c>
      <c r="AO229" s="214" t="s">
        <v>767</v>
      </c>
      <c r="AP229" s="214" t="s">
        <v>765</v>
      </c>
      <c r="AQ229" s="214" t="s">
        <v>1192</v>
      </c>
    </row>
    <row r="230" spans="2:43" x14ac:dyDescent="0.2">
      <c r="B230" s="609" t="s">
        <v>542</v>
      </c>
      <c r="C230" s="609" t="s">
        <v>541</v>
      </c>
      <c r="D230" s="239">
        <v>34277198</v>
      </c>
      <c r="E230" s="239">
        <v>0</v>
      </c>
      <c r="F230" s="239">
        <v>34277198</v>
      </c>
      <c r="G230" s="239">
        <v>0</v>
      </c>
      <c r="H230" s="239">
        <v>0</v>
      </c>
      <c r="I230" s="239">
        <v>0</v>
      </c>
      <c r="J230" s="239">
        <v>-330465</v>
      </c>
      <c r="K230" s="239">
        <v>0</v>
      </c>
      <c r="L230" s="239">
        <v>-330465</v>
      </c>
      <c r="M230" s="239">
        <v>0</v>
      </c>
      <c r="N230" s="239">
        <v>0</v>
      </c>
      <c r="O230" s="239">
        <v>0</v>
      </c>
      <c r="P230" s="239">
        <v>-432028</v>
      </c>
      <c r="Q230" s="239">
        <v>0</v>
      </c>
      <c r="R230" s="239">
        <v>-432028</v>
      </c>
      <c r="S230" s="239">
        <v>1520396</v>
      </c>
      <c r="T230" s="239">
        <v>0</v>
      </c>
      <c r="U230" s="239">
        <v>1520396</v>
      </c>
      <c r="V230" s="239">
        <v>-1178248</v>
      </c>
      <c r="W230" s="239">
        <v>0</v>
      </c>
      <c r="X230" s="239">
        <v>-1178248</v>
      </c>
      <c r="Y230" s="239">
        <v>34187318</v>
      </c>
      <c r="Z230" s="239">
        <v>0</v>
      </c>
      <c r="AA230" s="239">
        <v>34187318</v>
      </c>
      <c r="AB230" s="239">
        <v>0</v>
      </c>
      <c r="AC230" s="239">
        <v>0</v>
      </c>
      <c r="AD230" s="239">
        <v>0</v>
      </c>
      <c r="AE230" s="239">
        <v>0</v>
      </c>
      <c r="AF230" s="239">
        <v>0</v>
      </c>
      <c r="AG230" s="239">
        <v>0</v>
      </c>
      <c r="AH230" s="239">
        <v>0</v>
      </c>
      <c r="AI230" s="239">
        <v>0</v>
      </c>
      <c r="AJ230" s="239">
        <v>0</v>
      </c>
      <c r="AK230" s="239">
        <v>0</v>
      </c>
      <c r="AL230" s="239">
        <v>1510475</v>
      </c>
      <c r="AM230" s="239">
        <v>-1083658</v>
      </c>
      <c r="AN230" s="214" t="s">
        <v>541</v>
      </c>
      <c r="AO230" s="214" t="s">
        <v>866</v>
      </c>
      <c r="AP230" s="214" t="s">
        <v>745</v>
      </c>
      <c r="AQ230" s="214" t="s">
        <v>1190</v>
      </c>
    </row>
    <row r="231" spans="2:43" x14ac:dyDescent="0.2">
      <c r="B231" s="609" t="s">
        <v>544</v>
      </c>
      <c r="C231" s="609" t="s">
        <v>543</v>
      </c>
      <c r="D231" s="239">
        <v>39023307</v>
      </c>
      <c r="E231" s="239">
        <v>0</v>
      </c>
      <c r="F231" s="239">
        <v>39023307</v>
      </c>
      <c r="G231" s="239">
        <v>0</v>
      </c>
      <c r="H231" s="239">
        <v>0</v>
      </c>
      <c r="I231" s="239">
        <v>0</v>
      </c>
      <c r="J231" s="239">
        <v>-136632</v>
      </c>
      <c r="K231" s="239">
        <v>0</v>
      </c>
      <c r="L231" s="239">
        <v>-136632</v>
      </c>
      <c r="M231" s="239">
        <v>0</v>
      </c>
      <c r="N231" s="239">
        <v>0</v>
      </c>
      <c r="O231" s="239">
        <v>0</v>
      </c>
      <c r="P231" s="239">
        <v>-252912</v>
      </c>
      <c r="Q231" s="239">
        <v>0</v>
      </c>
      <c r="R231" s="239">
        <v>-252912</v>
      </c>
      <c r="S231" s="239">
        <v>1801391</v>
      </c>
      <c r="T231" s="239">
        <v>0</v>
      </c>
      <c r="U231" s="239">
        <v>1801391</v>
      </c>
      <c r="V231" s="239">
        <v>-1076020</v>
      </c>
      <c r="W231" s="239">
        <v>0</v>
      </c>
      <c r="X231" s="239">
        <v>-1076020</v>
      </c>
      <c r="Y231" s="239">
        <v>39495766</v>
      </c>
      <c r="Z231" s="239">
        <v>0</v>
      </c>
      <c r="AA231" s="239">
        <v>39495766</v>
      </c>
      <c r="AB231" s="239">
        <v>0</v>
      </c>
      <c r="AC231" s="239">
        <v>0</v>
      </c>
      <c r="AD231" s="239">
        <v>227233</v>
      </c>
      <c r="AE231" s="239">
        <v>0</v>
      </c>
      <c r="AF231" s="239">
        <v>227233</v>
      </c>
      <c r="AG231" s="239">
        <v>0</v>
      </c>
      <c r="AH231" s="239">
        <v>0</v>
      </c>
      <c r="AI231" s="239">
        <v>0</v>
      </c>
      <c r="AJ231" s="239">
        <v>0</v>
      </c>
      <c r="AK231" s="239">
        <v>0</v>
      </c>
      <c r="AL231" s="239">
        <v>853581</v>
      </c>
      <c r="AM231" s="239">
        <v>-1875563</v>
      </c>
      <c r="AN231" s="214" t="s">
        <v>543</v>
      </c>
      <c r="AO231" s="214" t="s">
        <v>793</v>
      </c>
      <c r="AP231" s="214" t="s">
        <v>791</v>
      </c>
      <c r="AQ231" s="214" t="s">
        <v>1190</v>
      </c>
    </row>
    <row r="232" spans="2:43" x14ac:dyDescent="0.2">
      <c r="B232" s="609" t="s">
        <v>546</v>
      </c>
      <c r="C232" s="609" t="s">
        <v>545</v>
      </c>
      <c r="D232" s="239">
        <v>71886728</v>
      </c>
      <c r="E232" s="239">
        <v>0</v>
      </c>
      <c r="F232" s="239">
        <v>71886728</v>
      </c>
      <c r="G232" s="239">
        <v>-308</v>
      </c>
      <c r="H232" s="239">
        <v>0</v>
      </c>
      <c r="I232" s="239">
        <v>-308</v>
      </c>
      <c r="J232" s="239">
        <v>-823509</v>
      </c>
      <c r="K232" s="239">
        <v>0</v>
      </c>
      <c r="L232" s="239">
        <v>-823509</v>
      </c>
      <c r="M232" s="239">
        <v>0</v>
      </c>
      <c r="N232" s="239">
        <v>0</v>
      </c>
      <c r="O232" s="239">
        <v>0</v>
      </c>
      <c r="P232" s="239">
        <v>-1228909</v>
      </c>
      <c r="Q232" s="239">
        <v>0</v>
      </c>
      <c r="R232" s="239">
        <v>-1228909</v>
      </c>
      <c r="S232" s="239">
        <v>2268654</v>
      </c>
      <c r="T232" s="239">
        <v>0</v>
      </c>
      <c r="U232" s="239">
        <v>2268654</v>
      </c>
      <c r="V232" s="239">
        <v>-6446754</v>
      </c>
      <c r="W232" s="239">
        <v>0</v>
      </c>
      <c r="X232" s="239">
        <v>-6446754</v>
      </c>
      <c r="Y232" s="239">
        <v>66479411</v>
      </c>
      <c r="Z232" s="239">
        <v>0</v>
      </c>
      <c r="AA232" s="239">
        <v>66479411</v>
      </c>
      <c r="AB232" s="239">
        <v>0</v>
      </c>
      <c r="AC232" s="239">
        <v>0</v>
      </c>
      <c r="AD232" s="239">
        <v>0</v>
      </c>
      <c r="AE232" s="239">
        <v>0</v>
      </c>
      <c r="AF232" s="239">
        <v>0</v>
      </c>
      <c r="AG232" s="239">
        <v>0</v>
      </c>
      <c r="AH232" s="239">
        <v>0</v>
      </c>
      <c r="AI232" s="239">
        <v>0</v>
      </c>
      <c r="AJ232" s="239">
        <v>0</v>
      </c>
      <c r="AK232" s="239">
        <v>0</v>
      </c>
      <c r="AL232" s="239">
        <v>2086242</v>
      </c>
      <c r="AM232" s="239">
        <v>-1552237</v>
      </c>
      <c r="AN232" s="214" t="s">
        <v>545</v>
      </c>
      <c r="AO232" s="214" t="s">
        <v>767</v>
      </c>
      <c r="AP232" s="214" t="s">
        <v>773</v>
      </c>
      <c r="AQ232" s="214" t="s">
        <v>1192</v>
      </c>
    </row>
    <row r="233" spans="2:43" x14ac:dyDescent="0.2">
      <c r="B233" s="609" t="s">
        <v>548</v>
      </c>
      <c r="C233" s="609" t="s">
        <v>547</v>
      </c>
      <c r="D233" s="239">
        <v>40923009</v>
      </c>
      <c r="E233" s="239">
        <v>0</v>
      </c>
      <c r="F233" s="239">
        <v>40923009</v>
      </c>
      <c r="G233" s="239">
        <v>0</v>
      </c>
      <c r="H233" s="239">
        <v>0</v>
      </c>
      <c r="I233" s="239">
        <v>0</v>
      </c>
      <c r="J233" s="239">
        <v>-243362</v>
      </c>
      <c r="K233" s="239">
        <v>0</v>
      </c>
      <c r="L233" s="239">
        <v>-243362</v>
      </c>
      <c r="M233" s="239">
        <v>0</v>
      </c>
      <c r="N233" s="239">
        <v>0</v>
      </c>
      <c r="O233" s="239">
        <v>0</v>
      </c>
      <c r="P233" s="239">
        <v>-128339</v>
      </c>
      <c r="Q233" s="239">
        <v>0</v>
      </c>
      <c r="R233" s="239">
        <v>-128339</v>
      </c>
      <c r="S233" s="239">
        <v>1761746</v>
      </c>
      <c r="T233" s="239">
        <v>0</v>
      </c>
      <c r="U233" s="239">
        <v>1761746</v>
      </c>
      <c r="V233" s="239">
        <v>-1505416</v>
      </c>
      <c r="W233" s="239">
        <v>0</v>
      </c>
      <c r="X233" s="239">
        <v>-1505416</v>
      </c>
      <c r="Y233" s="239">
        <v>41051000</v>
      </c>
      <c r="Z233" s="239">
        <v>0</v>
      </c>
      <c r="AA233" s="239">
        <v>41051000</v>
      </c>
      <c r="AB233" s="239">
        <v>0</v>
      </c>
      <c r="AC233" s="239">
        <v>0</v>
      </c>
      <c r="AD233" s="239">
        <v>6421601</v>
      </c>
      <c r="AE233" s="239">
        <v>0</v>
      </c>
      <c r="AF233" s="239">
        <v>6421601</v>
      </c>
      <c r="AG233" s="239">
        <v>0</v>
      </c>
      <c r="AH233" s="239">
        <v>0</v>
      </c>
      <c r="AI233" s="239">
        <v>0</v>
      </c>
      <c r="AJ233" s="239">
        <v>0</v>
      </c>
      <c r="AK233" s="239">
        <v>0</v>
      </c>
      <c r="AL233" s="239">
        <v>1161094</v>
      </c>
      <c r="AM233" s="239">
        <v>-595232</v>
      </c>
      <c r="AN233" s="214" t="s">
        <v>547</v>
      </c>
      <c r="AO233" s="214" t="s">
        <v>866</v>
      </c>
      <c r="AP233" s="214" t="s">
        <v>745</v>
      </c>
      <c r="AQ233" s="214" t="s">
        <v>1190</v>
      </c>
    </row>
    <row r="234" spans="2:43" x14ac:dyDescent="0.2">
      <c r="B234" s="609" t="s">
        <v>550</v>
      </c>
      <c r="C234" s="609" t="s">
        <v>549</v>
      </c>
      <c r="D234" s="239">
        <v>36322837</v>
      </c>
      <c r="E234" s="239">
        <v>0</v>
      </c>
      <c r="F234" s="239">
        <v>36322837</v>
      </c>
      <c r="G234" s="239">
        <v>0</v>
      </c>
      <c r="H234" s="239">
        <v>0</v>
      </c>
      <c r="I234" s="239">
        <v>0</v>
      </c>
      <c r="J234" s="239">
        <v>-219586</v>
      </c>
      <c r="K234" s="239">
        <v>0</v>
      </c>
      <c r="L234" s="239">
        <v>-219586</v>
      </c>
      <c r="M234" s="239">
        <v>0</v>
      </c>
      <c r="N234" s="239">
        <v>0</v>
      </c>
      <c r="O234" s="239">
        <v>0</v>
      </c>
      <c r="P234" s="239">
        <v>-194286</v>
      </c>
      <c r="Q234" s="239">
        <v>0</v>
      </c>
      <c r="R234" s="239">
        <v>-194286</v>
      </c>
      <c r="S234" s="239">
        <v>716134</v>
      </c>
      <c r="T234" s="239">
        <v>0</v>
      </c>
      <c r="U234" s="239">
        <v>716134</v>
      </c>
      <c r="V234" s="239">
        <v>-548233</v>
      </c>
      <c r="W234" s="239">
        <v>0</v>
      </c>
      <c r="X234" s="239">
        <v>-548233</v>
      </c>
      <c r="Y234" s="239">
        <v>36296452</v>
      </c>
      <c r="Z234" s="239">
        <v>0</v>
      </c>
      <c r="AA234" s="239">
        <v>36296452</v>
      </c>
      <c r="AB234" s="239">
        <v>0</v>
      </c>
      <c r="AC234" s="239">
        <v>0</v>
      </c>
      <c r="AD234" s="239">
        <v>0</v>
      </c>
      <c r="AE234" s="239">
        <v>0</v>
      </c>
      <c r="AF234" s="239">
        <v>0</v>
      </c>
      <c r="AG234" s="239">
        <v>0</v>
      </c>
      <c r="AH234" s="239">
        <v>0</v>
      </c>
      <c r="AI234" s="239">
        <v>0</v>
      </c>
      <c r="AJ234" s="239">
        <v>0</v>
      </c>
      <c r="AK234" s="239">
        <v>0</v>
      </c>
      <c r="AL234" s="239">
        <v>1736700</v>
      </c>
      <c r="AM234" s="239">
        <v>-1515535</v>
      </c>
      <c r="AN234" s="214" t="s">
        <v>549</v>
      </c>
      <c r="AO234" s="214" t="s">
        <v>825</v>
      </c>
      <c r="AP234" s="214" t="s">
        <v>823</v>
      </c>
      <c r="AQ234" s="214" t="s">
        <v>1190</v>
      </c>
    </row>
    <row r="235" spans="2:43" x14ac:dyDescent="0.2">
      <c r="B235" s="609" t="s">
        <v>552</v>
      </c>
      <c r="C235" s="609" t="s">
        <v>551</v>
      </c>
      <c r="D235" s="239">
        <v>214098338</v>
      </c>
      <c r="E235" s="239">
        <v>3622183</v>
      </c>
      <c r="F235" s="239">
        <v>217720521</v>
      </c>
      <c r="G235" s="239">
        <v>0</v>
      </c>
      <c r="H235" s="239">
        <v>0</v>
      </c>
      <c r="I235" s="239">
        <v>0</v>
      </c>
      <c r="J235" s="239">
        <v>-1401198</v>
      </c>
      <c r="K235" s="239">
        <v>-23706</v>
      </c>
      <c r="L235" s="239">
        <v>-1424904</v>
      </c>
      <c r="M235" s="239">
        <v>0</v>
      </c>
      <c r="N235" s="239">
        <v>0</v>
      </c>
      <c r="O235" s="239">
        <v>0</v>
      </c>
      <c r="P235" s="239">
        <v>-3645888</v>
      </c>
      <c r="Q235" s="239">
        <v>-61682</v>
      </c>
      <c r="R235" s="239">
        <v>-3707570</v>
      </c>
      <c r="S235" s="239">
        <v>7376578</v>
      </c>
      <c r="T235" s="239">
        <v>124799</v>
      </c>
      <c r="U235" s="239">
        <v>7501377</v>
      </c>
      <c r="V235" s="239">
        <v>-10662988</v>
      </c>
      <c r="W235" s="239">
        <v>-180400</v>
      </c>
      <c r="X235" s="239">
        <v>-10843388</v>
      </c>
      <c r="Y235" s="239">
        <v>207166040</v>
      </c>
      <c r="Z235" s="239">
        <v>3504900</v>
      </c>
      <c r="AA235" s="239">
        <v>210670940</v>
      </c>
      <c r="AB235" s="239">
        <v>3504900</v>
      </c>
      <c r="AC235" s="239">
        <v>3504900</v>
      </c>
      <c r="AD235" s="239">
        <v>1068550</v>
      </c>
      <c r="AE235" s="239">
        <v>0</v>
      </c>
      <c r="AF235" s="239">
        <v>1068550</v>
      </c>
      <c r="AG235" s="239">
        <v>1182</v>
      </c>
      <c r="AH235" s="239">
        <v>1182</v>
      </c>
      <c r="AI235" s="239">
        <v>3247809</v>
      </c>
      <c r="AJ235" s="239">
        <v>3247809</v>
      </c>
      <c r="AK235" s="239">
        <v>783107</v>
      </c>
      <c r="AL235" s="239">
        <v>13824846</v>
      </c>
      <c r="AM235" s="239">
        <v>-4878410</v>
      </c>
      <c r="AN235" s="214" t="s">
        <v>551</v>
      </c>
      <c r="AO235" s="214" t="s">
        <v>767</v>
      </c>
      <c r="AP235" s="214" t="s">
        <v>864</v>
      </c>
      <c r="AQ235" s="214" t="s">
        <v>1192</v>
      </c>
    </row>
    <row r="236" spans="2:43" x14ac:dyDescent="0.2">
      <c r="B236" s="609" t="s">
        <v>554</v>
      </c>
      <c r="C236" s="609" t="s">
        <v>553</v>
      </c>
      <c r="D236" s="239">
        <v>28821103</v>
      </c>
      <c r="E236" s="239">
        <v>0</v>
      </c>
      <c r="F236" s="239">
        <v>28821103</v>
      </c>
      <c r="G236" s="239">
        <v>0</v>
      </c>
      <c r="H236" s="239">
        <v>0</v>
      </c>
      <c r="I236" s="239">
        <v>0</v>
      </c>
      <c r="J236" s="239">
        <v>-135657</v>
      </c>
      <c r="K236" s="239">
        <v>0</v>
      </c>
      <c r="L236" s="239">
        <v>-135657</v>
      </c>
      <c r="M236" s="239">
        <v>0</v>
      </c>
      <c r="N236" s="239">
        <v>0</v>
      </c>
      <c r="O236" s="239">
        <v>0</v>
      </c>
      <c r="P236" s="239">
        <v>-142500</v>
      </c>
      <c r="Q236" s="239">
        <v>0</v>
      </c>
      <c r="R236" s="239">
        <v>-142500</v>
      </c>
      <c r="S236" s="239">
        <v>923205</v>
      </c>
      <c r="T236" s="239">
        <v>0</v>
      </c>
      <c r="U236" s="239">
        <v>923205</v>
      </c>
      <c r="V236" s="239">
        <v>-932100</v>
      </c>
      <c r="W236" s="239">
        <v>0</v>
      </c>
      <c r="X236" s="239">
        <v>-932100</v>
      </c>
      <c r="Y236" s="239">
        <v>28669708</v>
      </c>
      <c r="Z236" s="239">
        <v>0</v>
      </c>
      <c r="AA236" s="239">
        <v>28669708</v>
      </c>
      <c r="AB236" s="239">
        <v>0</v>
      </c>
      <c r="AC236" s="239">
        <v>0</v>
      </c>
      <c r="AD236" s="239">
        <v>0</v>
      </c>
      <c r="AE236" s="239">
        <v>0</v>
      </c>
      <c r="AF236" s="239">
        <v>0</v>
      </c>
      <c r="AG236" s="239">
        <v>0</v>
      </c>
      <c r="AH236" s="239">
        <v>0</v>
      </c>
      <c r="AI236" s="239">
        <v>0</v>
      </c>
      <c r="AJ236" s="239">
        <v>0</v>
      </c>
      <c r="AK236" s="239">
        <v>0</v>
      </c>
      <c r="AL236" s="239">
        <v>732835</v>
      </c>
      <c r="AM236" s="239">
        <v>-644366</v>
      </c>
      <c r="AN236" s="214" t="s">
        <v>553</v>
      </c>
      <c r="AO236" s="214" t="s">
        <v>825</v>
      </c>
      <c r="AP236" s="214" t="s">
        <v>823</v>
      </c>
      <c r="AQ236" s="214" t="s">
        <v>1190</v>
      </c>
    </row>
    <row r="237" spans="2:43" x14ac:dyDescent="0.2">
      <c r="B237" s="609" t="s">
        <v>556</v>
      </c>
      <c r="C237" s="609" t="s">
        <v>555</v>
      </c>
      <c r="D237" s="239">
        <v>78790098</v>
      </c>
      <c r="E237" s="239">
        <v>0</v>
      </c>
      <c r="F237" s="239">
        <v>78790098</v>
      </c>
      <c r="G237" s="239">
        <v>0</v>
      </c>
      <c r="H237" s="239">
        <v>0</v>
      </c>
      <c r="I237" s="239">
        <v>0</v>
      </c>
      <c r="J237" s="239">
        <v>-238463</v>
      </c>
      <c r="K237" s="239">
        <v>0</v>
      </c>
      <c r="L237" s="239">
        <v>-238463</v>
      </c>
      <c r="M237" s="239">
        <v>0</v>
      </c>
      <c r="N237" s="239">
        <v>0</v>
      </c>
      <c r="O237" s="239">
        <v>0</v>
      </c>
      <c r="P237" s="239">
        <v>-339514</v>
      </c>
      <c r="Q237" s="239">
        <v>0</v>
      </c>
      <c r="R237" s="239">
        <v>-339514</v>
      </c>
      <c r="S237" s="239">
        <v>2326044</v>
      </c>
      <c r="T237" s="239">
        <v>0</v>
      </c>
      <c r="U237" s="239">
        <v>2326044</v>
      </c>
      <c r="V237" s="239">
        <v>217169</v>
      </c>
      <c r="W237" s="239">
        <v>0</v>
      </c>
      <c r="X237" s="239">
        <v>217169</v>
      </c>
      <c r="Y237" s="239">
        <v>80993797</v>
      </c>
      <c r="Z237" s="239">
        <v>0</v>
      </c>
      <c r="AA237" s="239">
        <v>80993797</v>
      </c>
      <c r="AB237" s="239">
        <v>0</v>
      </c>
      <c r="AC237" s="239">
        <v>0</v>
      </c>
      <c r="AD237" s="239">
        <v>481243</v>
      </c>
      <c r="AE237" s="239">
        <v>0</v>
      </c>
      <c r="AF237" s="239">
        <v>481243</v>
      </c>
      <c r="AG237" s="239">
        <v>0</v>
      </c>
      <c r="AH237" s="239">
        <v>0</v>
      </c>
      <c r="AI237" s="239">
        <v>0</v>
      </c>
      <c r="AJ237" s="239">
        <v>0</v>
      </c>
      <c r="AK237" s="239">
        <v>0</v>
      </c>
      <c r="AL237" s="239">
        <v>3619020</v>
      </c>
      <c r="AM237" s="239">
        <v>-3363560</v>
      </c>
      <c r="AN237" s="214" t="s">
        <v>555</v>
      </c>
      <c r="AO237" s="214" t="s">
        <v>747</v>
      </c>
      <c r="AP237" s="214" t="s">
        <v>832</v>
      </c>
      <c r="AQ237" s="214" t="s">
        <v>747</v>
      </c>
    </row>
    <row r="238" spans="2:43" x14ac:dyDescent="0.2">
      <c r="B238" s="609" t="s">
        <v>558</v>
      </c>
      <c r="C238" s="609" t="s">
        <v>557</v>
      </c>
      <c r="D238" s="239">
        <v>99093139</v>
      </c>
      <c r="E238" s="239">
        <v>0</v>
      </c>
      <c r="F238" s="239">
        <v>99093139</v>
      </c>
      <c r="G238" s="239">
        <v>-4643</v>
      </c>
      <c r="H238" s="239">
        <v>0</v>
      </c>
      <c r="I238" s="239">
        <v>-4643</v>
      </c>
      <c r="J238" s="239">
        <v>-1326883</v>
      </c>
      <c r="K238" s="239">
        <v>0</v>
      </c>
      <c r="L238" s="239">
        <v>-1326883</v>
      </c>
      <c r="M238" s="239">
        <v>0</v>
      </c>
      <c r="N238" s="239">
        <v>0</v>
      </c>
      <c r="O238" s="239">
        <v>0</v>
      </c>
      <c r="P238" s="239">
        <v>-1091546</v>
      </c>
      <c r="Q238" s="239">
        <v>0</v>
      </c>
      <c r="R238" s="239">
        <v>-1091546</v>
      </c>
      <c r="S238" s="239">
        <v>1688801</v>
      </c>
      <c r="T238" s="239">
        <v>0</v>
      </c>
      <c r="U238" s="239">
        <v>1688801</v>
      </c>
      <c r="V238" s="239">
        <v>-1873272</v>
      </c>
      <c r="W238" s="239">
        <v>0</v>
      </c>
      <c r="X238" s="239">
        <v>-1873272</v>
      </c>
      <c r="Y238" s="239">
        <v>97812479</v>
      </c>
      <c r="Z238" s="239">
        <v>0</v>
      </c>
      <c r="AA238" s="239">
        <v>97812479</v>
      </c>
      <c r="AB238" s="239">
        <v>0</v>
      </c>
      <c r="AC238" s="239">
        <v>0</v>
      </c>
      <c r="AD238" s="239">
        <v>0</v>
      </c>
      <c r="AE238" s="239">
        <v>0</v>
      </c>
      <c r="AF238" s="239">
        <v>0</v>
      </c>
      <c r="AG238" s="239">
        <v>0</v>
      </c>
      <c r="AH238" s="239">
        <v>0</v>
      </c>
      <c r="AI238" s="239">
        <v>0</v>
      </c>
      <c r="AJ238" s="239">
        <v>0</v>
      </c>
      <c r="AK238" s="239">
        <v>0</v>
      </c>
      <c r="AL238" s="239">
        <v>4041585</v>
      </c>
      <c r="AM238" s="239">
        <v>-596810</v>
      </c>
      <c r="AN238" s="214" t="s">
        <v>863</v>
      </c>
      <c r="AO238" s="214" t="s">
        <v>747</v>
      </c>
      <c r="AP238" s="214" t="s">
        <v>768</v>
      </c>
      <c r="AQ238" s="214" t="s">
        <v>747</v>
      </c>
    </row>
    <row r="239" spans="2:43" x14ac:dyDescent="0.2">
      <c r="B239" s="609" t="s">
        <v>560</v>
      </c>
      <c r="C239" s="609" t="s">
        <v>559</v>
      </c>
      <c r="D239" s="239">
        <v>116101566</v>
      </c>
      <c r="E239" s="239">
        <v>0</v>
      </c>
      <c r="F239" s="239">
        <v>116101566</v>
      </c>
      <c r="G239" s="239">
        <v>0</v>
      </c>
      <c r="H239" s="239">
        <v>0</v>
      </c>
      <c r="I239" s="239">
        <v>0</v>
      </c>
      <c r="J239" s="239">
        <v>-356906</v>
      </c>
      <c r="K239" s="239">
        <v>0</v>
      </c>
      <c r="L239" s="239">
        <v>-356906</v>
      </c>
      <c r="M239" s="239">
        <v>0</v>
      </c>
      <c r="N239" s="239">
        <v>0</v>
      </c>
      <c r="O239" s="239">
        <v>0</v>
      </c>
      <c r="P239" s="239">
        <v>-609313</v>
      </c>
      <c r="Q239" s="239">
        <v>0</v>
      </c>
      <c r="R239" s="239">
        <v>-609313</v>
      </c>
      <c r="S239" s="239">
        <v>7021780</v>
      </c>
      <c r="T239" s="239">
        <v>0</v>
      </c>
      <c r="U239" s="239">
        <v>7021780</v>
      </c>
      <c r="V239" s="239">
        <v>-8510211</v>
      </c>
      <c r="W239" s="239">
        <v>0</v>
      </c>
      <c r="X239" s="239">
        <v>-8510211</v>
      </c>
      <c r="Y239" s="239">
        <v>114003822</v>
      </c>
      <c r="Z239" s="239">
        <v>0</v>
      </c>
      <c r="AA239" s="239">
        <v>114003822</v>
      </c>
      <c r="AB239" s="239">
        <v>0</v>
      </c>
      <c r="AC239" s="239">
        <v>0</v>
      </c>
      <c r="AD239" s="239">
        <v>0</v>
      </c>
      <c r="AE239" s="239">
        <v>0</v>
      </c>
      <c r="AF239" s="239">
        <v>0</v>
      </c>
      <c r="AG239" s="239">
        <v>0</v>
      </c>
      <c r="AH239" s="239">
        <v>0</v>
      </c>
      <c r="AI239" s="239">
        <v>0</v>
      </c>
      <c r="AJ239" s="239">
        <v>0</v>
      </c>
      <c r="AK239" s="239">
        <v>0</v>
      </c>
      <c r="AL239" s="239">
        <v>3340899</v>
      </c>
      <c r="AM239" s="239">
        <v>-5330146</v>
      </c>
      <c r="AN239" s="214" t="s">
        <v>559</v>
      </c>
      <c r="AO239" s="214" t="s">
        <v>767</v>
      </c>
      <c r="AP239" s="214" t="s">
        <v>765</v>
      </c>
      <c r="AQ239" s="214" t="s">
        <v>1192</v>
      </c>
    </row>
    <row r="240" spans="2:43" x14ac:dyDescent="0.2">
      <c r="B240" s="609" t="s">
        <v>562</v>
      </c>
      <c r="C240" s="609" t="s">
        <v>561</v>
      </c>
      <c r="D240" s="239">
        <v>31420356</v>
      </c>
      <c r="E240" s="239">
        <v>0</v>
      </c>
      <c r="F240" s="239">
        <v>31420356</v>
      </c>
      <c r="G240" s="239">
        <v>0</v>
      </c>
      <c r="H240" s="239">
        <v>0</v>
      </c>
      <c r="I240" s="239">
        <v>0</v>
      </c>
      <c r="J240" s="239">
        <v>-46556</v>
      </c>
      <c r="K240" s="239">
        <v>0</v>
      </c>
      <c r="L240" s="239">
        <v>-46556</v>
      </c>
      <c r="M240" s="239">
        <v>0</v>
      </c>
      <c r="N240" s="239">
        <v>0</v>
      </c>
      <c r="O240" s="239">
        <v>0</v>
      </c>
      <c r="P240" s="239">
        <v>-202556</v>
      </c>
      <c r="Q240" s="239">
        <v>0</v>
      </c>
      <c r="R240" s="239">
        <v>-202556</v>
      </c>
      <c r="S240" s="239">
        <v>119453</v>
      </c>
      <c r="T240" s="239">
        <v>0</v>
      </c>
      <c r="U240" s="239">
        <v>119453</v>
      </c>
      <c r="V240" s="239">
        <v>-390927</v>
      </c>
      <c r="W240" s="239">
        <v>0</v>
      </c>
      <c r="X240" s="239">
        <v>-390927</v>
      </c>
      <c r="Y240" s="239">
        <v>30946326</v>
      </c>
      <c r="Z240" s="239">
        <v>0</v>
      </c>
      <c r="AA240" s="239">
        <v>30946326</v>
      </c>
      <c r="AB240" s="239">
        <v>0</v>
      </c>
      <c r="AC240" s="239">
        <v>0</v>
      </c>
      <c r="AD240" s="239">
        <v>0</v>
      </c>
      <c r="AE240" s="239">
        <v>0</v>
      </c>
      <c r="AF240" s="239">
        <v>0</v>
      </c>
      <c r="AG240" s="239">
        <v>0</v>
      </c>
      <c r="AH240" s="239">
        <v>0</v>
      </c>
      <c r="AI240" s="239">
        <v>0</v>
      </c>
      <c r="AJ240" s="239">
        <v>0</v>
      </c>
      <c r="AK240" s="239">
        <v>0</v>
      </c>
      <c r="AL240" s="239">
        <v>1337257</v>
      </c>
      <c r="AM240" s="239">
        <v>-453932</v>
      </c>
      <c r="AN240" s="214" t="s">
        <v>561</v>
      </c>
      <c r="AO240" s="214" t="s">
        <v>760</v>
      </c>
      <c r="AP240" s="214" t="s">
        <v>758</v>
      </c>
      <c r="AQ240" s="214" t="s">
        <v>1190</v>
      </c>
    </row>
    <row r="241" spans="2:43" x14ac:dyDescent="0.2">
      <c r="B241" s="609" t="s">
        <v>564</v>
      </c>
      <c r="C241" s="609" t="s">
        <v>563</v>
      </c>
      <c r="D241" s="239">
        <v>78402866</v>
      </c>
      <c r="E241" s="239">
        <v>500157</v>
      </c>
      <c r="F241" s="239">
        <v>78903023</v>
      </c>
      <c r="G241" s="239">
        <v>-430</v>
      </c>
      <c r="H241" s="239">
        <v>0</v>
      </c>
      <c r="I241" s="239">
        <v>-430</v>
      </c>
      <c r="J241" s="239">
        <v>-57772</v>
      </c>
      <c r="K241" s="239">
        <v>0</v>
      </c>
      <c r="L241" s="239">
        <v>-57772</v>
      </c>
      <c r="M241" s="239">
        <v>0</v>
      </c>
      <c r="N241" s="239">
        <v>0</v>
      </c>
      <c r="O241" s="239">
        <v>0</v>
      </c>
      <c r="P241" s="239">
        <v>-141622</v>
      </c>
      <c r="Q241" s="239">
        <v>0</v>
      </c>
      <c r="R241" s="239">
        <v>-141622</v>
      </c>
      <c r="S241" s="239">
        <v>2840812</v>
      </c>
      <c r="T241" s="239">
        <v>0</v>
      </c>
      <c r="U241" s="239">
        <v>2840812</v>
      </c>
      <c r="V241" s="239">
        <v>-3214883</v>
      </c>
      <c r="W241" s="239">
        <v>0</v>
      </c>
      <c r="X241" s="239">
        <v>-3214883</v>
      </c>
      <c r="Y241" s="239">
        <v>77886743</v>
      </c>
      <c r="Z241" s="239">
        <v>500157</v>
      </c>
      <c r="AA241" s="239">
        <v>78386900</v>
      </c>
      <c r="AB241" s="239">
        <v>500157</v>
      </c>
      <c r="AC241" s="239">
        <v>500157</v>
      </c>
      <c r="AD241" s="239">
        <v>1009805</v>
      </c>
      <c r="AE241" s="239">
        <v>0</v>
      </c>
      <c r="AF241" s="239">
        <v>1009805</v>
      </c>
      <c r="AG241" s="239">
        <v>0</v>
      </c>
      <c r="AH241" s="239">
        <v>0</v>
      </c>
      <c r="AI241" s="239">
        <v>0</v>
      </c>
      <c r="AJ241" s="239">
        <v>0</v>
      </c>
      <c r="AK241" s="239">
        <v>500157</v>
      </c>
      <c r="AL241" s="239">
        <v>331559</v>
      </c>
      <c r="AM241" s="239">
        <v>-2495466</v>
      </c>
      <c r="AN241" s="214" t="s">
        <v>563</v>
      </c>
      <c r="AO241" s="214" t="s">
        <v>861</v>
      </c>
      <c r="AP241" s="214" t="s">
        <v>859</v>
      </c>
      <c r="AQ241" s="214" t="s">
        <v>1190</v>
      </c>
    </row>
    <row r="242" spans="2:43" x14ac:dyDescent="0.2">
      <c r="B242" s="609" t="s">
        <v>566</v>
      </c>
      <c r="C242" s="609" t="s">
        <v>565</v>
      </c>
      <c r="D242" s="239">
        <v>23786839</v>
      </c>
      <c r="E242" s="239">
        <v>0</v>
      </c>
      <c r="F242" s="239">
        <v>23786839</v>
      </c>
      <c r="G242" s="239">
        <v>0</v>
      </c>
      <c r="H242" s="239">
        <v>0</v>
      </c>
      <c r="I242" s="239">
        <v>0</v>
      </c>
      <c r="J242" s="239">
        <v>-136968</v>
      </c>
      <c r="K242" s="239">
        <v>0</v>
      </c>
      <c r="L242" s="239">
        <v>-136968</v>
      </c>
      <c r="M242" s="239">
        <v>0</v>
      </c>
      <c r="N242" s="239">
        <v>0</v>
      </c>
      <c r="O242" s="239">
        <v>0</v>
      </c>
      <c r="P242" s="239">
        <v>-226030</v>
      </c>
      <c r="Q242" s="239">
        <v>0</v>
      </c>
      <c r="R242" s="239">
        <v>-226030</v>
      </c>
      <c r="S242" s="239">
        <v>541071</v>
      </c>
      <c r="T242" s="239">
        <v>0</v>
      </c>
      <c r="U242" s="239">
        <v>541071</v>
      </c>
      <c r="V242" s="239">
        <v>-852643</v>
      </c>
      <c r="W242" s="239">
        <v>0</v>
      </c>
      <c r="X242" s="239">
        <v>-852643</v>
      </c>
      <c r="Y242" s="239">
        <v>23249237</v>
      </c>
      <c r="Z242" s="239">
        <v>0</v>
      </c>
      <c r="AA242" s="239">
        <v>23249237</v>
      </c>
      <c r="AB242" s="239">
        <v>0</v>
      </c>
      <c r="AC242" s="239">
        <v>0</v>
      </c>
      <c r="AD242" s="239">
        <v>0</v>
      </c>
      <c r="AE242" s="239">
        <v>0</v>
      </c>
      <c r="AF242" s="239">
        <v>0</v>
      </c>
      <c r="AG242" s="239">
        <v>0</v>
      </c>
      <c r="AH242" s="239">
        <v>0</v>
      </c>
      <c r="AI242" s="239">
        <v>0</v>
      </c>
      <c r="AJ242" s="239">
        <v>0</v>
      </c>
      <c r="AK242" s="239">
        <v>0</v>
      </c>
      <c r="AL242" s="239">
        <v>2187816</v>
      </c>
      <c r="AM242" s="239">
        <v>-774227</v>
      </c>
      <c r="AN242" s="214" t="s">
        <v>565</v>
      </c>
      <c r="AO242" s="214" t="s">
        <v>857</v>
      </c>
      <c r="AP242" s="214" t="s">
        <v>855</v>
      </c>
      <c r="AQ242" s="214" t="s">
        <v>1190</v>
      </c>
    </row>
    <row r="243" spans="2:43" x14ac:dyDescent="0.2">
      <c r="B243" s="609" t="s">
        <v>568</v>
      </c>
      <c r="C243" s="609" t="s">
        <v>567</v>
      </c>
      <c r="D243" s="239">
        <v>133494829</v>
      </c>
      <c r="E243" s="239">
        <v>5298894</v>
      </c>
      <c r="F243" s="239">
        <v>138793723</v>
      </c>
      <c r="G243" s="239">
        <v>0</v>
      </c>
      <c r="H243" s="239">
        <v>0</v>
      </c>
      <c r="I243" s="239">
        <v>0</v>
      </c>
      <c r="J243" s="239">
        <v>-303120</v>
      </c>
      <c r="K243" s="239">
        <v>0</v>
      </c>
      <c r="L243" s="239">
        <v>-303120</v>
      </c>
      <c r="M243" s="239">
        <v>-20303</v>
      </c>
      <c r="N243" s="239">
        <v>0</v>
      </c>
      <c r="O243" s="239">
        <v>-20303</v>
      </c>
      <c r="P243" s="239">
        <v>-327112</v>
      </c>
      <c r="Q243" s="239">
        <v>0</v>
      </c>
      <c r="R243" s="239">
        <v>-327112</v>
      </c>
      <c r="S243" s="239">
        <v>4714699</v>
      </c>
      <c r="T243" s="239">
        <v>31218</v>
      </c>
      <c r="U243" s="239">
        <v>4745917</v>
      </c>
      <c r="V243" s="239">
        <v>-2729040</v>
      </c>
      <c r="W243" s="239">
        <v>-66322</v>
      </c>
      <c r="X243" s="239">
        <v>-2795362</v>
      </c>
      <c r="Y243" s="239">
        <v>135133073</v>
      </c>
      <c r="Z243" s="239">
        <v>5263790</v>
      </c>
      <c r="AA243" s="239">
        <v>140396863</v>
      </c>
      <c r="AB243" s="239">
        <v>5263790</v>
      </c>
      <c r="AC243" s="239">
        <v>5263790</v>
      </c>
      <c r="AD243" s="239">
        <v>239306</v>
      </c>
      <c r="AE243" s="239">
        <v>0</v>
      </c>
      <c r="AF243" s="239">
        <v>239306</v>
      </c>
      <c r="AG243" s="239">
        <v>0</v>
      </c>
      <c r="AH243" s="239">
        <v>0</v>
      </c>
      <c r="AI243" s="239">
        <v>645974</v>
      </c>
      <c r="AJ243" s="239">
        <v>645974</v>
      </c>
      <c r="AK243" s="239">
        <v>4617815</v>
      </c>
      <c r="AL243" s="239">
        <v>824835</v>
      </c>
      <c r="AM243" s="239">
        <v>-2488263</v>
      </c>
      <c r="AN243" s="214" t="s">
        <v>854</v>
      </c>
      <c r="AO243" s="214" t="s">
        <v>747</v>
      </c>
      <c r="AP243" s="214" t="s">
        <v>852</v>
      </c>
      <c r="AQ243" s="214" t="s">
        <v>747</v>
      </c>
    </row>
    <row r="244" spans="2:43" x14ac:dyDescent="0.2">
      <c r="B244" s="609" t="s">
        <v>570</v>
      </c>
      <c r="C244" s="609" t="s">
        <v>569</v>
      </c>
      <c r="D244" s="239">
        <v>30856048</v>
      </c>
      <c r="E244" s="239">
        <v>0</v>
      </c>
      <c r="F244" s="239">
        <v>30856048</v>
      </c>
      <c r="G244" s="239">
        <v>0</v>
      </c>
      <c r="H244" s="239">
        <v>0</v>
      </c>
      <c r="I244" s="239">
        <v>0</v>
      </c>
      <c r="J244" s="239">
        <v>-68781</v>
      </c>
      <c r="K244" s="239">
        <v>0</v>
      </c>
      <c r="L244" s="239">
        <v>-68781</v>
      </c>
      <c r="M244" s="239">
        <v>0</v>
      </c>
      <c r="N244" s="239">
        <v>0</v>
      </c>
      <c r="O244" s="239">
        <v>0</v>
      </c>
      <c r="P244" s="239">
        <v>-340737</v>
      </c>
      <c r="Q244" s="239">
        <v>0</v>
      </c>
      <c r="R244" s="239">
        <v>-340737</v>
      </c>
      <c r="S244" s="239">
        <v>27470175</v>
      </c>
      <c r="T244" s="239">
        <v>0</v>
      </c>
      <c r="U244" s="239">
        <v>27470175</v>
      </c>
      <c r="V244" s="239">
        <v>-335596</v>
      </c>
      <c r="W244" s="239">
        <v>0</v>
      </c>
      <c r="X244" s="239">
        <v>-335596</v>
      </c>
      <c r="Y244" s="239">
        <v>57649890</v>
      </c>
      <c r="Z244" s="239">
        <v>0</v>
      </c>
      <c r="AA244" s="239">
        <v>57649890</v>
      </c>
      <c r="AB244" s="239">
        <v>0</v>
      </c>
      <c r="AC244" s="239">
        <v>0</v>
      </c>
      <c r="AD244" s="239">
        <v>0</v>
      </c>
      <c r="AE244" s="239">
        <v>0</v>
      </c>
      <c r="AF244" s="239">
        <v>0</v>
      </c>
      <c r="AG244" s="239">
        <v>0</v>
      </c>
      <c r="AH244" s="239">
        <v>0</v>
      </c>
      <c r="AI244" s="239">
        <v>0</v>
      </c>
      <c r="AJ244" s="239">
        <v>0</v>
      </c>
      <c r="AK244" s="239">
        <v>0</v>
      </c>
      <c r="AL244" s="239">
        <v>2572378</v>
      </c>
      <c r="AM244" s="239">
        <v>-652821</v>
      </c>
      <c r="AN244" s="214" t="s">
        <v>569</v>
      </c>
      <c r="AO244" s="214" t="s">
        <v>799</v>
      </c>
      <c r="AP244" s="214" t="s">
        <v>791</v>
      </c>
      <c r="AQ244" s="214" t="s">
        <v>1190</v>
      </c>
    </row>
    <row r="245" spans="2:43" x14ac:dyDescent="0.2">
      <c r="B245" s="609" t="s">
        <v>572</v>
      </c>
      <c r="C245" s="609" t="s">
        <v>571</v>
      </c>
      <c r="D245" s="239">
        <v>26549216</v>
      </c>
      <c r="E245" s="239">
        <v>0</v>
      </c>
      <c r="F245" s="239">
        <v>26549216</v>
      </c>
      <c r="G245" s="239">
        <v>-1965</v>
      </c>
      <c r="H245" s="239">
        <v>0</v>
      </c>
      <c r="I245" s="239">
        <v>-1965</v>
      </c>
      <c r="J245" s="239">
        <v>-202044</v>
      </c>
      <c r="K245" s="239">
        <v>0</v>
      </c>
      <c r="L245" s="239">
        <v>-202044</v>
      </c>
      <c r="M245" s="239">
        <v>0</v>
      </c>
      <c r="N245" s="239">
        <v>0</v>
      </c>
      <c r="O245" s="239">
        <v>0</v>
      </c>
      <c r="P245" s="239">
        <v>-142044</v>
      </c>
      <c r="Q245" s="239">
        <v>0</v>
      </c>
      <c r="R245" s="239">
        <v>-142044</v>
      </c>
      <c r="S245" s="239">
        <v>148345</v>
      </c>
      <c r="T245" s="239">
        <v>0</v>
      </c>
      <c r="U245" s="239">
        <v>148345</v>
      </c>
      <c r="V245" s="239">
        <v>-521027</v>
      </c>
      <c r="W245" s="239">
        <v>0</v>
      </c>
      <c r="X245" s="239">
        <v>-521027</v>
      </c>
      <c r="Y245" s="239">
        <v>26032525</v>
      </c>
      <c r="Z245" s="239">
        <v>0</v>
      </c>
      <c r="AA245" s="239">
        <v>26032525</v>
      </c>
      <c r="AB245" s="239">
        <v>0</v>
      </c>
      <c r="AC245" s="239">
        <v>0</v>
      </c>
      <c r="AD245" s="239">
        <v>242898</v>
      </c>
      <c r="AE245" s="239">
        <v>0</v>
      </c>
      <c r="AF245" s="239">
        <v>242898</v>
      </c>
      <c r="AG245" s="239">
        <v>0</v>
      </c>
      <c r="AH245" s="239">
        <v>0</v>
      </c>
      <c r="AI245" s="239">
        <v>0</v>
      </c>
      <c r="AJ245" s="239">
        <v>0</v>
      </c>
      <c r="AK245" s="239">
        <v>0</v>
      </c>
      <c r="AL245" s="239">
        <v>1232684</v>
      </c>
      <c r="AM245" s="239">
        <v>-853412</v>
      </c>
      <c r="AN245" s="214" t="s">
        <v>571</v>
      </c>
      <c r="AO245" s="214" t="s">
        <v>797</v>
      </c>
      <c r="AP245" s="214" t="s">
        <v>762</v>
      </c>
      <c r="AQ245" s="214" t="s">
        <v>1190</v>
      </c>
    </row>
    <row r="246" spans="2:43" x14ac:dyDescent="0.2">
      <c r="B246" s="609" t="s">
        <v>574</v>
      </c>
      <c r="C246" s="609" t="s">
        <v>573</v>
      </c>
      <c r="D246" s="239">
        <v>42226643</v>
      </c>
      <c r="E246" s="239">
        <v>0</v>
      </c>
      <c r="F246" s="239">
        <v>42226643</v>
      </c>
      <c r="G246" s="239">
        <v>0</v>
      </c>
      <c r="H246" s="239">
        <v>0</v>
      </c>
      <c r="I246" s="239">
        <v>0</v>
      </c>
      <c r="J246" s="239">
        <v>0</v>
      </c>
      <c r="K246" s="239">
        <v>0</v>
      </c>
      <c r="L246" s="239">
        <v>0</v>
      </c>
      <c r="M246" s="239">
        <v>-161810</v>
      </c>
      <c r="N246" s="239">
        <v>0</v>
      </c>
      <c r="O246" s="239">
        <v>-161810</v>
      </c>
      <c r="P246" s="239">
        <v>-70000</v>
      </c>
      <c r="Q246" s="239">
        <v>0</v>
      </c>
      <c r="R246" s="239">
        <v>-70000</v>
      </c>
      <c r="S246" s="239">
        <v>522135</v>
      </c>
      <c r="T246" s="239">
        <v>0</v>
      </c>
      <c r="U246" s="239">
        <v>522135</v>
      </c>
      <c r="V246" s="239">
        <v>-1328159</v>
      </c>
      <c r="W246" s="239">
        <v>0</v>
      </c>
      <c r="X246" s="239">
        <v>-1328159</v>
      </c>
      <c r="Y246" s="239">
        <v>41188809</v>
      </c>
      <c r="Z246" s="239">
        <v>0</v>
      </c>
      <c r="AA246" s="239">
        <v>41188809</v>
      </c>
      <c r="AB246" s="239">
        <v>0</v>
      </c>
      <c r="AC246" s="239">
        <v>0</v>
      </c>
      <c r="AD246" s="239">
        <v>21517</v>
      </c>
      <c r="AE246" s="239">
        <v>0</v>
      </c>
      <c r="AF246" s="239">
        <v>21517</v>
      </c>
      <c r="AG246" s="239">
        <v>0</v>
      </c>
      <c r="AH246" s="239">
        <v>0</v>
      </c>
      <c r="AI246" s="239">
        <v>0</v>
      </c>
      <c r="AJ246" s="239">
        <v>0</v>
      </c>
      <c r="AK246" s="239">
        <v>0</v>
      </c>
      <c r="AL246" s="239">
        <v>1521799</v>
      </c>
      <c r="AM246" s="239">
        <v>-1939273</v>
      </c>
      <c r="AN246" s="214" t="s">
        <v>573</v>
      </c>
      <c r="AO246" s="214" t="s">
        <v>797</v>
      </c>
      <c r="AP246" s="214" t="s">
        <v>762</v>
      </c>
      <c r="AQ246" s="214" t="s">
        <v>1190</v>
      </c>
    </row>
    <row r="247" spans="2:43" x14ac:dyDescent="0.2">
      <c r="B247" s="609" t="s">
        <v>576</v>
      </c>
      <c r="C247" s="609" t="s">
        <v>575</v>
      </c>
      <c r="D247" s="239">
        <v>40645513</v>
      </c>
      <c r="E247" s="239">
        <v>0</v>
      </c>
      <c r="F247" s="239">
        <v>40645513</v>
      </c>
      <c r="G247" s="239">
        <v>0</v>
      </c>
      <c r="H247" s="239">
        <v>0</v>
      </c>
      <c r="I247" s="239">
        <v>0</v>
      </c>
      <c r="J247" s="239">
        <v>-296808</v>
      </c>
      <c r="K247" s="239">
        <v>0</v>
      </c>
      <c r="L247" s="239">
        <v>-296808</v>
      </c>
      <c r="M247" s="239">
        <v>0</v>
      </c>
      <c r="N247" s="239">
        <v>0</v>
      </c>
      <c r="O247" s="239">
        <v>0</v>
      </c>
      <c r="P247" s="239">
        <v>-169531</v>
      </c>
      <c r="Q247" s="239">
        <v>0</v>
      </c>
      <c r="R247" s="239">
        <v>-169531</v>
      </c>
      <c r="S247" s="239">
        <v>1781000</v>
      </c>
      <c r="T247" s="239">
        <v>0</v>
      </c>
      <c r="U247" s="239">
        <v>1781000</v>
      </c>
      <c r="V247" s="239">
        <v>-2220900</v>
      </c>
      <c r="W247" s="239">
        <v>0</v>
      </c>
      <c r="X247" s="239">
        <v>-2220900</v>
      </c>
      <c r="Y247" s="239">
        <v>40036082</v>
      </c>
      <c r="Z247" s="239">
        <v>0</v>
      </c>
      <c r="AA247" s="239">
        <v>40036082</v>
      </c>
      <c r="AB247" s="239">
        <v>0</v>
      </c>
      <c r="AC247" s="239">
        <v>0</v>
      </c>
      <c r="AD247" s="239">
        <v>0</v>
      </c>
      <c r="AE247" s="239">
        <v>0</v>
      </c>
      <c r="AF247" s="239">
        <v>0</v>
      </c>
      <c r="AG247" s="239">
        <v>0</v>
      </c>
      <c r="AH247" s="239">
        <v>0</v>
      </c>
      <c r="AI247" s="239">
        <v>0</v>
      </c>
      <c r="AJ247" s="239">
        <v>0</v>
      </c>
      <c r="AK247" s="239">
        <v>0</v>
      </c>
      <c r="AL247" s="239">
        <v>1261262</v>
      </c>
      <c r="AM247" s="239">
        <v>-668674</v>
      </c>
      <c r="AN247" s="214" t="s">
        <v>575</v>
      </c>
      <c r="AO247" s="214" t="s">
        <v>850</v>
      </c>
      <c r="AP247" s="214" t="s">
        <v>762</v>
      </c>
      <c r="AQ247" s="214" t="s">
        <v>1190</v>
      </c>
    </row>
    <row r="248" spans="2:43" x14ac:dyDescent="0.2">
      <c r="B248" s="609" t="s">
        <v>578</v>
      </c>
      <c r="C248" s="609" t="s">
        <v>577</v>
      </c>
      <c r="D248" s="239">
        <v>31236434</v>
      </c>
      <c r="E248" s="239">
        <v>-48906</v>
      </c>
      <c r="F248" s="239">
        <v>31187528</v>
      </c>
      <c r="G248" s="239">
        <v>0</v>
      </c>
      <c r="H248" s="239">
        <v>0</v>
      </c>
      <c r="I248" s="239">
        <v>0</v>
      </c>
      <c r="J248" s="239">
        <v>-36044</v>
      </c>
      <c r="K248" s="239">
        <v>0</v>
      </c>
      <c r="L248" s="239">
        <v>-36044</v>
      </c>
      <c r="M248" s="239">
        <v>0</v>
      </c>
      <c r="N248" s="239">
        <v>0</v>
      </c>
      <c r="O248" s="239">
        <v>0</v>
      </c>
      <c r="P248" s="239">
        <v>-222819</v>
      </c>
      <c r="Q248" s="239">
        <v>0</v>
      </c>
      <c r="R248" s="239">
        <v>-222819</v>
      </c>
      <c r="S248" s="239">
        <v>560113</v>
      </c>
      <c r="T248" s="239">
        <v>0</v>
      </c>
      <c r="U248" s="239">
        <v>560113</v>
      </c>
      <c r="V248" s="239">
        <v>-1605977</v>
      </c>
      <c r="W248" s="239">
        <v>-8851</v>
      </c>
      <c r="X248" s="239">
        <v>-1614828</v>
      </c>
      <c r="Y248" s="239">
        <v>29967751</v>
      </c>
      <c r="Z248" s="239">
        <v>-57757</v>
      </c>
      <c r="AA248" s="239">
        <v>29909994</v>
      </c>
      <c r="AB248" s="239">
        <v>-57757</v>
      </c>
      <c r="AC248" s="239">
        <v>-57757</v>
      </c>
      <c r="AD248" s="239">
        <v>160655</v>
      </c>
      <c r="AE248" s="239">
        <v>0</v>
      </c>
      <c r="AF248" s="239">
        <v>160655</v>
      </c>
      <c r="AG248" s="239">
        <v>0</v>
      </c>
      <c r="AH248" s="239">
        <v>0</v>
      </c>
      <c r="AI248" s="239">
        <v>195392</v>
      </c>
      <c r="AJ248" s="239">
        <v>195392</v>
      </c>
      <c r="AK248" s="239">
        <v>0</v>
      </c>
      <c r="AL248" s="239">
        <v>1659192</v>
      </c>
      <c r="AM248" s="239">
        <v>-286779</v>
      </c>
      <c r="AN248" s="214" t="s">
        <v>577</v>
      </c>
      <c r="AO248" s="214" t="s">
        <v>848</v>
      </c>
      <c r="AP248" s="214" t="s">
        <v>762</v>
      </c>
      <c r="AQ248" s="214" t="s">
        <v>1190</v>
      </c>
    </row>
    <row r="249" spans="2:43" x14ac:dyDescent="0.2">
      <c r="B249" s="609" t="s">
        <v>580</v>
      </c>
      <c r="C249" s="609" t="s">
        <v>579</v>
      </c>
      <c r="D249" s="239">
        <v>23069233</v>
      </c>
      <c r="E249" s="239">
        <v>0</v>
      </c>
      <c r="F249" s="239">
        <v>23069233</v>
      </c>
      <c r="G249" s="239">
        <v>0</v>
      </c>
      <c r="H249" s="239">
        <v>0</v>
      </c>
      <c r="I249" s="239">
        <v>0</v>
      </c>
      <c r="J249" s="239">
        <v>0</v>
      </c>
      <c r="K249" s="239">
        <v>0</v>
      </c>
      <c r="L249" s="239">
        <v>0</v>
      </c>
      <c r="M249" s="239">
        <v>-9300</v>
      </c>
      <c r="N249" s="239">
        <v>0</v>
      </c>
      <c r="O249" s="239">
        <v>-9300</v>
      </c>
      <c r="P249" s="239">
        <v>-198050</v>
      </c>
      <c r="Q249" s="239">
        <v>0</v>
      </c>
      <c r="R249" s="239">
        <v>-198050</v>
      </c>
      <c r="S249" s="239">
        <v>990406</v>
      </c>
      <c r="T249" s="239">
        <v>0</v>
      </c>
      <c r="U249" s="239">
        <v>990406</v>
      </c>
      <c r="V249" s="239">
        <v>-775081</v>
      </c>
      <c r="W249" s="239">
        <v>0</v>
      </c>
      <c r="X249" s="239">
        <v>-775081</v>
      </c>
      <c r="Y249" s="239">
        <v>23077208</v>
      </c>
      <c r="Z249" s="239">
        <v>0</v>
      </c>
      <c r="AA249" s="239">
        <v>23077208</v>
      </c>
      <c r="AB249" s="239">
        <v>0</v>
      </c>
      <c r="AC249" s="239">
        <v>0</v>
      </c>
      <c r="AD249" s="239">
        <v>363983</v>
      </c>
      <c r="AE249" s="239">
        <v>0</v>
      </c>
      <c r="AF249" s="239">
        <v>363983</v>
      </c>
      <c r="AG249" s="239">
        <v>0</v>
      </c>
      <c r="AH249" s="239">
        <v>0</v>
      </c>
      <c r="AI249" s="239">
        <v>0</v>
      </c>
      <c r="AJ249" s="239">
        <v>0</v>
      </c>
      <c r="AK249" s="239">
        <v>0</v>
      </c>
      <c r="AL249" s="239">
        <v>972054</v>
      </c>
      <c r="AM249" s="239">
        <v>-1145626</v>
      </c>
      <c r="AN249" s="214" t="s">
        <v>579</v>
      </c>
      <c r="AO249" s="214" t="s">
        <v>804</v>
      </c>
      <c r="AP249" s="214" t="s">
        <v>762</v>
      </c>
      <c r="AQ249" s="214" t="s">
        <v>1190</v>
      </c>
    </row>
    <row r="250" spans="2:43" x14ac:dyDescent="0.2">
      <c r="B250" s="609" t="s">
        <v>582</v>
      </c>
      <c r="C250" s="609" t="s">
        <v>581</v>
      </c>
      <c r="D250" s="239">
        <v>42265681</v>
      </c>
      <c r="E250" s="239">
        <v>236075</v>
      </c>
      <c r="F250" s="239">
        <v>42501756</v>
      </c>
      <c r="G250" s="239">
        <v>0</v>
      </c>
      <c r="H250" s="239">
        <v>0</v>
      </c>
      <c r="I250" s="239">
        <v>0</v>
      </c>
      <c r="J250" s="239">
        <v>-249459</v>
      </c>
      <c r="K250" s="239">
        <v>0</v>
      </c>
      <c r="L250" s="239">
        <v>-249459</v>
      </c>
      <c r="M250" s="239">
        <v>0</v>
      </c>
      <c r="N250" s="239">
        <v>0</v>
      </c>
      <c r="O250" s="239">
        <v>0</v>
      </c>
      <c r="P250" s="239">
        <v>-90619</v>
      </c>
      <c r="Q250" s="239">
        <v>0</v>
      </c>
      <c r="R250" s="239">
        <v>-90619</v>
      </c>
      <c r="S250" s="239">
        <v>1318681</v>
      </c>
      <c r="T250" s="239">
        <v>0</v>
      </c>
      <c r="U250" s="239">
        <v>1318681</v>
      </c>
      <c r="V250" s="239">
        <v>-753711</v>
      </c>
      <c r="W250" s="239">
        <v>0</v>
      </c>
      <c r="X250" s="239">
        <v>-753711</v>
      </c>
      <c r="Y250" s="239">
        <v>42740032</v>
      </c>
      <c r="Z250" s="239">
        <v>236075</v>
      </c>
      <c r="AA250" s="239">
        <v>42976107</v>
      </c>
      <c r="AB250" s="239">
        <v>236075</v>
      </c>
      <c r="AC250" s="239">
        <v>236075</v>
      </c>
      <c r="AD250" s="239">
        <v>187803</v>
      </c>
      <c r="AE250" s="239">
        <v>0</v>
      </c>
      <c r="AF250" s="239">
        <v>187803</v>
      </c>
      <c r="AG250" s="239">
        <v>0</v>
      </c>
      <c r="AH250" s="239">
        <v>0</v>
      </c>
      <c r="AI250" s="239">
        <v>187027</v>
      </c>
      <c r="AJ250" s="239">
        <v>187027</v>
      </c>
      <c r="AK250" s="239">
        <v>49058</v>
      </c>
      <c r="AL250" s="239">
        <v>1952648</v>
      </c>
      <c r="AM250" s="239">
        <v>-1433530</v>
      </c>
      <c r="AN250" s="214" t="s">
        <v>581</v>
      </c>
      <c r="AO250" s="214" t="s">
        <v>795</v>
      </c>
      <c r="AP250" s="214" t="s">
        <v>762</v>
      </c>
      <c r="AQ250" s="214" t="s">
        <v>1190</v>
      </c>
    </row>
    <row r="251" spans="2:43" x14ac:dyDescent="0.2">
      <c r="B251" s="609" t="s">
        <v>584</v>
      </c>
      <c r="C251" s="609" t="s">
        <v>583</v>
      </c>
      <c r="D251" s="239">
        <v>39508051</v>
      </c>
      <c r="E251" s="239">
        <v>0</v>
      </c>
      <c r="F251" s="239">
        <v>39508051</v>
      </c>
      <c r="G251" s="239">
        <v>0</v>
      </c>
      <c r="H251" s="239">
        <v>0</v>
      </c>
      <c r="I251" s="239">
        <v>0</v>
      </c>
      <c r="J251" s="239">
        <v>-195161</v>
      </c>
      <c r="K251" s="239">
        <v>0</v>
      </c>
      <c r="L251" s="239">
        <v>-195161</v>
      </c>
      <c r="M251" s="239">
        <v>-13128</v>
      </c>
      <c r="N251" s="239">
        <v>0</v>
      </c>
      <c r="O251" s="239">
        <v>-13128</v>
      </c>
      <c r="P251" s="239">
        <v>-97949</v>
      </c>
      <c r="Q251" s="239">
        <v>0</v>
      </c>
      <c r="R251" s="239">
        <v>-97949</v>
      </c>
      <c r="S251" s="239">
        <v>506185</v>
      </c>
      <c r="T251" s="239">
        <v>0</v>
      </c>
      <c r="U251" s="239">
        <v>506185</v>
      </c>
      <c r="V251" s="239">
        <v>-206185</v>
      </c>
      <c r="W251" s="239">
        <v>0</v>
      </c>
      <c r="X251" s="239">
        <v>-206185</v>
      </c>
      <c r="Y251" s="239">
        <v>39696974</v>
      </c>
      <c r="Z251" s="239">
        <v>0</v>
      </c>
      <c r="AA251" s="239">
        <v>39696974</v>
      </c>
      <c r="AB251" s="239">
        <v>0</v>
      </c>
      <c r="AC251" s="239">
        <v>0</v>
      </c>
      <c r="AD251" s="239">
        <v>0</v>
      </c>
      <c r="AE251" s="239">
        <v>0</v>
      </c>
      <c r="AF251" s="239">
        <v>0</v>
      </c>
      <c r="AG251" s="239">
        <v>0</v>
      </c>
      <c r="AH251" s="239">
        <v>0</v>
      </c>
      <c r="AI251" s="239">
        <v>0</v>
      </c>
      <c r="AJ251" s="239">
        <v>0</v>
      </c>
      <c r="AK251" s="239">
        <v>0</v>
      </c>
      <c r="AL251" s="239">
        <v>1154359</v>
      </c>
      <c r="AM251" s="239">
        <v>-771409</v>
      </c>
      <c r="AN251" s="214" t="s">
        <v>583</v>
      </c>
      <c r="AO251" s="214" t="s">
        <v>756</v>
      </c>
      <c r="AP251" s="214" t="s">
        <v>754</v>
      </c>
      <c r="AQ251" s="214" t="s">
        <v>1190</v>
      </c>
    </row>
    <row r="252" spans="2:43" x14ac:dyDescent="0.2">
      <c r="B252" s="609" t="s">
        <v>586</v>
      </c>
      <c r="C252" s="609" t="s">
        <v>585</v>
      </c>
      <c r="D252" s="239">
        <v>45617272</v>
      </c>
      <c r="E252" s="239">
        <v>0</v>
      </c>
      <c r="F252" s="239">
        <v>45617272</v>
      </c>
      <c r="G252" s="239">
        <v>-2927</v>
      </c>
      <c r="H252" s="239">
        <v>0</v>
      </c>
      <c r="I252" s="239">
        <v>-2927</v>
      </c>
      <c r="J252" s="239">
        <v>-755394</v>
      </c>
      <c r="K252" s="239">
        <v>0</v>
      </c>
      <c r="L252" s="239">
        <v>-755394</v>
      </c>
      <c r="M252" s="239">
        <v>0</v>
      </c>
      <c r="N252" s="239">
        <v>0</v>
      </c>
      <c r="O252" s="239">
        <v>0</v>
      </c>
      <c r="P252" s="239">
        <v>-389994</v>
      </c>
      <c r="Q252" s="239">
        <v>0</v>
      </c>
      <c r="R252" s="239">
        <v>-389994</v>
      </c>
      <c r="S252" s="239">
        <v>507163</v>
      </c>
      <c r="T252" s="239">
        <v>0</v>
      </c>
      <c r="U252" s="239">
        <v>507163</v>
      </c>
      <c r="V252" s="239">
        <v>-293284</v>
      </c>
      <c r="W252" s="239">
        <v>0</v>
      </c>
      <c r="X252" s="239">
        <v>-293284</v>
      </c>
      <c r="Y252" s="239">
        <v>45438230</v>
      </c>
      <c r="Z252" s="239">
        <v>0</v>
      </c>
      <c r="AA252" s="239">
        <v>45438230</v>
      </c>
      <c r="AB252" s="239">
        <v>0</v>
      </c>
      <c r="AC252" s="239">
        <v>0</v>
      </c>
      <c r="AD252" s="239">
        <v>306877</v>
      </c>
      <c r="AE252" s="239">
        <v>0</v>
      </c>
      <c r="AF252" s="239">
        <v>306877</v>
      </c>
      <c r="AG252" s="239">
        <v>0</v>
      </c>
      <c r="AH252" s="239">
        <v>0</v>
      </c>
      <c r="AI252" s="239">
        <v>0</v>
      </c>
      <c r="AJ252" s="239">
        <v>0</v>
      </c>
      <c r="AK252" s="239">
        <v>0</v>
      </c>
      <c r="AL252" s="239">
        <v>2248694</v>
      </c>
      <c r="AM252" s="239">
        <v>-791598</v>
      </c>
      <c r="AN252" s="214" t="s">
        <v>585</v>
      </c>
      <c r="AO252" s="214" t="s">
        <v>793</v>
      </c>
      <c r="AP252" s="214" t="s">
        <v>791</v>
      </c>
      <c r="AQ252" s="214" t="s">
        <v>1190</v>
      </c>
    </row>
    <row r="253" spans="2:43" x14ac:dyDescent="0.2">
      <c r="B253" s="609" t="s">
        <v>588</v>
      </c>
      <c r="C253" s="609" t="s">
        <v>587</v>
      </c>
      <c r="D253" s="239">
        <v>22200406</v>
      </c>
      <c r="E253" s="239">
        <v>2632935</v>
      </c>
      <c r="F253" s="239">
        <v>24833341</v>
      </c>
      <c r="G253" s="239">
        <v>0</v>
      </c>
      <c r="H253" s="239">
        <v>0</v>
      </c>
      <c r="I253" s="239">
        <v>0</v>
      </c>
      <c r="J253" s="239">
        <v>-117583</v>
      </c>
      <c r="K253" s="239">
        <v>0</v>
      </c>
      <c r="L253" s="239">
        <v>-117583</v>
      </c>
      <c r="M253" s="239">
        <v>0</v>
      </c>
      <c r="N253" s="239">
        <v>0</v>
      </c>
      <c r="O253" s="239">
        <v>0</v>
      </c>
      <c r="P253" s="239">
        <v>-63583</v>
      </c>
      <c r="Q253" s="239">
        <v>0</v>
      </c>
      <c r="R253" s="239">
        <v>-63583</v>
      </c>
      <c r="S253" s="239">
        <v>1207116</v>
      </c>
      <c r="T253" s="239">
        <v>22365</v>
      </c>
      <c r="U253" s="239">
        <v>1229481</v>
      </c>
      <c r="V253" s="239">
        <v>-1135846</v>
      </c>
      <c r="W253" s="239">
        <v>44365</v>
      </c>
      <c r="X253" s="239">
        <v>-1091481</v>
      </c>
      <c r="Y253" s="239">
        <v>22208093</v>
      </c>
      <c r="Z253" s="239">
        <v>2699665</v>
      </c>
      <c r="AA253" s="239">
        <v>24907758</v>
      </c>
      <c r="AB253" s="239">
        <v>2699665</v>
      </c>
      <c r="AC253" s="239">
        <v>2699665</v>
      </c>
      <c r="AD253" s="239">
        <v>255091</v>
      </c>
      <c r="AE253" s="239">
        <v>0</v>
      </c>
      <c r="AF253" s="239">
        <v>255091</v>
      </c>
      <c r="AG253" s="239">
        <v>0</v>
      </c>
      <c r="AH253" s="239">
        <v>0</v>
      </c>
      <c r="AI253" s="239">
        <v>0</v>
      </c>
      <c r="AJ253" s="239">
        <v>0</v>
      </c>
      <c r="AK253" s="239">
        <v>2699665</v>
      </c>
      <c r="AL253" s="239">
        <v>929121</v>
      </c>
      <c r="AM253" s="239">
        <v>-200111</v>
      </c>
      <c r="AN253" s="214" t="s">
        <v>587</v>
      </c>
      <c r="AO253" s="214" t="s">
        <v>837</v>
      </c>
      <c r="AP253" s="214" t="s">
        <v>835</v>
      </c>
      <c r="AQ253" s="214" t="s">
        <v>1190</v>
      </c>
    </row>
    <row r="254" spans="2:43" x14ac:dyDescent="0.2">
      <c r="B254" s="609" t="s">
        <v>590</v>
      </c>
      <c r="C254" s="609" t="s">
        <v>589</v>
      </c>
      <c r="D254" s="239">
        <v>31579730</v>
      </c>
      <c r="E254" s="239">
        <v>0</v>
      </c>
      <c r="F254" s="239">
        <v>31579730</v>
      </c>
      <c r="G254" s="239">
        <v>-145</v>
      </c>
      <c r="H254" s="239">
        <v>0</v>
      </c>
      <c r="I254" s="239">
        <v>-145</v>
      </c>
      <c r="J254" s="239">
        <v>-177905</v>
      </c>
      <c r="K254" s="239">
        <v>0</v>
      </c>
      <c r="L254" s="239">
        <v>-177905</v>
      </c>
      <c r="M254" s="239">
        <v>0</v>
      </c>
      <c r="N254" s="239">
        <v>0</v>
      </c>
      <c r="O254" s="239">
        <v>0</v>
      </c>
      <c r="P254" s="239">
        <v>-232565</v>
      </c>
      <c r="Q254" s="239">
        <v>0</v>
      </c>
      <c r="R254" s="239">
        <v>-232565</v>
      </c>
      <c r="S254" s="239">
        <v>854071</v>
      </c>
      <c r="T254" s="239">
        <v>0</v>
      </c>
      <c r="U254" s="239">
        <v>854071</v>
      </c>
      <c r="V254" s="239">
        <v>-1097944</v>
      </c>
      <c r="W254" s="239">
        <v>0</v>
      </c>
      <c r="X254" s="239">
        <v>-1097944</v>
      </c>
      <c r="Y254" s="239">
        <v>31103147</v>
      </c>
      <c r="Z254" s="239">
        <v>0</v>
      </c>
      <c r="AA254" s="239">
        <v>31103147</v>
      </c>
      <c r="AB254" s="239">
        <v>0</v>
      </c>
      <c r="AC254" s="239">
        <v>0</v>
      </c>
      <c r="AD254" s="239">
        <v>0</v>
      </c>
      <c r="AE254" s="239">
        <v>0</v>
      </c>
      <c r="AF254" s="239">
        <v>0</v>
      </c>
      <c r="AG254" s="239">
        <v>0</v>
      </c>
      <c r="AH254" s="239">
        <v>0</v>
      </c>
      <c r="AI254" s="239">
        <v>0</v>
      </c>
      <c r="AJ254" s="239">
        <v>0</v>
      </c>
      <c r="AK254" s="239">
        <v>0</v>
      </c>
      <c r="AL254" s="239">
        <v>1733829</v>
      </c>
      <c r="AM254" s="239">
        <v>-888093</v>
      </c>
      <c r="AN254" s="214" t="s">
        <v>589</v>
      </c>
      <c r="AO254" s="214" t="s">
        <v>767</v>
      </c>
      <c r="AP254" s="214" t="s">
        <v>840</v>
      </c>
      <c r="AQ254" s="214" t="s">
        <v>1192</v>
      </c>
    </row>
    <row r="255" spans="2:43" x14ac:dyDescent="0.2">
      <c r="B255" s="609" t="s">
        <v>592</v>
      </c>
      <c r="C255" s="609" t="s">
        <v>591</v>
      </c>
      <c r="D255" s="239">
        <v>105692705</v>
      </c>
      <c r="E255" s="239">
        <v>0</v>
      </c>
      <c r="F255" s="239">
        <v>105692705</v>
      </c>
      <c r="G255" s="239">
        <v>-685</v>
      </c>
      <c r="H255" s="239">
        <v>0</v>
      </c>
      <c r="I255" s="239">
        <v>-685</v>
      </c>
      <c r="J255" s="239">
        <v>-1053520</v>
      </c>
      <c r="K255" s="239">
        <v>0</v>
      </c>
      <c r="L255" s="239">
        <v>-1053520</v>
      </c>
      <c r="M255" s="239">
        <v>0</v>
      </c>
      <c r="N255" s="239">
        <v>0</v>
      </c>
      <c r="O255" s="239">
        <v>0</v>
      </c>
      <c r="P255" s="239">
        <v>-2457552</v>
      </c>
      <c r="Q255" s="239">
        <v>0</v>
      </c>
      <c r="R255" s="239">
        <v>-2457552</v>
      </c>
      <c r="S255" s="239">
        <v>5951327</v>
      </c>
      <c r="T255" s="239">
        <v>0</v>
      </c>
      <c r="U255" s="239">
        <v>5951327</v>
      </c>
      <c r="V255" s="239">
        <v>-7696781</v>
      </c>
      <c r="W255" s="239">
        <v>0</v>
      </c>
      <c r="X255" s="239">
        <v>-7696781</v>
      </c>
      <c r="Y255" s="239">
        <v>101489014</v>
      </c>
      <c r="Z255" s="239">
        <v>0</v>
      </c>
      <c r="AA255" s="239">
        <v>101489014</v>
      </c>
      <c r="AB255" s="239">
        <v>0</v>
      </c>
      <c r="AC255" s="239">
        <v>0</v>
      </c>
      <c r="AD255" s="239">
        <v>0</v>
      </c>
      <c r="AE255" s="239">
        <v>0</v>
      </c>
      <c r="AF255" s="239">
        <v>0</v>
      </c>
      <c r="AG255" s="239">
        <v>0</v>
      </c>
      <c r="AH255" s="239">
        <v>0</v>
      </c>
      <c r="AI255" s="239">
        <v>0</v>
      </c>
      <c r="AJ255" s="239">
        <v>0</v>
      </c>
      <c r="AK255" s="239">
        <v>0</v>
      </c>
      <c r="AL255" s="239">
        <v>5590557</v>
      </c>
      <c r="AM255" s="239">
        <v>-2909538</v>
      </c>
      <c r="AN255" s="214" t="s">
        <v>847</v>
      </c>
      <c r="AO255" s="214" t="s">
        <v>747</v>
      </c>
      <c r="AP255" s="214" t="s">
        <v>776</v>
      </c>
      <c r="AQ255" s="214" t="s">
        <v>747</v>
      </c>
    </row>
    <row r="256" spans="2:43" x14ac:dyDescent="0.2">
      <c r="B256" s="609" t="s">
        <v>594</v>
      </c>
      <c r="C256" s="609" t="s">
        <v>593</v>
      </c>
      <c r="D256" s="239">
        <v>48191933</v>
      </c>
      <c r="E256" s="239">
        <v>0</v>
      </c>
      <c r="F256" s="239">
        <v>48191933</v>
      </c>
      <c r="G256" s="239">
        <v>0</v>
      </c>
      <c r="H256" s="239">
        <v>0</v>
      </c>
      <c r="I256" s="239">
        <v>0</v>
      </c>
      <c r="J256" s="239">
        <v>-367085</v>
      </c>
      <c r="K256" s="239">
        <v>0</v>
      </c>
      <c r="L256" s="239">
        <v>-367085</v>
      </c>
      <c r="M256" s="239">
        <v>-187346</v>
      </c>
      <c r="N256" s="239">
        <v>0</v>
      </c>
      <c r="O256" s="239">
        <v>-187346</v>
      </c>
      <c r="P256" s="239">
        <v>-421024</v>
      </c>
      <c r="Q256" s="239">
        <v>0</v>
      </c>
      <c r="R256" s="239">
        <v>-421024</v>
      </c>
      <c r="S256" s="239">
        <v>749370</v>
      </c>
      <c r="T256" s="239">
        <v>0</v>
      </c>
      <c r="U256" s="239">
        <v>749370</v>
      </c>
      <c r="V256" s="239">
        <v>-1508908</v>
      </c>
      <c r="W256" s="239">
        <v>0</v>
      </c>
      <c r="X256" s="239">
        <v>-1508908</v>
      </c>
      <c r="Y256" s="239">
        <v>46824025</v>
      </c>
      <c r="Z256" s="239">
        <v>0</v>
      </c>
      <c r="AA256" s="239">
        <v>46824025</v>
      </c>
      <c r="AB256" s="239">
        <v>0</v>
      </c>
      <c r="AC256" s="239">
        <v>0</v>
      </c>
      <c r="AD256" s="239">
        <v>0</v>
      </c>
      <c r="AE256" s="239">
        <v>0</v>
      </c>
      <c r="AF256" s="239">
        <v>0</v>
      </c>
      <c r="AG256" s="239">
        <v>0</v>
      </c>
      <c r="AH256" s="239">
        <v>0</v>
      </c>
      <c r="AI256" s="239">
        <v>0</v>
      </c>
      <c r="AJ256" s="239">
        <v>0</v>
      </c>
      <c r="AK256" s="239">
        <v>0</v>
      </c>
      <c r="AL256" s="239">
        <v>1728602</v>
      </c>
      <c r="AM256" s="239">
        <v>-1429433</v>
      </c>
      <c r="AN256" s="214" t="s">
        <v>846</v>
      </c>
      <c r="AO256" s="214" t="s">
        <v>747</v>
      </c>
      <c r="AP256" s="214" t="s">
        <v>819</v>
      </c>
      <c r="AQ256" s="214" t="s">
        <v>747</v>
      </c>
    </row>
    <row r="257" spans="2:43" x14ac:dyDescent="0.2">
      <c r="B257" s="609" t="s">
        <v>596</v>
      </c>
      <c r="C257" s="609" t="s">
        <v>595</v>
      </c>
      <c r="D257" s="239">
        <v>256745187</v>
      </c>
      <c r="E257" s="239">
        <v>0</v>
      </c>
      <c r="F257" s="239">
        <v>256745187</v>
      </c>
      <c r="G257" s="239">
        <v>-7912</v>
      </c>
      <c r="H257" s="239">
        <v>0</v>
      </c>
      <c r="I257" s="239">
        <v>-7912</v>
      </c>
      <c r="J257" s="239">
        <v>-1468697</v>
      </c>
      <c r="K257" s="239">
        <v>0</v>
      </c>
      <c r="L257" s="239">
        <v>-1468697</v>
      </c>
      <c r="M257" s="239">
        <v>0</v>
      </c>
      <c r="N257" s="239">
        <v>0</v>
      </c>
      <c r="O257" s="239">
        <v>0</v>
      </c>
      <c r="P257" s="239">
        <v>-3420677</v>
      </c>
      <c r="Q257" s="239">
        <v>0</v>
      </c>
      <c r="R257" s="239">
        <v>-3420677</v>
      </c>
      <c r="S257" s="239">
        <v>6270948</v>
      </c>
      <c r="T257" s="239">
        <v>0</v>
      </c>
      <c r="U257" s="239">
        <v>6270948</v>
      </c>
      <c r="V257" s="239">
        <v>-27342049</v>
      </c>
      <c r="W257" s="239">
        <v>0</v>
      </c>
      <c r="X257" s="239">
        <v>-27342049</v>
      </c>
      <c r="Y257" s="239">
        <v>232245497</v>
      </c>
      <c r="Z257" s="239">
        <v>0</v>
      </c>
      <c r="AA257" s="239">
        <v>232245497</v>
      </c>
      <c r="AB257" s="239">
        <v>0</v>
      </c>
      <c r="AC257" s="239">
        <v>0</v>
      </c>
      <c r="AD257" s="239">
        <v>0</v>
      </c>
      <c r="AE257" s="239">
        <v>0</v>
      </c>
      <c r="AF257" s="239">
        <v>0</v>
      </c>
      <c r="AG257" s="239">
        <v>0</v>
      </c>
      <c r="AH257" s="239">
        <v>0</v>
      </c>
      <c r="AI257" s="239">
        <v>0</v>
      </c>
      <c r="AJ257" s="239">
        <v>0</v>
      </c>
      <c r="AK257" s="239">
        <v>0</v>
      </c>
      <c r="AL257" s="239">
        <v>33635667</v>
      </c>
      <c r="AM257" s="239">
        <v>-17438369</v>
      </c>
      <c r="AN257" s="214" t="s">
        <v>595</v>
      </c>
      <c r="AO257" s="214" t="s">
        <v>789</v>
      </c>
      <c r="AP257" s="214" t="s">
        <v>748</v>
      </c>
      <c r="AQ257" s="214" t="s">
        <v>1193</v>
      </c>
    </row>
    <row r="258" spans="2:43" x14ac:dyDescent="0.2">
      <c r="B258" s="609" t="s">
        <v>598</v>
      </c>
      <c r="C258" s="609" t="s">
        <v>597</v>
      </c>
      <c r="D258" s="239">
        <v>42173171</v>
      </c>
      <c r="E258" s="239">
        <v>0</v>
      </c>
      <c r="F258" s="239">
        <v>42173171</v>
      </c>
      <c r="G258" s="239">
        <v>-2112</v>
      </c>
      <c r="H258" s="239">
        <v>0</v>
      </c>
      <c r="I258" s="239">
        <v>-2112</v>
      </c>
      <c r="J258" s="239">
        <v>-857889</v>
      </c>
      <c r="K258" s="239">
        <v>0</v>
      </c>
      <c r="L258" s="239">
        <v>-857889</v>
      </c>
      <c r="M258" s="239">
        <v>0</v>
      </c>
      <c r="N258" s="239">
        <v>0</v>
      </c>
      <c r="O258" s="239">
        <v>0</v>
      </c>
      <c r="P258" s="239">
        <v>-560000</v>
      </c>
      <c r="Q258" s="239">
        <v>0</v>
      </c>
      <c r="R258" s="239">
        <v>-560000</v>
      </c>
      <c r="S258" s="239">
        <v>798178</v>
      </c>
      <c r="T258" s="239">
        <v>0</v>
      </c>
      <c r="U258" s="239">
        <v>798178</v>
      </c>
      <c r="V258" s="239">
        <v>657451</v>
      </c>
      <c r="W258" s="239">
        <v>0</v>
      </c>
      <c r="X258" s="239">
        <v>657451</v>
      </c>
      <c r="Y258" s="239">
        <v>43066688</v>
      </c>
      <c r="Z258" s="239">
        <v>0</v>
      </c>
      <c r="AA258" s="239">
        <v>43066688</v>
      </c>
      <c r="AB258" s="239">
        <v>0</v>
      </c>
      <c r="AC258" s="239">
        <v>0</v>
      </c>
      <c r="AD258" s="239">
        <v>0</v>
      </c>
      <c r="AE258" s="239">
        <v>0</v>
      </c>
      <c r="AF258" s="239">
        <v>0</v>
      </c>
      <c r="AG258" s="239">
        <v>0</v>
      </c>
      <c r="AH258" s="239">
        <v>0</v>
      </c>
      <c r="AI258" s="239">
        <v>0</v>
      </c>
      <c r="AJ258" s="239">
        <v>0</v>
      </c>
      <c r="AK258" s="239">
        <v>0</v>
      </c>
      <c r="AL258" s="239">
        <v>957253</v>
      </c>
      <c r="AM258" s="239">
        <v>-2354653</v>
      </c>
      <c r="AN258" s="214" t="s">
        <v>597</v>
      </c>
      <c r="AO258" s="214" t="s">
        <v>771</v>
      </c>
      <c r="AP258" s="214" t="s">
        <v>762</v>
      </c>
      <c r="AQ258" s="214" t="s">
        <v>1190</v>
      </c>
    </row>
    <row r="259" spans="2:43" x14ac:dyDescent="0.2">
      <c r="B259" s="609" t="s">
        <v>600</v>
      </c>
      <c r="C259" s="609" t="s">
        <v>599</v>
      </c>
      <c r="D259" s="239">
        <v>61928154</v>
      </c>
      <c r="E259" s="239">
        <v>0</v>
      </c>
      <c r="F259" s="239">
        <v>61928154</v>
      </c>
      <c r="G259" s="239">
        <v>0</v>
      </c>
      <c r="H259" s="239">
        <v>0</v>
      </c>
      <c r="I259" s="239">
        <v>0</v>
      </c>
      <c r="J259" s="239">
        <v>0</v>
      </c>
      <c r="K259" s="239">
        <v>0</v>
      </c>
      <c r="L259" s="239">
        <v>0</v>
      </c>
      <c r="M259" s="239">
        <v>-167420</v>
      </c>
      <c r="N259" s="239">
        <v>0</v>
      </c>
      <c r="O259" s="239">
        <v>-167420</v>
      </c>
      <c r="P259" s="239">
        <v>-84000</v>
      </c>
      <c r="Q259" s="239">
        <v>0</v>
      </c>
      <c r="R259" s="239">
        <v>-84000</v>
      </c>
      <c r="S259" s="239">
        <v>2532667</v>
      </c>
      <c r="T259" s="239">
        <v>0</v>
      </c>
      <c r="U259" s="239">
        <v>2532667</v>
      </c>
      <c r="V259" s="239">
        <v>-3019619</v>
      </c>
      <c r="W259" s="239">
        <v>0</v>
      </c>
      <c r="X259" s="239">
        <v>-3019619</v>
      </c>
      <c r="Y259" s="239">
        <v>61189782</v>
      </c>
      <c r="Z259" s="239">
        <v>0</v>
      </c>
      <c r="AA259" s="239">
        <v>61189782</v>
      </c>
      <c r="AB259" s="239">
        <v>0</v>
      </c>
      <c r="AC259" s="239">
        <v>0</v>
      </c>
      <c r="AD259" s="239">
        <v>0</v>
      </c>
      <c r="AE259" s="239">
        <v>0</v>
      </c>
      <c r="AF259" s="239">
        <v>0</v>
      </c>
      <c r="AG259" s="239">
        <v>0</v>
      </c>
      <c r="AH259" s="239">
        <v>0</v>
      </c>
      <c r="AI259" s="239">
        <v>0</v>
      </c>
      <c r="AJ259" s="239">
        <v>0</v>
      </c>
      <c r="AK259" s="239">
        <v>0</v>
      </c>
      <c r="AL259" s="239">
        <v>2468367</v>
      </c>
      <c r="AM259" s="239">
        <v>-1282005</v>
      </c>
      <c r="AN259" s="214" t="s">
        <v>599</v>
      </c>
      <c r="AO259" s="214" t="s">
        <v>802</v>
      </c>
      <c r="AP259" s="214" t="s">
        <v>762</v>
      </c>
      <c r="AQ259" s="214" t="s">
        <v>1190</v>
      </c>
    </row>
    <row r="260" spans="2:43" x14ac:dyDescent="0.2">
      <c r="B260" s="609" t="s">
        <v>602</v>
      </c>
      <c r="C260" s="609" t="s">
        <v>601</v>
      </c>
      <c r="D260" s="239">
        <v>48546992</v>
      </c>
      <c r="E260" s="239">
        <v>0</v>
      </c>
      <c r="F260" s="239">
        <v>48546992</v>
      </c>
      <c r="G260" s="239">
        <v>0</v>
      </c>
      <c r="H260" s="239">
        <v>0</v>
      </c>
      <c r="I260" s="239">
        <v>0</v>
      </c>
      <c r="J260" s="239">
        <v>-85993</v>
      </c>
      <c r="K260" s="239">
        <v>0</v>
      </c>
      <c r="L260" s="239">
        <v>-85993</v>
      </c>
      <c r="M260" s="239">
        <v>0</v>
      </c>
      <c r="N260" s="239">
        <v>0</v>
      </c>
      <c r="O260" s="239">
        <v>0</v>
      </c>
      <c r="P260" s="239">
        <v>-232821</v>
      </c>
      <c r="Q260" s="239">
        <v>0</v>
      </c>
      <c r="R260" s="239">
        <v>-232821</v>
      </c>
      <c r="S260" s="239">
        <v>969706</v>
      </c>
      <c r="T260" s="239">
        <v>0</v>
      </c>
      <c r="U260" s="239">
        <v>969706</v>
      </c>
      <c r="V260" s="239">
        <v>-301602</v>
      </c>
      <c r="W260" s="239">
        <v>0</v>
      </c>
      <c r="X260" s="239">
        <v>-301602</v>
      </c>
      <c r="Y260" s="239">
        <v>48982275</v>
      </c>
      <c r="Z260" s="239">
        <v>0</v>
      </c>
      <c r="AA260" s="239">
        <v>48982275</v>
      </c>
      <c r="AB260" s="239">
        <v>0</v>
      </c>
      <c r="AC260" s="239">
        <v>0</v>
      </c>
      <c r="AD260" s="239">
        <v>262168</v>
      </c>
      <c r="AE260" s="239">
        <v>0</v>
      </c>
      <c r="AF260" s="239">
        <v>262168</v>
      </c>
      <c r="AG260" s="239">
        <v>0</v>
      </c>
      <c r="AH260" s="239">
        <v>0</v>
      </c>
      <c r="AI260" s="239">
        <v>0</v>
      </c>
      <c r="AJ260" s="239">
        <v>0</v>
      </c>
      <c r="AK260" s="239">
        <v>0</v>
      </c>
      <c r="AL260" s="239">
        <v>1944356</v>
      </c>
      <c r="AM260" s="239">
        <v>-593777</v>
      </c>
      <c r="AN260" s="214" t="s">
        <v>601</v>
      </c>
      <c r="AO260" s="214" t="s">
        <v>810</v>
      </c>
      <c r="AP260" s="214" t="s">
        <v>762</v>
      </c>
      <c r="AQ260" s="214" t="s">
        <v>1190</v>
      </c>
    </row>
    <row r="261" spans="2:43" x14ac:dyDescent="0.2">
      <c r="B261" s="609" t="s">
        <v>604</v>
      </c>
      <c r="C261" s="609" t="s">
        <v>603</v>
      </c>
      <c r="D261" s="239">
        <v>54042069</v>
      </c>
      <c r="E261" s="239">
        <v>0</v>
      </c>
      <c r="F261" s="239">
        <v>54042069</v>
      </c>
      <c r="G261" s="239">
        <v>0</v>
      </c>
      <c r="H261" s="239">
        <v>0</v>
      </c>
      <c r="I261" s="239">
        <v>0</v>
      </c>
      <c r="J261" s="239">
        <v>-655401</v>
      </c>
      <c r="K261" s="239">
        <v>0</v>
      </c>
      <c r="L261" s="239">
        <v>-655401</v>
      </c>
      <c r="M261" s="239">
        <v>0</v>
      </c>
      <c r="N261" s="239">
        <v>0</v>
      </c>
      <c r="O261" s="239">
        <v>0</v>
      </c>
      <c r="P261" s="239">
        <v>-2048305</v>
      </c>
      <c r="Q261" s="239">
        <v>0</v>
      </c>
      <c r="R261" s="239">
        <v>-2048305</v>
      </c>
      <c r="S261" s="239">
        <v>1430096</v>
      </c>
      <c r="T261" s="239">
        <v>0</v>
      </c>
      <c r="U261" s="239">
        <v>1430096</v>
      </c>
      <c r="V261" s="239">
        <v>-2807564</v>
      </c>
      <c r="W261" s="239">
        <v>0</v>
      </c>
      <c r="X261" s="239">
        <v>-2807564</v>
      </c>
      <c r="Y261" s="239">
        <v>50616296</v>
      </c>
      <c r="Z261" s="239">
        <v>0</v>
      </c>
      <c r="AA261" s="239">
        <v>50616296</v>
      </c>
      <c r="AB261" s="239">
        <v>0</v>
      </c>
      <c r="AC261" s="239">
        <v>0</v>
      </c>
      <c r="AD261" s="239">
        <v>0</v>
      </c>
      <c r="AE261" s="239">
        <v>0</v>
      </c>
      <c r="AF261" s="239">
        <v>0</v>
      </c>
      <c r="AG261" s="239">
        <v>0</v>
      </c>
      <c r="AH261" s="239">
        <v>0</v>
      </c>
      <c r="AI261" s="239">
        <v>0</v>
      </c>
      <c r="AJ261" s="239">
        <v>0</v>
      </c>
      <c r="AK261" s="239">
        <v>0</v>
      </c>
      <c r="AL261" s="239">
        <v>5004815</v>
      </c>
      <c r="AM261" s="239">
        <v>-1577967</v>
      </c>
      <c r="AN261" s="214" t="s">
        <v>603</v>
      </c>
      <c r="AO261" s="214" t="s">
        <v>767</v>
      </c>
      <c r="AP261" s="214" t="s">
        <v>773</v>
      </c>
      <c r="AQ261" s="214" t="s">
        <v>1192</v>
      </c>
    </row>
    <row r="262" spans="2:43" x14ac:dyDescent="0.2">
      <c r="B262" s="609" t="s">
        <v>606</v>
      </c>
      <c r="C262" s="609" t="s">
        <v>605</v>
      </c>
      <c r="D262" s="239">
        <v>47259845</v>
      </c>
      <c r="E262" s="239">
        <v>0</v>
      </c>
      <c r="F262" s="239">
        <v>47259845</v>
      </c>
      <c r="G262" s="239">
        <v>0</v>
      </c>
      <c r="H262" s="239">
        <v>0</v>
      </c>
      <c r="I262" s="239">
        <v>0</v>
      </c>
      <c r="J262" s="239">
        <v>-308354</v>
      </c>
      <c r="K262" s="239">
        <v>0</v>
      </c>
      <c r="L262" s="239">
        <v>-308354</v>
      </c>
      <c r="M262" s="239">
        <v>0</v>
      </c>
      <c r="N262" s="239">
        <v>0</v>
      </c>
      <c r="O262" s="239">
        <v>0</v>
      </c>
      <c r="P262" s="239">
        <v>-280781</v>
      </c>
      <c r="Q262" s="239">
        <v>0</v>
      </c>
      <c r="R262" s="239">
        <v>-280781</v>
      </c>
      <c r="S262" s="239">
        <v>1034047</v>
      </c>
      <c r="T262" s="239">
        <v>0</v>
      </c>
      <c r="U262" s="239">
        <v>1034047</v>
      </c>
      <c r="V262" s="239">
        <v>-1104379</v>
      </c>
      <c r="W262" s="239">
        <v>0</v>
      </c>
      <c r="X262" s="239">
        <v>-1104379</v>
      </c>
      <c r="Y262" s="239">
        <v>46908732</v>
      </c>
      <c r="Z262" s="239">
        <v>0</v>
      </c>
      <c r="AA262" s="239">
        <v>46908732</v>
      </c>
      <c r="AB262" s="239">
        <v>0</v>
      </c>
      <c r="AC262" s="239">
        <v>0</v>
      </c>
      <c r="AD262" s="239">
        <v>0</v>
      </c>
      <c r="AE262" s="239">
        <v>0</v>
      </c>
      <c r="AF262" s="239">
        <v>0</v>
      </c>
      <c r="AG262" s="239">
        <v>0</v>
      </c>
      <c r="AH262" s="239">
        <v>0</v>
      </c>
      <c r="AI262" s="239">
        <v>0</v>
      </c>
      <c r="AJ262" s="239">
        <v>0</v>
      </c>
      <c r="AK262" s="239">
        <v>0</v>
      </c>
      <c r="AL262" s="239">
        <v>1786925</v>
      </c>
      <c r="AM262" s="239">
        <v>-545117</v>
      </c>
      <c r="AN262" s="214" t="s">
        <v>605</v>
      </c>
      <c r="AO262" s="214" t="s">
        <v>837</v>
      </c>
      <c r="AP262" s="214" t="s">
        <v>835</v>
      </c>
      <c r="AQ262" s="214" t="s">
        <v>1190</v>
      </c>
    </row>
    <row r="263" spans="2:43" x14ac:dyDescent="0.2">
      <c r="B263" s="609" t="s">
        <v>608</v>
      </c>
      <c r="C263" s="609" t="s">
        <v>607</v>
      </c>
      <c r="D263" s="239">
        <v>18781030</v>
      </c>
      <c r="E263" s="239">
        <v>0</v>
      </c>
      <c r="F263" s="239">
        <v>18781030</v>
      </c>
      <c r="G263" s="239">
        <v>0</v>
      </c>
      <c r="H263" s="239">
        <v>0</v>
      </c>
      <c r="I263" s="239">
        <v>0</v>
      </c>
      <c r="J263" s="239">
        <v>-7624</v>
      </c>
      <c r="K263" s="239">
        <v>0</v>
      </c>
      <c r="L263" s="239">
        <v>-7624</v>
      </c>
      <c r="M263" s="239">
        <v>0</v>
      </c>
      <c r="N263" s="239">
        <v>0</v>
      </c>
      <c r="O263" s="239">
        <v>0</v>
      </c>
      <c r="P263" s="239">
        <v>-25468</v>
      </c>
      <c r="Q263" s="239">
        <v>0</v>
      </c>
      <c r="R263" s="239">
        <v>-25468</v>
      </c>
      <c r="S263" s="239">
        <v>371318</v>
      </c>
      <c r="T263" s="239">
        <v>0</v>
      </c>
      <c r="U263" s="239">
        <v>371318</v>
      </c>
      <c r="V263" s="239">
        <v>-453533</v>
      </c>
      <c r="W263" s="239">
        <v>0</v>
      </c>
      <c r="X263" s="239">
        <v>-453533</v>
      </c>
      <c r="Y263" s="239">
        <v>18673347</v>
      </c>
      <c r="Z263" s="239">
        <v>0</v>
      </c>
      <c r="AA263" s="239">
        <v>18673347</v>
      </c>
      <c r="AB263" s="239">
        <v>0</v>
      </c>
      <c r="AC263" s="239">
        <v>0</v>
      </c>
      <c r="AD263" s="239">
        <v>0</v>
      </c>
      <c r="AE263" s="239">
        <v>0</v>
      </c>
      <c r="AF263" s="239">
        <v>0</v>
      </c>
      <c r="AG263" s="239">
        <v>0</v>
      </c>
      <c r="AH263" s="239">
        <v>0</v>
      </c>
      <c r="AI263" s="239">
        <v>0</v>
      </c>
      <c r="AJ263" s="239">
        <v>0</v>
      </c>
      <c r="AK263" s="239">
        <v>0</v>
      </c>
      <c r="AL263" s="239">
        <v>702996</v>
      </c>
      <c r="AM263" s="239">
        <v>-399176</v>
      </c>
      <c r="AN263" s="214" t="s">
        <v>607</v>
      </c>
      <c r="AO263" s="214" t="s">
        <v>837</v>
      </c>
      <c r="AP263" s="214" t="s">
        <v>835</v>
      </c>
      <c r="AQ263" s="214" t="s">
        <v>1190</v>
      </c>
    </row>
    <row r="264" spans="2:43" x14ac:dyDescent="0.2">
      <c r="B264" s="609" t="s">
        <v>610</v>
      </c>
      <c r="C264" s="609" t="s">
        <v>609</v>
      </c>
      <c r="D264" s="239">
        <v>48544409</v>
      </c>
      <c r="E264" s="239">
        <v>0</v>
      </c>
      <c r="F264" s="239">
        <v>48544409</v>
      </c>
      <c r="G264" s="239">
        <v>0</v>
      </c>
      <c r="H264" s="239">
        <v>0</v>
      </c>
      <c r="I264" s="239">
        <v>0</v>
      </c>
      <c r="J264" s="239">
        <v>-623940</v>
      </c>
      <c r="K264" s="239">
        <v>0</v>
      </c>
      <c r="L264" s="239">
        <v>-623940</v>
      </c>
      <c r="M264" s="239">
        <v>0</v>
      </c>
      <c r="N264" s="239">
        <v>0</v>
      </c>
      <c r="O264" s="239">
        <v>0</v>
      </c>
      <c r="P264" s="239">
        <v>-650979</v>
      </c>
      <c r="Q264" s="239">
        <v>0</v>
      </c>
      <c r="R264" s="239">
        <v>-650979</v>
      </c>
      <c r="S264" s="239">
        <v>815165</v>
      </c>
      <c r="T264" s="239">
        <v>0</v>
      </c>
      <c r="U264" s="239">
        <v>815165</v>
      </c>
      <c r="V264" s="239">
        <v>-1239457</v>
      </c>
      <c r="W264" s="239">
        <v>0</v>
      </c>
      <c r="X264" s="239">
        <v>-1239457</v>
      </c>
      <c r="Y264" s="239">
        <v>47469138</v>
      </c>
      <c r="Z264" s="239">
        <v>0</v>
      </c>
      <c r="AA264" s="239">
        <v>47469138</v>
      </c>
      <c r="AB264" s="239">
        <v>0</v>
      </c>
      <c r="AC264" s="239">
        <v>0</v>
      </c>
      <c r="AD264" s="239">
        <v>0</v>
      </c>
      <c r="AE264" s="239">
        <v>0</v>
      </c>
      <c r="AF264" s="239">
        <v>0</v>
      </c>
      <c r="AG264" s="239">
        <v>0</v>
      </c>
      <c r="AH264" s="239">
        <v>0</v>
      </c>
      <c r="AI264" s="239">
        <v>0</v>
      </c>
      <c r="AJ264" s="239">
        <v>0</v>
      </c>
      <c r="AK264" s="239">
        <v>0</v>
      </c>
      <c r="AL264" s="239">
        <v>1115429</v>
      </c>
      <c r="AM264" s="239">
        <v>-831365</v>
      </c>
      <c r="AN264" s="214" t="s">
        <v>609</v>
      </c>
      <c r="AO264" s="214" t="s">
        <v>802</v>
      </c>
      <c r="AP264" s="214" t="s">
        <v>762</v>
      </c>
      <c r="AQ264" s="214" t="s">
        <v>1190</v>
      </c>
    </row>
    <row r="265" spans="2:43" x14ac:dyDescent="0.2">
      <c r="B265" s="609" t="s">
        <v>612</v>
      </c>
      <c r="C265" s="609" t="s">
        <v>611</v>
      </c>
      <c r="D265" s="239">
        <v>98782509</v>
      </c>
      <c r="E265" s="239">
        <v>0</v>
      </c>
      <c r="F265" s="239">
        <v>98782509</v>
      </c>
      <c r="G265" s="239">
        <v>0</v>
      </c>
      <c r="H265" s="239">
        <v>0</v>
      </c>
      <c r="I265" s="239">
        <v>0</v>
      </c>
      <c r="J265" s="239">
        <v>-2941760</v>
      </c>
      <c r="K265" s="239">
        <v>0</v>
      </c>
      <c r="L265" s="239">
        <v>-2941760</v>
      </c>
      <c r="M265" s="239">
        <v>0</v>
      </c>
      <c r="N265" s="239">
        <v>0</v>
      </c>
      <c r="O265" s="239">
        <v>0</v>
      </c>
      <c r="P265" s="239">
        <v>-1492929</v>
      </c>
      <c r="Q265" s="239">
        <v>0</v>
      </c>
      <c r="R265" s="239">
        <v>-1492929</v>
      </c>
      <c r="S265" s="239">
        <v>1429348</v>
      </c>
      <c r="T265" s="239">
        <v>0</v>
      </c>
      <c r="U265" s="239">
        <v>1429348</v>
      </c>
      <c r="V265" s="239">
        <v>-2797034</v>
      </c>
      <c r="W265" s="239">
        <v>0</v>
      </c>
      <c r="X265" s="239">
        <v>-2797034</v>
      </c>
      <c r="Y265" s="239">
        <v>95921894</v>
      </c>
      <c r="Z265" s="239">
        <v>0</v>
      </c>
      <c r="AA265" s="239">
        <v>95921894</v>
      </c>
      <c r="AB265" s="239">
        <v>0</v>
      </c>
      <c r="AC265" s="239">
        <v>0</v>
      </c>
      <c r="AD265" s="239">
        <v>0</v>
      </c>
      <c r="AE265" s="239">
        <v>0</v>
      </c>
      <c r="AF265" s="239">
        <v>0</v>
      </c>
      <c r="AG265" s="239">
        <v>0</v>
      </c>
      <c r="AH265" s="239">
        <v>0</v>
      </c>
      <c r="AI265" s="239">
        <v>0</v>
      </c>
      <c r="AJ265" s="239">
        <v>0</v>
      </c>
      <c r="AK265" s="239">
        <v>0</v>
      </c>
      <c r="AL265" s="239">
        <v>8777190</v>
      </c>
      <c r="AM265" s="239">
        <v>-1842748</v>
      </c>
      <c r="AN265" s="214" t="s">
        <v>611</v>
      </c>
      <c r="AO265" s="214" t="s">
        <v>767</v>
      </c>
      <c r="AP265" s="214" t="s">
        <v>782</v>
      </c>
      <c r="AQ265" s="214" t="s">
        <v>1192</v>
      </c>
    </row>
    <row r="266" spans="2:43" x14ac:dyDescent="0.2">
      <c r="B266" s="609" t="s">
        <v>614</v>
      </c>
      <c r="C266" s="609" t="s">
        <v>613</v>
      </c>
      <c r="D266" s="239">
        <v>84778379</v>
      </c>
      <c r="E266" s="239">
        <v>92211</v>
      </c>
      <c r="F266" s="239">
        <v>84870590</v>
      </c>
      <c r="G266" s="239">
        <v>0</v>
      </c>
      <c r="H266" s="239">
        <v>0</v>
      </c>
      <c r="I266" s="239">
        <v>0</v>
      </c>
      <c r="J266" s="239">
        <v>-1050485</v>
      </c>
      <c r="K266" s="239">
        <v>0</v>
      </c>
      <c r="L266" s="239">
        <v>-1050485</v>
      </c>
      <c r="M266" s="239">
        <v>0</v>
      </c>
      <c r="N266" s="239">
        <v>0</v>
      </c>
      <c r="O266" s="239">
        <v>0</v>
      </c>
      <c r="P266" s="239">
        <v>-711485</v>
      </c>
      <c r="Q266" s="239">
        <v>0</v>
      </c>
      <c r="R266" s="239">
        <v>-711485</v>
      </c>
      <c r="S266" s="239">
        <v>2419653</v>
      </c>
      <c r="T266" s="239">
        <v>0</v>
      </c>
      <c r="U266" s="239">
        <v>2419653</v>
      </c>
      <c r="V266" s="239">
        <v>1872238</v>
      </c>
      <c r="W266" s="239">
        <v>0</v>
      </c>
      <c r="X266" s="239">
        <v>1872238</v>
      </c>
      <c r="Y266" s="239">
        <v>88358785</v>
      </c>
      <c r="Z266" s="239">
        <v>92211</v>
      </c>
      <c r="AA266" s="239">
        <v>88450996</v>
      </c>
      <c r="AB266" s="239">
        <v>92211</v>
      </c>
      <c r="AC266" s="239">
        <v>92211</v>
      </c>
      <c r="AD266" s="239">
        <v>25140</v>
      </c>
      <c r="AE266" s="239">
        <v>0</v>
      </c>
      <c r="AF266" s="239">
        <v>25140</v>
      </c>
      <c r="AG266" s="239">
        <v>0</v>
      </c>
      <c r="AH266" s="239">
        <v>0</v>
      </c>
      <c r="AI266" s="239">
        <v>118803</v>
      </c>
      <c r="AJ266" s="239">
        <v>118803</v>
      </c>
      <c r="AK266" s="239">
        <v>92211</v>
      </c>
      <c r="AL266" s="239">
        <v>1122482</v>
      </c>
      <c r="AM266" s="239">
        <v>-1375699</v>
      </c>
      <c r="AN266" s="214" t="s">
        <v>845</v>
      </c>
      <c r="AO266" s="214" t="s">
        <v>747</v>
      </c>
      <c r="AP266" s="214" t="s">
        <v>843</v>
      </c>
      <c r="AQ266" s="214" t="s">
        <v>747</v>
      </c>
    </row>
    <row r="267" spans="2:43" x14ac:dyDescent="0.2">
      <c r="B267" s="609" t="s">
        <v>616</v>
      </c>
      <c r="C267" s="609" t="s">
        <v>615</v>
      </c>
      <c r="D267" s="239">
        <v>90443565</v>
      </c>
      <c r="E267" s="239">
        <v>672443</v>
      </c>
      <c r="F267" s="239">
        <v>91116008</v>
      </c>
      <c r="G267" s="239">
        <v>-2962</v>
      </c>
      <c r="H267" s="239">
        <v>0</v>
      </c>
      <c r="I267" s="239">
        <v>-2962</v>
      </c>
      <c r="J267" s="239">
        <v>-46233</v>
      </c>
      <c r="K267" s="239">
        <v>0</v>
      </c>
      <c r="L267" s="239">
        <v>-46233</v>
      </c>
      <c r="M267" s="239">
        <v>0</v>
      </c>
      <c r="N267" s="239">
        <v>0</v>
      </c>
      <c r="O267" s="239">
        <v>0</v>
      </c>
      <c r="P267" s="239">
        <v>-461666</v>
      </c>
      <c r="Q267" s="239">
        <v>0</v>
      </c>
      <c r="R267" s="239">
        <v>-461666</v>
      </c>
      <c r="S267" s="239">
        <v>3601400</v>
      </c>
      <c r="T267" s="239">
        <v>0</v>
      </c>
      <c r="U267" s="239">
        <v>3601400</v>
      </c>
      <c r="V267" s="239">
        <v>-1348071</v>
      </c>
      <c r="W267" s="239">
        <v>0</v>
      </c>
      <c r="X267" s="239">
        <v>-1348071</v>
      </c>
      <c r="Y267" s="239">
        <v>92232266</v>
      </c>
      <c r="Z267" s="239">
        <v>672443</v>
      </c>
      <c r="AA267" s="239">
        <v>92904709</v>
      </c>
      <c r="AB267" s="239">
        <v>672443</v>
      </c>
      <c r="AC267" s="239">
        <v>672443</v>
      </c>
      <c r="AD267" s="239">
        <v>0</v>
      </c>
      <c r="AE267" s="239">
        <v>0</v>
      </c>
      <c r="AF267" s="239">
        <v>0</v>
      </c>
      <c r="AG267" s="239">
        <v>0</v>
      </c>
      <c r="AH267" s="239">
        <v>0</v>
      </c>
      <c r="AI267" s="239">
        <v>431260</v>
      </c>
      <c r="AJ267" s="239">
        <v>431260</v>
      </c>
      <c r="AK267" s="239">
        <v>253755</v>
      </c>
      <c r="AL267" s="239">
        <v>5294517</v>
      </c>
      <c r="AM267" s="239">
        <v>-893897</v>
      </c>
      <c r="AN267" s="214" t="s">
        <v>842</v>
      </c>
      <c r="AO267" s="214" t="s">
        <v>747</v>
      </c>
      <c r="AP267" s="214" t="s">
        <v>835</v>
      </c>
      <c r="AQ267" s="214" t="s">
        <v>747</v>
      </c>
    </row>
    <row r="268" spans="2:43" x14ac:dyDescent="0.2">
      <c r="B268" s="609" t="s">
        <v>618</v>
      </c>
      <c r="C268" s="609" t="s">
        <v>617</v>
      </c>
      <c r="D268" s="239">
        <v>54841846</v>
      </c>
      <c r="E268" s="239">
        <v>0</v>
      </c>
      <c r="F268" s="239">
        <v>54841846</v>
      </c>
      <c r="G268" s="239">
        <v>0</v>
      </c>
      <c r="H268" s="239">
        <v>0</v>
      </c>
      <c r="I268" s="239">
        <v>0</v>
      </c>
      <c r="J268" s="239">
        <v>-256684</v>
      </c>
      <c r="K268" s="239">
        <v>0</v>
      </c>
      <c r="L268" s="239">
        <v>-256684</v>
      </c>
      <c r="M268" s="239">
        <v>0</v>
      </c>
      <c r="N268" s="239">
        <v>0</v>
      </c>
      <c r="O268" s="239">
        <v>0</v>
      </c>
      <c r="P268" s="239">
        <v>-341067</v>
      </c>
      <c r="Q268" s="239">
        <v>0</v>
      </c>
      <c r="R268" s="239">
        <v>-341067</v>
      </c>
      <c r="S268" s="239">
        <v>1311201</v>
      </c>
      <c r="T268" s="239">
        <v>0</v>
      </c>
      <c r="U268" s="239">
        <v>1311201</v>
      </c>
      <c r="V268" s="239">
        <v>-342413</v>
      </c>
      <c r="W268" s="239">
        <v>0</v>
      </c>
      <c r="X268" s="239">
        <v>-342413</v>
      </c>
      <c r="Y268" s="239">
        <v>55469567</v>
      </c>
      <c r="Z268" s="239">
        <v>0</v>
      </c>
      <c r="AA268" s="239">
        <v>55469567</v>
      </c>
      <c r="AB268" s="239">
        <v>0</v>
      </c>
      <c r="AC268" s="239">
        <v>0</v>
      </c>
      <c r="AD268" s="239">
        <v>41002</v>
      </c>
      <c r="AE268" s="239">
        <v>0</v>
      </c>
      <c r="AF268" s="239">
        <v>41002</v>
      </c>
      <c r="AG268" s="239">
        <v>0</v>
      </c>
      <c r="AH268" s="239">
        <v>0</v>
      </c>
      <c r="AI268" s="239">
        <v>0</v>
      </c>
      <c r="AJ268" s="239">
        <v>0</v>
      </c>
      <c r="AK268" s="239">
        <v>0</v>
      </c>
      <c r="AL268" s="239">
        <v>1540300</v>
      </c>
      <c r="AM268" s="239">
        <v>-168829</v>
      </c>
      <c r="AN268" s="214" t="s">
        <v>617</v>
      </c>
      <c r="AO268" s="214" t="s">
        <v>812</v>
      </c>
      <c r="AP268" s="214" t="s">
        <v>762</v>
      </c>
      <c r="AQ268" s="214" t="s">
        <v>1190</v>
      </c>
    </row>
    <row r="269" spans="2:43" x14ac:dyDescent="0.2">
      <c r="B269" s="609" t="s">
        <v>620</v>
      </c>
      <c r="C269" s="609" t="s">
        <v>619</v>
      </c>
      <c r="D269" s="239">
        <v>27696683</v>
      </c>
      <c r="E269" s="239">
        <v>0</v>
      </c>
      <c r="F269" s="239">
        <v>27696683</v>
      </c>
      <c r="G269" s="239">
        <v>0</v>
      </c>
      <c r="H269" s="239">
        <v>0</v>
      </c>
      <c r="I269" s="239">
        <v>0</v>
      </c>
      <c r="J269" s="239">
        <v>42305</v>
      </c>
      <c r="K269" s="239">
        <v>0</v>
      </c>
      <c r="L269" s="239">
        <v>42305</v>
      </c>
      <c r="M269" s="239">
        <v>78877</v>
      </c>
      <c r="N269" s="239">
        <v>0</v>
      </c>
      <c r="O269" s="239">
        <v>78877</v>
      </c>
      <c r="P269" s="239">
        <v>-61837</v>
      </c>
      <c r="Q269" s="239">
        <v>0</v>
      </c>
      <c r="R269" s="239">
        <v>-61837</v>
      </c>
      <c r="S269" s="239">
        <v>1103727</v>
      </c>
      <c r="T269" s="239">
        <v>0</v>
      </c>
      <c r="U269" s="239">
        <v>1103727</v>
      </c>
      <c r="V269" s="239">
        <v>-987621</v>
      </c>
      <c r="W269" s="239">
        <v>0</v>
      </c>
      <c r="X269" s="239">
        <v>-987621</v>
      </c>
      <c r="Y269" s="239">
        <v>27829829</v>
      </c>
      <c r="Z269" s="239">
        <v>0</v>
      </c>
      <c r="AA269" s="239">
        <v>27829829</v>
      </c>
      <c r="AB269" s="239">
        <v>0</v>
      </c>
      <c r="AC269" s="239">
        <v>0</v>
      </c>
      <c r="AD269" s="239">
        <v>110085</v>
      </c>
      <c r="AE269" s="239">
        <v>0</v>
      </c>
      <c r="AF269" s="239">
        <v>110085</v>
      </c>
      <c r="AG269" s="239">
        <v>0</v>
      </c>
      <c r="AH269" s="239">
        <v>0</v>
      </c>
      <c r="AI269" s="239">
        <v>0</v>
      </c>
      <c r="AJ269" s="239">
        <v>0</v>
      </c>
      <c r="AK269" s="239">
        <v>0</v>
      </c>
      <c r="AL269" s="239">
        <v>1008490</v>
      </c>
      <c r="AM269" s="239">
        <v>-301534</v>
      </c>
      <c r="AN269" s="214" t="s">
        <v>619</v>
      </c>
      <c r="AO269" s="214" t="s">
        <v>830</v>
      </c>
      <c r="AP269" s="214" t="s">
        <v>762</v>
      </c>
      <c r="AQ269" s="214" t="s">
        <v>1190</v>
      </c>
    </row>
    <row r="270" spans="2:43" x14ac:dyDescent="0.2">
      <c r="B270" s="609" t="s">
        <v>622</v>
      </c>
      <c r="C270" s="609" t="s">
        <v>621</v>
      </c>
      <c r="D270" s="239">
        <v>69044955</v>
      </c>
      <c r="E270" s="239">
        <v>0</v>
      </c>
      <c r="F270" s="239">
        <v>69044955</v>
      </c>
      <c r="G270" s="239">
        <v>0</v>
      </c>
      <c r="H270" s="239">
        <v>0</v>
      </c>
      <c r="I270" s="239">
        <v>0</v>
      </c>
      <c r="J270" s="239">
        <v>-100723</v>
      </c>
      <c r="K270" s="239">
        <v>0</v>
      </c>
      <c r="L270" s="239">
        <v>-100723</v>
      </c>
      <c r="M270" s="239">
        <v>0</v>
      </c>
      <c r="N270" s="239">
        <v>0</v>
      </c>
      <c r="O270" s="239">
        <v>0</v>
      </c>
      <c r="P270" s="239">
        <v>93826</v>
      </c>
      <c r="Q270" s="239">
        <v>0</v>
      </c>
      <c r="R270" s="239">
        <v>93826</v>
      </c>
      <c r="S270" s="239">
        <v>1500326</v>
      </c>
      <c r="T270" s="239">
        <v>0</v>
      </c>
      <c r="U270" s="239">
        <v>1500326</v>
      </c>
      <c r="V270" s="239">
        <v>-2102392</v>
      </c>
      <c r="W270" s="239">
        <v>0</v>
      </c>
      <c r="X270" s="239">
        <v>-2102392</v>
      </c>
      <c r="Y270" s="239">
        <v>68536715</v>
      </c>
      <c r="Z270" s="239">
        <v>0</v>
      </c>
      <c r="AA270" s="239">
        <v>68536715</v>
      </c>
      <c r="AB270" s="239">
        <v>0</v>
      </c>
      <c r="AC270" s="239">
        <v>0</v>
      </c>
      <c r="AD270" s="239">
        <v>206605</v>
      </c>
      <c r="AE270" s="239">
        <v>0</v>
      </c>
      <c r="AF270" s="239">
        <v>206605</v>
      </c>
      <c r="AG270" s="239">
        <v>0</v>
      </c>
      <c r="AH270" s="239">
        <v>0</v>
      </c>
      <c r="AI270" s="239">
        <v>0</v>
      </c>
      <c r="AJ270" s="239">
        <v>0</v>
      </c>
      <c r="AK270" s="239">
        <v>0</v>
      </c>
      <c r="AL270" s="239">
        <v>1226013</v>
      </c>
      <c r="AM270" s="239">
        <v>-508885</v>
      </c>
      <c r="AN270" s="214" t="s">
        <v>621</v>
      </c>
      <c r="AO270" s="214" t="s">
        <v>810</v>
      </c>
      <c r="AP270" s="214" t="s">
        <v>762</v>
      </c>
      <c r="AQ270" s="214" t="s">
        <v>1190</v>
      </c>
    </row>
    <row r="271" spans="2:43" x14ac:dyDescent="0.2">
      <c r="B271" s="609" t="s">
        <v>624</v>
      </c>
      <c r="C271" s="609" t="s">
        <v>623</v>
      </c>
      <c r="D271" s="239">
        <v>94249693</v>
      </c>
      <c r="E271" s="239">
        <v>850914</v>
      </c>
      <c r="F271" s="239">
        <v>95100607</v>
      </c>
      <c r="G271" s="239">
        <v>0</v>
      </c>
      <c r="H271" s="239">
        <v>0</v>
      </c>
      <c r="I271" s="239">
        <v>0</v>
      </c>
      <c r="J271" s="239">
        <v>-1113711</v>
      </c>
      <c r="K271" s="239">
        <v>0</v>
      </c>
      <c r="L271" s="239">
        <v>-1113711</v>
      </c>
      <c r="M271" s="239">
        <v>0</v>
      </c>
      <c r="N271" s="239">
        <v>0</v>
      </c>
      <c r="O271" s="239">
        <v>0</v>
      </c>
      <c r="P271" s="239">
        <v>-1088837</v>
      </c>
      <c r="Q271" s="239">
        <v>0</v>
      </c>
      <c r="R271" s="239">
        <v>-1088837</v>
      </c>
      <c r="S271" s="239">
        <v>3156584</v>
      </c>
      <c r="T271" s="239">
        <v>0</v>
      </c>
      <c r="U271" s="239">
        <v>3156584</v>
      </c>
      <c r="V271" s="239">
        <v>-6526982</v>
      </c>
      <c r="W271" s="239">
        <v>0</v>
      </c>
      <c r="X271" s="239">
        <v>-6526982</v>
      </c>
      <c r="Y271" s="239">
        <v>89790458</v>
      </c>
      <c r="Z271" s="239">
        <v>850914</v>
      </c>
      <c r="AA271" s="239">
        <v>90641372</v>
      </c>
      <c r="AB271" s="239">
        <v>850914</v>
      </c>
      <c r="AC271" s="239">
        <v>850914</v>
      </c>
      <c r="AD271" s="239">
        <v>0</v>
      </c>
      <c r="AE271" s="239">
        <v>0</v>
      </c>
      <c r="AF271" s="239">
        <v>0</v>
      </c>
      <c r="AG271" s="239">
        <v>0</v>
      </c>
      <c r="AH271" s="239">
        <v>0</v>
      </c>
      <c r="AI271" s="239">
        <v>143840</v>
      </c>
      <c r="AJ271" s="239">
        <v>143840</v>
      </c>
      <c r="AK271" s="239">
        <v>707074</v>
      </c>
      <c r="AL271" s="239">
        <v>6966006</v>
      </c>
      <c r="AM271" s="239">
        <v>-798423</v>
      </c>
      <c r="AN271" s="214" t="s">
        <v>623</v>
      </c>
      <c r="AO271" s="214" t="s">
        <v>767</v>
      </c>
      <c r="AP271" s="214" t="s">
        <v>840</v>
      </c>
      <c r="AQ271" s="214" t="s">
        <v>1192</v>
      </c>
    </row>
    <row r="272" spans="2:43" x14ac:dyDescent="0.2">
      <c r="B272" s="609" t="s">
        <v>626</v>
      </c>
      <c r="C272" s="609" t="s">
        <v>625</v>
      </c>
      <c r="D272" s="239">
        <v>37737280</v>
      </c>
      <c r="E272" s="239">
        <v>0</v>
      </c>
      <c r="F272" s="239">
        <v>37737280</v>
      </c>
      <c r="G272" s="239">
        <v>0</v>
      </c>
      <c r="H272" s="239">
        <v>0</v>
      </c>
      <c r="I272" s="239">
        <v>0</v>
      </c>
      <c r="J272" s="239">
        <v>-200310</v>
      </c>
      <c r="K272" s="239">
        <v>0</v>
      </c>
      <c r="L272" s="239">
        <v>-200310</v>
      </c>
      <c r="M272" s="239">
        <v>0</v>
      </c>
      <c r="N272" s="239">
        <v>0</v>
      </c>
      <c r="O272" s="239">
        <v>0</v>
      </c>
      <c r="P272" s="239">
        <v>306933</v>
      </c>
      <c r="Q272" s="239">
        <v>0</v>
      </c>
      <c r="R272" s="239">
        <v>306933</v>
      </c>
      <c r="S272" s="239">
        <v>0</v>
      </c>
      <c r="T272" s="239">
        <v>0</v>
      </c>
      <c r="U272" s="239">
        <v>0</v>
      </c>
      <c r="V272" s="239">
        <v>493173</v>
      </c>
      <c r="W272" s="239">
        <v>0</v>
      </c>
      <c r="X272" s="239">
        <v>493173</v>
      </c>
      <c r="Y272" s="239">
        <v>38537386</v>
      </c>
      <c r="Z272" s="239">
        <v>0</v>
      </c>
      <c r="AA272" s="239">
        <v>38537386</v>
      </c>
      <c r="AB272" s="239">
        <v>0</v>
      </c>
      <c r="AC272" s="239">
        <v>0</v>
      </c>
      <c r="AD272" s="239">
        <v>0</v>
      </c>
      <c r="AE272" s="239">
        <v>0</v>
      </c>
      <c r="AF272" s="239">
        <v>0</v>
      </c>
      <c r="AG272" s="239">
        <v>0</v>
      </c>
      <c r="AH272" s="239">
        <v>0</v>
      </c>
      <c r="AI272" s="239">
        <v>0</v>
      </c>
      <c r="AJ272" s="239">
        <v>0</v>
      </c>
      <c r="AK272" s="239">
        <v>0</v>
      </c>
      <c r="AL272" s="239">
        <v>1356098</v>
      </c>
      <c r="AM272" s="239">
        <v>-583714</v>
      </c>
      <c r="AN272" s="214" t="s">
        <v>625</v>
      </c>
      <c r="AO272" s="214" t="s">
        <v>771</v>
      </c>
      <c r="AP272" s="214" t="s">
        <v>762</v>
      </c>
      <c r="AQ272" s="214" t="s">
        <v>1190</v>
      </c>
    </row>
    <row r="273" spans="2:43" x14ac:dyDescent="0.2">
      <c r="B273" s="609" t="s">
        <v>628</v>
      </c>
      <c r="C273" s="609" t="s">
        <v>627</v>
      </c>
      <c r="D273" s="239">
        <v>50228016</v>
      </c>
      <c r="E273" s="239">
        <v>0</v>
      </c>
      <c r="F273" s="239">
        <v>50228016</v>
      </c>
      <c r="G273" s="239">
        <v>0</v>
      </c>
      <c r="H273" s="239">
        <v>0</v>
      </c>
      <c r="I273" s="239">
        <v>0</v>
      </c>
      <c r="J273" s="239">
        <v>-326745</v>
      </c>
      <c r="K273" s="239">
        <v>0</v>
      </c>
      <c r="L273" s="239">
        <v>-326745</v>
      </c>
      <c r="M273" s="239">
        <v>0</v>
      </c>
      <c r="N273" s="239">
        <v>0</v>
      </c>
      <c r="O273" s="239">
        <v>0</v>
      </c>
      <c r="P273" s="239">
        <v>-339706</v>
      </c>
      <c r="Q273" s="239">
        <v>0</v>
      </c>
      <c r="R273" s="239">
        <v>-339706</v>
      </c>
      <c r="S273" s="239">
        <v>2219507</v>
      </c>
      <c r="T273" s="239">
        <v>0</v>
      </c>
      <c r="U273" s="239">
        <v>2219507</v>
      </c>
      <c r="V273" s="239">
        <v>-1540482</v>
      </c>
      <c r="W273" s="239">
        <v>0</v>
      </c>
      <c r="X273" s="239">
        <v>-1540482</v>
      </c>
      <c r="Y273" s="239">
        <v>50567335</v>
      </c>
      <c r="Z273" s="239">
        <v>0</v>
      </c>
      <c r="AA273" s="239">
        <v>50567335</v>
      </c>
      <c r="AB273" s="239">
        <v>0</v>
      </c>
      <c r="AC273" s="239">
        <v>0</v>
      </c>
      <c r="AD273" s="239">
        <v>0</v>
      </c>
      <c r="AE273" s="239">
        <v>0</v>
      </c>
      <c r="AF273" s="239">
        <v>0</v>
      </c>
      <c r="AG273" s="239">
        <v>0</v>
      </c>
      <c r="AH273" s="239">
        <v>0</v>
      </c>
      <c r="AI273" s="239">
        <v>0</v>
      </c>
      <c r="AJ273" s="239">
        <v>0</v>
      </c>
      <c r="AK273" s="239">
        <v>0</v>
      </c>
      <c r="AL273" s="239">
        <v>2338231</v>
      </c>
      <c r="AM273" s="239">
        <v>-942622</v>
      </c>
      <c r="AN273" s="214" t="s">
        <v>627</v>
      </c>
      <c r="AO273" s="214" t="s">
        <v>789</v>
      </c>
      <c r="AP273" s="214" t="s">
        <v>748</v>
      </c>
      <c r="AQ273" s="214" t="s">
        <v>1191</v>
      </c>
    </row>
    <row r="274" spans="2:43" x14ac:dyDescent="0.2">
      <c r="B274" s="609" t="s">
        <v>630</v>
      </c>
      <c r="C274" s="609" t="s">
        <v>629</v>
      </c>
      <c r="D274" s="239">
        <v>47058878</v>
      </c>
      <c r="E274" s="239">
        <v>0</v>
      </c>
      <c r="F274" s="239">
        <v>47058878</v>
      </c>
      <c r="G274" s="239">
        <v>0</v>
      </c>
      <c r="H274" s="239">
        <v>0</v>
      </c>
      <c r="I274" s="239">
        <v>0</v>
      </c>
      <c r="J274" s="239">
        <v>-88652</v>
      </c>
      <c r="K274" s="239">
        <v>0</v>
      </c>
      <c r="L274" s="239">
        <v>-88652</v>
      </c>
      <c r="M274" s="239">
        <v>0</v>
      </c>
      <c r="N274" s="239">
        <v>0</v>
      </c>
      <c r="O274" s="239">
        <v>0</v>
      </c>
      <c r="P274" s="239">
        <v>-374121</v>
      </c>
      <c r="Q274" s="239">
        <v>0</v>
      </c>
      <c r="R274" s="239">
        <v>-374121</v>
      </c>
      <c r="S274" s="239">
        <v>853590</v>
      </c>
      <c r="T274" s="239">
        <v>0</v>
      </c>
      <c r="U274" s="239">
        <v>853590</v>
      </c>
      <c r="V274" s="239">
        <v>-518353</v>
      </c>
      <c r="W274" s="239">
        <v>0</v>
      </c>
      <c r="X274" s="239">
        <v>-518353</v>
      </c>
      <c r="Y274" s="239">
        <v>47019994</v>
      </c>
      <c r="Z274" s="239">
        <v>0</v>
      </c>
      <c r="AA274" s="239">
        <v>47019994</v>
      </c>
      <c r="AB274" s="239">
        <v>0</v>
      </c>
      <c r="AC274" s="239">
        <v>0</v>
      </c>
      <c r="AD274" s="239">
        <v>1055177</v>
      </c>
      <c r="AE274" s="239">
        <v>0</v>
      </c>
      <c r="AF274" s="239">
        <v>1055177</v>
      </c>
      <c r="AG274" s="239">
        <v>0</v>
      </c>
      <c r="AH274" s="239">
        <v>0</v>
      </c>
      <c r="AI274" s="239">
        <v>0</v>
      </c>
      <c r="AJ274" s="239">
        <v>0</v>
      </c>
      <c r="AK274" s="239">
        <v>0</v>
      </c>
      <c r="AL274" s="239">
        <v>957793</v>
      </c>
      <c r="AM274" s="239">
        <v>-762415</v>
      </c>
      <c r="AN274" s="214" t="s">
        <v>629</v>
      </c>
      <c r="AO274" s="214" t="s">
        <v>825</v>
      </c>
      <c r="AP274" s="214" t="s">
        <v>823</v>
      </c>
      <c r="AQ274" s="214" t="s">
        <v>1190</v>
      </c>
    </row>
    <row r="275" spans="2:43" x14ac:dyDescent="0.2">
      <c r="B275" s="609" t="s">
        <v>632</v>
      </c>
      <c r="C275" s="609" t="s">
        <v>631</v>
      </c>
      <c r="D275" s="239">
        <v>109923519</v>
      </c>
      <c r="E275" s="239">
        <v>0</v>
      </c>
      <c r="F275" s="239">
        <v>109923519</v>
      </c>
      <c r="G275" s="239">
        <v>-1543</v>
      </c>
      <c r="H275" s="239">
        <v>0</v>
      </c>
      <c r="I275" s="239">
        <v>-1543</v>
      </c>
      <c r="J275" s="239">
        <v>-1075252</v>
      </c>
      <c r="K275" s="239">
        <v>0</v>
      </c>
      <c r="L275" s="239">
        <v>-1075252</v>
      </c>
      <c r="M275" s="239">
        <v>0</v>
      </c>
      <c r="N275" s="239">
        <v>0</v>
      </c>
      <c r="O275" s="239">
        <v>0</v>
      </c>
      <c r="P275" s="239">
        <v>-1209155</v>
      </c>
      <c r="Q275" s="239">
        <v>0</v>
      </c>
      <c r="R275" s="239">
        <v>-1209155</v>
      </c>
      <c r="S275" s="239">
        <v>5115466</v>
      </c>
      <c r="T275" s="239">
        <v>0</v>
      </c>
      <c r="U275" s="239">
        <v>5115466</v>
      </c>
      <c r="V275" s="239">
        <v>-5149026</v>
      </c>
      <c r="W275" s="239">
        <v>0</v>
      </c>
      <c r="X275" s="239">
        <v>-5149026</v>
      </c>
      <c r="Y275" s="239">
        <v>108679261</v>
      </c>
      <c r="Z275" s="239">
        <v>0</v>
      </c>
      <c r="AA275" s="239">
        <v>108679261</v>
      </c>
      <c r="AB275" s="239">
        <v>0</v>
      </c>
      <c r="AC275" s="239">
        <v>0</v>
      </c>
      <c r="AD275" s="239">
        <v>650951</v>
      </c>
      <c r="AE275" s="239">
        <v>0</v>
      </c>
      <c r="AF275" s="239">
        <v>650951</v>
      </c>
      <c r="AG275" s="239">
        <v>0</v>
      </c>
      <c r="AH275" s="239">
        <v>0</v>
      </c>
      <c r="AI275" s="239">
        <v>0</v>
      </c>
      <c r="AJ275" s="239">
        <v>0</v>
      </c>
      <c r="AK275" s="239">
        <v>0</v>
      </c>
      <c r="AL275" s="239">
        <v>4194428</v>
      </c>
      <c r="AM275" s="239">
        <v>-302260</v>
      </c>
      <c r="AN275" s="214" t="s">
        <v>839</v>
      </c>
      <c r="AO275" s="214" t="s">
        <v>747</v>
      </c>
      <c r="AP275" s="214" t="s">
        <v>780</v>
      </c>
      <c r="AQ275" s="214" t="s">
        <v>747</v>
      </c>
    </row>
    <row r="276" spans="2:43" x14ac:dyDescent="0.2">
      <c r="B276" s="609" t="s">
        <v>634</v>
      </c>
      <c r="C276" s="609" t="s">
        <v>633</v>
      </c>
      <c r="D276" s="239">
        <v>58550641</v>
      </c>
      <c r="E276" s="239">
        <v>0</v>
      </c>
      <c r="F276" s="239">
        <v>58550641</v>
      </c>
      <c r="G276" s="239">
        <v>0</v>
      </c>
      <c r="H276" s="239">
        <v>0</v>
      </c>
      <c r="I276" s="239">
        <v>0</v>
      </c>
      <c r="J276" s="239">
        <v>-1615971</v>
      </c>
      <c r="K276" s="239">
        <v>0</v>
      </c>
      <c r="L276" s="239">
        <v>-1615971</v>
      </c>
      <c r="M276" s="239">
        <v>0</v>
      </c>
      <c r="N276" s="239">
        <v>0</v>
      </c>
      <c r="O276" s="239">
        <v>0</v>
      </c>
      <c r="P276" s="239">
        <v>-1027255</v>
      </c>
      <c r="Q276" s="239">
        <v>0</v>
      </c>
      <c r="R276" s="239">
        <v>-1027255</v>
      </c>
      <c r="S276" s="239">
        <v>3431338</v>
      </c>
      <c r="T276" s="239">
        <v>0</v>
      </c>
      <c r="U276" s="239">
        <v>3431338</v>
      </c>
      <c r="V276" s="239">
        <v>-5219850</v>
      </c>
      <c r="W276" s="239">
        <v>0</v>
      </c>
      <c r="X276" s="239">
        <v>-5219850</v>
      </c>
      <c r="Y276" s="239">
        <v>55734874</v>
      </c>
      <c r="Z276" s="239">
        <v>0</v>
      </c>
      <c r="AA276" s="239">
        <v>55734874</v>
      </c>
      <c r="AB276" s="239">
        <v>0</v>
      </c>
      <c r="AC276" s="239">
        <v>0</v>
      </c>
      <c r="AD276" s="239">
        <v>0</v>
      </c>
      <c r="AE276" s="239">
        <v>0</v>
      </c>
      <c r="AF276" s="239">
        <v>0</v>
      </c>
      <c r="AG276" s="239">
        <v>0</v>
      </c>
      <c r="AH276" s="239">
        <v>0</v>
      </c>
      <c r="AI276" s="239">
        <v>0</v>
      </c>
      <c r="AJ276" s="239">
        <v>0</v>
      </c>
      <c r="AK276" s="239">
        <v>0</v>
      </c>
      <c r="AL276" s="239">
        <v>6192684</v>
      </c>
      <c r="AM276" s="239">
        <v>-1761662</v>
      </c>
      <c r="AN276" s="214" t="s">
        <v>633</v>
      </c>
      <c r="AO276" s="214" t="s">
        <v>767</v>
      </c>
      <c r="AP276" s="214" t="s">
        <v>782</v>
      </c>
      <c r="AQ276" s="214" t="s">
        <v>1192</v>
      </c>
    </row>
    <row r="277" spans="2:43" x14ac:dyDescent="0.2">
      <c r="B277" s="609" t="s">
        <v>636</v>
      </c>
      <c r="C277" s="609" t="s">
        <v>635</v>
      </c>
      <c r="D277" s="239">
        <v>35024655</v>
      </c>
      <c r="E277" s="239">
        <v>0</v>
      </c>
      <c r="F277" s="239">
        <v>35024655</v>
      </c>
      <c r="G277" s="239">
        <v>0</v>
      </c>
      <c r="H277" s="239">
        <v>0</v>
      </c>
      <c r="I277" s="239">
        <v>0</v>
      </c>
      <c r="J277" s="239">
        <v>-171111</v>
      </c>
      <c r="K277" s="239">
        <v>0</v>
      </c>
      <c r="L277" s="239">
        <v>-171111</v>
      </c>
      <c r="M277" s="239">
        <v>0</v>
      </c>
      <c r="N277" s="239">
        <v>0</v>
      </c>
      <c r="O277" s="239">
        <v>0</v>
      </c>
      <c r="P277" s="239">
        <v>-146148</v>
      </c>
      <c r="Q277" s="239">
        <v>0</v>
      </c>
      <c r="R277" s="239">
        <v>-146148</v>
      </c>
      <c r="S277" s="239">
        <v>783611</v>
      </c>
      <c r="T277" s="239">
        <v>0</v>
      </c>
      <c r="U277" s="239">
        <v>783611</v>
      </c>
      <c r="V277" s="239">
        <v>-1206214</v>
      </c>
      <c r="W277" s="239">
        <v>0</v>
      </c>
      <c r="X277" s="239">
        <v>-1206214</v>
      </c>
      <c r="Y277" s="239">
        <v>34455904</v>
      </c>
      <c r="Z277" s="239">
        <v>0</v>
      </c>
      <c r="AA277" s="239">
        <v>34455904</v>
      </c>
      <c r="AB277" s="239">
        <v>0</v>
      </c>
      <c r="AC277" s="239">
        <v>0</v>
      </c>
      <c r="AD277" s="239">
        <v>0</v>
      </c>
      <c r="AE277" s="239">
        <v>0</v>
      </c>
      <c r="AF277" s="239">
        <v>0</v>
      </c>
      <c r="AG277" s="239">
        <v>0</v>
      </c>
      <c r="AH277" s="239">
        <v>0</v>
      </c>
      <c r="AI277" s="239">
        <v>0</v>
      </c>
      <c r="AJ277" s="239">
        <v>0</v>
      </c>
      <c r="AK277" s="239">
        <v>0</v>
      </c>
      <c r="AL277" s="239">
        <v>1123773</v>
      </c>
      <c r="AM277" s="239">
        <v>-1014484</v>
      </c>
      <c r="AN277" s="214" t="s">
        <v>635</v>
      </c>
      <c r="AO277" s="214" t="s">
        <v>837</v>
      </c>
      <c r="AP277" s="214" t="s">
        <v>835</v>
      </c>
      <c r="AQ277" s="214" t="s">
        <v>1190</v>
      </c>
    </row>
    <row r="278" spans="2:43" x14ac:dyDescent="0.2">
      <c r="B278" s="609" t="s">
        <v>638</v>
      </c>
      <c r="C278" s="609" t="s">
        <v>637</v>
      </c>
      <c r="D278" s="239">
        <v>18564653</v>
      </c>
      <c r="E278" s="239">
        <v>0</v>
      </c>
      <c r="F278" s="239">
        <v>18564653</v>
      </c>
      <c r="G278" s="239">
        <v>0</v>
      </c>
      <c r="H278" s="239">
        <v>0</v>
      </c>
      <c r="I278" s="239">
        <v>0</v>
      </c>
      <c r="J278" s="239">
        <v>-38959</v>
      </c>
      <c r="K278" s="239">
        <v>0</v>
      </c>
      <c r="L278" s="239">
        <v>-38959</v>
      </c>
      <c r="M278" s="239">
        <v>0</v>
      </c>
      <c r="N278" s="239">
        <v>0</v>
      </c>
      <c r="O278" s="239">
        <v>0</v>
      </c>
      <c r="P278" s="239">
        <v>-7028</v>
      </c>
      <c r="Q278" s="239">
        <v>0</v>
      </c>
      <c r="R278" s="239">
        <v>-7028</v>
      </c>
      <c r="S278" s="239">
        <v>1109678</v>
      </c>
      <c r="T278" s="239">
        <v>0</v>
      </c>
      <c r="U278" s="239">
        <v>1109678</v>
      </c>
      <c r="V278" s="239">
        <v>-1755045</v>
      </c>
      <c r="W278" s="239">
        <v>0</v>
      </c>
      <c r="X278" s="239">
        <v>-1755045</v>
      </c>
      <c r="Y278" s="239">
        <v>17912258</v>
      </c>
      <c r="Z278" s="239">
        <v>0</v>
      </c>
      <c r="AA278" s="239">
        <v>17912258</v>
      </c>
      <c r="AB278" s="239">
        <v>0</v>
      </c>
      <c r="AC278" s="239">
        <v>0</v>
      </c>
      <c r="AD278" s="239">
        <v>0</v>
      </c>
      <c r="AE278" s="239">
        <v>0</v>
      </c>
      <c r="AF278" s="239">
        <v>0</v>
      </c>
      <c r="AG278" s="239">
        <v>0</v>
      </c>
      <c r="AH278" s="239">
        <v>0</v>
      </c>
      <c r="AI278" s="239">
        <v>0</v>
      </c>
      <c r="AJ278" s="239">
        <v>0</v>
      </c>
      <c r="AK278" s="239">
        <v>0</v>
      </c>
      <c r="AL278" s="239">
        <v>275839</v>
      </c>
      <c r="AM278" s="239">
        <v>-180476</v>
      </c>
      <c r="AN278" s="214" t="s">
        <v>637</v>
      </c>
      <c r="AO278" s="214" t="s">
        <v>771</v>
      </c>
      <c r="AP278" s="214" t="s">
        <v>762</v>
      </c>
      <c r="AQ278" s="214" t="s">
        <v>1190</v>
      </c>
    </row>
    <row r="279" spans="2:43" x14ac:dyDescent="0.2">
      <c r="B279" s="609" t="s">
        <v>640</v>
      </c>
      <c r="C279" s="609" t="s">
        <v>639</v>
      </c>
      <c r="D279" s="239">
        <v>40409902</v>
      </c>
      <c r="E279" s="239">
        <v>0</v>
      </c>
      <c r="F279" s="239">
        <v>40409902</v>
      </c>
      <c r="G279" s="239">
        <v>-8671</v>
      </c>
      <c r="H279" s="239">
        <v>0</v>
      </c>
      <c r="I279" s="239">
        <v>-8671</v>
      </c>
      <c r="J279" s="239">
        <v>-164434</v>
      </c>
      <c r="K279" s="239">
        <v>0</v>
      </c>
      <c r="L279" s="239">
        <v>-164434</v>
      </c>
      <c r="M279" s="239">
        <v>0</v>
      </c>
      <c r="N279" s="239">
        <v>0</v>
      </c>
      <c r="O279" s="239">
        <v>0</v>
      </c>
      <c r="P279" s="239">
        <v>-492358</v>
      </c>
      <c r="Q279" s="239">
        <v>0</v>
      </c>
      <c r="R279" s="239">
        <v>-492358</v>
      </c>
      <c r="S279" s="239">
        <v>1871460</v>
      </c>
      <c r="T279" s="239">
        <v>0</v>
      </c>
      <c r="U279" s="239">
        <v>1871460</v>
      </c>
      <c r="V279" s="239">
        <v>592257</v>
      </c>
      <c r="W279" s="239">
        <v>0</v>
      </c>
      <c r="X279" s="239">
        <v>592257</v>
      </c>
      <c r="Y279" s="239">
        <v>42372590</v>
      </c>
      <c r="Z279" s="239">
        <v>0</v>
      </c>
      <c r="AA279" s="239">
        <v>42372590</v>
      </c>
      <c r="AB279" s="239">
        <v>0</v>
      </c>
      <c r="AC279" s="239">
        <v>0</v>
      </c>
      <c r="AD279" s="239">
        <v>231822</v>
      </c>
      <c r="AE279" s="239">
        <v>0</v>
      </c>
      <c r="AF279" s="239">
        <v>231822</v>
      </c>
      <c r="AG279" s="239">
        <v>0</v>
      </c>
      <c r="AH279" s="239">
        <v>0</v>
      </c>
      <c r="AI279" s="239">
        <v>0</v>
      </c>
      <c r="AJ279" s="239">
        <v>0</v>
      </c>
      <c r="AK279" s="239">
        <v>0</v>
      </c>
      <c r="AL279" s="239">
        <v>2234421</v>
      </c>
      <c r="AM279" s="239">
        <v>-1453244</v>
      </c>
      <c r="AN279" s="214" t="s">
        <v>639</v>
      </c>
      <c r="AO279" s="214" t="s">
        <v>793</v>
      </c>
      <c r="AP279" s="214" t="s">
        <v>791</v>
      </c>
      <c r="AQ279" s="214" t="s">
        <v>1190</v>
      </c>
    </row>
    <row r="280" spans="2:43" x14ac:dyDescent="0.2">
      <c r="B280" s="609" t="s">
        <v>642</v>
      </c>
      <c r="C280" s="609" t="s">
        <v>641</v>
      </c>
      <c r="D280" s="239">
        <v>31676567</v>
      </c>
      <c r="E280" s="239">
        <v>0</v>
      </c>
      <c r="F280" s="239">
        <v>31676567</v>
      </c>
      <c r="G280" s="239">
        <v>-1940</v>
      </c>
      <c r="H280" s="239">
        <v>0</v>
      </c>
      <c r="I280" s="239">
        <v>-1940</v>
      </c>
      <c r="J280" s="239">
        <v>-90358</v>
      </c>
      <c r="K280" s="239">
        <v>0</v>
      </c>
      <c r="L280" s="239">
        <v>-90358</v>
      </c>
      <c r="M280" s="239">
        <v>0</v>
      </c>
      <c r="N280" s="239">
        <v>0</v>
      </c>
      <c r="O280" s="239">
        <v>0</v>
      </c>
      <c r="P280" s="239">
        <v>9642</v>
      </c>
      <c r="Q280" s="239">
        <v>0</v>
      </c>
      <c r="R280" s="239">
        <v>9642</v>
      </c>
      <c r="S280" s="239">
        <v>1539565</v>
      </c>
      <c r="T280" s="239">
        <v>0</v>
      </c>
      <c r="U280" s="239">
        <v>1539565</v>
      </c>
      <c r="V280" s="239">
        <v>-1139565</v>
      </c>
      <c r="W280" s="239">
        <v>0</v>
      </c>
      <c r="X280" s="239">
        <v>-1139565</v>
      </c>
      <c r="Y280" s="239">
        <v>32084269</v>
      </c>
      <c r="Z280" s="239">
        <v>0</v>
      </c>
      <c r="AA280" s="239">
        <v>32084269</v>
      </c>
      <c r="AB280" s="239">
        <v>0</v>
      </c>
      <c r="AC280" s="239">
        <v>0</v>
      </c>
      <c r="AD280" s="239">
        <v>185139</v>
      </c>
      <c r="AE280" s="239">
        <v>0</v>
      </c>
      <c r="AF280" s="239">
        <v>185139</v>
      </c>
      <c r="AG280" s="239">
        <v>0</v>
      </c>
      <c r="AH280" s="239">
        <v>0</v>
      </c>
      <c r="AI280" s="239">
        <v>0</v>
      </c>
      <c r="AJ280" s="239">
        <v>0</v>
      </c>
      <c r="AK280" s="239">
        <v>0</v>
      </c>
      <c r="AL280" s="239">
        <v>492434</v>
      </c>
      <c r="AM280" s="239">
        <v>-333429</v>
      </c>
      <c r="AN280" s="214" t="s">
        <v>641</v>
      </c>
      <c r="AO280" s="214" t="s">
        <v>799</v>
      </c>
      <c r="AP280" s="214" t="s">
        <v>791</v>
      </c>
      <c r="AQ280" s="214" t="s">
        <v>1190</v>
      </c>
    </row>
    <row r="281" spans="2:43" x14ac:dyDescent="0.2">
      <c r="B281" s="609" t="s">
        <v>644</v>
      </c>
      <c r="C281" s="609" t="s">
        <v>643</v>
      </c>
      <c r="D281" s="239">
        <v>74053399</v>
      </c>
      <c r="E281" s="239">
        <v>0</v>
      </c>
      <c r="F281" s="239">
        <v>74053399</v>
      </c>
      <c r="G281" s="239">
        <v>0</v>
      </c>
      <c r="H281" s="239">
        <v>0</v>
      </c>
      <c r="I281" s="239">
        <v>0</v>
      </c>
      <c r="J281" s="239">
        <v>-768085</v>
      </c>
      <c r="K281" s="239">
        <v>0</v>
      </c>
      <c r="L281" s="239">
        <v>-768085</v>
      </c>
      <c r="M281" s="239">
        <v>0</v>
      </c>
      <c r="N281" s="239">
        <v>0</v>
      </c>
      <c r="O281" s="239">
        <v>0</v>
      </c>
      <c r="P281" s="239">
        <v>-771085</v>
      </c>
      <c r="Q281" s="239">
        <v>0</v>
      </c>
      <c r="R281" s="239">
        <v>-771085</v>
      </c>
      <c r="S281" s="239">
        <v>1591161</v>
      </c>
      <c r="T281" s="239">
        <v>0</v>
      </c>
      <c r="U281" s="239">
        <v>1591161</v>
      </c>
      <c r="V281" s="239">
        <v>-2736161</v>
      </c>
      <c r="W281" s="239">
        <v>0</v>
      </c>
      <c r="X281" s="239">
        <v>-2736161</v>
      </c>
      <c r="Y281" s="239">
        <v>72137314</v>
      </c>
      <c r="Z281" s="239">
        <v>0</v>
      </c>
      <c r="AA281" s="239">
        <v>72137314</v>
      </c>
      <c r="AB281" s="239">
        <v>0</v>
      </c>
      <c r="AC281" s="239">
        <v>0</v>
      </c>
      <c r="AD281" s="239">
        <v>120823</v>
      </c>
      <c r="AE281" s="239">
        <v>0</v>
      </c>
      <c r="AF281" s="239">
        <v>120823</v>
      </c>
      <c r="AG281" s="239">
        <v>0</v>
      </c>
      <c r="AH281" s="239">
        <v>0</v>
      </c>
      <c r="AI281" s="239">
        <v>0</v>
      </c>
      <c r="AJ281" s="239">
        <v>0</v>
      </c>
      <c r="AK281" s="239">
        <v>0</v>
      </c>
      <c r="AL281" s="239">
        <v>2684282</v>
      </c>
      <c r="AM281" s="239">
        <v>-2472655</v>
      </c>
      <c r="AN281" s="214" t="s">
        <v>834</v>
      </c>
      <c r="AO281" s="214" t="s">
        <v>747</v>
      </c>
      <c r="AP281" s="214" t="s">
        <v>832</v>
      </c>
      <c r="AQ281" s="214" t="s">
        <v>747</v>
      </c>
    </row>
    <row r="282" spans="2:43" x14ac:dyDescent="0.2">
      <c r="B282" s="609" t="s">
        <v>646</v>
      </c>
      <c r="C282" s="609" t="s">
        <v>645</v>
      </c>
      <c r="D282" s="239">
        <v>26585959</v>
      </c>
      <c r="E282" s="239">
        <v>0</v>
      </c>
      <c r="F282" s="239">
        <v>26585959</v>
      </c>
      <c r="G282" s="239">
        <v>0</v>
      </c>
      <c r="H282" s="239">
        <v>0</v>
      </c>
      <c r="I282" s="239">
        <v>0</v>
      </c>
      <c r="J282" s="239">
        <v>-162567</v>
      </c>
      <c r="K282" s="239">
        <v>0</v>
      </c>
      <c r="L282" s="239">
        <v>-162567</v>
      </c>
      <c r="M282" s="239">
        <v>0</v>
      </c>
      <c r="N282" s="239">
        <v>0</v>
      </c>
      <c r="O282" s="239">
        <v>0</v>
      </c>
      <c r="P282" s="239">
        <v>-194772</v>
      </c>
      <c r="Q282" s="239">
        <v>0</v>
      </c>
      <c r="R282" s="239">
        <v>-194772</v>
      </c>
      <c r="S282" s="239">
        <v>1006000</v>
      </c>
      <c r="T282" s="239">
        <v>0</v>
      </c>
      <c r="U282" s="239">
        <v>1006000</v>
      </c>
      <c r="V282" s="239">
        <v>-352000</v>
      </c>
      <c r="W282" s="239">
        <v>0</v>
      </c>
      <c r="X282" s="239">
        <v>-352000</v>
      </c>
      <c r="Y282" s="239">
        <v>27045187</v>
      </c>
      <c r="Z282" s="239">
        <v>0</v>
      </c>
      <c r="AA282" s="239">
        <v>27045187</v>
      </c>
      <c r="AB282" s="239">
        <v>0</v>
      </c>
      <c r="AC282" s="239">
        <v>0</v>
      </c>
      <c r="AD282" s="239">
        <v>296709</v>
      </c>
      <c r="AE282" s="239">
        <v>0</v>
      </c>
      <c r="AF282" s="239">
        <v>296709</v>
      </c>
      <c r="AG282" s="239">
        <v>0</v>
      </c>
      <c r="AH282" s="239">
        <v>0</v>
      </c>
      <c r="AI282" s="239">
        <v>0</v>
      </c>
      <c r="AJ282" s="239">
        <v>0</v>
      </c>
      <c r="AK282" s="239">
        <v>0</v>
      </c>
      <c r="AL282" s="239">
        <v>735900</v>
      </c>
      <c r="AM282" s="239">
        <v>-838474</v>
      </c>
      <c r="AN282" s="214" t="s">
        <v>645</v>
      </c>
      <c r="AO282" s="214" t="s">
        <v>821</v>
      </c>
      <c r="AP282" s="214" t="s">
        <v>819</v>
      </c>
      <c r="AQ282" s="214" t="s">
        <v>1190</v>
      </c>
    </row>
    <row r="283" spans="2:43" x14ac:dyDescent="0.2">
      <c r="B283" s="609" t="s">
        <v>648</v>
      </c>
      <c r="C283" s="609" t="s">
        <v>647</v>
      </c>
      <c r="D283" s="239">
        <v>51979451</v>
      </c>
      <c r="E283" s="239">
        <v>0</v>
      </c>
      <c r="F283" s="239">
        <v>51979451</v>
      </c>
      <c r="G283" s="239">
        <v>-635</v>
      </c>
      <c r="H283" s="239">
        <v>0</v>
      </c>
      <c r="I283" s="239">
        <v>-635</v>
      </c>
      <c r="J283" s="239">
        <v>-728275</v>
      </c>
      <c r="K283" s="239">
        <v>0</v>
      </c>
      <c r="L283" s="239">
        <v>-728275</v>
      </c>
      <c r="M283" s="239">
        <v>0</v>
      </c>
      <c r="N283" s="239">
        <v>0</v>
      </c>
      <c r="O283" s="239">
        <v>0</v>
      </c>
      <c r="P283" s="239">
        <v>-514805</v>
      </c>
      <c r="Q283" s="239">
        <v>0</v>
      </c>
      <c r="R283" s="239">
        <v>-514805</v>
      </c>
      <c r="S283" s="239">
        <v>1217969</v>
      </c>
      <c r="T283" s="239">
        <v>0</v>
      </c>
      <c r="U283" s="239">
        <v>1217969</v>
      </c>
      <c r="V283" s="239">
        <v>-3277764</v>
      </c>
      <c r="W283" s="239">
        <v>0</v>
      </c>
      <c r="X283" s="239">
        <v>-3277764</v>
      </c>
      <c r="Y283" s="239">
        <v>49404216</v>
      </c>
      <c r="Z283" s="239">
        <v>0</v>
      </c>
      <c r="AA283" s="239">
        <v>49404216</v>
      </c>
      <c r="AB283" s="239">
        <v>0</v>
      </c>
      <c r="AC283" s="239">
        <v>0</v>
      </c>
      <c r="AD283" s="239">
        <v>567520</v>
      </c>
      <c r="AE283" s="239">
        <v>0</v>
      </c>
      <c r="AF283" s="239">
        <v>567520</v>
      </c>
      <c r="AG283" s="239">
        <v>0</v>
      </c>
      <c r="AH283" s="239">
        <v>0</v>
      </c>
      <c r="AI283" s="239">
        <v>0</v>
      </c>
      <c r="AJ283" s="239">
        <v>0</v>
      </c>
      <c r="AK283" s="239">
        <v>0</v>
      </c>
      <c r="AL283" s="239">
        <v>2337465</v>
      </c>
      <c r="AM283" s="239">
        <v>-660126</v>
      </c>
      <c r="AN283" s="214" t="s">
        <v>647</v>
      </c>
      <c r="AO283" s="214" t="s">
        <v>778</v>
      </c>
      <c r="AP283" s="214" t="s">
        <v>776</v>
      </c>
      <c r="AQ283" s="214" t="s">
        <v>1190</v>
      </c>
    </row>
    <row r="284" spans="2:43" x14ac:dyDescent="0.2">
      <c r="B284" s="609" t="s">
        <v>650</v>
      </c>
      <c r="C284" s="609" t="s">
        <v>649</v>
      </c>
      <c r="D284" s="239">
        <v>35771794</v>
      </c>
      <c r="E284" s="239">
        <v>0</v>
      </c>
      <c r="F284" s="239">
        <v>35771794</v>
      </c>
      <c r="G284" s="239">
        <v>0</v>
      </c>
      <c r="H284" s="239">
        <v>0</v>
      </c>
      <c r="I284" s="239">
        <v>0</v>
      </c>
      <c r="J284" s="239">
        <v>-73757</v>
      </c>
      <c r="K284" s="239">
        <v>0</v>
      </c>
      <c r="L284" s="239">
        <v>-73757</v>
      </c>
      <c r="M284" s="239">
        <v>-66129</v>
      </c>
      <c r="N284" s="239">
        <v>0</v>
      </c>
      <c r="O284" s="239">
        <v>-66129</v>
      </c>
      <c r="P284" s="239">
        <v>-94618</v>
      </c>
      <c r="Q284" s="239">
        <v>0</v>
      </c>
      <c r="R284" s="239">
        <v>-94618</v>
      </c>
      <c r="S284" s="239">
        <v>829220</v>
      </c>
      <c r="T284" s="239">
        <v>0</v>
      </c>
      <c r="U284" s="239">
        <v>829220</v>
      </c>
      <c r="V284" s="239">
        <v>-4403520</v>
      </c>
      <c r="W284" s="239">
        <v>0</v>
      </c>
      <c r="X284" s="239">
        <v>-4403520</v>
      </c>
      <c r="Y284" s="239">
        <v>32036747</v>
      </c>
      <c r="Z284" s="239">
        <v>0</v>
      </c>
      <c r="AA284" s="239">
        <v>32036747</v>
      </c>
      <c r="AB284" s="239">
        <v>0</v>
      </c>
      <c r="AC284" s="239">
        <v>0</v>
      </c>
      <c r="AD284" s="239">
        <v>0</v>
      </c>
      <c r="AE284" s="239">
        <v>0</v>
      </c>
      <c r="AF284" s="239">
        <v>0</v>
      </c>
      <c r="AG284" s="239">
        <v>0</v>
      </c>
      <c r="AH284" s="239">
        <v>0</v>
      </c>
      <c r="AI284" s="239">
        <v>0</v>
      </c>
      <c r="AJ284" s="239">
        <v>0</v>
      </c>
      <c r="AK284" s="239">
        <v>0</v>
      </c>
      <c r="AL284" s="239">
        <v>132137</v>
      </c>
      <c r="AM284" s="239">
        <v>-106187</v>
      </c>
      <c r="AN284" s="214" t="s">
        <v>649</v>
      </c>
      <c r="AO284" s="214" t="s">
        <v>830</v>
      </c>
      <c r="AP284" s="214" t="s">
        <v>762</v>
      </c>
      <c r="AQ284" s="214" t="s">
        <v>1190</v>
      </c>
    </row>
    <row r="285" spans="2:43" x14ac:dyDescent="0.2">
      <c r="B285" s="609" t="s">
        <v>652</v>
      </c>
      <c r="C285" s="609" t="s">
        <v>651</v>
      </c>
      <c r="D285" s="239">
        <v>33275112</v>
      </c>
      <c r="E285" s="239">
        <v>0</v>
      </c>
      <c r="F285" s="239">
        <v>33275112</v>
      </c>
      <c r="G285" s="239">
        <v>0</v>
      </c>
      <c r="H285" s="239">
        <v>0</v>
      </c>
      <c r="I285" s="239">
        <v>0</v>
      </c>
      <c r="J285" s="239">
        <v>-290509</v>
      </c>
      <c r="K285" s="239">
        <v>0</v>
      </c>
      <c r="L285" s="239">
        <v>-290509</v>
      </c>
      <c r="M285" s="239">
        <v>0</v>
      </c>
      <c r="N285" s="239">
        <v>0</v>
      </c>
      <c r="O285" s="239">
        <v>0</v>
      </c>
      <c r="P285" s="239">
        <v>-184388</v>
      </c>
      <c r="Q285" s="239">
        <v>0</v>
      </c>
      <c r="R285" s="239">
        <v>-184388</v>
      </c>
      <c r="S285" s="239">
        <v>2895910</v>
      </c>
      <c r="T285" s="239">
        <v>0</v>
      </c>
      <c r="U285" s="239">
        <v>2895910</v>
      </c>
      <c r="V285" s="239">
        <v>-2075310</v>
      </c>
      <c r="W285" s="239">
        <v>0</v>
      </c>
      <c r="X285" s="239">
        <v>-2075310</v>
      </c>
      <c r="Y285" s="239">
        <v>33911324</v>
      </c>
      <c r="Z285" s="239">
        <v>0</v>
      </c>
      <c r="AA285" s="239">
        <v>33911324</v>
      </c>
      <c r="AB285" s="239">
        <v>0</v>
      </c>
      <c r="AC285" s="239">
        <v>0</v>
      </c>
      <c r="AD285" s="239">
        <v>0</v>
      </c>
      <c r="AE285" s="239">
        <v>0</v>
      </c>
      <c r="AF285" s="239">
        <v>0</v>
      </c>
      <c r="AG285" s="239">
        <v>0</v>
      </c>
      <c r="AH285" s="239">
        <v>0</v>
      </c>
      <c r="AI285" s="239">
        <v>0</v>
      </c>
      <c r="AJ285" s="239">
        <v>0</v>
      </c>
      <c r="AK285" s="239">
        <v>0</v>
      </c>
      <c r="AL285" s="239">
        <v>1804806</v>
      </c>
      <c r="AM285" s="239">
        <v>-1595293</v>
      </c>
      <c r="AN285" s="214" t="s">
        <v>651</v>
      </c>
      <c r="AO285" s="214" t="s">
        <v>825</v>
      </c>
      <c r="AP285" s="214" t="s">
        <v>823</v>
      </c>
      <c r="AQ285" s="214" t="s">
        <v>1190</v>
      </c>
    </row>
    <row r="286" spans="2:43" x14ac:dyDescent="0.2">
      <c r="B286" s="609" t="s">
        <v>654</v>
      </c>
      <c r="C286" s="609" t="s">
        <v>653</v>
      </c>
      <c r="D286" s="239">
        <v>27866457</v>
      </c>
      <c r="E286" s="239">
        <v>0</v>
      </c>
      <c r="F286" s="239">
        <v>27866457</v>
      </c>
      <c r="G286" s="239">
        <v>0</v>
      </c>
      <c r="H286" s="239">
        <v>0</v>
      </c>
      <c r="I286" s="239">
        <v>0</v>
      </c>
      <c r="J286" s="239">
        <v>-237719</v>
      </c>
      <c r="K286" s="239">
        <v>0</v>
      </c>
      <c r="L286" s="239">
        <v>-237719</v>
      </c>
      <c r="M286" s="239">
        <v>0</v>
      </c>
      <c r="N286" s="239">
        <v>0</v>
      </c>
      <c r="O286" s="239">
        <v>0</v>
      </c>
      <c r="P286" s="239">
        <v>44314</v>
      </c>
      <c r="Q286" s="239">
        <v>0</v>
      </c>
      <c r="R286" s="239">
        <v>44314</v>
      </c>
      <c r="S286" s="239">
        <v>1230529</v>
      </c>
      <c r="T286" s="239">
        <v>0</v>
      </c>
      <c r="U286" s="239">
        <v>1230529</v>
      </c>
      <c r="V286" s="239">
        <v>1394761</v>
      </c>
      <c r="W286" s="239">
        <v>0</v>
      </c>
      <c r="X286" s="239">
        <v>1394761</v>
      </c>
      <c r="Y286" s="239">
        <v>30536061</v>
      </c>
      <c r="Z286" s="239">
        <v>0</v>
      </c>
      <c r="AA286" s="239">
        <v>30536061</v>
      </c>
      <c r="AB286" s="239">
        <v>0</v>
      </c>
      <c r="AC286" s="239">
        <v>0</v>
      </c>
      <c r="AD286" s="239">
        <v>0</v>
      </c>
      <c r="AE286" s="239">
        <v>0</v>
      </c>
      <c r="AF286" s="239">
        <v>0</v>
      </c>
      <c r="AG286" s="239">
        <v>0</v>
      </c>
      <c r="AH286" s="239">
        <v>0</v>
      </c>
      <c r="AI286" s="239">
        <v>0</v>
      </c>
      <c r="AJ286" s="239">
        <v>0</v>
      </c>
      <c r="AK286" s="239">
        <v>0</v>
      </c>
      <c r="AL286" s="239">
        <v>703867</v>
      </c>
      <c r="AM286" s="239">
        <v>-839429</v>
      </c>
      <c r="AN286" s="214" t="s">
        <v>653</v>
      </c>
      <c r="AO286" s="214" t="s">
        <v>802</v>
      </c>
      <c r="AP286" s="214" t="s">
        <v>762</v>
      </c>
      <c r="AQ286" s="214" t="s">
        <v>1190</v>
      </c>
    </row>
    <row r="287" spans="2:43" x14ac:dyDescent="0.2">
      <c r="B287" s="609" t="s">
        <v>656</v>
      </c>
      <c r="C287" s="609" t="s">
        <v>655</v>
      </c>
      <c r="D287" s="239">
        <v>112181176</v>
      </c>
      <c r="E287" s="239">
        <v>0</v>
      </c>
      <c r="F287" s="239">
        <v>112181176</v>
      </c>
      <c r="G287" s="239">
        <v>0</v>
      </c>
      <c r="H287" s="239">
        <v>0</v>
      </c>
      <c r="I287" s="239">
        <v>0</v>
      </c>
      <c r="J287" s="239">
        <v>0</v>
      </c>
      <c r="K287" s="239">
        <v>0</v>
      </c>
      <c r="L287" s="239">
        <v>0</v>
      </c>
      <c r="M287" s="239">
        <v>-216082</v>
      </c>
      <c r="N287" s="239">
        <v>0</v>
      </c>
      <c r="O287" s="239">
        <v>-216082</v>
      </c>
      <c r="P287" s="239">
        <v>-175644</v>
      </c>
      <c r="Q287" s="239">
        <v>0</v>
      </c>
      <c r="R287" s="239">
        <v>-175644</v>
      </c>
      <c r="S287" s="239">
        <v>0</v>
      </c>
      <c r="T287" s="239">
        <v>0</v>
      </c>
      <c r="U287" s="239">
        <v>0</v>
      </c>
      <c r="V287" s="239">
        <v>-699548</v>
      </c>
      <c r="W287" s="239">
        <v>0</v>
      </c>
      <c r="X287" s="239">
        <v>-699548</v>
      </c>
      <c r="Y287" s="239">
        <v>111089902</v>
      </c>
      <c r="Z287" s="239">
        <v>0</v>
      </c>
      <c r="AA287" s="239">
        <v>111089902</v>
      </c>
      <c r="AB287" s="239">
        <v>0</v>
      </c>
      <c r="AC287" s="239">
        <v>0</v>
      </c>
      <c r="AD287" s="239">
        <v>0</v>
      </c>
      <c r="AE287" s="239">
        <v>0</v>
      </c>
      <c r="AF287" s="239">
        <v>0</v>
      </c>
      <c r="AG287" s="239">
        <v>0</v>
      </c>
      <c r="AH287" s="239">
        <v>0</v>
      </c>
      <c r="AI287" s="239">
        <v>0</v>
      </c>
      <c r="AJ287" s="239">
        <v>0</v>
      </c>
      <c r="AK287" s="239">
        <v>0</v>
      </c>
      <c r="AL287" s="239">
        <v>599825</v>
      </c>
      <c r="AM287" s="239">
        <v>-270617</v>
      </c>
      <c r="AN287" s="214" t="s">
        <v>829</v>
      </c>
      <c r="AO287" s="214" t="s">
        <v>747</v>
      </c>
      <c r="AP287" s="214" t="s">
        <v>819</v>
      </c>
      <c r="AQ287" s="214" t="s">
        <v>747</v>
      </c>
    </row>
    <row r="288" spans="2:43" x14ac:dyDescent="0.2">
      <c r="B288" s="609" t="s">
        <v>658</v>
      </c>
      <c r="C288" s="609" t="s">
        <v>657</v>
      </c>
      <c r="D288" s="239">
        <v>53751367</v>
      </c>
      <c r="E288" s="239">
        <v>0</v>
      </c>
      <c r="F288" s="239">
        <v>53751367</v>
      </c>
      <c r="G288" s="239">
        <v>0</v>
      </c>
      <c r="H288" s="239">
        <v>0</v>
      </c>
      <c r="I288" s="239">
        <v>0</v>
      </c>
      <c r="J288" s="239">
        <v>-230000</v>
      </c>
      <c r="K288" s="239">
        <v>0</v>
      </c>
      <c r="L288" s="239">
        <v>-230000</v>
      </c>
      <c r="M288" s="239">
        <v>-3227</v>
      </c>
      <c r="N288" s="239">
        <v>0</v>
      </c>
      <c r="O288" s="239">
        <v>-3227</v>
      </c>
      <c r="P288" s="239">
        <v>-360000</v>
      </c>
      <c r="Q288" s="239">
        <v>0</v>
      </c>
      <c r="R288" s="239">
        <v>-360000</v>
      </c>
      <c r="S288" s="239">
        <v>2455209</v>
      </c>
      <c r="T288" s="239">
        <v>0</v>
      </c>
      <c r="U288" s="239">
        <v>2455209</v>
      </c>
      <c r="V288" s="239">
        <v>-2045209</v>
      </c>
      <c r="W288" s="239">
        <v>0</v>
      </c>
      <c r="X288" s="239">
        <v>-2045209</v>
      </c>
      <c r="Y288" s="239">
        <v>53798140</v>
      </c>
      <c r="Z288" s="239">
        <v>0</v>
      </c>
      <c r="AA288" s="239">
        <v>53798140</v>
      </c>
      <c r="AB288" s="239">
        <v>0</v>
      </c>
      <c r="AC288" s="239">
        <v>0</v>
      </c>
      <c r="AD288" s="239">
        <v>0</v>
      </c>
      <c r="AE288" s="239">
        <v>0</v>
      </c>
      <c r="AF288" s="239">
        <v>0</v>
      </c>
      <c r="AG288" s="239">
        <v>0</v>
      </c>
      <c r="AH288" s="239">
        <v>0</v>
      </c>
      <c r="AI288" s="239">
        <v>0</v>
      </c>
      <c r="AJ288" s="239">
        <v>0</v>
      </c>
      <c r="AK288" s="239">
        <v>0</v>
      </c>
      <c r="AL288" s="239">
        <v>1350815</v>
      </c>
      <c r="AM288" s="239">
        <v>-2078022</v>
      </c>
      <c r="AN288" s="214" t="s">
        <v>828</v>
      </c>
      <c r="AO288" s="214" t="s">
        <v>825</v>
      </c>
      <c r="AP288" s="214" t="s">
        <v>823</v>
      </c>
      <c r="AQ288" s="214" t="s">
        <v>1190</v>
      </c>
    </row>
    <row r="289" spans="2:43" x14ac:dyDescent="0.2">
      <c r="B289" s="609" t="s">
        <v>660</v>
      </c>
      <c r="C289" s="609" t="s">
        <v>659</v>
      </c>
      <c r="D289" s="239">
        <v>37377885</v>
      </c>
      <c r="E289" s="239">
        <v>0</v>
      </c>
      <c r="F289" s="239">
        <v>37377885</v>
      </c>
      <c r="G289" s="239">
        <v>0</v>
      </c>
      <c r="H289" s="239">
        <v>0</v>
      </c>
      <c r="I289" s="239">
        <v>0</v>
      </c>
      <c r="J289" s="239">
        <v>-603748</v>
      </c>
      <c r="K289" s="239">
        <v>0</v>
      </c>
      <c r="L289" s="239">
        <v>-603748</v>
      </c>
      <c r="M289" s="239">
        <v>0</v>
      </c>
      <c r="N289" s="239">
        <v>0</v>
      </c>
      <c r="O289" s="239">
        <v>0</v>
      </c>
      <c r="P289" s="239">
        <v>-649753</v>
      </c>
      <c r="Q289" s="239">
        <v>0</v>
      </c>
      <c r="R289" s="239">
        <v>-649753</v>
      </c>
      <c r="S289" s="239">
        <v>0</v>
      </c>
      <c r="T289" s="239">
        <v>0</v>
      </c>
      <c r="U289" s="239">
        <v>0</v>
      </c>
      <c r="V289" s="239">
        <v>1174570</v>
      </c>
      <c r="W289" s="239">
        <v>0</v>
      </c>
      <c r="X289" s="239">
        <v>1174570</v>
      </c>
      <c r="Y289" s="239">
        <v>37902702</v>
      </c>
      <c r="Z289" s="239">
        <v>0</v>
      </c>
      <c r="AA289" s="239">
        <v>37902702</v>
      </c>
      <c r="AB289" s="239">
        <v>0</v>
      </c>
      <c r="AC289" s="239">
        <v>0</v>
      </c>
      <c r="AD289" s="239">
        <v>0</v>
      </c>
      <c r="AE289" s="239">
        <v>0</v>
      </c>
      <c r="AF289" s="239">
        <v>0</v>
      </c>
      <c r="AG289" s="239">
        <v>0</v>
      </c>
      <c r="AH289" s="239">
        <v>0</v>
      </c>
      <c r="AI289" s="239">
        <v>0</v>
      </c>
      <c r="AJ289" s="239">
        <v>0</v>
      </c>
      <c r="AK289" s="239">
        <v>0</v>
      </c>
      <c r="AL289" s="239">
        <v>1878475</v>
      </c>
      <c r="AM289" s="239">
        <v>-720079</v>
      </c>
      <c r="AN289" s="214" t="s">
        <v>827</v>
      </c>
      <c r="AO289" s="214" t="s">
        <v>747</v>
      </c>
      <c r="AP289" s="214" t="s">
        <v>791</v>
      </c>
      <c r="AQ289" s="214" t="s">
        <v>747</v>
      </c>
    </row>
    <row r="290" spans="2:43" x14ac:dyDescent="0.2">
      <c r="B290" s="609" t="s">
        <v>662</v>
      </c>
      <c r="C290" s="609" t="s">
        <v>661</v>
      </c>
      <c r="D290" s="239">
        <v>10590926</v>
      </c>
      <c r="E290" s="239">
        <v>0</v>
      </c>
      <c r="F290" s="239">
        <v>10590926</v>
      </c>
      <c r="G290" s="239">
        <v>0</v>
      </c>
      <c r="H290" s="239">
        <v>0</v>
      </c>
      <c r="I290" s="239">
        <v>0</v>
      </c>
      <c r="J290" s="239">
        <v>-47436</v>
      </c>
      <c r="K290" s="239">
        <v>0</v>
      </c>
      <c r="L290" s="239">
        <v>-47436</v>
      </c>
      <c r="M290" s="239">
        <v>56</v>
      </c>
      <c r="N290" s="239">
        <v>0</v>
      </c>
      <c r="O290" s="239">
        <v>56</v>
      </c>
      <c r="P290" s="239">
        <v>-50352</v>
      </c>
      <c r="Q290" s="239">
        <v>0</v>
      </c>
      <c r="R290" s="239">
        <v>-50352</v>
      </c>
      <c r="S290" s="239">
        <v>1056892</v>
      </c>
      <c r="T290" s="239">
        <v>0</v>
      </c>
      <c r="U290" s="239">
        <v>1056892</v>
      </c>
      <c r="V290" s="239">
        <v>-586268</v>
      </c>
      <c r="W290" s="239">
        <v>0</v>
      </c>
      <c r="X290" s="239">
        <v>-586268</v>
      </c>
      <c r="Y290" s="239">
        <v>11011254</v>
      </c>
      <c r="Z290" s="239">
        <v>0</v>
      </c>
      <c r="AA290" s="239">
        <v>11011254</v>
      </c>
      <c r="AB290" s="239">
        <v>0</v>
      </c>
      <c r="AC290" s="239">
        <v>0</v>
      </c>
      <c r="AD290" s="239">
        <v>567661</v>
      </c>
      <c r="AE290" s="239">
        <v>0</v>
      </c>
      <c r="AF290" s="239">
        <v>567661</v>
      </c>
      <c r="AG290" s="239">
        <v>0</v>
      </c>
      <c r="AH290" s="239">
        <v>0</v>
      </c>
      <c r="AI290" s="239">
        <v>0</v>
      </c>
      <c r="AJ290" s="239">
        <v>0</v>
      </c>
      <c r="AK290" s="239">
        <v>0</v>
      </c>
      <c r="AL290" s="239">
        <v>335855</v>
      </c>
      <c r="AM290" s="239">
        <v>-125690</v>
      </c>
      <c r="AN290" s="214" t="s">
        <v>661</v>
      </c>
      <c r="AO290" s="214" t="s">
        <v>799</v>
      </c>
      <c r="AP290" s="214" t="s">
        <v>791</v>
      </c>
      <c r="AQ290" s="214" t="s">
        <v>1190</v>
      </c>
    </row>
    <row r="291" spans="2:43" x14ac:dyDescent="0.2">
      <c r="B291" s="609" t="s">
        <v>664</v>
      </c>
      <c r="C291" s="609" t="s">
        <v>663</v>
      </c>
      <c r="D291" s="239">
        <v>399518653</v>
      </c>
      <c r="E291" s="239">
        <v>0</v>
      </c>
      <c r="F291" s="239">
        <v>399518653</v>
      </c>
      <c r="G291" s="239">
        <v>-47672</v>
      </c>
      <c r="H291" s="239">
        <v>0</v>
      </c>
      <c r="I291" s="239">
        <v>-47672</v>
      </c>
      <c r="J291" s="239">
        <v>-1771817</v>
      </c>
      <c r="K291" s="239">
        <v>0</v>
      </c>
      <c r="L291" s="239">
        <v>-1771817</v>
      </c>
      <c r="M291" s="239">
        <v>0</v>
      </c>
      <c r="N291" s="239">
        <v>0</v>
      </c>
      <c r="O291" s="239">
        <v>0</v>
      </c>
      <c r="P291" s="239">
        <v>-4852589</v>
      </c>
      <c r="Q291" s="239">
        <v>0</v>
      </c>
      <c r="R291" s="239">
        <v>-4852589</v>
      </c>
      <c r="S291" s="239">
        <v>8152459</v>
      </c>
      <c r="T291" s="239">
        <v>0</v>
      </c>
      <c r="U291" s="239">
        <v>8152459</v>
      </c>
      <c r="V291" s="239">
        <v>-8152459</v>
      </c>
      <c r="W291" s="239">
        <v>0</v>
      </c>
      <c r="X291" s="239">
        <v>-8152459</v>
      </c>
      <c r="Y291" s="239">
        <v>394618392</v>
      </c>
      <c r="Z291" s="239">
        <v>0</v>
      </c>
      <c r="AA291" s="239">
        <v>394618392</v>
      </c>
      <c r="AB291" s="239">
        <v>0</v>
      </c>
      <c r="AC291" s="239">
        <v>0</v>
      </c>
      <c r="AD291" s="239">
        <v>0</v>
      </c>
      <c r="AE291" s="239">
        <v>0</v>
      </c>
      <c r="AF291" s="239">
        <v>0</v>
      </c>
      <c r="AG291" s="239">
        <v>0</v>
      </c>
      <c r="AH291" s="239">
        <v>0</v>
      </c>
      <c r="AI291" s="239">
        <v>0</v>
      </c>
      <c r="AJ291" s="239">
        <v>0</v>
      </c>
      <c r="AK291" s="239">
        <v>0</v>
      </c>
      <c r="AL291" s="239">
        <v>20568052</v>
      </c>
      <c r="AM291" s="239">
        <v>-22899382</v>
      </c>
      <c r="AN291" s="214" t="s">
        <v>663</v>
      </c>
      <c r="AO291" s="214" t="s">
        <v>789</v>
      </c>
      <c r="AP291" s="214" t="s">
        <v>748</v>
      </c>
      <c r="AQ291" s="214" t="s">
        <v>1193</v>
      </c>
    </row>
    <row r="292" spans="2:43" x14ac:dyDescent="0.2">
      <c r="B292" s="609" t="s">
        <v>666</v>
      </c>
      <c r="C292" s="609" t="s">
        <v>665</v>
      </c>
      <c r="D292" s="239">
        <v>169516024</v>
      </c>
      <c r="E292" s="239">
        <v>0</v>
      </c>
      <c r="F292" s="239">
        <v>169516024</v>
      </c>
      <c r="G292" s="239">
        <v>0</v>
      </c>
      <c r="H292" s="239">
        <v>0</v>
      </c>
      <c r="I292" s="239">
        <v>0</v>
      </c>
      <c r="J292" s="239">
        <v>18506</v>
      </c>
      <c r="K292" s="239">
        <v>0</v>
      </c>
      <c r="L292" s="239">
        <v>18506</v>
      </c>
      <c r="M292" s="239">
        <v>0</v>
      </c>
      <c r="N292" s="239">
        <v>0</v>
      </c>
      <c r="O292" s="239">
        <v>0</v>
      </c>
      <c r="P292" s="239">
        <v>-344262</v>
      </c>
      <c r="Q292" s="239">
        <v>0</v>
      </c>
      <c r="R292" s="239">
        <v>-344262</v>
      </c>
      <c r="S292" s="239">
        <v>5964807</v>
      </c>
      <c r="T292" s="239">
        <v>0</v>
      </c>
      <c r="U292" s="239">
        <v>5964807</v>
      </c>
      <c r="V292" s="239">
        <v>-17429957</v>
      </c>
      <c r="W292" s="239">
        <v>0</v>
      </c>
      <c r="X292" s="239">
        <v>-17429957</v>
      </c>
      <c r="Y292" s="239">
        <v>157706612</v>
      </c>
      <c r="Z292" s="239">
        <v>0</v>
      </c>
      <c r="AA292" s="239">
        <v>157706612</v>
      </c>
      <c r="AB292" s="239">
        <v>0</v>
      </c>
      <c r="AC292" s="239">
        <v>0</v>
      </c>
      <c r="AD292" s="239">
        <v>77532</v>
      </c>
      <c r="AE292" s="239">
        <v>0</v>
      </c>
      <c r="AF292" s="239">
        <v>77532</v>
      </c>
      <c r="AG292" s="239">
        <v>0</v>
      </c>
      <c r="AH292" s="239">
        <v>0</v>
      </c>
      <c r="AI292" s="239">
        <v>0</v>
      </c>
      <c r="AJ292" s="239">
        <v>0</v>
      </c>
      <c r="AK292" s="239">
        <v>0</v>
      </c>
      <c r="AL292" s="239">
        <v>12539438</v>
      </c>
      <c r="AM292" s="239">
        <v>-6632396</v>
      </c>
      <c r="AN292" s="214" t="s">
        <v>665</v>
      </c>
      <c r="AO292" s="214" t="s">
        <v>767</v>
      </c>
      <c r="AP292" s="214" t="s">
        <v>782</v>
      </c>
      <c r="AQ292" s="214" t="s">
        <v>1192</v>
      </c>
    </row>
    <row r="293" spans="2:43" x14ac:dyDescent="0.2">
      <c r="B293" s="609" t="s">
        <v>668</v>
      </c>
      <c r="C293" s="609" t="s">
        <v>667</v>
      </c>
      <c r="D293" s="239">
        <v>52737362</v>
      </c>
      <c r="E293" s="239">
        <v>0</v>
      </c>
      <c r="F293" s="239">
        <v>52737362</v>
      </c>
      <c r="G293" s="239">
        <v>0</v>
      </c>
      <c r="H293" s="239">
        <v>0</v>
      </c>
      <c r="I293" s="239">
        <v>0</v>
      </c>
      <c r="J293" s="239">
        <v>0</v>
      </c>
      <c r="K293" s="239">
        <v>0</v>
      </c>
      <c r="L293" s="239">
        <v>0</v>
      </c>
      <c r="M293" s="239">
        <v>-313293</v>
      </c>
      <c r="N293" s="239">
        <v>0</v>
      </c>
      <c r="O293" s="239">
        <v>-313293</v>
      </c>
      <c r="P293" s="239">
        <v>-370840</v>
      </c>
      <c r="Q293" s="239">
        <v>0</v>
      </c>
      <c r="R293" s="239">
        <v>-370840</v>
      </c>
      <c r="S293" s="239">
        <v>0</v>
      </c>
      <c r="T293" s="239">
        <v>0</v>
      </c>
      <c r="U293" s="239">
        <v>0</v>
      </c>
      <c r="V293" s="239">
        <v>777536</v>
      </c>
      <c r="W293" s="239">
        <v>0</v>
      </c>
      <c r="X293" s="239">
        <v>777536</v>
      </c>
      <c r="Y293" s="239">
        <v>52830765</v>
      </c>
      <c r="Z293" s="239">
        <v>0</v>
      </c>
      <c r="AA293" s="239">
        <v>52830765</v>
      </c>
      <c r="AB293" s="239">
        <v>0</v>
      </c>
      <c r="AC293" s="239">
        <v>0</v>
      </c>
      <c r="AD293" s="239">
        <v>0</v>
      </c>
      <c r="AE293" s="239">
        <v>0</v>
      </c>
      <c r="AF293" s="239">
        <v>0</v>
      </c>
      <c r="AG293" s="239">
        <v>0</v>
      </c>
      <c r="AH293" s="239">
        <v>0</v>
      </c>
      <c r="AI293" s="239">
        <v>0</v>
      </c>
      <c r="AJ293" s="239">
        <v>0</v>
      </c>
      <c r="AK293" s="239">
        <v>0</v>
      </c>
      <c r="AL293" s="239">
        <v>2454288</v>
      </c>
      <c r="AM293" s="239">
        <v>-1370894</v>
      </c>
      <c r="AN293" s="214" t="s">
        <v>667</v>
      </c>
      <c r="AO293" s="214" t="s">
        <v>825</v>
      </c>
      <c r="AP293" s="214" t="s">
        <v>823</v>
      </c>
      <c r="AQ293" s="214" t="s">
        <v>1190</v>
      </c>
    </row>
    <row r="294" spans="2:43" x14ac:dyDescent="0.2">
      <c r="B294" s="609" t="s">
        <v>670</v>
      </c>
      <c r="C294" s="609" t="s">
        <v>669</v>
      </c>
      <c r="D294" s="239">
        <v>32462603</v>
      </c>
      <c r="E294" s="239">
        <v>0</v>
      </c>
      <c r="F294" s="239">
        <v>32462603</v>
      </c>
      <c r="G294" s="239">
        <v>0</v>
      </c>
      <c r="H294" s="239">
        <v>0</v>
      </c>
      <c r="I294" s="239">
        <v>0</v>
      </c>
      <c r="J294" s="239">
        <v>-232960</v>
      </c>
      <c r="K294" s="239">
        <v>0</v>
      </c>
      <c r="L294" s="239">
        <v>-232960</v>
      </c>
      <c r="M294" s="239">
        <v>0</v>
      </c>
      <c r="N294" s="239">
        <v>0</v>
      </c>
      <c r="O294" s="239">
        <v>0</v>
      </c>
      <c r="P294" s="239">
        <v>-126983</v>
      </c>
      <c r="Q294" s="239">
        <v>0</v>
      </c>
      <c r="R294" s="239">
        <v>-126983</v>
      </c>
      <c r="S294" s="239">
        <v>8738377</v>
      </c>
      <c r="T294" s="239">
        <v>0</v>
      </c>
      <c r="U294" s="239">
        <v>8738377</v>
      </c>
      <c r="V294" s="239">
        <v>-379966</v>
      </c>
      <c r="W294" s="239">
        <v>0</v>
      </c>
      <c r="X294" s="239">
        <v>-379966</v>
      </c>
      <c r="Y294" s="239">
        <v>40694031</v>
      </c>
      <c r="Z294" s="239">
        <v>0</v>
      </c>
      <c r="AA294" s="239">
        <v>40694031</v>
      </c>
      <c r="AB294" s="239">
        <v>0</v>
      </c>
      <c r="AC294" s="239">
        <v>0</v>
      </c>
      <c r="AD294" s="239">
        <v>149280</v>
      </c>
      <c r="AE294" s="239">
        <v>0</v>
      </c>
      <c r="AF294" s="239">
        <v>149280</v>
      </c>
      <c r="AG294" s="239">
        <v>0</v>
      </c>
      <c r="AH294" s="239">
        <v>0</v>
      </c>
      <c r="AI294" s="239">
        <v>0</v>
      </c>
      <c r="AJ294" s="239">
        <v>0</v>
      </c>
      <c r="AK294" s="239">
        <v>0</v>
      </c>
      <c r="AL294" s="239">
        <v>1438992</v>
      </c>
      <c r="AM294" s="239">
        <v>-504013</v>
      </c>
      <c r="AN294" s="214" t="s">
        <v>669</v>
      </c>
      <c r="AO294" s="214" t="s">
        <v>821</v>
      </c>
      <c r="AP294" s="214" t="s">
        <v>819</v>
      </c>
      <c r="AQ294" s="214" t="s">
        <v>1190</v>
      </c>
    </row>
    <row r="295" spans="2:43" x14ac:dyDescent="0.2">
      <c r="B295" s="609" t="s">
        <v>672</v>
      </c>
      <c r="C295" s="609" t="s">
        <v>671</v>
      </c>
      <c r="D295" s="239">
        <v>55486210</v>
      </c>
      <c r="E295" s="239">
        <v>2559165</v>
      </c>
      <c r="F295" s="239">
        <v>58045375</v>
      </c>
      <c r="G295" s="239">
        <v>0</v>
      </c>
      <c r="H295" s="239">
        <v>0</v>
      </c>
      <c r="I295" s="239">
        <v>0</v>
      </c>
      <c r="J295" s="239">
        <v>-243724</v>
      </c>
      <c r="K295" s="239">
        <v>0</v>
      </c>
      <c r="L295" s="239">
        <v>-243724</v>
      </c>
      <c r="M295" s="239">
        <v>0</v>
      </c>
      <c r="N295" s="239">
        <v>0</v>
      </c>
      <c r="O295" s="239">
        <v>0</v>
      </c>
      <c r="P295" s="239">
        <v>-265204</v>
      </c>
      <c r="Q295" s="239">
        <v>0</v>
      </c>
      <c r="R295" s="239">
        <v>-265204</v>
      </c>
      <c r="S295" s="239">
        <v>1448385</v>
      </c>
      <c r="T295" s="239">
        <v>0</v>
      </c>
      <c r="U295" s="239">
        <v>1448385</v>
      </c>
      <c r="V295" s="239">
        <v>-1264887</v>
      </c>
      <c r="W295" s="239">
        <v>0</v>
      </c>
      <c r="X295" s="239">
        <v>-1264887</v>
      </c>
      <c r="Y295" s="239">
        <v>55404504</v>
      </c>
      <c r="Z295" s="239">
        <v>2559165</v>
      </c>
      <c r="AA295" s="239">
        <v>57963669</v>
      </c>
      <c r="AB295" s="239">
        <v>2559165</v>
      </c>
      <c r="AC295" s="239">
        <v>2559165</v>
      </c>
      <c r="AD295" s="239">
        <v>247217</v>
      </c>
      <c r="AE295" s="239">
        <v>0</v>
      </c>
      <c r="AF295" s="239">
        <v>247217</v>
      </c>
      <c r="AG295" s="239">
        <v>0</v>
      </c>
      <c r="AH295" s="239">
        <v>0</v>
      </c>
      <c r="AI295" s="239">
        <v>2427014</v>
      </c>
      <c r="AJ295" s="239">
        <v>2427014</v>
      </c>
      <c r="AK295" s="239">
        <v>450247</v>
      </c>
      <c r="AL295" s="239">
        <v>1854023</v>
      </c>
      <c r="AM295" s="239">
        <v>-595740</v>
      </c>
      <c r="AN295" s="214" t="s">
        <v>671</v>
      </c>
      <c r="AO295" s="214" t="s">
        <v>795</v>
      </c>
      <c r="AP295" s="214" t="s">
        <v>762</v>
      </c>
      <c r="AQ295" s="214" t="s">
        <v>1190</v>
      </c>
    </row>
    <row r="296" spans="2:43" x14ac:dyDescent="0.2">
      <c r="B296" s="609" t="s">
        <v>674</v>
      </c>
      <c r="C296" s="609" t="s">
        <v>673</v>
      </c>
      <c r="D296" s="239">
        <v>127932240</v>
      </c>
      <c r="E296" s="239">
        <v>0</v>
      </c>
      <c r="F296" s="239">
        <v>127932240</v>
      </c>
      <c r="G296" s="239">
        <v>-557</v>
      </c>
      <c r="H296" s="239">
        <v>0</v>
      </c>
      <c r="I296" s="239">
        <v>-557</v>
      </c>
      <c r="J296" s="239">
        <v>-1151053</v>
      </c>
      <c r="K296" s="239">
        <v>0</v>
      </c>
      <c r="L296" s="239">
        <v>-1151053</v>
      </c>
      <c r="M296" s="239">
        <v>0</v>
      </c>
      <c r="N296" s="239">
        <v>0</v>
      </c>
      <c r="O296" s="239">
        <v>0</v>
      </c>
      <c r="P296" s="239">
        <v>-1151053</v>
      </c>
      <c r="Q296" s="239">
        <v>0</v>
      </c>
      <c r="R296" s="239">
        <v>-1151053</v>
      </c>
      <c r="S296" s="239">
        <v>8178813</v>
      </c>
      <c r="T296" s="239">
        <v>0</v>
      </c>
      <c r="U296" s="239">
        <v>8178813</v>
      </c>
      <c r="V296" s="239">
        <v>-12263579</v>
      </c>
      <c r="W296" s="239">
        <v>0</v>
      </c>
      <c r="X296" s="239">
        <v>-12263579</v>
      </c>
      <c r="Y296" s="239">
        <v>122695864</v>
      </c>
      <c r="Z296" s="239">
        <v>0</v>
      </c>
      <c r="AA296" s="239">
        <v>122695864</v>
      </c>
      <c r="AB296" s="239">
        <v>0</v>
      </c>
      <c r="AC296" s="239">
        <v>0</v>
      </c>
      <c r="AD296" s="239">
        <v>896486</v>
      </c>
      <c r="AE296" s="239">
        <v>0</v>
      </c>
      <c r="AF296" s="239">
        <v>896486</v>
      </c>
      <c r="AG296" s="239">
        <v>0</v>
      </c>
      <c r="AH296" s="239">
        <v>0</v>
      </c>
      <c r="AI296" s="239">
        <v>0</v>
      </c>
      <c r="AJ296" s="239">
        <v>0</v>
      </c>
      <c r="AK296" s="239">
        <v>0</v>
      </c>
      <c r="AL296" s="239">
        <v>1674166</v>
      </c>
      <c r="AM296" s="239">
        <v>-1400948</v>
      </c>
      <c r="AN296" s="214" t="s">
        <v>673</v>
      </c>
      <c r="AO296" s="214" t="s">
        <v>767</v>
      </c>
      <c r="AP296" s="214" t="s">
        <v>817</v>
      </c>
      <c r="AQ296" s="214" t="s">
        <v>1192</v>
      </c>
    </row>
    <row r="297" spans="2:43" x14ac:dyDescent="0.2">
      <c r="B297" s="609" t="s">
        <v>676</v>
      </c>
      <c r="C297" s="609" t="s">
        <v>675</v>
      </c>
      <c r="D297" s="239">
        <v>68963661</v>
      </c>
      <c r="E297" s="239">
        <v>202132</v>
      </c>
      <c r="F297" s="239">
        <v>69165793</v>
      </c>
      <c r="G297" s="239">
        <v>0</v>
      </c>
      <c r="H297" s="239">
        <v>0</v>
      </c>
      <c r="I297" s="239">
        <v>0</v>
      </c>
      <c r="J297" s="239">
        <v>0</v>
      </c>
      <c r="K297" s="239">
        <v>0</v>
      </c>
      <c r="L297" s="239">
        <v>0</v>
      </c>
      <c r="M297" s="239">
        <v>-368676</v>
      </c>
      <c r="N297" s="239">
        <v>0</v>
      </c>
      <c r="O297" s="239">
        <v>-368676</v>
      </c>
      <c r="P297" s="239">
        <v>-431042</v>
      </c>
      <c r="Q297" s="239">
        <v>0</v>
      </c>
      <c r="R297" s="239">
        <v>-431042</v>
      </c>
      <c r="S297" s="239">
        <v>0</v>
      </c>
      <c r="T297" s="239">
        <v>0</v>
      </c>
      <c r="U297" s="239">
        <v>0</v>
      </c>
      <c r="V297" s="239">
        <v>2205858</v>
      </c>
      <c r="W297" s="239">
        <v>0</v>
      </c>
      <c r="X297" s="239">
        <v>2205858</v>
      </c>
      <c r="Y297" s="239">
        <v>70369801</v>
      </c>
      <c r="Z297" s="239">
        <v>202132</v>
      </c>
      <c r="AA297" s="239">
        <v>70571933</v>
      </c>
      <c r="AB297" s="239">
        <v>202132</v>
      </c>
      <c r="AC297" s="239">
        <v>202132</v>
      </c>
      <c r="AD297" s="239">
        <v>0</v>
      </c>
      <c r="AE297" s="239">
        <v>0</v>
      </c>
      <c r="AF297" s="239">
        <v>0</v>
      </c>
      <c r="AG297" s="239">
        <v>0</v>
      </c>
      <c r="AH297" s="239">
        <v>0</v>
      </c>
      <c r="AI297" s="239">
        <v>177303</v>
      </c>
      <c r="AJ297" s="239">
        <v>177303</v>
      </c>
      <c r="AK297" s="239">
        <v>24829</v>
      </c>
      <c r="AL297" s="239">
        <v>7170296</v>
      </c>
      <c r="AM297" s="239">
        <v>-1480735</v>
      </c>
      <c r="AN297" s="214" t="s">
        <v>675</v>
      </c>
      <c r="AO297" s="214" t="s">
        <v>767</v>
      </c>
      <c r="AP297" s="214" t="s">
        <v>765</v>
      </c>
      <c r="AQ297" s="214" t="s">
        <v>1192</v>
      </c>
    </row>
    <row r="298" spans="2:43" x14ac:dyDescent="0.2">
      <c r="B298" s="609" t="s">
        <v>678</v>
      </c>
      <c r="C298" s="609" t="s">
        <v>677</v>
      </c>
      <c r="D298" s="239">
        <v>59401699</v>
      </c>
      <c r="E298" s="239">
        <v>0</v>
      </c>
      <c r="F298" s="239">
        <v>59401699</v>
      </c>
      <c r="G298" s="239">
        <v>0</v>
      </c>
      <c r="H298" s="239">
        <v>0</v>
      </c>
      <c r="I298" s="239">
        <v>0</v>
      </c>
      <c r="J298" s="239">
        <v>-586642</v>
      </c>
      <c r="K298" s="239">
        <v>0</v>
      </c>
      <c r="L298" s="239">
        <v>-586642</v>
      </c>
      <c r="M298" s="239">
        <v>0</v>
      </c>
      <c r="N298" s="239">
        <v>0</v>
      </c>
      <c r="O298" s="239">
        <v>0</v>
      </c>
      <c r="P298" s="239">
        <v>-2228760</v>
      </c>
      <c r="Q298" s="239">
        <v>0</v>
      </c>
      <c r="R298" s="239">
        <v>-2228760</v>
      </c>
      <c r="S298" s="239">
        <v>2325744</v>
      </c>
      <c r="T298" s="239">
        <v>0</v>
      </c>
      <c r="U298" s="239">
        <v>2325744</v>
      </c>
      <c r="V298" s="239">
        <v>-5944214</v>
      </c>
      <c r="W298" s="239">
        <v>0</v>
      </c>
      <c r="X298" s="239">
        <v>-5944214</v>
      </c>
      <c r="Y298" s="239">
        <v>53554469</v>
      </c>
      <c r="Z298" s="239">
        <v>0</v>
      </c>
      <c r="AA298" s="239">
        <v>53554469</v>
      </c>
      <c r="AB298" s="239">
        <v>0</v>
      </c>
      <c r="AC298" s="239">
        <v>0</v>
      </c>
      <c r="AD298" s="239">
        <v>0</v>
      </c>
      <c r="AE298" s="239">
        <v>0</v>
      </c>
      <c r="AF298" s="239">
        <v>0</v>
      </c>
      <c r="AG298" s="239">
        <v>0</v>
      </c>
      <c r="AH298" s="239">
        <v>0</v>
      </c>
      <c r="AI298" s="239">
        <v>0</v>
      </c>
      <c r="AJ298" s="239">
        <v>0</v>
      </c>
      <c r="AK298" s="239">
        <v>0</v>
      </c>
      <c r="AL298" s="239">
        <v>4358167</v>
      </c>
      <c r="AM298" s="239">
        <v>-3658472</v>
      </c>
      <c r="AN298" s="214" t="s">
        <v>677</v>
      </c>
      <c r="AO298" s="214" t="s">
        <v>789</v>
      </c>
      <c r="AP298" s="214" t="s">
        <v>748</v>
      </c>
      <c r="AQ298" s="214" t="s">
        <v>1191</v>
      </c>
    </row>
    <row r="299" spans="2:43" x14ac:dyDescent="0.2">
      <c r="B299" s="609" t="s">
        <v>680</v>
      </c>
      <c r="C299" s="609" t="s">
        <v>679</v>
      </c>
      <c r="D299" s="239">
        <v>100352976</v>
      </c>
      <c r="E299" s="239">
        <v>2000469</v>
      </c>
      <c r="F299" s="239">
        <v>102353445</v>
      </c>
      <c r="G299" s="239">
        <v>-3618</v>
      </c>
      <c r="H299" s="239">
        <v>0</v>
      </c>
      <c r="I299" s="239">
        <v>-3618</v>
      </c>
      <c r="J299" s="239">
        <v>-24040</v>
      </c>
      <c r="K299" s="239">
        <v>0</v>
      </c>
      <c r="L299" s="239">
        <v>-24040</v>
      </c>
      <c r="M299" s="239">
        <v>0</v>
      </c>
      <c r="N299" s="239">
        <v>0</v>
      </c>
      <c r="O299" s="239">
        <v>0</v>
      </c>
      <c r="P299" s="239">
        <v>-731040</v>
      </c>
      <c r="Q299" s="239">
        <v>0</v>
      </c>
      <c r="R299" s="239">
        <v>-731040</v>
      </c>
      <c r="S299" s="239">
        <v>1408099</v>
      </c>
      <c r="T299" s="239">
        <v>935576</v>
      </c>
      <c r="U299" s="239">
        <v>2343675</v>
      </c>
      <c r="V299" s="239">
        <v>-1362145</v>
      </c>
      <c r="W299" s="239">
        <v>-75434</v>
      </c>
      <c r="X299" s="239">
        <v>-1437579</v>
      </c>
      <c r="Y299" s="239">
        <v>99664272</v>
      </c>
      <c r="Z299" s="239">
        <v>2860611</v>
      </c>
      <c r="AA299" s="239">
        <v>102524883</v>
      </c>
      <c r="AB299" s="239">
        <v>2860611</v>
      </c>
      <c r="AC299" s="239">
        <v>2860611</v>
      </c>
      <c r="AD299" s="239">
        <v>0</v>
      </c>
      <c r="AE299" s="239">
        <v>0</v>
      </c>
      <c r="AF299" s="239">
        <v>0</v>
      </c>
      <c r="AG299" s="239">
        <v>-151686</v>
      </c>
      <c r="AH299" s="239">
        <v>-151686</v>
      </c>
      <c r="AI299" s="239">
        <v>4206450</v>
      </c>
      <c r="AJ299" s="239">
        <v>4206450</v>
      </c>
      <c r="AK299" s="239">
        <v>0</v>
      </c>
      <c r="AL299" s="239">
        <v>6261127</v>
      </c>
      <c r="AM299" s="239">
        <v>-3798139</v>
      </c>
      <c r="AN299" s="214" t="s">
        <v>679</v>
      </c>
      <c r="AO299" s="214" t="s">
        <v>789</v>
      </c>
      <c r="AP299" s="214" t="s">
        <v>748</v>
      </c>
      <c r="AQ299" s="214" t="s">
        <v>1193</v>
      </c>
    </row>
    <row r="300" spans="2:43" x14ac:dyDescent="0.2">
      <c r="B300" s="609" t="s">
        <v>682</v>
      </c>
      <c r="C300" s="609" t="s">
        <v>681</v>
      </c>
      <c r="D300" s="239">
        <v>108792598</v>
      </c>
      <c r="E300" s="239">
        <v>976664</v>
      </c>
      <c r="F300" s="239">
        <v>109769262</v>
      </c>
      <c r="G300" s="239">
        <v>0</v>
      </c>
      <c r="H300" s="239">
        <v>0</v>
      </c>
      <c r="I300" s="239">
        <v>0</v>
      </c>
      <c r="J300" s="239">
        <v>0</v>
      </c>
      <c r="K300" s="239">
        <v>0</v>
      </c>
      <c r="L300" s="239">
        <v>0</v>
      </c>
      <c r="M300" s="239">
        <v>-1260292</v>
      </c>
      <c r="N300" s="239">
        <v>0</v>
      </c>
      <c r="O300" s="239">
        <v>-1260292</v>
      </c>
      <c r="P300" s="239">
        <v>64432</v>
      </c>
      <c r="Q300" s="239">
        <v>0</v>
      </c>
      <c r="R300" s="239">
        <v>64432</v>
      </c>
      <c r="S300" s="239">
        <v>0</v>
      </c>
      <c r="T300" s="239">
        <v>0</v>
      </c>
      <c r="U300" s="239">
        <v>0</v>
      </c>
      <c r="V300" s="239">
        <v>0</v>
      </c>
      <c r="W300" s="239">
        <v>0</v>
      </c>
      <c r="X300" s="239">
        <v>0</v>
      </c>
      <c r="Y300" s="239">
        <v>107596738</v>
      </c>
      <c r="Z300" s="239">
        <v>976664</v>
      </c>
      <c r="AA300" s="239">
        <v>108573402</v>
      </c>
      <c r="AB300" s="239">
        <v>976664</v>
      </c>
      <c r="AC300" s="239">
        <v>976664</v>
      </c>
      <c r="AD300" s="239">
        <v>0</v>
      </c>
      <c r="AE300" s="239">
        <v>0</v>
      </c>
      <c r="AF300" s="239">
        <v>0</v>
      </c>
      <c r="AG300" s="239">
        <v>0</v>
      </c>
      <c r="AH300" s="239">
        <v>0</v>
      </c>
      <c r="AI300" s="239">
        <v>1174032</v>
      </c>
      <c r="AJ300" s="239">
        <v>1174032</v>
      </c>
      <c r="AK300" s="239">
        <v>0</v>
      </c>
      <c r="AL300" s="239">
        <v>12679343</v>
      </c>
      <c r="AM300" s="239">
        <v>-1613339</v>
      </c>
      <c r="AN300" s="214" t="s">
        <v>816</v>
      </c>
      <c r="AO300" s="214" t="s">
        <v>747</v>
      </c>
      <c r="AP300" s="214" t="s">
        <v>814</v>
      </c>
      <c r="AQ300" s="214" t="s">
        <v>747</v>
      </c>
    </row>
    <row r="301" spans="2:43" x14ac:dyDescent="0.2">
      <c r="B301" s="609" t="s">
        <v>684</v>
      </c>
      <c r="C301" s="609" t="s">
        <v>683</v>
      </c>
      <c r="D301" s="239">
        <v>70315418</v>
      </c>
      <c r="E301" s="239">
        <v>0</v>
      </c>
      <c r="F301" s="239">
        <v>70315418</v>
      </c>
      <c r="G301" s="239">
        <v>0</v>
      </c>
      <c r="H301" s="239">
        <v>0</v>
      </c>
      <c r="I301" s="239">
        <v>0</v>
      </c>
      <c r="J301" s="239">
        <v>-204555</v>
      </c>
      <c r="K301" s="239">
        <v>0</v>
      </c>
      <c r="L301" s="239">
        <v>-204555</v>
      </c>
      <c r="M301" s="239">
        <v>0</v>
      </c>
      <c r="N301" s="239">
        <v>0</v>
      </c>
      <c r="O301" s="239">
        <v>0</v>
      </c>
      <c r="P301" s="239">
        <v>-629555</v>
      </c>
      <c r="Q301" s="239">
        <v>0</v>
      </c>
      <c r="R301" s="239">
        <v>-629555</v>
      </c>
      <c r="S301" s="239">
        <v>2404432</v>
      </c>
      <c r="T301" s="239">
        <v>0</v>
      </c>
      <c r="U301" s="239">
        <v>2404432</v>
      </c>
      <c r="V301" s="239">
        <v>-1608221</v>
      </c>
      <c r="W301" s="239">
        <v>0</v>
      </c>
      <c r="X301" s="239">
        <v>-1608221</v>
      </c>
      <c r="Y301" s="239">
        <v>70482074</v>
      </c>
      <c r="Z301" s="239">
        <v>0</v>
      </c>
      <c r="AA301" s="239">
        <v>70482074</v>
      </c>
      <c r="AB301" s="239">
        <v>0</v>
      </c>
      <c r="AC301" s="239">
        <v>0</v>
      </c>
      <c r="AD301" s="239">
        <v>15034</v>
      </c>
      <c r="AE301" s="239">
        <v>0</v>
      </c>
      <c r="AF301" s="239">
        <v>15034</v>
      </c>
      <c r="AG301" s="239">
        <v>0</v>
      </c>
      <c r="AH301" s="239">
        <v>0</v>
      </c>
      <c r="AI301" s="239">
        <v>0</v>
      </c>
      <c r="AJ301" s="239">
        <v>0</v>
      </c>
      <c r="AK301" s="239">
        <v>0</v>
      </c>
      <c r="AL301" s="239">
        <v>1551360</v>
      </c>
      <c r="AM301" s="239">
        <v>-452352</v>
      </c>
      <c r="AN301" s="214" t="s">
        <v>683</v>
      </c>
      <c r="AO301" s="214" t="s">
        <v>812</v>
      </c>
      <c r="AP301" s="214" t="s">
        <v>762</v>
      </c>
      <c r="AQ301" s="214" t="s">
        <v>1190</v>
      </c>
    </row>
    <row r="302" spans="2:43" x14ac:dyDescent="0.2">
      <c r="B302" s="609" t="s">
        <v>686</v>
      </c>
      <c r="C302" s="609" t="s">
        <v>685</v>
      </c>
      <c r="D302" s="239">
        <v>63332202</v>
      </c>
      <c r="E302" s="239">
        <v>0</v>
      </c>
      <c r="F302" s="239">
        <v>63332202</v>
      </c>
      <c r="G302" s="239">
        <v>-8235</v>
      </c>
      <c r="H302" s="239">
        <v>0</v>
      </c>
      <c r="I302" s="239">
        <v>-8235</v>
      </c>
      <c r="J302" s="239">
        <v>-681642</v>
      </c>
      <c r="K302" s="239">
        <v>0</v>
      </c>
      <c r="L302" s="239">
        <v>-681642</v>
      </c>
      <c r="M302" s="239">
        <v>0</v>
      </c>
      <c r="N302" s="239">
        <v>0</v>
      </c>
      <c r="O302" s="239">
        <v>0</v>
      </c>
      <c r="P302" s="239">
        <v>-926234</v>
      </c>
      <c r="Q302" s="239">
        <v>0</v>
      </c>
      <c r="R302" s="239">
        <v>-926234</v>
      </c>
      <c r="S302" s="239">
        <v>5136373</v>
      </c>
      <c r="T302" s="239">
        <v>0</v>
      </c>
      <c r="U302" s="239">
        <v>5136373</v>
      </c>
      <c r="V302" s="239">
        <v>5637064</v>
      </c>
      <c r="W302" s="239">
        <v>0</v>
      </c>
      <c r="X302" s="239">
        <v>5637064</v>
      </c>
      <c r="Y302" s="239">
        <v>73171170</v>
      </c>
      <c r="Z302" s="239">
        <v>0</v>
      </c>
      <c r="AA302" s="239">
        <v>73171170</v>
      </c>
      <c r="AB302" s="239">
        <v>0</v>
      </c>
      <c r="AC302" s="239">
        <v>0</v>
      </c>
      <c r="AD302" s="239">
        <v>0</v>
      </c>
      <c r="AE302" s="239">
        <v>0</v>
      </c>
      <c r="AF302" s="239">
        <v>0</v>
      </c>
      <c r="AG302" s="239">
        <v>0</v>
      </c>
      <c r="AH302" s="239">
        <v>0</v>
      </c>
      <c r="AI302" s="239">
        <v>0</v>
      </c>
      <c r="AJ302" s="239">
        <v>0</v>
      </c>
      <c r="AK302" s="239">
        <v>0</v>
      </c>
      <c r="AL302" s="239">
        <v>2815985</v>
      </c>
      <c r="AM302" s="239">
        <v>-2349115</v>
      </c>
      <c r="AN302" s="214" t="s">
        <v>685</v>
      </c>
      <c r="AO302" s="214" t="s">
        <v>802</v>
      </c>
      <c r="AP302" s="214" t="s">
        <v>762</v>
      </c>
      <c r="AQ302" s="214" t="s">
        <v>1190</v>
      </c>
    </row>
    <row r="303" spans="2:43" x14ac:dyDescent="0.2">
      <c r="B303" s="609" t="s">
        <v>688</v>
      </c>
      <c r="C303" s="609" t="s">
        <v>687</v>
      </c>
      <c r="D303" s="239">
        <v>26776013</v>
      </c>
      <c r="E303" s="239">
        <v>243946</v>
      </c>
      <c r="F303" s="239">
        <v>27019959</v>
      </c>
      <c r="G303" s="239">
        <v>0</v>
      </c>
      <c r="H303" s="239">
        <v>0</v>
      </c>
      <c r="I303" s="239">
        <v>0</v>
      </c>
      <c r="J303" s="239">
        <v>-98861</v>
      </c>
      <c r="K303" s="239">
        <v>0</v>
      </c>
      <c r="L303" s="239">
        <v>-98861</v>
      </c>
      <c r="M303" s="239">
        <v>0</v>
      </c>
      <c r="N303" s="239">
        <v>0</v>
      </c>
      <c r="O303" s="239">
        <v>0</v>
      </c>
      <c r="P303" s="239">
        <v>-112347</v>
      </c>
      <c r="Q303" s="239">
        <v>0</v>
      </c>
      <c r="R303" s="239">
        <v>-112347</v>
      </c>
      <c r="S303" s="239">
        <v>3176853</v>
      </c>
      <c r="T303" s="239">
        <v>8386</v>
      </c>
      <c r="U303" s="239">
        <v>3185239</v>
      </c>
      <c r="V303" s="239">
        <v>-2566319</v>
      </c>
      <c r="W303" s="239">
        <v>-640</v>
      </c>
      <c r="X303" s="239">
        <v>-2566959</v>
      </c>
      <c r="Y303" s="239">
        <v>27274200</v>
      </c>
      <c r="Z303" s="239">
        <v>251692</v>
      </c>
      <c r="AA303" s="239">
        <v>27525892</v>
      </c>
      <c r="AB303" s="239">
        <v>251692</v>
      </c>
      <c r="AC303" s="239">
        <v>251692</v>
      </c>
      <c r="AD303" s="239">
        <v>237815</v>
      </c>
      <c r="AE303" s="239">
        <v>0</v>
      </c>
      <c r="AF303" s="239">
        <v>237815</v>
      </c>
      <c r="AG303" s="239">
        <v>0</v>
      </c>
      <c r="AH303" s="239">
        <v>0</v>
      </c>
      <c r="AI303" s="239">
        <v>0</v>
      </c>
      <c r="AJ303" s="239">
        <v>0</v>
      </c>
      <c r="AK303" s="239">
        <v>251692</v>
      </c>
      <c r="AL303" s="239">
        <v>1511412</v>
      </c>
      <c r="AM303" s="239">
        <v>-773777</v>
      </c>
      <c r="AN303" s="214" t="s">
        <v>687</v>
      </c>
      <c r="AO303" s="214" t="s">
        <v>810</v>
      </c>
      <c r="AP303" s="214" t="s">
        <v>762</v>
      </c>
      <c r="AQ303" s="214" t="s">
        <v>1190</v>
      </c>
    </row>
    <row r="304" spans="2:43" x14ac:dyDescent="0.2">
      <c r="B304" s="609" t="s">
        <v>690</v>
      </c>
      <c r="C304" s="609" t="s">
        <v>689</v>
      </c>
      <c r="D304" s="239">
        <v>36734987</v>
      </c>
      <c r="E304" s="239">
        <v>0</v>
      </c>
      <c r="F304" s="239">
        <v>36734987</v>
      </c>
      <c r="G304" s="239">
        <v>0</v>
      </c>
      <c r="H304" s="239">
        <v>0</v>
      </c>
      <c r="I304" s="239">
        <v>0</v>
      </c>
      <c r="J304" s="239">
        <v>-235786</v>
      </c>
      <c r="K304" s="239">
        <v>0</v>
      </c>
      <c r="L304" s="239">
        <v>-235786</v>
      </c>
      <c r="M304" s="239">
        <v>0</v>
      </c>
      <c r="N304" s="239">
        <v>0</v>
      </c>
      <c r="O304" s="239">
        <v>0</v>
      </c>
      <c r="P304" s="239">
        <v>-255786</v>
      </c>
      <c r="Q304" s="239">
        <v>0</v>
      </c>
      <c r="R304" s="239">
        <v>-255786</v>
      </c>
      <c r="S304" s="239">
        <v>640877</v>
      </c>
      <c r="T304" s="239">
        <v>0</v>
      </c>
      <c r="U304" s="239">
        <v>640877</v>
      </c>
      <c r="V304" s="239">
        <v>-540877</v>
      </c>
      <c r="W304" s="239">
        <v>0</v>
      </c>
      <c r="X304" s="239">
        <v>-540877</v>
      </c>
      <c r="Y304" s="239">
        <v>36579201</v>
      </c>
      <c r="Z304" s="239">
        <v>0</v>
      </c>
      <c r="AA304" s="239">
        <v>36579201</v>
      </c>
      <c r="AB304" s="239">
        <v>0</v>
      </c>
      <c r="AC304" s="239">
        <v>0</v>
      </c>
      <c r="AD304" s="239">
        <v>0</v>
      </c>
      <c r="AE304" s="239">
        <v>0</v>
      </c>
      <c r="AF304" s="239">
        <v>0</v>
      </c>
      <c r="AG304" s="239">
        <v>0</v>
      </c>
      <c r="AH304" s="239">
        <v>0</v>
      </c>
      <c r="AI304" s="239">
        <v>0</v>
      </c>
      <c r="AJ304" s="239">
        <v>0</v>
      </c>
      <c r="AK304" s="239">
        <v>0</v>
      </c>
      <c r="AL304" s="239">
        <v>2338145</v>
      </c>
      <c r="AM304" s="239">
        <v>-750111</v>
      </c>
      <c r="AN304" s="214" t="s">
        <v>689</v>
      </c>
      <c r="AO304" s="214" t="s">
        <v>771</v>
      </c>
      <c r="AP304" s="214" t="s">
        <v>762</v>
      </c>
      <c r="AQ304" s="214" t="s">
        <v>1190</v>
      </c>
    </row>
    <row r="305" spans="2:43" x14ac:dyDescent="0.2">
      <c r="B305" s="609" t="s">
        <v>692</v>
      </c>
      <c r="C305" s="609" t="s">
        <v>691</v>
      </c>
      <c r="D305" s="239">
        <v>30870024</v>
      </c>
      <c r="E305" s="239">
        <v>0</v>
      </c>
      <c r="F305" s="239">
        <v>30870024</v>
      </c>
      <c r="G305" s="239">
        <v>0</v>
      </c>
      <c r="H305" s="239">
        <v>0</v>
      </c>
      <c r="I305" s="239">
        <v>0</v>
      </c>
      <c r="J305" s="239">
        <v>-208445</v>
      </c>
      <c r="K305" s="239">
        <v>0</v>
      </c>
      <c r="L305" s="239">
        <v>-208445</v>
      </c>
      <c r="M305" s="239">
        <v>0</v>
      </c>
      <c r="N305" s="239">
        <v>0</v>
      </c>
      <c r="O305" s="239">
        <v>0</v>
      </c>
      <c r="P305" s="239">
        <v>-167648</v>
      </c>
      <c r="Q305" s="239">
        <v>0</v>
      </c>
      <c r="R305" s="239">
        <v>-167648</v>
      </c>
      <c r="S305" s="239">
        <v>359493</v>
      </c>
      <c r="T305" s="239">
        <v>0</v>
      </c>
      <c r="U305" s="239">
        <v>359493</v>
      </c>
      <c r="V305" s="239">
        <v>-507493</v>
      </c>
      <c r="W305" s="239">
        <v>0</v>
      </c>
      <c r="X305" s="239">
        <v>-507493</v>
      </c>
      <c r="Y305" s="239">
        <v>30554376</v>
      </c>
      <c r="Z305" s="239">
        <v>0</v>
      </c>
      <c r="AA305" s="239">
        <v>30554376</v>
      </c>
      <c r="AB305" s="239">
        <v>0</v>
      </c>
      <c r="AC305" s="239">
        <v>0</v>
      </c>
      <c r="AD305" s="239">
        <v>174696</v>
      </c>
      <c r="AE305" s="239">
        <v>0</v>
      </c>
      <c r="AF305" s="239">
        <v>174696</v>
      </c>
      <c r="AG305" s="239">
        <v>0</v>
      </c>
      <c r="AH305" s="239">
        <v>0</v>
      </c>
      <c r="AI305" s="239">
        <v>0</v>
      </c>
      <c r="AJ305" s="239">
        <v>0</v>
      </c>
      <c r="AK305" s="239">
        <v>0</v>
      </c>
      <c r="AL305" s="239">
        <v>1552996</v>
      </c>
      <c r="AM305" s="239">
        <v>-435978</v>
      </c>
      <c r="AN305" s="214" t="s">
        <v>691</v>
      </c>
      <c r="AO305" s="214" t="s">
        <v>808</v>
      </c>
      <c r="AP305" s="214" t="s">
        <v>806</v>
      </c>
      <c r="AQ305" s="214" t="s">
        <v>1190</v>
      </c>
    </row>
    <row r="306" spans="2:43" x14ac:dyDescent="0.2">
      <c r="B306" s="609" t="s">
        <v>694</v>
      </c>
      <c r="C306" s="609" t="s">
        <v>693</v>
      </c>
      <c r="D306" s="239">
        <v>28740993</v>
      </c>
      <c r="E306" s="239">
        <v>0</v>
      </c>
      <c r="F306" s="239">
        <v>28740993</v>
      </c>
      <c r="G306" s="239">
        <v>0</v>
      </c>
      <c r="H306" s="239">
        <v>0</v>
      </c>
      <c r="I306" s="239">
        <v>0</v>
      </c>
      <c r="J306" s="239">
        <v>-43078</v>
      </c>
      <c r="K306" s="239">
        <v>0</v>
      </c>
      <c r="L306" s="239">
        <v>-43078</v>
      </c>
      <c r="M306" s="239">
        <v>0</v>
      </c>
      <c r="N306" s="239">
        <v>0</v>
      </c>
      <c r="O306" s="239">
        <v>0</v>
      </c>
      <c r="P306" s="239">
        <v>-148278</v>
      </c>
      <c r="Q306" s="239">
        <v>0</v>
      </c>
      <c r="R306" s="239">
        <v>-148278</v>
      </c>
      <c r="S306" s="239">
        <v>1559652</v>
      </c>
      <c r="T306" s="239">
        <v>0</v>
      </c>
      <c r="U306" s="239">
        <v>1559652</v>
      </c>
      <c r="V306" s="239">
        <v>-1847696</v>
      </c>
      <c r="W306" s="239">
        <v>0</v>
      </c>
      <c r="X306" s="239">
        <v>-1847696</v>
      </c>
      <c r="Y306" s="239">
        <v>28304671</v>
      </c>
      <c r="Z306" s="239">
        <v>0</v>
      </c>
      <c r="AA306" s="239">
        <v>28304671</v>
      </c>
      <c r="AB306" s="239">
        <v>0</v>
      </c>
      <c r="AC306" s="239">
        <v>0</v>
      </c>
      <c r="AD306" s="239">
        <v>33987</v>
      </c>
      <c r="AE306" s="239">
        <v>0</v>
      </c>
      <c r="AF306" s="239">
        <v>33987</v>
      </c>
      <c r="AG306" s="239">
        <v>0</v>
      </c>
      <c r="AH306" s="239">
        <v>0</v>
      </c>
      <c r="AI306" s="239">
        <v>0</v>
      </c>
      <c r="AJ306" s="239">
        <v>0</v>
      </c>
      <c r="AK306" s="239">
        <v>0</v>
      </c>
      <c r="AL306" s="239">
        <v>710535</v>
      </c>
      <c r="AM306" s="239">
        <v>-734908</v>
      </c>
      <c r="AN306" s="214" t="s">
        <v>693</v>
      </c>
      <c r="AO306" s="214" t="s">
        <v>804</v>
      </c>
      <c r="AP306" s="214" t="s">
        <v>762</v>
      </c>
      <c r="AQ306" s="214" t="s">
        <v>1190</v>
      </c>
    </row>
    <row r="307" spans="2:43" x14ac:dyDescent="0.2">
      <c r="B307" s="609" t="s">
        <v>696</v>
      </c>
      <c r="C307" s="609" t="s">
        <v>695</v>
      </c>
      <c r="D307" s="239">
        <v>58180195</v>
      </c>
      <c r="E307" s="239">
        <v>0</v>
      </c>
      <c r="F307" s="239">
        <v>58180195</v>
      </c>
      <c r="G307" s="239">
        <v>0</v>
      </c>
      <c r="H307" s="239">
        <v>0</v>
      </c>
      <c r="I307" s="239">
        <v>0</v>
      </c>
      <c r="J307" s="239">
        <v>-141940</v>
      </c>
      <c r="K307" s="239">
        <v>0</v>
      </c>
      <c r="L307" s="239">
        <v>-141940</v>
      </c>
      <c r="M307" s="239">
        <v>-16881</v>
      </c>
      <c r="N307" s="239">
        <v>0</v>
      </c>
      <c r="O307" s="239">
        <v>-16881</v>
      </c>
      <c r="P307" s="239">
        <v>-122139</v>
      </c>
      <c r="Q307" s="239">
        <v>0</v>
      </c>
      <c r="R307" s="239">
        <v>-122139</v>
      </c>
      <c r="S307" s="239">
        <v>2596388</v>
      </c>
      <c r="T307" s="239">
        <v>0</v>
      </c>
      <c r="U307" s="239">
        <v>2596388</v>
      </c>
      <c r="V307" s="239">
        <v>-4147323</v>
      </c>
      <c r="W307" s="239">
        <v>0</v>
      </c>
      <c r="X307" s="239">
        <v>-4147323</v>
      </c>
      <c r="Y307" s="239">
        <v>56490240</v>
      </c>
      <c r="Z307" s="239">
        <v>0</v>
      </c>
      <c r="AA307" s="239">
        <v>56490240</v>
      </c>
      <c r="AB307" s="239">
        <v>0</v>
      </c>
      <c r="AC307" s="239">
        <v>0</v>
      </c>
      <c r="AD307" s="239">
        <v>0</v>
      </c>
      <c r="AE307" s="239">
        <v>0</v>
      </c>
      <c r="AF307" s="239">
        <v>0</v>
      </c>
      <c r="AG307" s="239">
        <v>0</v>
      </c>
      <c r="AH307" s="239">
        <v>0</v>
      </c>
      <c r="AI307" s="239">
        <v>0</v>
      </c>
      <c r="AJ307" s="239">
        <v>0</v>
      </c>
      <c r="AK307" s="239">
        <v>0</v>
      </c>
      <c r="AL307" s="239">
        <v>764946</v>
      </c>
      <c r="AM307" s="239">
        <v>-194322</v>
      </c>
      <c r="AN307" s="214" t="s">
        <v>695</v>
      </c>
      <c r="AO307" s="214" t="s">
        <v>802</v>
      </c>
      <c r="AP307" s="214" t="s">
        <v>762</v>
      </c>
      <c r="AQ307" s="214" t="s">
        <v>1190</v>
      </c>
    </row>
    <row r="308" spans="2:43" x14ac:dyDescent="0.2">
      <c r="B308" s="609" t="s">
        <v>698</v>
      </c>
      <c r="C308" s="609" t="s">
        <v>697</v>
      </c>
      <c r="D308" s="239">
        <v>85690602</v>
      </c>
      <c r="E308" s="239">
        <v>0</v>
      </c>
      <c r="F308" s="239">
        <v>85690602</v>
      </c>
      <c r="G308" s="239">
        <v>0</v>
      </c>
      <c r="H308" s="239">
        <v>0</v>
      </c>
      <c r="I308" s="239">
        <v>0</v>
      </c>
      <c r="J308" s="239">
        <v>-347502</v>
      </c>
      <c r="K308" s="239">
        <v>0</v>
      </c>
      <c r="L308" s="239">
        <v>-347502</v>
      </c>
      <c r="M308" s="239">
        <v>0</v>
      </c>
      <c r="N308" s="239">
        <v>0</v>
      </c>
      <c r="O308" s="239">
        <v>0</v>
      </c>
      <c r="P308" s="239">
        <v>0</v>
      </c>
      <c r="Q308" s="239">
        <v>0</v>
      </c>
      <c r="R308" s="239">
        <v>0</v>
      </c>
      <c r="S308" s="239">
        <v>1900000</v>
      </c>
      <c r="T308" s="239">
        <v>0</v>
      </c>
      <c r="U308" s="239">
        <v>1900000</v>
      </c>
      <c r="V308" s="239">
        <v>-500000</v>
      </c>
      <c r="W308" s="239">
        <v>0</v>
      </c>
      <c r="X308" s="239">
        <v>-500000</v>
      </c>
      <c r="Y308" s="239">
        <v>87090602</v>
      </c>
      <c r="Z308" s="239">
        <v>0</v>
      </c>
      <c r="AA308" s="239">
        <v>87090602</v>
      </c>
      <c r="AB308" s="239">
        <v>0</v>
      </c>
      <c r="AC308" s="239">
        <v>0</v>
      </c>
      <c r="AD308" s="239">
        <v>0</v>
      </c>
      <c r="AE308" s="239">
        <v>0</v>
      </c>
      <c r="AF308" s="239">
        <v>0</v>
      </c>
      <c r="AG308" s="239">
        <v>0</v>
      </c>
      <c r="AH308" s="239">
        <v>0</v>
      </c>
      <c r="AI308" s="239">
        <v>0</v>
      </c>
      <c r="AJ308" s="239">
        <v>0</v>
      </c>
      <c r="AK308" s="239">
        <v>0</v>
      </c>
      <c r="AL308" s="239">
        <v>2594126</v>
      </c>
      <c r="AM308" s="239">
        <v>-2366758</v>
      </c>
      <c r="AN308" s="214" t="s">
        <v>801</v>
      </c>
      <c r="AO308" s="214" t="s">
        <v>747</v>
      </c>
      <c r="AP308" s="214" t="s">
        <v>768</v>
      </c>
      <c r="AQ308" s="214" t="s">
        <v>747</v>
      </c>
    </row>
    <row r="309" spans="2:43" x14ac:dyDescent="0.2">
      <c r="B309" s="609" t="s">
        <v>700</v>
      </c>
      <c r="C309" s="609" t="s">
        <v>699</v>
      </c>
      <c r="D309" s="239">
        <v>10737656</v>
      </c>
      <c r="E309" s="239">
        <v>0</v>
      </c>
      <c r="F309" s="239">
        <v>10737656</v>
      </c>
      <c r="G309" s="239">
        <v>0</v>
      </c>
      <c r="H309" s="239">
        <v>0</v>
      </c>
      <c r="I309" s="239">
        <v>0</v>
      </c>
      <c r="J309" s="239">
        <v>-23516</v>
      </c>
      <c r="K309" s="239">
        <v>0</v>
      </c>
      <c r="L309" s="239">
        <v>-23516</v>
      </c>
      <c r="M309" s="239">
        <v>0</v>
      </c>
      <c r="N309" s="239">
        <v>0</v>
      </c>
      <c r="O309" s="239">
        <v>0</v>
      </c>
      <c r="P309" s="239">
        <v>-113643</v>
      </c>
      <c r="Q309" s="239">
        <v>0</v>
      </c>
      <c r="R309" s="239">
        <v>-113643</v>
      </c>
      <c r="S309" s="239">
        <v>754308</v>
      </c>
      <c r="T309" s="239">
        <v>0</v>
      </c>
      <c r="U309" s="239">
        <v>754308</v>
      </c>
      <c r="V309" s="239">
        <v>45711</v>
      </c>
      <c r="W309" s="239">
        <v>0</v>
      </c>
      <c r="X309" s="239">
        <v>45711</v>
      </c>
      <c r="Y309" s="239">
        <v>11424032</v>
      </c>
      <c r="Z309" s="239">
        <v>0</v>
      </c>
      <c r="AA309" s="239">
        <v>11424032</v>
      </c>
      <c r="AB309" s="239">
        <v>0</v>
      </c>
      <c r="AC309" s="239">
        <v>0</v>
      </c>
      <c r="AD309" s="239">
        <v>0</v>
      </c>
      <c r="AE309" s="239">
        <v>0</v>
      </c>
      <c r="AF309" s="239">
        <v>0</v>
      </c>
      <c r="AG309" s="239">
        <v>0</v>
      </c>
      <c r="AH309" s="239">
        <v>0</v>
      </c>
      <c r="AI309" s="239">
        <v>0</v>
      </c>
      <c r="AJ309" s="239">
        <v>0</v>
      </c>
      <c r="AK309" s="239">
        <v>0</v>
      </c>
      <c r="AL309" s="239">
        <v>958220</v>
      </c>
      <c r="AM309" s="239">
        <v>-213251</v>
      </c>
      <c r="AN309" s="214" t="s">
        <v>699</v>
      </c>
      <c r="AO309" s="214" t="s">
        <v>799</v>
      </c>
      <c r="AP309" s="214" t="s">
        <v>791</v>
      </c>
      <c r="AQ309" s="214" t="s">
        <v>1190</v>
      </c>
    </row>
    <row r="310" spans="2:43" x14ac:dyDescent="0.2">
      <c r="B310" s="609" t="s">
        <v>702</v>
      </c>
      <c r="C310" s="609" t="s">
        <v>701</v>
      </c>
      <c r="D310" s="239">
        <v>30486560</v>
      </c>
      <c r="E310" s="239">
        <v>0</v>
      </c>
      <c r="F310" s="239">
        <v>30486560</v>
      </c>
      <c r="G310" s="239">
        <v>-3632</v>
      </c>
      <c r="H310" s="239">
        <v>0</v>
      </c>
      <c r="I310" s="239">
        <v>-3632</v>
      </c>
      <c r="J310" s="239">
        <v>-500258</v>
      </c>
      <c r="K310" s="239">
        <v>0</v>
      </c>
      <c r="L310" s="239">
        <v>-500258</v>
      </c>
      <c r="M310" s="239">
        <v>0</v>
      </c>
      <c r="N310" s="239">
        <v>0</v>
      </c>
      <c r="O310" s="239">
        <v>0</v>
      </c>
      <c r="P310" s="239">
        <v>-240258</v>
      </c>
      <c r="Q310" s="239">
        <v>0</v>
      </c>
      <c r="R310" s="239">
        <v>-240258</v>
      </c>
      <c r="S310" s="239">
        <v>1783048</v>
      </c>
      <c r="T310" s="239">
        <v>0</v>
      </c>
      <c r="U310" s="239">
        <v>1783048</v>
      </c>
      <c r="V310" s="239">
        <v>-3465334</v>
      </c>
      <c r="W310" s="239">
        <v>0</v>
      </c>
      <c r="X310" s="239">
        <v>-3465334</v>
      </c>
      <c r="Y310" s="239">
        <v>28560384</v>
      </c>
      <c r="Z310" s="239">
        <v>0</v>
      </c>
      <c r="AA310" s="239">
        <v>28560384</v>
      </c>
      <c r="AB310" s="239">
        <v>0</v>
      </c>
      <c r="AC310" s="239">
        <v>0</v>
      </c>
      <c r="AD310" s="239">
        <v>176539</v>
      </c>
      <c r="AE310" s="239">
        <v>0</v>
      </c>
      <c r="AF310" s="239">
        <v>176539</v>
      </c>
      <c r="AG310" s="239">
        <v>0</v>
      </c>
      <c r="AH310" s="239">
        <v>0</v>
      </c>
      <c r="AI310" s="239">
        <v>0</v>
      </c>
      <c r="AJ310" s="239">
        <v>0</v>
      </c>
      <c r="AK310" s="239">
        <v>0</v>
      </c>
      <c r="AL310" s="239">
        <v>1281177</v>
      </c>
      <c r="AM310" s="239">
        <v>-657226</v>
      </c>
      <c r="AN310" s="214" t="s">
        <v>701</v>
      </c>
      <c r="AO310" s="214" t="s">
        <v>786</v>
      </c>
      <c r="AP310" s="214" t="s">
        <v>784</v>
      </c>
      <c r="AQ310" s="214" t="s">
        <v>1190</v>
      </c>
    </row>
    <row r="311" spans="2:43" x14ac:dyDescent="0.2">
      <c r="B311" s="609" t="s">
        <v>704</v>
      </c>
      <c r="C311" s="609" t="s">
        <v>703</v>
      </c>
      <c r="D311" s="239">
        <v>31734201</v>
      </c>
      <c r="E311" s="239">
        <v>0</v>
      </c>
      <c r="F311" s="239">
        <v>31734201</v>
      </c>
      <c r="G311" s="239">
        <v>0</v>
      </c>
      <c r="H311" s="239">
        <v>0</v>
      </c>
      <c r="I311" s="239">
        <v>0</v>
      </c>
      <c r="J311" s="239">
        <v>-954894</v>
      </c>
      <c r="K311" s="239">
        <v>0</v>
      </c>
      <c r="L311" s="239">
        <v>-954894</v>
      </c>
      <c r="M311" s="239">
        <v>0</v>
      </c>
      <c r="N311" s="239">
        <v>0</v>
      </c>
      <c r="O311" s="239">
        <v>0</v>
      </c>
      <c r="P311" s="239">
        <v>-836713</v>
      </c>
      <c r="Q311" s="239">
        <v>0</v>
      </c>
      <c r="R311" s="239">
        <v>-836713</v>
      </c>
      <c r="S311" s="239">
        <v>0</v>
      </c>
      <c r="T311" s="239">
        <v>0</v>
      </c>
      <c r="U311" s="239">
        <v>0</v>
      </c>
      <c r="V311" s="239">
        <v>1819089</v>
      </c>
      <c r="W311" s="239">
        <v>0</v>
      </c>
      <c r="X311" s="239">
        <v>1819089</v>
      </c>
      <c r="Y311" s="239">
        <v>32716577</v>
      </c>
      <c r="Z311" s="239">
        <v>0</v>
      </c>
      <c r="AA311" s="239">
        <v>32716577</v>
      </c>
      <c r="AB311" s="239">
        <v>0</v>
      </c>
      <c r="AC311" s="239">
        <v>0</v>
      </c>
      <c r="AD311" s="239">
        <v>0</v>
      </c>
      <c r="AE311" s="239">
        <v>0</v>
      </c>
      <c r="AF311" s="239">
        <v>0</v>
      </c>
      <c r="AG311" s="239">
        <v>0</v>
      </c>
      <c r="AH311" s="239">
        <v>0</v>
      </c>
      <c r="AI311" s="239">
        <v>0</v>
      </c>
      <c r="AJ311" s="239">
        <v>0</v>
      </c>
      <c r="AK311" s="239">
        <v>0</v>
      </c>
      <c r="AL311" s="239">
        <v>3063333</v>
      </c>
      <c r="AM311" s="239">
        <v>-808490</v>
      </c>
      <c r="AN311" s="214" t="s">
        <v>703</v>
      </c>
      <c r="AO311" s="214" t="s">
        <v>756</v>
      </c>
      <c r="AP311" s="214" t="s">
        <v>754</v>
      </c>
      <c r="AQ311" s="214" t="s">
        <v>1190</v>
      </c>
    </row>
    <row r="312" spans="2:43" x14ac:dyDescent="0.2">
      <c r="B312" s="609" t="s">
        <v>706</v>
      </c>
      <c r="C312" s="609" t="s">
        <v>705</v>
      </c>
      <c r="D312" s="239">
        <v>16409831</v>
      </c>
      <c r="E312" s="239">
        <v>0</v>
      </c>
      <c r="F312" s="239">
        <v>16409831</v>
      </c>
      <c r="G312" s="239">
        <v>-8437</v>
      </c>
      <c r="H312" s="239">
        <v>0</v>
      </c>
      <c r="I312" s="239">
        <v>-8437</v>
      </c>
      <c r="J312" s="239">
        <v>-325228</v>
      </c>
      <c r="K312" s="239">
        <v>0</v>
      </c>
      <c r="L312" s="239">
        <v>-325228</v>
      </c>
      <c r="M312" s="239">
        <v>-24331</v>
      </c>
      <c r="N312" s="239">
        <v>0</v>
      </c>
      <c r="O312" s="239">
        <v>-24331</v>
      </c>
      <c r="P312" s="239">
        <v>-377120</v>
      </c>
      <c r="Q312" s="239">
        <v>0</v>
      </c>
      <c r="R312" s="239">
        <v>-377120</v>
      </c>
      <c r="S312" s="239">
        <v>430758</v>
      </c>
      <c r="T312" s="239">
        <v>0</v>
      </c>
      <c r="U312" s="239">
        <v>430758</v>
      </c>
      <c r="V312" s="239">
        <v>-430758</v>
      </c>
      <c r="W312" s="239">
        <v>0</v>
      </c>
      <c r="X312" s="239">
        <v>-430758</v>
      </c>
      <c r="Y312" s="239">
        <v>15999943</v>
      </c>
      <c r="Z312" s="239">
        <v>0</v>
      </c>
      <c r="AA312" s="239">
        <v>15999943</v>
      </c>
      <c r="AB312" s="239">
        <v>0</v>
      </c>
      <c r="AC312" s="239">
        <v>0</v>
      </c>
      <c r="AD312" s="239">
        <v>25326</v>
      </c>
      <c r="AE312" s="239">
        <v>0</v>
      </c>
      <c r="AF312" s="239">
        <v>25326</v>
      </c>
      <c r="AG312" s="239">
        <v>0</v>
      </c>
      <c r="AH312" s="239">
        <v>0</v>
      </c>
      <c r="AI312" s="239">
        <v>0</v>
      </c>
      <c r="AJ312" s="239">
        <v>0</v>
      </c>
      <c r="AK312" s="239">
        <v>0</v>
      </c>
      <c r="AL312" s="239">
        <v>1257818</v>
      </c>
      <c r="AM312" s="239">
        <v>-859168</v>
      </c>
      <c r="AN312" s="214" t="s">
        <v>705</v>
      </c>
      <c r="AO312" s="214" t="s">
        <v>797</v>
      </c>
      <c r="AP312" s="214" t="s">
        <v>762</v>
      </c>
      <c r="AQ312" s="214" t="s">
        <v>1190</v>
      </c>
    </row>
    <row r="313" spans="2:43" x14ac:dyDescent="0.2">
      <c r="B313" s="609" t="s">
        <v>708</v>
      </c>
      <c r="C313" s="609" t="s">
        <v>707</v>
      </c>
      <c r="D313" s="239">
        <v>34711795</v>
      </c>
      <c r="E313" s="239">
        <v>0</v>
      </c>
      <c r="F313" s="239">
        <v>34711795</v>
      </c>
      <c r="G313" s="239">
        <v>0</v>
      </c>
      <c r="H313" s="239">
        <v>0</v>
      </c>
      <c r="I313" s="239">
        <v>0</v>
      </c>
      <c r="J313" s="239">
        <v>-101609</v>
      </c>
      <c r="K313" s="239">
        <v>0</v>
      </c>
      <c r="L313" s="239">
        <v>-101609</v>
      </c>
      <c r="M313" s="239">
        <v>0</v>
      </c>
      <c r="N313" s="239">
        <v>0</v>
      </c>
      <c r="O313" s="239">
        <v>0</v>
      </c>
      <c r="P313" s="239">
        <v>-250015</v>
      </c>
      <c r="Q313" s="239">
        <v>0</v>
      </c>
      <c r="R313" s="239">
        <v>-250015</v>
      </c>
      <c r="S313" s="239">
        <v>721309</v>
      </c>
      <c r="T313" s="239">
        <v>0</v>
      </c>
      <c r="U313" s="239">
        <v>721309</v>
      </c>
      <c r="V313" s="239">
        <v>-372623</v>
      </c>
      <c r="W313" s="239">
        <v>0</v>
      </c>
      <c r="X313" s="239">
        <v>-372623</v>
      </c>
      <c r="Y313" s="239">
        <v>34810466</v>
      </c>
      <c r="Z313" s="239">
        <v>0</v>
      </c>
      <c r="AA313" s="239">
        <v>34810466</v>
      </c>
      <c r="AB313" s="239">
        <v>0</v>
      </c>
      <c r="AC313" s="239">
        <v>0</v>
      </c>
      <c r="AD313" s="239">
        <v>260832</v>
      </c>
      <c r="AE313" s="239">
        <v>0</v>
      </c>
      <c r="AF313" s="239">
        <v>260832</v>
      </c>
      <c r="AG313" s="239">
        <v>0</v>
      </c>
      <c r="AH313" s="239">
        <v>0</v>
      </c>
      <c r="AI313" s="239">
        <v>0</v>
      </c>
      <c r="AJ313" s="239">
        <v>0</v>
      </c>
      <c r="AK313" s="239">
        <v>0</v>
      </c>
      <c r="AL313" s="239">
        <v>1512879</v>
      </c>
      <c r="AM313" s="239">
        <v>-227576</v>
      </c>
      <c r="AN313" s="214" t="s">
        <v>707</v>
      </c>
      <c r="AO313" s="214" t="s">
        <v>795</v>
      </c>
      <c r="AP313" s="214" t="s">
        <v>762</v>
      </c>
      <c r="AQ313" s="214" t="s">
        <v>1190</v>
      </c>
    </row>
    <row r="314" spans="2:43" x14ac:dyDescent="0.2">
      <c r="B314" s="609" t="s">
        <v>710</v>
      </c>
      <c r="C314" s="609" t="s">
        <v>709</v>
      </c>
      <c r="D314" s="239">
        <v>13500368</v>
      </c>
      <c r="E314" s="239">
        <v>0</v>
      </c>
      <c r="F314" s="239">
        <v>13500368</v>
      </c>
      <c r="G314" s="239">
        <v>0</v>
      </c>
      <c r="H314" s="239">
        <v>0</v>
      </c>
      <c r="I314" s="239">
        <v>0</v>
      </c>
      <c r="J314" s="239">
        <v>-64238</v>
      </c>
      <c r="K314" s="239">
        <v>0</v>
      </c>
      <c r="L314" s="239">
        <v>-64238</v>
      </c>
      <c r="M314" s="239">
        <v>0</v>
      </c>
      <c r="N314" s="239">
        <v>0</v>
      </c>
      <c r="O314" s="239">
        <v>0</v>
      </c>
      <c r="P314" s="239">
        <v>-64238</v>
      </c>
      <c r="Q314" s="239">
        <v>0</v>
      </c>
      <c r="R314" s="239">
        <v>-64238</v>
      </c>
      <c r="S314" s="239">
        <v>186523</v>
      </c>
      <c r="T314" s="239">
        <v>0</v>
      </c>
      <c r="U314" s="239">
        <v>186523</v>
      </c>
      <c r="V314" s="239">
        <v>53546</v>
      </c>
      <c r="W314" s="239">
        <v>0</v>
      </c>
      <c r="X314" s="239">
        <v>53546</v>
      </c>
      <c r="Y314" s="239">
        <v>13676199</v>
      </c>
      <c r="Z314" s="239">
        <v>0</v>
      </c>
      <c r="AA314" s="239">
        <v>13676199</v>
      </c>
      <c r="AB314" s="239">
        <v>0</v>
      </c>
      <c r="AC314" s="239">
        <v>0</v>
      </c>
      <c r="AD314" s="239">
        <v>29394</v>
      </c>
      <c r="AE314" s="239">
        <v>0</v>
      </c>
      <c r="AF314" s="239">
        <v>29394</v>
      </c>
      <c r="AG314" s="239">
        <v>0</v>
      </c>
      <c r="AH314" s="239">
        <v>0</v>
      </c>
      <c r="AI314" s="239">
        <v>0</v>
      </c>
      <c r="AJ314" s="239">
        <v>0</v>
      </c>
      <c r="AK314" s="239">
        <v>0</v>
      </c>
      <c r="AL314" s="239">
        <v>1092041</v>
      </c>
      <c r="AM314" s="239">
        <v>-470155</v>
      </c>
      <c r="AN314" s="214" t="s">
        <v>709</v>
      </c>
      <c r="AO314" s="214" t="s">
        <v>793</v>
      </c>
      <c r="AP314" s="214" t="s">
        <v>791</v>
      </c>
      <c r="AQ314" s="214" t="s">
        <v>1190</v>
      </c>
    </row>
    <row r="315" spans="2:43" x14ac:dyDescent="0.2">
      <c r="B315" s="609" t="s">
        <v>712</v>
      </c>
      <c r="C315" s="609" t="s">
        <v>711</v>
      </c>
      <c r="D315" s="239">
        <v>1778967485</v>
      </c>
      <c r="E315" s="239">
        <v>0</v>
      </c>
      <c r="F315" s="239">
        <v>1778967485</v>
      </c>
      <c r="G315" s="239">
        <v>-31387</v>
      </c>
      <c r="H315" s="239">
        <v>0</v>
      </c>
      <c r="I315" s="239">
        <v>-31387</v>
      </c>
      <c r="J315" s="239">
        <v>0</v>
      </c>
      <c r="K315" s="239">
        <v>0</v>
      </c>
      <c r="L315" s="239">
        <v>0</v>
      </c>
      <c r="M315" s="239">
        <v>-11334812</v>
      </c>
      <c r="N315" s="239">
        <v>0</v>
      </c>
      <c r="O315" s="239">
        <v>-11334812</v>
      </c>
      <c r="P315" s="239">
        <v>4100000</v>
      </c>
      <c r="Q315" s="239">
        <v>0</v>
      </c>
      <c r="R315" s="239">
        <v>4100000</v>
      </c>
      <c r="S315" s="239">
        <v>0</v>
      </c>
      <c r="T315" s="239">
        <v>0</v>
      </c>
      <c r="U315" s="239">
        <v>0</v>
      </c>
      <c r="V315" s="239">
        <v>145000000</v>
      </c>
      <c r="W315" s="239">
        <v>0</v>
      </c>
      <c r="X315" s="239">
        <v>145000000</v>
      </c>
      <c r="Y315" s="239">
        <v>1916701286</v>
      </c>
      <c r="Z315" s="239">
        <v>0</v>
      </c>
      <c r="AA315" s="239">
        <v>1916701286</v>
      </c>
      <c r="AB315" s="239">
        <v>0</v>
      </c>
      <c r="AC315" s="239">
        <v>0</v>
      </c>
      <c r="AD315" s="239">
        <v>0</v>
      </c>
      <c r="AE315" s="239">
        <v>0</v>
      </c>
      <c r="AF315" s="239">
        <v>0</v>
      </c>
      <c r="AG315" s="239">
        <v>0</v>
      </c>
      <c r="AH315" s="239">
        <v>0</v>
      </c>
      <c r="AI315" s="239">
        <v>0</v>
      </c>
      <c r="AJ315" s="239">
        <v>0</v>
      </c>
      <c r="AK315" s="239">
        <v>0</v>
      </c>
      <c r="AL315" s="239">
        <v>47419610</v>
      </c>
      <c r="AM315" s="239">
        <v>-129672279</v>
      </c>
      <c r="AN315" s="214" t="s">
        <v>711</v>
      </c>
      <c r="AO315" s="214" t="s">
        <v>789</v>
      </c>
      <c r="AP315" s="214" t="s">
        <v>748</v>
      </c>
      <c r="AQ315" s="214" t="s">
        <v>1193</v>
      </c>
    </row>
    <row r="316" spans="2:43" x14ac:dyDescent="0.2">
      <c r="B316" s="609" t="s">
        <v>714</v>
      </c>
      <c r="C316" s="609" t="s">
        <v>713</v>
      </c>
      <c r="D316" s="239">
        <v>17650980</v>
      </c>
      <c r="E316" s="239">
        <v>0</v>
      </c>
      <c r="F316" s="239">
        <v>17650980</v>
      </c>
      <c r="G316" s="239">
        <v>0</v>
      </c>
      <c r="H316" s="239">
        <v>0</v>
      </c>
      <c r="I316" s="239">
        <v>0</v>
      </c>
      <c r="J316" s="239">
        <v>-516393</v>
      </c>
      <c r="K316" s="239">
        <v>0</v>
      </c>
      <c r="L316" s="239">
        <v>-516393</v>
      </c>
      <c r="M316" s="239">
        <v>0</v>
      </c>
      <c r="N316" s="239">
        <v>0</v>
      </c>
      <c r="O316" s="239">
        <v>0</v>
      </c>
      <c r="P316" s="239">
        <v>201607</v>
      </c>
      <c r="Q316" s="239">
        <v>0</v>
      </c>
      <c r="R316" s="239">
        <v>201607</v>
      </c>
      <c r="S316" s="239">
        <v>396600</v>
      </c>
      <c r="T316" s="239">
        <v>0</v>
      </c>
      <c r="U316" s="239">
        <v>396600</v>
      </c>
      <c r="V316" s="239">
        <v>-2288575</v>
      </c>
      <c r="W316" s="239">
        <v>0</v>
      </c>
      <c r="X316" s="239">
        <v>-2288575</v>
      </c>
      <c r="Y316" s="239">
        <v>15960612</v>
      </c>
      <c r="Z316" s="239">
        <v>0</v>
      </c>
      <c r="AA316" s="239">
        <v>15960612</v>
      </c>
      <c r="AB316" s="239">
        <v>0</v>
      </c>
      <c r="AC316" s="239">
        <v>0</v>
      </c>
      <c r="AD316" s="239">
        <v>0</v>
      </c>
      <c r="AE316" s="239">
        <v>0</v>
      </c>
      <c r="AF316" s="239">
        <v>0</v>
      </c>
      <c r="AG316" s="239">
        <v>0</v>
      </c>
      <c r="AH316" s="239">
        <v>0</v>
      </c>
      <c r="AI316" s="239">
        <v>0</v>
      </c>
      <c r="AJ316" s="239">
        <v>0</v>
      </c>
      <c r="AK316" s="239">
        <v>0</v>
      </c>
      <c r="AL316" s="239">
        <v>1626727</v>
      </c>
      <c r="AM316" s="239">
        <v>-700550</v>
      </c>
      <c r="AN316" s="214" t="s">
        <v>788</v>
      </c>
      <c r="AO316" s="214" t="s">
        <v>786</v>
      </c>
      <c r="AP316" s="214" t="s">
        <v>784</v>
      </c>
      <c r="AQ316" s="214" t="s">
        <v>1190</v>
      </c>
    </row>
    <row r="317" spans="2:43" x14ac:dyDescent="0.2">
      <c r="B317" s="609" t="s">
        <v>716</v>
      </c>
      <c r="C317" s="609" t="s">
        <v>715</v>
      </c>
      <c r="D317" s="239">
        <v>81721946</v>
      </c>
      <c r="E317" s="239">
        <v>0</v>
      </c>
      <c r="F317" s="239">
        <v>81721946</v>
      </c>
      <c r="G317" s="239">
        <v>-225</v>
      </c>
      <c r="H317" s="239">
        <v>0</v>
      </c>
      <c r="I317" s="239">
        <v>-225</v>
      </c>
      <c r="J317" s="239">
        <v>-1263510</v>
      </c>
      <c r="K317" s="239">
        <v>0</v>
      </c>
      <c r="L317" s="239">
        <v>-1263510</v>
      </c>
      <c r="M317" s="239">
        <v>0</v>
      </c>
      <c r="N317" s="239">
        <v>0</v>
      </c>
      <c r="O317" s="239">
        <v>0</v>
      </c>
      <c r="P317" s="239">
        <v>-1248269</v>
      </c>
      <c r="Q317" s="239">
        <v>0</v>
      </c>
      <c r="R317" s="239">
        <v>-1248269</v>
      </c>
      <c r="S317" s="239">
        <v>2522522</v>
      </c>
      <c r="T317" s="239">
        <v>0</v>
      </c>
      <c r="U317" s="239">
        <v>2522522</v>
      </c>
      <c r="V317" s="239">
        <v>-3227904</v>
      </c>
      <c r="W317" s="239">
        <v>0</v>
      </c>
      <c r="X317" s="239">
        <v>-3227904</v>
      </c>
      <c r="Y317" s="239">
        <v>79768070</v>
      </c>
      <c r="Z317" s="239">
        <v>0</v>
      </c>
      <c r="AA317" s="239">
        <v>79768070</v>
      </c>
      <c r="AB317" s="239">
        <v>0</v>
      </c>
      <c r="AC317" s="239">
        <v>0</v>
      </c>
      <c r="AD317" s="239">
        <v>0</v>
      </c>
      <c r="AE317" s="239">
        <v>0</v>
      </c>
      <c r="AF317" s="239">
        <v>0</v>
      </c>
      <c r="AG317" s="239">
        <v>0</v>
      </c>
      <c r="AH317" s="239">
        <v>0</v>
      </c>
      <c r="AI317" s="239">
        <v>0</v>
      </c>
      <c r="AJ317" s="239">
        <v>0</v>
      </c>
      <c r="AK317" s="239">
        <v>0</v>
      </c>
      <c r="AL317" s="239">
        <v>7143762</v>
      </c>
      <c r="AM317" s="239">
        <v>-523472</v>
      </c>
      <c r="AN317" s="214" t="s">
        <v>715</v>
      </c>
      <c r="AO317" s="214" t="s">
        <v>767</v>
      </c>
      <c r="AP317" s="214" t="s">
        <v>782</v>
      </c>
      <c r="AQ317" s="214" t="s">
        <v>1192</v>
      </c>
    </row>
    <row r="318" spans="2:43" x14ac:dyDescent="0.2">
      <c r="B318" s="609" t="s">
        <v>718</v>
      </c>
      <c r="C318" s="609" t="s">
        <v>717</v>
      </c>
      <c r="D318" s="239">
        <v>153602395</v>
      </c>
      <c r="E318" s="239">
        <v>0</v>
      </c>
      <c r="F318" s="239">
        <v>153602395</v>
      </c>
      <c r="G318" s="239">
        <v>-4232</v>
      </c>
      <c r="H318" s="239">
        <v>0</v>
      </c>
      <c r="I318" s="239">
        <v>-4232</v>
      </c>
      <c r="J318" s="239">
        <v>-769476</v>
      </c>
      <c r="K318" s="239">
        <v>0</v>
      </c>
      <c r="L318" s="239">
        <v>-769476</v>
      </c>
      <c r="M318" s="239">
        <v>0</v>
      </c>
      <c r="N318" s="239">
        <v>0</v>
      </c>
      <c r="O318" s="239">
        <v>0</v>
      </c>
      <c r="P318" s="239">
        <v>-687976</v>
      </c>
      <c r="Q318" s="239">
        <v>0</v>
      </c>
      <c r="R318" s="239">
        <v>-687976</v>
      </c>
      <c r="S318" s="239">
        <v>3567937</v>
      </c>
      <c r="T318" s="239">
        <v>0</v>
      </c>
      <c r="U318" s="239">
        <v>3567937</v>
      </c>
      <c r="V318" s="239">
        <v>-3840100</v>
      </c>
      <c r="W318" s="239">
        <v>0</v>
      </c>
      <c r="X318" s="239">
        <v>-3840100</v>
      </c>
      <c r="Y318" s="239">
        <v>152638024</v>
      </c>
      <c r="Z318" s="239">
        <v>0</v>
      </c>
      <c r="AA318" s="239">
        <v>152638024</v>
      </c>
      <c r="AB318" s="239">
        <v>0</v>
      </c>
      <c r="AC318" s="239">
        <v>0</v>
      </c>
      <c r="AD318" s="239">
        <v>1560758</v>
      </c>
      <c r="AE318" s="239">
        <v>0</v>
      </c>
      <c r="AF318" s="239">
        <v>1560758</v>
      </c>
      <c r="AG318" s="239">
        <v>0</v>
      </c>
      <c r="AH318" s="239">
        <v>0</v>
      </c>
      <c r="AI318" s="239">
        <v>0</v>
      </c>
      <c r="AJ318" s="239">
        <v>0</v>
      </c>
      <c r="AK318" s="239">
        <v>0</v>
      </c>
      <c r="AL318" s="239">
        <v>4718389</v>
      </c>
      <c r="AM318" s="239">
        <v>-1860706</v>
      </c>
      <c r="AN318" s="214" t="s">
        <v>717</v>
      </c>
      <c r="AO318" s="214" t="s">
        <v>747</v>
      </c>
      <c r="AP318" s="214" t="s">
        <v>780</v>
      </c>
      <c r="AQ318" s="214" t="s">
        <v>747</v>
      </c>
    </row>
    <row r="319" spans="2:43" x14ac:dyDescent="0.2">
      <c r="B319" s="609" t="s">
        <v>720</v>
      </c>
      <c r="C319" s="609" t="s">
        <v>719</v>
      </c>
      <c r="D319" s="239">
        <v>55548343</v>
      </c>
      <c r="E319" s="239">
        <v>0</v>
      </c>
      <c r="F319" s="239">
        <v>55548343</v>
      </c>
      <c r="G319" s="239">
        <v>-34774</v>
      </c>
      <c r="H319" s="239">
        <v>0</v>
      </c>
      <c r="I319" s="239">
        <v>-34774</v>
      </c>
      <c r="J319" s="239">
        <v>-577231</v>
      </c>
      <c r="K319" s="239">
        <v>0</v>
      </c>
      <c r="L319" s="239">
        <v>-577231</v>
      </c>
      <c r="M319" s="239">
        <v>0</v>
      </c>
      <c r="N319" s="239">
        <v>0</v>
      </c>
      <c r="O319" s="239">
        <v>0</v>
      </c>
      <c r="P319" s="239">
        <v>-205962</v>
      </c>
      <c r="Q319" s="239">
        <v>0</v>
      </c>
      <c r="R319" s="239">
        <v>-205962</v>
      </c>
      <c r="S319" s="239">
        <v>5138705</v>
      </c>
      <c r="T319" s="239">
        <v>0</v>
      </c>
      <c r="U319" s="239">
        <v>5138705</v>
      </c>
      <c r="V319" s="239">
        <v>-2611219</v>
      </c>
      <c r="W319" s="239">
        <v>0</v>
      </c>
      <c r="X319" s="239">
        <v>-2611219</v>
      </c>
      <c r="Y319" s="239">
        <v>57835093</v>
      </c>
      <c r="Z319" s="239">
        <v>0</v>
      </c>
      <c r="AA319" s="239">
        <v>57835093</v>
      </c>
      <c r="AB319" s="239">
        <v>0</v>
      </c>
      <c r="AC319" s="239">
        <v>0</v>
      </c>
      <c r="AD319" s="239">
        <v>286071</v>
      </c>
      <c r="AE319" s="239">
        <v>0</v>
      </c>
      <c r="AF319" s="239">
        <v>286071</v>
      </c>
      <c r="AG319" s="239">
        <v>0</v>
      </c>
      <c r="AH319" s="239">
        <v>0</v>
      </c>
      <c r="AI319" s="239">
        <v>0</v>
      </c>
      <c r="AJ319" s="239">
        <v>0</v>
      </c>
      <c r="AK319" s="239">
        <v>0</v>
      </c>
      <c r="AL319" s="239">
        <v>1957722</v>
      </c>
      <c r="AM319" s="239">
        <v>-1054366</v>
      </c>
      <c r="AN319" s="214" t="s">
        <v>719</v>
      </c>
      <c r="AO319" s="214" t="s">
        <v>778</v>
      </c>
      <c r="AP319" s="214" t="s">
        <v>776</v>
      </c>
      <c r="AQ319" s="214" t="s">
        <v>1190</v>
      </c>
    </row>
    <row r="320" spans="2:43" x14ac:dyDescent="0.2">
      <c r="B320" s="609" t="s">
        <v>722</v>
      </c>
      <c r="C320" s="609" t="s">
        <v>721</v>
      </c>
      <c r="D320" s="239">
        <v>81393858</v>
      </c>
      <c r="E320" s="239">
        <v>0</v>
      </c>
      <c r="F320" s="239">
        <v>81393858</v>
      </c>
      <c r="G320" s="239">
        <v>-17328</v>
      </c>
      <c r="H320" s="239">
        <v>0</v>
      </c>
      <c r="I320" s="239">
        <v>-17328</v>
      </c>
      <c r="J320" s="239">
        <v>0</v>
      </c>
      <c r="K320" s="239">
        <v>0</v>
      </c>
      <c r="L320" s="239">
        <v>0</v>
      </c>
      <c r="M320" s="239">
        <v>-434480</v>
      </c>
      <c r="N320" s="239">
        <v>0</v>
      </c>
      <c r="O320" s="239">
        <v>-434480</v>
      </c>
      <c r="P320" s="239">
        <v>-45000</v>
      </c>
      <c r="Q320" s="239">
        <v>0</v>
      </c>
      <c r="R320" s="239">
        <v>-45000</v>
      </c>
      <c r="S320" s="239">
        <v>0</v>
      </c>
      <c r="T320" s="239">
        <v>0</v>
      </c>
      <c r="U320" s="239">
        <v>0</v>
      </c>
      <c r="V320" s="239">
        <v>0</v>
      </c>
      <c r="W320" s="239">
        <v>0</v>
      </c>
      <c r="X320" s="239">
        <v>0</v>
      </c>
      <c r="Y320" s="239">
        <v>80897050</v>
      </c>
      <c r="Z320" s="239">
        <v>0</v>
      </c>
      <c r="AA320" s="239">
        <v>80897050</v>
      </c>
      <c r="AB320" s="239">
        <v>0</v>
      </c>
      <c r="AC320" s="239">
        <v>0</v>
      </c>
      <c r="AD320" s="239">
        <v>7356</v>
      </c>
      <c r="AE320" s="239">
        <v>0</v>
      </c>
      <c r="AF320" s="239">
        <v>7356</v>
      </c>
      <c r="AG320" s="239">
        <v>0</v>
      </c>
      <c r="AH320" s="239">
        <v>0</v>
      </c>
      <c r="AI320" s="239">
        <v>0</v>
      </c>
      <c r="AJ320" s="239">
        <v>0</v>
      </c>
      <c r="AK320" s="239">
        <v>0</v>
      </c>
      <c r="AL320" s="239">
        <v>3356295</v>
      </c>
      <c r="AM320" s="239">
        <v>-1292358</v>
      </c>
      <c r="AN320" s="214" t="s">
        <v>775</v>
      </c>
      <c r="AO320" s="214" t="s">
        <v>747</v>
      </c>
      <c r="AP320" s="214" t="s">
        <v>768</v>
      </c>
      <c r="AQ320" s="214" t="s">
        <v>747</v>
      </c>
    </row>
    <row r="321" spans="2:43" x14ac:dyDescent="0.2">
      <c r="B321" s="609" t="s">
        <v>724</v>
      </c>
      <c r="C321" s="609" t="s">
        <v>723</v>
      </c>
      <c r="D321" s="239">
        <v>79480486</v>
      </c>
      <c r="E321" s="239">
        <v>1054828</v>
      </c>
      <c r="F321" s="239">
        <v>80535314</v>
      </c>
      <c r="G321" s="239">
        <v>0</v>
      </c>
      <c r="H321" s="239">
        <v>0</v>
      </c>
      <c r="I321" s="239">
        <v>0</v>
      </c>
      <c r="J321" s="239">
        <v>-1775984</v>
      </c>
      <c r="K321" s="239">
        <v>1818</v>
      </c>
      <c r="L321" s="239">
        <v>-1774166</v>
      </c>
      <c r="M321" s="239">
        <v>0</v>
      </c>
      <c r="N321" s="239">
        <v>0</v>
      </c>
      <c r="O321" s="239">
        <v>0</v>
      </c>
      <c r="P321" s="239">
        <v>-1692510</v>
      </c>
      <c r="Q321" s="239">
        <v>0</v>
      </c>
      <c r="R321" s="239">
        <v>-1692510</v>
      </c>
      <c r="S321" s="239">
        <v>194703</v>
      </c>
      <c r="T321" s="239">
        <v>0</v>
      </c>
      <c r="U321" s="239">
        <v>194703</v>
      </c>
      <c r="V321" s="239">
        <v>-6770629</v>
      </c>
      <c r="W321" s="239">
        <v>0</v>
      </c>
      <c r="X321" s="239">
        <v>-6770629</v>
      </c>
      <c r="Y321" s="239">
        <v>71212050</v>
      </c>
      <c r="Z321" s="239">
        <v>1054828</v>
      </c>
      <c r="AA321" s="239">
        <v>72266878</v>
      </c>
      <c r="AB321" s="239">
        <v>1054828</v>
      </c>
      <c r="AC321" s="239">
        <v>1054828</v>
      </c>
      <c r="AD321" s="239">
        <v>0</v>
      </c>
      <c r="AE321" s="239">
        <v>0</v>
      </c>
      <c r="AF321" s="239">
        <v>0</v>
      </c>
      <c r="AG321" s="239">
        <v>0</v>
      </c>
      <c r="AH321" s="239">
        <v>0</v>
      </c>
      <c r="AI321" s="239">
        <v>858846</v>
      </c>
      <c r="AJ321" s="239">
        <v>858846</v>
      </c>
      <c r="AK321" s="239">
        <v>195982</v>
      </c>
      <c r="AL321" s="239">
        <v>4925494</v>
      </c>
      <c r="AM321" s="239">
        <v>-1441230</v>
      </c>
      <c r="AN321" s="214" t="s">
        <v>723</v>
      </c>
      <c r="AO321" s="214" t="s">
        <v>767</v>
      </c>
      <c r="AP321" s="214" t="s">
        <v>773</v>
      </c>
      <c r="AQ321" s="214" t="s">
        <v>1192</v>
      </c>
    </row>
    <row r="322" spans="2:43" x14ac:dyDescent="0.2">
      <c r="B322" s="609" t="s">
        <v>726</v>
      </c>
      <c r="C322" s="609" t="s">
        <v>725</v>
      </c>
      <c r="D322" s="239">
        <v>47656028</v>
      </c>
      <c r="E322" s="239">
        <v>0</v>
      </c>
      <c r="F322" s="239">
        <v>47656028</v>
      </c>
      <c r="G322" s="239">
        <v>-2024</v>
      </c>
      <c r="H322" s="239">
        <v>0</v>
      </c>
      <c r="I322" s="239">
        <v>-2024</v>
      </c>
      <c r="J322" s="239">
        <v>0</v>
      </c>
      <c r="K322" s="239">
        <v>0</v>
      </c>
      <c r="L322" s="239">
        <v>0</v>
      </c>
      <c r="M322" s="239">
        <v>-217859</v>
      </c>
      <c r="N322" s="239">
        <v>0</v>
      </c>
      <c r="O322" s="239">
        <v>-217859</v>
      </c>
      <c r="P322" s="239">
        <v>27000</v>
      </c>
      <c r="Q322" s="239">
        <v>0</v>
      </c>
      <c r="R322" s="239">
        <v>27000</v>
      </c>
      <c r="S322" s="239">
        <v>1344194</v>
      </c>
      <c r="T322" s="239">
        <v>0</v>
      </c>
      <c r="U322" s="239">
        <v>1344194</v>
      </c>
      <c r="V322" s="239">
        <v>1201373</v>
      </c>
      <c r="W322" s="239">
        <v>0</v>
      </c>
      <c r="X322" s="239">
        <v>1201373</v>
      </c>
      <c r="Y322" s="239">
        <v>50008712</v>
      </c>
      <c r="Z322" s="239">
        <v>0</v>
      </c>
      <c r="AA322" s="239">
        <v>50008712</v>
      </c>
      <c r="AB322" s="239">
        <v>0</v>
      </c>
      <c r="AC322" s="239">
        <v>0</v>
      </c>
      <c r="AD322" s="239">
        <v>0</v>
      </c>
      <c r="AE322" s="239">
        <v>0</v>
      </c>
      <c r="AF322" s="239">
        <v>0</v>
      </c>
      <c r="AG322" s="239">
        <v>0</v>
      </c>
      <c r="AH322" s="239">
        <v>0</v>
      </c>
      <c r="AI322" s="239">
        <v>0</v>
      </c>
      <c r="AJ322" s="239">
        <v>0</v>
      </c>
      <c r="AK322" s="239">
        <v>0</v>
      </c>
      <c r="AL322" s="239">
        <v>2408223</v>
      </c>
      <c r="AM322" s="239">
        <v>-993815</v>
      </c>
      <c r="AN322" s="214" t="s">
        <v>725</v>
      </c>
      <c r="AO322" s="214" t="s">
        <v>771</v>
      </c>
      <c r="AP322" s="214" t="s">
        <v>762</v>
      </c>
      <c r="AQ322" s="214" t="s">
        <v>1190</v>
      </c>
    </row>
    <row r="323" spans="2:43" x14ac:dyDescent="0.2">
      <c r="B323" s="609" t="s">
        <v>728</v>
      </c>
      <c r="C323" s="609" t="s">
        <v>727</v>
      </c>
      <c r="D323" s="239">
        <v>59165666</v>
      </c>
      <c r="E323" s="239">
        <v>0</v>
      </c>
      <c r="F323" s="239">
        <v>59165666</v>
      </c>
      <c r="G323" s="239">
        <v>0</v>
      </c>
      <c r="H323" s="239">
        <v>0</v>
      </c>
      <c r="I323" s="239">
        <v>0</v>
      </c>
      <c r="J323" s="239">
        <v>-200307</v>
      </c>
      <c r="K323" s="239">
        <v>0</v>
      </c>
      <c r="L323" s="239">
        <v>-200307</v>
      </c>
      <c r="M323" s="239">
        <v>0</v>
      </c>
      <c r="N323" s="239">
        <v>0</v>
      </c>
      <c r="O323" s="239">
        <v>0</v>
      </c>
      <c r="P323" s="239">
        <v>-250000</v>
      </c>
      <c r="Q323" s="239">
        <v>0</v>
      </c>
      <c r="R323" s="239">
        <v>-250000</v>
      </c>
      <c r="S323" s="239">
        <v>654628</v>
      </c>
      <c r="T323" s="239">
        <v>0</v>
      </c>
      <c r="U323" s="239">
        <v>654628</v>
      </c>
      <c r="V323" s="239">
        <v>-4262000</v>
      </c>
      <c r="W323" s="239">
        <v>0</v>
      </c>
      <c r="X323" s="239">
        <v>-4262000</v>
      </c>
      <c r="Y323" s="239">
        <v>55308294</v>
      </c>
      <c r="Z323" s="239">
        <v>0</v>
      </c>
      <c r="AA323" s="239">
        <v>55308294</v>
      </c>
      <c r="AB323" s="239">
        <v>0</v>
      </c>
      <c r="AC323" s="239">
        <v>0</v>
      </c>
      <c r="AD323" s="239">
        <v>19880</v>
      </c>
      <c r="AE323" s="239">
        <v>0</v>
      </c>
      <c r="AF323" s="239">
        <v>19880</v>
      </c>
      <c r="AG323" s="239">
        <v>0</v>
      </c>
      <c r="AH323" s="239">
        <v>0</v>
      </c>
      <c r="AI323" s="239">
        <v>0</v>
      </c>
      <c r="AJ323" s="239">
        <v>0</v>
      </c>
      <c r="AK323" s="239">
        <v>0</v>
      </c>
      <c r="AL323" s="239">
        <v>2348491</v>
      </c>
      <c r="AM323" s="239">
        <v>-2133143</v>
      </c>
      <c r="AN323" s="214" t="s">
        <v>770</v>
      </c>
      <c r="AO323" s="214" t="s">
        <v>747</v>
      </c>
      <c r="AP323" s="214" t="s">
        <v>768</v>
      </c>
      <c r="AQ323" s="214" t="s">
        <v>747</v>
      </c>
    </row>
    <row r="324" spans="2:43" x14ac:dyDescent="0.2">
      <c r="B324" s="609" t="s">
        <v>730</v>
      </c>
      <c r="C324" s="609" t="s">
        <v>729</v>
      </c>
      <c r="D324" s="239">
        <v>75124228</v>
      </c>
      <c r="E324" s="239">
        <v>135552</v>
      </c>
      <c r="F324" s="239">
        <v>75259780</v>
      </c>
      <c r="G324" s="239">
        <v>0</v>
      </c>
      <c r="H324" s="239">
        <v>0</v>
      </c>
      <c r="I324" s="239">
        <v>0</v>
      </c>
      <c r="J324" s="239">
        <v>-1808399</v>
      </c>
      <c r="K324" s="239">
        <v>0</v>
      </c>
      <c r="L324" s="239">
        <v>-1808399</v>
      </c>
      <c r="M324" s="239">
        <v>0</v>
      </c>
      <c r="N324" s="239">
        <v>0</v>
      </c>
      <c r="O324" s="239">
        <v>0</v>
      </c>
      <c r="P324" s="239">
        <v>-4063032</v>
      </c>
      <c r="Q324" s="239">
        <v>0</v>
      </c>
      <c r="R324" s="239">
        <v>-4063032</v>
      </c>
      <c r="S324" s="239">
        <v>2667201</v>
      </c>
      <c r="T324" s="239">
        <v>0</v>
      </c>
      <c r="U324" s="239">
        <v>2667201</v>
      </c>
      <c r="V324" s="239">
        <v>-3068637</v>
      </c>
      <c r="W324" s="239">
        <v>0</v>
      </c>
      <c r="X324" s="239">
        <v>-3068637</v>
      </c>
      <c r="Y324" s="239">
        <v>70659760</v>
      </c>
      <c r="Z324" s="239">
        <v>135552</v>
      </c>
      <c r="AA324" s="239">
        <v>70795312</v>
      </c>
      <c r="AB324" s="239">
        <v>135552</v>
      </c>
      <c r="AC324" s="239">
        <v>135552</v>
      </c>
      <c r="AD324" s="239">
        <v>0</v>
      </c>
      <c r="AE324" s="239">
        <v>0</v>
      </c>
      <c r="AF324" s="239">
        <v>0</v>
      </c>
      <c r="AG324" s="239">
        <v>0</v>
      </c>
      <c r="AH324" s="239">
        <v>0</v>
      </c>
      <c r="AI324" s="239">
        <v>89287</v>
      </c>
      <c r="AJ324" s="239">
        <v>89287</v>
      </c>
      <c r="AK324" s="239">
        <v>46265</v>
      </c>
      <c r="AL324" s="239">
        <v>7482855.7000000002</v>
      </c>
      <c r="AM324" s="239">
        <v>-1384240.55</v>
      </c>
      <c r="AN324" s="214" t="s">
        <v>729</v>
      </c>
      <c r="AO324" s="214" t="s">
        <v>767</v>
      </c>
      <c r="AP324" s="214" t="s">
        <v>765</v>
      </c>
      <c r="AQ324" s="214" t="s">
        <v>1192</v>
      </c>
    </row>
    <row r="325" spans="2:43" x14ac:dyDescent="0.2">
      <c r="B325" s="609" t="s">
        <v>732</v>
      </c>
      <c r="C325" s="609" t="s">
        <v>731</v>
      </c>
      <c r="D325" s="239">
        <v>42367813</v>
      </c>
      <c r="E325" s="239">
        <v>0</v>
      </c>
      <c r="F325" s="239">
        <v>42367813</v>
      </c>
      <c r="G325" s="239">
        <v>0</v>
      </c>
      <c r="H325" s="239">
        <v>0</v>
      </c>
      <c r="I325" s="239">
        <v>0</v>
      </c>
      <c r="J325" s="239">
        <v>-188892</v>
      </c>
      <c r="K325" s="239">
        <v>0</v>
      </c>
      <c r="L325" s="239">
        <v>-188892</v>
      </c>
      <c r="M325" s="239">
        <v>0</v>
      </c>
      <c r="N325" s="239">
        <v>0</v>
      </c>
      <c r="O325" s="239">
        <v>0</v>
      </c>
      <c r="P325" s="239">
        <v>-188892</v>
      </c>
      <c r="Q325" s="239">
        <v>0</v>
      </c>
      <c r="R325" s="239">
        <v>-188892</v>
      </c>
      <c r="S325" s="239">
        <v>282603</v>
      </c>
      <c r="T325" s="239">
        <v>0</v>
      </c>
      <c r="U325" s="239">
        <v>282603</v>
      </c>
      <c r="V325" s="239">
        <v>-670093</v>
      </c>
      <c r="W325" s="239">
        <v>0</v>
      </c>
      <c r="X325" s="239">
        <v>-670093</v>
      </c>
      <c r="Y325" s="239">
        <v>41791431</v>
      </c>
      <c r="Z325" s="239">
        <v>0</v>
      </c>
      <c r="AA325" s="239">
        <v>41791431</v>
      </c>
      <c r="AB325" s="239">
        <v>0</v>
      </c>
      <c r="AC325" s="239">
        <v>0</v>
      </c>
      <c r="AD325" s="239">
        <v>0</v>
      </c>
      <c r="AE325" s="239">
        <v>0</v>
      </c>
      <c r="AF325" s="239">
        <v>0</v>
      </c>
      <c r="AG325" s="239">
        <v>0</v>
      </c>
      <c r="AH325" s="239">
        <v>0</v>
      </c>
      <c r="AI325" s="239">
        <v>0</v>
      </c>
      <c r="AJ325" s="239">
        <v>0</v>
      </c>
      <c r="AK325" s="239">
        <v>0</v>
      </c>
      <c r="AL325" s="239">
        <v>463934</v>
      </c>
      <c r="AM325" s="239">
        <v>-501363</v>
      </c>
      <c r="AN325" s="214" t="s">
        <v>731</v>
      </c>
      <c r="AO325" s="214" t="s">
        <v>752</v>
      </c>
      <c r="AP325" s="214" t="s">
        <v>750</v>
      </c>
      <c r="AQ325" s="214" t="s">
        <v>1190</v>
      </c>
    </row>
    <row r="326" spans="2:43" x14ac:dyDescent="0.2">
      <c r="B326" s="609" t="s">
        <v>734</v>
      </c>
      <c r="C326" s="609" t="s">
        <v>733</v>
      </c>
      <c r="D326" s="239">
        <v>32648044</v>
      </c>
      <c r="E326" s="239">
        <v>0</v>
      </c>
      <c r="F326" s="239">
        <v>32648044</v>
      </c>
      <c r="G326" s="239">
        <v>0</v>
      </c>
      <c r="H326" s="239">
        <v>0</v>
      </c>
      <c r="I326" s="239">
        <v>0</v>
      </c>
      <c r="J326" s="239">
        <v>-165751</v>
      </c>
      <c r="K326" s="239">
        <v>0</v>
      </c>
      <c r="L326" s="239">
        <v>-165751</v>
      </c>
      <c r="M326" s="239">
        <v>0</v>
      </c>
      <c r="N326" s="239">
        <v>0</v>
      </c>
      <c r="O326" s="239">
        <v>0</v>
      </c>
      <c r="P326" s="239">
        <v>-329593</v>
      </c>
      <c r="Q326" s="239">
        <v>0</v>
      </c>
      <c r="R326" s="239">
        <v>-329593</v>
      </c>
      <c r="S326" s="239">
        <v>261160</v>
      </c>
      <c r="T326" s="239">
        <v>0</v>
      </c>
      <c r="U326" s="239">
        <v>261160</v>
      </c>
      <c r="V326" s="239">
        <v>96938</v>
      </c>
      <c r="W326" s="239">
        <v>0</v>
      </c>
      <c r="X326" s="239">
        <v>96938</v>
      </c>
      <c r="Y326" s="239">
        <v>32676549</v>
      </c>
      <c r="Z326" s="239">
        <v>0</v>
      </c>
      <c r="AA326" s="239">
        <v>32676549</v>
      </c>
      <c r="AB326" s="239">
        <v>0</v>
      </c>
      <c r="AC326" s="239">
        <v>0</v>
      </c>
      <c r="AD326" s="239">
        <v>0</v>
      </c>
      <c r="AE326" s="239">
        <v>0</v>
      </c>
      <c r="AF326" s="239">
        <v>0</v>
      </c>
      <c r="AG326" s="239">
        <v>0</v>
      </c>
      <c r="AH326" s="239">
        <v>0</v>
      </c>
      <c r="AI326" s="239">
        <v>0</v>
      </c>
      <c r="AJ326" s="239">
        <v>0</v>
      </c>
      <c r="AK326" s="239">
        <v>0</v>
      </c>
      <c r="AL326" s="239">
        <v>654495</v>
      </c>
      <c r="AM326" s="239">
        <v>-618284</v>
      </c>
      <c r="AN326" s="214" t="s">
        <v>733</v>
      </c>
      <c r="AO326" s="214" t="s">
        <v>763</v>
      </c>
      <c r="AP326" s="214" t="s">
        <v>762</v>
      </c>
      <c r="AQ326" s="214" t="s">
        <v>1190</v>
      </c>
    </row>
    <row r="327" spans="2:43" x14ac:dyDescent="0.2">
      <c r="B327" s="609" t="s">
        <v>736</v>
      </c>
      <c r="C327" s="609" t="s">
        <v>735</v>
      </c>
      <c r="D327" s="239">
        <v>41668329</v>
      </c>
      <c r="E327" s="239">
        <v>0</v>
      </c>
      <c r="F327" s="239">
        <v>41668329</v>
      </c>
      <c r="G327" s="239">
        <v>-2085</v>
      </c>
      <c r="H327" s="239">
        <v>0</v>
      </c>
      <c r="I327" s="239">
        <v>-2085</v>
      </c>
      <c r="J327" s="239">
        <v>-162930</v>
      </c>
      <c r="K327" s="239">
        <v>0</v>
      </c>
      <c r="L327" s="239">
        <v>-162930</v>
      </c>
      <c r="M327" s="239">
        <v>0</v>
      </c>
      <c r="N327" s="239">
        <v>0</v>
      </c>
      <c r="O327" s="239">
        <v>0</v>
      </c>
      <c r="P327" s="239">
        <v>-162930</v>
      </c>
      <c r="Q327" s="239">
        <v>0</v>
      </c>
      <c r="R327" s="239">
        <v>-162930</v>
      </c>
      <c r="S327" s="239">
        <v>507816</v>
      </c>
      <c r="T327" s="239">
        <v>0</v>
      </c>
      <c r="U327" s="239">
        <v>507816</v>
      </c>
      <c r="V327" s="239">
        <v>-564023</v>
      </c>
      <c r="W327" s="239">
        <v>0</v>
      </c>
      <c r="X327" s="239">
        <v>-564023</v>
      </c>
      <c r="Y327" s="239">
        <v>41447107</v>
      </c>
      <c r="Z327" s="239">
        <v>0</v>
      </c>
      <c r="AA327" s="239">
        <v>41447107</v>
      </c>
      <c r="AB327" s="239">
        <v>0</v>
      </c>
      <c r="AC327" s="239">
        <v>0</v>
      </c>
      <c r="AD327" s="239">
        <v>207552</v>
      </c>
      <c r="AE327" s="239">
        <v>0</v>
      </c>
      <c r="AF327" s="239">
        <v>207552</v>
      </c>
      <c r="AG327" s="239">
        <v>0</v>
      </c>
      <c r="AH327" s="239">
        <v>0</v>
      </c>
      <c r="AI327" s="239">
        <v>0</v>
      </c>
      <c r="AJ327" s="239">
        <v>0</v>
      </c>
      <c r="AK327" s="239">
        <v>0</v>
      </c>
      <c r="AL327" s="239">
        <v>518958</v>
      </c>
      <c r="AM327" s="239">
        <v>-320751</v>
      </c>
      <c r="AN327" s="214" t="s">
        <v>735</v>
      </c>
      <c r="AO327" s="214" t="s">
        <v>752</v>
      </c>
      <c r="AP327" s="214" t="s">
        <v>750</v>
      </c>
      <c r="AQ327" s="214" t="s">
        <v>1190</v>
      </c>
    </row>
    <row r="328" spans="2:43" x14ac:dyDescent="0.2">
      <c r="B328" s="609" t="s">
        <v>738</v>
      </c>
      <c r="C328" s="609" t="s">
        <v>737</v>
      </c>
      <c r="D328" s="239">
        <v>71897592</v>
      </c>
      <c r="E328" s="239">
        <v>0</v>
      </c>
      <c r="F328" s="239">
        <v>71897592</v>
      </c>
      <c r="G328" s="239">
        <v>0</v>
      </c>
      <c r="H328" s="239">
        <v>0</v>
      </c>
      <c r="I328" s="239">
        <v>0</v>
      </c>
      <c r="J328" s="239">
        <v>-316338</v>
      </c>
      <c r="K328" s="239">
        <v>0</v>
      </c>
      <c r="L328" s="239">
        <v>-316338</v>
      </c>
      <c r="M328" s="239">
        <v>0</v>
      </c>
      <c r="N328" s="239">
        <v>0</v>
      </c>
      <c r="O328" s="239">
        <v>0</v>
      </c>
      <c r="P328" s="239">
        <v>-440623</v>
      </c>
      <c r="Q328" s="239">
        <v>0</v>
      </c>
      <c r="R328" s="239">
        <v>-440623</v>
      </c>
      <c r="S328" s="239">
        <v>1254093</v>
      </c>
      <c r="T328" s="239">
        <v>0</v>
      </c>
      <c r="U328" s="239">
        <v>1254093</v>
      </c>
      <c r="V328" s="239">
        <v>-480063</v>
      </c>
      <c r="W328" s="239">
        <v>0</v>
      </c>
      <c r="X328" s="239">
        <v>-480063</v>
      </c>
      <c r="Y328" s="239">
        <v>72230999</v>
      </c>
      <c r="Z328" s="239">
        <v>0</v>
      </c>
      <c r="AA328" s="239">
        <v>72230999</v>
      </c>
      <c r="AB328" s="239">
        <v>0</v>
      </c>
      <c r="AC328" s="239">
        <v>0</v>
      </c>
      <c r="AD328" s="239">
        <v>0</v>
      </c>
      <c r="AE328" s="239">
        <v>0</v>
      </c>
      <c r="AF328" s="239">
        <v>0</v>
      </c>
      <c r="AG328" s="239">
        <v>0</v>
      </c>
      <c r="AH328" s="239">
        <v>0</v>
      </c>
      <c r="AI328" s="239">
        <v>0</v>
      </c>
      <c r="AJ328" s="239">
        <v>0</v>
      </c>
      <c r="AK328" s="239">
        <v>0</v>
      </c>
      <c r="AL328" s="239">
        <v>2689875</v>
      </c>
      <c r="AM328" s="239">
        <v>-3557087</v>
      </c>
      <c r="AN328" s="214" t="s">
        <v>737</v>
      </c>
      <c r="AO328" s="214" t="s">
        <v>760</v>
      </c>
      <c r="AP328" s="214" t="s">
        <v>758</v>
      </c>
      <c r="AQ328" s="214" t="s">
        <v>1190</v>
      </c>
    </row>
    <row r="329" spans="2:43" x14ac:dyDescent="0.2">
      <c r="B329" s="609" t="s">
        <v>740</v>
      </c>
      <c r="C329" s="609" t="s">
        <v>739</v>
      </c>
      <c r="D329" s="239">
        <v>23995835</v>
      </c>
      <c r="E329" s="239">
        <v>3081758</v>
      </c>
      <c r="F329" s="239">
        <v>27077593</v>
      </c>
      <c r="G329" s="239">
        <v>-532</v>
      </c>
      <c r="H329" s="239">
        <v>0</v>
      </c>
      <c r="I329" s="239">
        <v>-532</v>
      </c>
      <c r="J329" s="239">
        <v>-231908</v>
      </c>
      <c r="K329" s="239">
        <v>0</v>
      </c>
      <c r="L329" s="239">
        <v>-231908</v>
      </c>
      <c r="M329" s="239">
        <v>0</v>
      </c>
      <c r="N329" s="239">
        <v>0</v>
      </c>
      <c r="O329" s="239">
        <v>0</v>
      </c>
      <c r="P329" s="239">
        <v>-153702</v>
      </c>
      <c r="Q329" s="239">
        <v>-621</v>
      </c>
      <c r="R329" s="239">
        <v>-154323</v>
      </c>
      <c r="S329" s="239">
        <v>0</v>
      </c>
      <c r="T329" s="239">
        <v>0</v>
      </c>
      <c r="U329" s="239">
        <v>0</v>
      </c>
      <c r="V329" s="239">
        <v>145208</v>
      </c>
      <c r="W329" s="239">
        <v>-499227</v>
      </c>
      <c r="X329" s="239">
        <v>-354019</v>
      </c>
      <c r="Y329" s="239">
        <v>23986809</v>
      </c>
      <c r="Z329" s="239">
        <v>2581910</v>
      </c>
      <c r="AA329" s="239">
        <v>26568719</v>
      </c>
      <c r="AB329" s="239">
        <v>2581910</v>
      </c>
      <c r="AC329" s="239">
        <v>2581910</v>
      </c>
      <c r="AD329" s="239">
        <v>0</v>
      </c>
      <c r="AE329" s="239">
        <v>0</v>
      </c>
      <c r="AF329" s="239">
        <v>0</v>
      </c>
      <c r="AG329" s="239">
        <v>0</v>
      </c>
      <c r="AH329" s="239">
        <v>0</v>
      </c>
      <c r="AI329" s="239">
        <v>2526621</v>
      </c>
      <c r="AJ329" s="239">
        <v>2526621</v>
      </c>
      <c r="AK329" s="239">
        <v>55289</v>
      </c>
      <c r="AL329" s="239">
        <v>1111214</v>
      </c>
      <c r="AM329" s="239">
        <v>-1305080</v>
      </c>
      <c r="AN329" s="214" t="s">
        <v>739</v>
      </c>
      <c r="AO329" s="214" t="s">
        <v>756</v>
      </c>
      <c r="AP329" s="214" t="s">
        <v>754</v>
      </c>
      <c r="AQ329" s="214" t="s">
        <v>1190</v>
      </c>
    </row>
    <row r="330" spans="2:43" x14ac:dyDescent="0.2">
      <c r="B330" s="609" t="s">
        <v>742</v>
      </c>
      <c r="C330" s="609" t="s">
        <v>741</v>
      </c>
      <c r="D330" s="239">
        <v>30526026</v>
      </c>
      <c r="E330" s="239">
        <v>0</v>
      </c>
      <c r="F330" s="239">
        <v>30526026</v>
      </c>
      <c r="G330" s="239">
        <v>0</v>
      </c>
      <c r="H330" s="239">
        <v>0</v>
      </c>
      <c r="I330" s="239">
        <v>0</v>
      </c>
      <c r="J330" s="239">
        <v>-957565</v>
      </c>
      <c r="K330" s="239">
        <v>0</v>
      </c>
      <c r="L330" s="239">
        <v>-957565</v>
      </c>
      <c r="M330" s="239">
        <v>-110062</v>
      </c>
      <c r="N330" s="239">
        <v>0</v>
      </c>
      <c r="O330" s="239">
        <v>-110062</v>
      </c>
      <c r="P330" s="239">
        <v>-718705</v>
      </c>
      <c r="Q330" s="239">
        <v>0</v>
      </c>
      <c r="R330" s="239">
        <v>-718705</v>
      </c>
      <c r="S330" s="239">
        <v>503162</v>
      </c>
      <c r="T330" s="239">
        <v>0</v>
      </c>
      <c r="U330" s="239">
        <v>503162</v>
      </c>
      <c r="V330" s="239">
        <v>-808769</v>
      </c>
      <c r="W330" s="239">
        <v>0</v>
      </c>
      <c r="X330" s="239">
        <v>-808769</v>
      </c>
      <c r="Y330" s="239">
        <v>29391652</v>
      </c>
      <c r="Z330" s="239">
        <v>0</v>
      </c>
      <c r="AA330" s="239">
        <v>29391652</v>
      </c>
      <c r="AB330" s="239">
        <v>0</v>
      </c>
      <c r="AC330" s="239">
        <v>0</v>
      </c>
      <c r="AD330" s="239">
        <v>4237</v>
      </c>
      <c r="AE330" s="239">
        <v>0</v>
      </c>
      <c r="AF330" s="239">
        <v>4237</v>
      </c>
      <c r="AG330" s="239">
        <v>0</v>
      </c>
      <c r="AH330" s="239">
        <v>0</v>
      </c>
      <c r="AI330" s="239">
        <v>0</v>
      </c>
      <c r="AJ330" s="239">
        <v>0</v>
      </c>
      <c r="AK330" s="239">
        <v>0</v>
      </c>
      <c r="AL330" s="239">
        <v>2199552</v>
      </c>
      <c r="AM330" s="239">
        <v>-166059</v>
      </c>
      <c r="AN330" s="214" t="s">
        <v>741</v>
      </c>
      <c r="AO330" s="214" t="s">
        <v>752</v>
      </c>
      <c r="AP330" s="214" t="s">
        <v>750</v>
      </c>
      <c r="AQ330" s="214" t="s">
        <v>1190</v>
      </c>
    </row>
    <row r="331" spans="2:43" x14ac:dyDescent="0.2">
      <c r="B331" s="609" t="s">
        <v>744</v>
      </c>
      <c r="C331" s="609" t="s">
        <v>743</v>
      </c>
      <c r="D331" s="239">
        <v>101252249</v>
      </c>
      <c r="E331" s="239">
        <v>0</v>
      </c>
      <c r="F331" s="239">
        <v>101252249</v>
      </c>
      <c r="G331" s="239">
        <v>0</v>
      </c>
      <c r="H331" s="239">
        <v>0</v>
      </c>
      <c r="I331" s="239">
        <v>0</v>
      </c>
      <c r="J331" s="239">
        <v>-81676</v>
      </c>
      <c r="K331" s="239">
        <v>0</v>
      </c>
      <c r="L331" s="239">
        <v>-81676</v>
      </c>
      <c r="M331" s="239">
        <v>0</v>
      </c>
      <c r="N331" s="239">
        <v>0</v>
      </c>
      <c r="O331" s="239">
        <v>0</v>
      </c>
      <c r="P331" s="239">
        <v>31265</v>
      </c>
      <c r="Q331" s="239">
        <v>0</v>
      </c>
      <c r="R331" s="239">
        <v>31265</v>
      </c>
      <c r="S331" s="239">
        <v>3868055</v>
      </c>
      <c r="T331" s="239">
        <v>0</v>
      </c>
      <c r="U331" s="239">
        <v>3868055</v>
      </c>
      <c r="V331" s="239">
        <v>-32528</v>
      </c>
      <c r="W331" s="239">
        <v>0</v>
      </c>
      <c r="X331" s="239">
        <v>-32528</v>
      </c>
      <c r="Y331" s="239">
        <v>105119041</v>
      </c>
      <c r="Z331" s="239">
        <v>0</v>
      </c>
      <c r="AA331" s="239">
        <v>105119041</v>
      </c>
      <c r="AB331" s="239">
        <v>0</v>
      </c>
      <c r="AC331" s="239">
        <v>0</v>
      </c>
      <c r="AD331" s="239">
        <v>0</v>
      </c>
      <c r="AE331" s="239">
        <v>0</v>
      </c>
      <c r="AF331" s="239">
        <v>0</v>
      </c>
      <c r="AG331" s="239">
        <v>0</v>
      </c>
      <c r="AH331" s="239">
        <v>0</v>
      </c>
      <c r="AI331" s="239">
        <v>0</v>
      </c>
      <c r="AJ331" s="239">
        <v>0</v>
      </c>
      <c r="AK331" s="239">
        <v>0</v>
      </c>
      <c r="AL331" s="239">
        <v>2830121</v>
      </c>
      <c r="AM331" s="239">
        <v>-2804234</v>
      </c>
      <c r="AN331" s="214" t="s">
        <v>749</v>
      </c>
      <c r="AO331" s="214" t="s">
        <v>747</v>
      </c>
      <c r="AP331" s="214" t="s">
        <v>745</v>
      </c>
      <c r="AQ331" s="214" t="s">
        <v>747</v>
      </c>
    </row>
    <row r="332" spans="2:43" x14ac:dyDescent="0.2">
      <c r="B332" s="609" t="s">
        <v>1182</v>
      </c>
      <c r="C332" s="609" t="s">
        <v>1176</v>
      </c>
      <c r="D332" s="239">
        <v>23777817906.889999</v>
      </c>
      <c r="E332" s="239">
        <v>163961120</v>
      </c>
      <c r="F332" s="239">
        <v>23941779026.889999</v>
      </c>
      <c r="G332" s="239">
        <v>-684320</v>
      </c>
      <c r="H332" s="239">
        <v>-15</v>
      </c>
      <c r="I332" s="239">
        <v>-684335</v>
      </c>
      <c r="J332" s="239">
        <v>-210617571</v>
      </c>
      <c r="K332" s="239">
        <v>-675041</v>
      </c>
      <c r="L332" s="239">
        <v>-211292612</v>
      </c>
      <c r="M332" s="239">
        <v>-24115160</v>
      </c>
      <c r="N332" s="239">
        <v>-6831</v>
      </c>
      <c r="O332" s="239">
        <v>-24121991</v>
      </c>
      <c r="P332" s="239">
        <v>-210165126</v>
      </c>
      <c r="Q332" s="239">
        <v>-1033553</v>
      </c>
      <c r="R332" s="239">
        <v>-211198679</v>
      </c>
      <c r="S332" s="239">
        <v>754347360</v>
      </c>
      <c r="T332" s="239">
        <v>2742403</v>
      </c>
      <c r="U332" s="239">
        <v>757089763</v>
      </c>
      <c r="V332" s="239">
        <v>-590513018</v>
      </c>
      <c r="W332" s="239">
        <v>-2723594</v>
      </c>
      <c r="X332" s="239">
        <v>-593236612</v>
      </c>
      <c r="Y332" s="239">
        <v>23706687642.889999</v>
      </c>
      <c r="Z332" s="239">
        <v>162939530</v>
      </c>
      <c r="AA332" s="239">
        <v>23869627172.889999</v>
      </c>
      <c r="AB332" s="239">
        <v>162939530</v>
      </c>
      <c r="AC332" s="239">
        <v>162939530</v>
      </c>
      <c r="AD332" s="239">
        <v>50780684</v>
      </c>
      <c r="AE332" s="239">
        <v>578782</v>
      </c>
      <c r="AF332" s="239">
        <v>51359466</v>
      </c>
      <c r="AG332" s="239">
        <v>-770117</v>
      </c>
      <c r="AH332" s="239">
        <v>-770117</v>
      </c>
      <c r="AI332" s="239">
        <v>149591263</v>
      </c>
      <c r="AJ332" s="239">
        <v>149591263</v>
      </c>
      <c r="AK332" s="239">
        <v>28737781</v>
      </c>
      <c r="AL332" s="239">
        <v>1262080834.5400002</v>
      </c>
      <c r="AM332" s="239">
        <v>-828062173.8499999</v>
      </c>
      <c r="AN332" s="215" t="s">
        <v>1210</v>
      </c>
      <c r="AO332" s="215" t="s">
        <v>1210</v>
      </c>
      <c r="AP332" s="215" t="s">
        <v>1210</v>
      </c>
      <c r="AQ332" s="215" t="s">
        <v>1210</v>
      </c>
    </row>
    <row r="333" spans="2:43" x14ac:dyDescent="0.2">
      <c r="D333" s="239"/>
      <c r="E333" s="239"/>
      <c r="F333" s="239"/>
      <c r="G333" s="239"/>
      <c r="H333" s="239"/>
      <c r="I333" s="239"/>
      <c r="J333" s="239"/>
      <c r="K333" s="239"/>
      <c r="L333" s="239"/>
      <c r="M333" s="239"/>
      <c r="N333" s="239"/>
      <c r="O333" s="239"/>
      <c r="P333" s="239"/>
      <c r="Q333" s="239"/>
      <c r="R333" s="239"/>
      <c r="S333" s="239"/>
      <c r="T333" s="239"/>
      <c r="U333" s="239"/>
      <c r="V333" s="239"/>
      <c r="W333" s="239"/>
      <c r="X333" s="239"/>
      <c r="Y333" s="239"/>
      <c r="Z333" s="239"/>
      <c r="AA333" s="239"/>
      <c r="AB333" s="239"/>
      <c r="AC333" s="239"/>
      <c r="AD333" s="239"/>
      <c r="AE333" s="239"/>
      <c r="AF333" s="239"/>
      <c r="AG333" s="239"/>
      <c r="AH333" s="239"/>
      <c r="AI333" s="239"/>
      <c r="AJ333" s="239"/>
      <c r="AK333" s="239"/>
      <c r="AL333" s="239"/>
      <c r="AM333" s="239"/>
    </row>
  </sheetData>
  <mergeCells count="12">
    <mergeCell ref="AI2:AJ2"/>
    <mergeCell ref="S2:U2"/>
    <mergeCell ref="D2:F2"/>
    <mergeCell ref="G2:I2"/>
    <mergeCell ref="J2:L2"/>
    <mergeCell ref="M2:O2"/>
    <mergeCell ref="P2:R2"/>
    <mergeCell ref="V2:X2"/>
    <mergeCell ref="Y2:AA2"/>
    <mergeCell ref="AB2:AC2"/>
    <mergeCell ref="AD2:AF2"/>
    <mergeCell ref="AG2:AH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6"/>
  <sheetViews>
    <sheetView workbookViewId="0"/>
  </sheetViews>
  <sheetFormatPr defaultRowHeight="12.75" x14ac:dyDescent="0.2"/>
  <cols>
    <col min="2" max="2" width="11.7109375" customWidth="1"/>
    <col min="3" max="3" width="33.7109375" customWidth="1"/>
    <col min="4" max="4" width="57.7109375" customWidth="1"/>
    <col min="5" max="5" width="24.5703125" customWidth="1"/>
    <col min="6" max="6" width="17.5703125" customWidth="1"/>
    <col min="7" max="7" width="14.5703125" customWidth="1"/>
    <col min="8" max="8" width="10.42578125" customWidth="1"/>
    <col min="9" max="9" width="23.7109375" customWidth="1"/>
    <col min="10" max="10" width="19.42578125" customWidth="1"/>
    <col min="11" max="11" width="13.42578125" customWidth="1"/>
  </cols>
  <sheetData>
    <row r="1" spans="1:11" x14ac:dyDescent="0.2">
      <c r="D1">
        <v>3</v>
      </c>
      <c r="E1">
        <v>4</v>
      </c>
      <c r="F1">
        <v>5</v>
      </c>
      <c r="G1">
        <v>6</v>
      </c>
      <c r="H1">
        <v>7</v>
      </c>
      <c r="I1">
        <v>8</v>
      </c>
      <c r="J1">
        <v>9</v>
      </c>
      <c r="K1">
        <v>10</v>
      </c>
    </row>
    <row r="3" spans="1:11" ht="144" customHeight="1" x14ac:dyDescent="0.2">
      <c r="A3" s="608" t="s">
        <v>1489</v>
      </c>
      <c r="B3" s="608" t="s">
        <v>1488</v>
      </c>
      <c r="C3" s="608" t="s">
        <v>1487</v>
      </c>
      <c r="D3" s="608" t="str">
        <f>'[4]da summaryx'!D$2</f>
        <v>DA Name</v>
      </c>
      <c r="E3" s="733" t="str">
        <f>'[4]da summaryx'!E$2</f>
        <v xml:space="preserve">Net amount receivable from rate payers after taking account of transitional adjustments, empty property rate, mandatory and discretionary reliefs and accounting adjustments </v>
      </c>
      <c r="F3" s="733" t="str">
        <f>'[4]da summaryx'!F$2</f>
        <v xml:space="preserve"> Renewable Energy</v>
      </c>
      <c r="G3" s="733" t="str">
        <f>'[4]da summaryx'!G$2</f>
        <v xml:space="preserve">Transitional Protection Payment  </v>
      </c>
      <c r="H3" s="733" t="str">
        <f>'[4]da summaryx'!H$2</f>
        <v>Baseline</v>
      </c>
      <c r="I3" s="733" t="str">
        <f>'[4]da summaryx'!I$2</f>
        <v>Total Disregarded Amounts</v>
      </c>
      <c r="J3" s="733" t="str">
        <f>'[4]da summaryx'!J$2</f>
        <v>Relief Given to Case A Hereditaments</v>
      </c>
      <c r="K3" s="733" t="str">
        <f>'[4]da summaryx'!K$2</f>
        <v>Compensation Due</v>
      </c>
    </row>
    <row r="4" spans="1:11" x14ac:dyDescent="0.2">
      <c r="A4" t="s">
        <v>106</v>
      </c>
      <c r="B4" t="s">
        <v>1334</v>
      </c>
      <c r="C4" t="s">
        <v>105</v>
      </c>
      <c r="D4" t="str">
        <f>VLOOKUP($B4,'[4]da summaryx'!$B$3:$K$155,D$1,FALSE)</f>
        <v>Buckinghamshire Thames Valley: Silverstone</v>
      </c>
      <c r="E4" s="263">
        <v>208743</v>
      </c>
      <c r="F4" s="263">
        <v>0</v>
      </c>
      <c r="G4" s="263">
        <v>0</v>
      </c>
      <c r="H4" s="263">
        <v>0</v>
      </c>
      <c r="I4" s="263">
        <v>208743</v>
      </c>
      <c r="J4" s="263">
        <v>0</v>
      </c>
      <c r="K4" s="263">
        <v>0</v>
      </c>
    </row>
    <row r="5" spans="1:11" x14ac:dyDescent="0.2">
      <c r="A5" t="s">
        <v>106</v>
      </c>
      <c r="B5" t="s">
        <v>1335</v>
      </c>
      <c r="C5" t="s">
        <v>105</v>
      </c>
      <c r="D5" t="str">
        <f>VLOOKUP($B5,'[4]da summaryx'!$B$3:$K$155,D$1,FALSE)</f>
        <v>Buckinghamshire Thames Valley: Aria/Woodlands</v>
      </c>
      <c r="E5" s="263">
        <v>0</v>
      </c>
      <c r="F5" s="263">
        <v>0</v>
      </c>
      <c r="G5" s="263">
        <v>0</v>
      </c>
      <c r="H5" s="263">
        <v>0</v>
      </c>
      <c r="I5" s="263">
        <v>0</v>
      </c>
      <c r="J5" s="263">
        <v>0</v>
      </c>
      <c r="K5" s="263">
        <v>0</v>
      </c>
    </row>
    <row r="6" spans="1:11" x14ac:dyDescent="0.2">
      <c r="A6" t="s">
        <v>106</v>
      </c>
      <c r="B6" t="s">
        <v>1336</v>
      </c>
      <c r="C6" t="s">
        <v>105</v>
      </c>
      <c r="D6" t="str">
        <f>VLOOKUP($B6,'[4]da summaryx'!$B$3:$K$155,D$1,FALSE)</f>
        <v>Buckinghamshire Thames Valley: Westcott</v>
      </c>
      <c r="E6" s="263">
        <v>22576</v>
      </c>
      <c r="F6" s="263">
        <v>0</v>
      </c>
      <c r="G6" s="263">
        <v>0</v>
      </c>
      <c r="H6" s="263">
        <v>25581</v>
      </c>
      <c r="I6" s="263">
        <v>0</v>
      </c>
      <c r="J6" s="263">
        <v>0</v>
      </c>
      <c r="K6" s="263">
        <v>0</v>
      </c>
    </row>
    <row r="7" spans="1:11" x14ac:dyDescent="0.2">
      <c r="A7" t="s">
        <v>114</v>
      </c>
      <c r="B7" t="s">
        <v>1337</v>
      </c>
      <c r="C7" t="s">
        <v>113</v>
      </c>
      <c r="D7" t="str">
        <f>VLOOKUP($B7,'[4]da summaryx'!$B$3:$K$155,D$1,FALSE)</f>
        <v>Sheffield City Region Barnsley</v>
      </c>
      <c r="E7" s="263">
        <v>532852</v>
      </c>
      <c r="F7" s="263">
        <v>0</v>
      </c>
      <c r="G7" s="263">
        <v>0</v>
      </c>
      <c r="H7" s="263">
        <v>89844</v>
      </c>
      <c r="I7" s="263">
        <v>443008</v>
      </c>
      <c r="J7" s="263">
        <v>306688</v>
      </c>
      <c r="K7" s="263">
        <v>311123.57024793391</v>
      </c>
    </row>
    <row r="8" spans="1:11" x14ac:dyDescent="0.2">
      <c r="A8" t="s">
        <v>124</v>
      </c>
      <c r="B8" t="s">
        <v>1338</v>
      </c>
      <c r="C8" t="s">
        <v>123</v>
      </c>
      <c r="D8" t="str">
        <f>VLOOKUP($B8,'[4]da summaryx'!$B$3:$K$155,D$1,FALSE)</f>
        <v>Bath and North East Somerset</v>
      </c>
      <c r="E8" s="263">
        <v>5521666</v>
      </c>
      <c r="F8" s="263">
        <v>0</v>
      </c>
      <c r="G8" s="263">
        <v>246</v>
      </c>
      <c r="H8" s="263">
        <v>4927042</v>
      </c>
      <c r="I8" s="263">
        <v>594870</v>
      </c>
      <c r="J8" s="263">
        <v>0</v>
      </c>
      <c r="K8" s="263">
        <v>0</v>
      </c>
    </row>
    <row r="9" spans="1:11" x14ac:dyDescent="0.2">
      <c r="A9" t="s">
        <v>130</v>
      </c>
      <c r="B9" t="s">
        <v>1339</v>
      </c>
      <c r="C9" t="s">
        <v>129</v>
      </c>
      <c r="D9" t="str">
        <f>VLOOKUP($B9,'[4]da summaryx'!$B$3:$K$155,D$1,FALSE)</f>
        <v>Birmingham City Centre</v>
      </c>
      <c r="E9" s="263">
        <v>7739308</v>
      </c>
      <c r="F9" s="263">
        <v>0</v>
      </c>
      <c r="G9" s="263">
        <v>-2196</v>
      </c>
      <c r="H9" s="263">
        <v>4060102</v>
      </c>
      <c r="I9" s="263">
        <v>3677010</v>
      </c>
      <c r="J9" s="263">
        <v>910956</v>
      </c>
      <c r="K9" s="263">
        <v>924130.98347107437</v>
      </c>
    </row>
    <row r="10" spans="1:11" x14ac:dyDescent="0.2">
      <c r="A10" t="s">
        <v>130</v>
      </c>
      <c r="B10" t="s">
        <v>1340</v>
      </c>
      <c r="C10" t="s">
        <v>129</v>
      </c>
      <c r="D10" t="str">
        <f>VLOOKUP($B10,'[4]da summaryx'!$B$3:$K$155,D$1,FALSE)</f>
        <v>Birmingham City Centre Curzon Extension</v>
      </c>
      <c r="E10" s="263">
        <v>6589197</v>
      </c>
      <c r="F10" s="263">
        <v>0</v>
      </c>
      <c r="G10" s="263">
        <v>-9533</v>
      </c>
      <c r="H10" s="263">
        <v>6579664</v>
      </c>
      <c r="I10" s="263">
        <v>0</v>
      </c>
      <c r="J10" s="263">
        <v>0</v>
      </c>
      <c r="K10" s="263">
        <v>0</v>
      </c>
    </row>
    <row r="11" spans="1:11" x14ac:dyDescent="0.2">
      <c r="A11" t="s">
        <v>160</v>
      </c>
      <c r="B11" t="s">
        <v>1341</v>
      </c>
      <c r="C11" t="s">
        <v>159</v>
      </c>
      <c r="D11" t="str">
        <f>VLOOKUP($B11,'[4]da summaryx'!$B$3:$K$155,D$1,FALSE)</f>
        <v>West of England</v>
      </c>
      <c r="E11" s="263">
        <v>12856813</v>
      </c>
      <c r="F11" s="263">
        <v>0</v>
      </c>
      <c r="G11" s="263">
        <v>0</v>
      </c>
      <c r="H11" s="263">
        <v>13351283</v>
      </c>
      <c r="I11" s="263">
        <v>0</v>
      </c>
      <c r="J11" s="263">
        <v>1206903</v>
      </c>
      <c r="K11" s="263">
        <v>1224358.2086776861</v>
      </c>
    </row>
    <row r="12" spans="1:11" x14ac:dyDescent="0.2">
      <c r="A12" t="s">
        <v>160</v>
      </c>
      <c r="B12" t="s">
        <v>1342</v>
      </c>
      <c r="C12" t="s">
        <v>159</v>
      </c>
      <c r="D12" t="str">
        <f>VLOOKUP($B12,'[4]da summaryx'!$B$3:$K$155,D$1,FALSE)</f>
        <v>Bristol City</v>
      </c>
      <c r="E12" s="263">
        <v>11254644</v>
      </c>
      <c r="F12" s="263">
        <v>489167</v>
      </c>
      <c r="G12" s="263">
        <v>-25570</v>
      </c>
      <c r="H12" s="263">
        <v>6638996</v>
      </c>
      <c r="I12" s="263">
        <v>4100911</v>
      </c>
      <c r="J12" s="263">
        <v>0</v>
      </c>
      <c r="K12" s="263">
        <v>0</v>
      </c>
    </row>
    <row r="13" spans="1:11" x14ac:dyDescent="0.2">
      <c r="A13" t="s">
        <v>170</v>
      </c>
      <c r="B13" t="s">
        <v>1343</v>
      </c>
      <c r="C13" t="s">
        <v>169</v>
      </c>
      <c r="D13" t="str">
        <f>VLOOKUP($B13,'[4]da summaryx'!$B$3:$K$155,D$1,FALSE)</f>
        <v>Nottingham Broxtowe</v>
      </c>
      <c r="E13" s="263">
        <v>557886</v>
      </c>
      <c r="F13" s="263">
        <v>0</v>
      </c>
      <c r="G13" s="263">
        <v>0</v>
      </c>
      <c r="H13" s="263">
        <v>1130039</v>
      </c>
      <c r="I13" s="263">
        <v>0</v>
      </c>
      <c r="J13" s="263">
        <v>71230</v>
      </c>
      <c r="K13" s="263">
        <v>72260.18595041323</v>
      </c>
    </row>
    <row r="14" spans="1:11" x14ac:dyDescent="0.2">
      <c r="A14" t="s">
        <v>186</v>
      </c>
      <c r="B14" t="s">
        <v>1344</v>
      </c>
      <c r="C14" t="s">
        <v>185</v>
      </c>
      <c r="D14" t="str">
        <f>VLOOKUP($B14,'[4]da summaryx'!$B$3:$K$155,D$1,FALSE)</f>
        <v>Carlisle Kingmoor Park</v>
      </c>
      <c r="E14" s="263">
        <v>1477672</v>
      </c>
      <c r="F14" s="263">
        <v>876</v>
      </c>
      <c r="G14" s="263">
        <v>0</v>
      </c>
      <c r="H14" s="263">
        <v>1536785</v>
      </c>
      <c r="I14" s="263">
        <v>0</v>
      </c>
      <c r="J14" s="263">
        <v>0</v>
      </c>
      <c r="K14" s="263">
        <v>0</v>
      </c>
    </row>
    <row r="15" spans="1:11" x14ac:dyDescent="0.2">
      <c r="A15" t="s">
        <v>200</v>
      </c>
      <c r="B15" t="s">
        <v>1345</v>
      </c>
      <c r="C15" t="s">
        <v>199</v>
      </c>
      <c r="D15" t="str">
        <f>VLOOKUP($B15,'[4]da summaryx'!$B$3:$K$155,D$1,FALSE)</f>
        <v>Cheshire &amp; Warrington Science Corridor: Alderley Park</v>
      </c>
      <c r="E15" s="263">
        <v>3462283</v>
      </c>
      <c r="F15" s="263">
        <v>0</v>
      </c>
      <c r="G15" s="263">
        <v>0</v>
      </c>
      <c r="H15" s="263">
        <v>2467698</v>
      </c>
      <c r="I15" s="263">
        <v>994585</v>
      </c>
      <c r="J15" s="263">
        <v>5288</v>
      </c>
      <c r="K15" s="263">
        <v>5364.4793388429753</v>
      </c>
    </row>
    <row r="16" spans="1:11" x14ac:dyDescent="0.2">
      <c r="A16" t="s">
        <v>202</v>
      </c>
      <c r="B16" t="s">
        <v>1346</v>
      </c>
      <c r="C16" t="s">
        <v>918</v>
      </c>
      <c r="D16" t="str">
        <f>VLOOKUP($B16,'[4]da summaryx'!$B$3:$K$155,D$1,FALSE)</f>
        <v>Cheshire &amp; Warrington Science Corridor: South Road</v>
      </c>
      <c r="E16" s="263">
        <v>146615</v>
      </c>
      <c r="F16" s="263">
        <v>0</v>
      </c>
      <c r="G16" s="263">
        <v>0</v>
      </c>
      <c r="H16" s="263">
        <v>146647</v>
      </c>
      <c r="I16" s="263">
        <v>0</v>
      </c>
      <c r="J16" s="263">
        <v>0</v>
      </c>
      <c r="K16" s="263">
        <v>0</v>
      </c>
    </row>
    <row r="17" spans="1:11" x14ac:dyDescent="0.2">
      <c r="A17" t="s">
        <v>202</v>
      </c>
      <c r="B17" t="s">
        <v>1347</v>
      </c>
      <c r="C17" t="s">
        <v>918</v>
      </c>
      <c r="D17" t="str">
        <f>VLOOKUP($B17,'[4]da summaryx'!$B$3:$K$155,D$1,FALSE)</f>
        <v>Cheshire &amp; Warrington Science Corridor: Cloister Way (Andrews)</v>
      </c>
      <c r="E17" s="263">
        <v>0</v>
      </c>
      <c r="F17" s="263">
        <v>0</v>
      </c>
      <c r="G17" s="263">
        <v>0</v>
      </c>
      <c r="H17" s="263">
        <v>0</v>
      </c>
      <c r="I17" s="263">
        <v>0</v>
      </c>
      <c r="J17" s="263">
        <v>0</v>
      </c>
      <c r="K17" s="263">
        <v>0</v>
      </c>
    </row>
    <row r="18" spans="1:11" x14ac:dyDescent="0.2">
      <c r="A18" t="s">
        <v>202</v>
      </c>
      <c r="B18" t="s">
        <v>1348</v>
      </c>
      <c r="C18" t="s">
        <v>918</v>
      </c>
      <c r="D18" t="str">
        <f>VLOOKUP($B18,'[4]da summaryx'!$B$3:$K$155,D$1,FALSE)</f>
        <v>Cheshire &amp; Warrington Science Corridor: Cloister Way (CWAC)</v>
      </c>
      <c r="E18" s="263">
        <v>0</v>
      </c>
      <c r="F18" s="263">
        <v>0</v>
      </c>
      <c r="G18" s="263">
        <v>0</v>
      </c>
      <c r="H18" s="263">
        <v>0</v>
      </c>
      <c r="I18" s="263">
        <v>0</v>
      </c>
      <c r="J18" s="263">
        <v>0</v>
      </c>
      <c r="K18" s="263">
        <v>0</v>
      </c>
    </row>
    <row r="19" spans="1:11" x14ac:dyDescent="0.2">
      <c r="A19" t="s">
        <v>202</v>
      </c>
      <c r="B19" t="s">
        <v>1349</v>
      </c>
      <c r="C19" t="s">
        <v>918</v>
      </c>
      <c r="D19" t="str">
        <f>VLOOKUP($B19,'[4]da summaryx'!$B$3:$K$155,D$1,FALSE)</f>
        <v>Cheshire &amp; Warrington Science Corridor: (Dutton Green)</v>
      </c>
      <c r="E19" s="263">
        <v>0</v>
      </c>
      <c r="F19" s="263">
        <v>0</v>
      </c>
      <c r="G19" s="263">
        <v>0</v>
      </c>
      <c r="H19" s="263">
        <v>0</v>
      </c>
      <c r="I19" s="263">
        <v>0</v>
      </c>
      <c r="J19" s="263">
        <v>0</v>
      </c>
      <c r="K19" s="263">
        <v>0</v>
      </c>
    </row>
    <row r="20" spans="1:11" x14ac:dyDescent="0.2">
      <c r="A20" t="s">
        <v>202</v>
      </c>
      <c r="B20" t="s">
        <v>1350</v>
      </c>
      <c r="C20" t="s">
        <v>918</v>
      </c>
      <c r="D20" t="str">
        <f>VLOOKUP($B20,'[4]da summaryx'!$B$3:$K$155,D$1,FALSE)</f>
        <v>Cheshire &amp; Warrington Science Corridor: Former DSM Land</v>
      </c>
      <c r="E20" s="263">
        <v>0</v>
      </c>
      <c r="F20" s="263">
        <v>0</v>
      </c>
      <c r="G20" s="263">
        <v>0</v>
      </c>
      <c r="H20" s="263">
        <v>0</v>
      </c>
      <c r="I20" s="263">
        <v>0</v>
      </c>
      <c r="J20" s="263">
        <v>0</v>
      </c>
      <c r="K20" s="263">
        <v>0</v>
      </c>
    </row>
    <row r="21" spans="1:11" x14ac:dyDescent="0.2">
      <c r="A21" t="s">
        <v>202</v>
      </c>
      <c r="B21" t="s">
        <v>1351</v>
      </c>
      <c r="C21" t="s">
        <v>918</v>
      </c>
      <c r="D21" t="str">
        <f>VLOOKUP($B21,'[4]da summaryx'!$B$3:$K$155,D$1,FALSE)</f>
        <v>Cheshire &amp; Warrington Science Corridor: New Port Business Park</v>
      </c>
      <c r="E21" s="263">
        <v>0</v>
      </c>
      <c r="F21" s="263">
        <v>0</v>
      </c>
      <c r="G21" s="263">
        <v>0</v>
      </c>
      <c r="H21" s="263">
        <v>0</v>
      </c>
      <c r="I21" s="263">
        <v>0</v>
      </c>
      <c r="J21" s="263">
        <v>0</v>
      </c>
      <c r="K21" s="263">
        <v>0</v>
      </c>
    </row>
    <row r="22" spans="1:11" x14ac:dyDescent="0.2">
      <c r="A22" t="s">
        <v>202</v>
      </c>
      <c r="B22" t="s">
        <v>1352</v>
      </c>
      <c r="C22" t="s">
        <v>918</v>
      </c>
      <c r="D22" t="str">
        <f>VLOOKUP($B22,'[4]da summaryx'!$B$3:$K$155,D$1,FALSE)</f>
        <v>Cheshire &amp; Warrington Science Corridor: Stanney Mill Lane</v>
      </c>
      <c r="E22" s="263">
        <v>0</v>
      </c>
      <c r="F22" s="263">
        <v>0</v>
      </c>
      <c r="G22" s="263">
        <v>0</v>
      </c>
      <c r="H22" s="263">
        <v>0</v>
      </c>
      <c r="I22" s="263">
        <v>0</v>
      </c>
      <c r="J22" s="263">
        <v>0</v>
      </c>
      <c r="K22" s="263">
        <v>0</v>
      </c>
    </row>
    <row r="23" spans="1:11" x14ac:dyDescent="0.2">
      <c r="A23" t="s">
        <v>202</v>
      </c>
      <c r="B23" t="s">
        <v>1353</v>
      </c>
      <c r="C23" t="s">
        <v>918</v>
      </c>
      <c r="D23" t="str">
        <f>VLOOKUP($B23,'[4]da summaryx'!$B$3:$K$155,D$1,FALSE)</f>
        <v>Cheshire &amp; Warrington Science Corridor: Thornton Science Park</v>
      </c>
      <c r="E23" s="263">
        <v>24380</v>
      </c>
      <c r="F23" s="263">
        <v>0</v>
      </c>
      <c r="G23" s="263">
        <v>0</v>
      </c>
      <c r="H23" s="263">
        <v>24385</v>
      </c>
      <c r="I23" s="263">
        <v>0</v>
      </c>
      <c r="J23" s="263">
        <v>28921</v>
      </c>
      <c r="K23" s="263">
        <v>29339.278925619834</v>
      </c>
    </row>
    <row r="24" spans="1:11" x14ac:dyDescent="0.2">
      <c r="A24" t="s">
        <v>202</v>
      </c>
      <c r="B24" t="s">
        <v>1354</v>
      </c>
      <c r="C24" t="s">
        <v>918</v>
      </c>
      <c r="D24" t="str">
        <f>VLOOKUP($B24,'[4]da summaryx'!$B$3:$K$155,D$1,FALSE)</f>
        <v>Cheshire &amp; Warrington Science Corridor: Hooton Park</v>
      </c>
      <c r="E24" s="263">
        <v>0</v>
      </c>
      <c r="F24" s="263">
        <v>0</v>
      </c>
      <c r="G24" s="263">
        <v>0</v>
      </c>
      <c r="H24" s="263">
        <v>0</v>
      </c>
      <c r="I24" s="263">
        <v>0</v>
      </c>
      <c r="J24" s="263">
        <v>0</v>
      </c>
      <c r="K24" s="263">
        <v>0</v>
      </c>
    </row>
    <row r="25" spans="1:11" x14ac:dyDescent="0.2">
      <c r="A25" t="s">
        <v>202</v>
      </c>
      <c r="B25" t="s">
        <v>1355</v>
      </c>
      <c r="C25" t="s">
        <v>918</v>
      </c>
      <c r="D25" t="str">
        <f>VLOOKUP($B25,'[4]da summaryx'!$B$3:$K$155,D$1,FALSE)</f>
        <v>Cheshire &amp; Warrington Science Corridor: Ince Park</v>
      </c>
      <c r="E25" s="263">
        <v>0</v>
      </c>
      <c r="F25" s="263">
        <v>0</v>
      </c>
      <c r="G25" s="263">
        <v>0</v>
      </c>
      <c r="H25" s="263">
        <v>0</v>
      </c>
      <c r="I25" s="263">
        <v>0</v>
      </c>
      <c r="J25" s="263">
        <v>0</v>
      </c>
      <c r="K25" s="263">
        <v>0</v>
      </c>
    </row>
    <row r="26" spans="1:11" x14ac:dyDescent="0.2">
      <c r="A26" t="s">
        <v>204</v>
      </c>
      <c r="B26" t="s">
        <v>1356</v>
      </c>
      <c r="C26" t="s">
        <v>203</v>
      </c>
      <c r="D26" t="str">
        <f>VLOOKUP($B26,'[4]da summaryx'!$B$3:$K$155,D$1,FALSE)</f>
        <v>Sheffield City Region Chesterfield</v>
      </c>
      <c r="E26" s="263">
        <v>408357</v>
      </c>
      <c r="F26" s="263">
        <v>0</v>
      </c>
      <c r="G26" s="263">
        <v>0</v>
      </c>
      <c r="H26" s="263">
        <v>0</v>
      </c>
      <c r="I26" s="263">
        <v>408357</v>
      </c>
      <c r="J26" s="263">
        <v>0</v>
      </c>
      <c r="K26" s="263">
        <v>0</v>
      </c>
    </row>
    <row r="27" spans="1:11" x14ac:dyDescent="0.2">
      <c r="A27" t="s">
        <v>222</v>
      </c>
      <c r="B27" t="s">
        <v>1357</v>
      </c>
      <c r="C27" t="s">
        <v>221</v>
      </c>
      <c r="D27" t="str">
        <f>VLOOKUP($B27,'[4]da summaryx'!$B$3:$K$155,D$1,FALSE)</f>
        <v>Newquay Aerohub</v>
      </c>
      <c r="E27" s="263">
        <v>449294</v>
      </c>
      <c r="F27" s="263">
        <v>0</v>
      </c>
      <c r="G27" s="263">
        <v>0</v>
      </c>
      <c r="H27" s="263">
        <v>432966</v>
      </c>
      <c r="I27" s="263">
        <v>16328</v>
      </c>
      <c r="J27" s="263">
        <v>260801</v>
      </c>
      <c r="K27" s="263">
        <v>264572.9152892562</v>
      </c>
    </row>
    <row r="28" spans="1:11" x14ac:dyDescent="0.2">
      <c r="A28" t="s">
        <v>222</v>
      </c>
      <c r="B28" t="s">
        <v>1358</v>
      </c>
      <c r="C28" t="s">
        <v>221</v>
      </c>
      <c r="D28" t="str">
        <f>VLOOKUP($B28,'[4]da summaryx'!$B$3:$K$155,D$1,FALSE)</f>
        <v>Cornwall Aerohub+ - Goonhilly Earth Station</v>
      </c>
      <c r="E28" s="263">
        <v>38445</v>
      </c>
      <c r="F28" s="263">
        <v>0</v>
      </c>
      <c r="G28" s="263">
        <v>0</v>
      </c>
      <c r="H28" s="263">
        <v>70730</v>
      </c>
      <c r="I28" s="263">
        <v>0</v>
      </c>
      <c r="J28" s="263">
        <v>22876</v>
      </c>
      <c r="K28" s="263">
        <v>23206.85123966942</v>
      </c>
    </row>
    <row r="29" spans="1:11" x14ac:dyDescent="0.2">
      <c r="A29" t="s">
        <v>236</v>
      </c>
      <c r="B29" t="s">
        <v>1359</v>
      </c>
      <c r="C29" t="s">
        <v>235</v>
      </c>
      <c r="D29" t="str">
        <f>VLOOKUP($B29,'[4]da summaryx'!$B$3:$K$155,D$1,FALSE)</f>
        <v>Tees Valley Growth Extension: Central Park</v>
      </c>
      <c r="E29" s="263">
        <v>223775</v>
      </c>
      <c r="F29" s="263">
        <v>0</v>
      </c>
      <c r="G29" s="263">
        <v>0</v>
      </c>
      <c r="H29" s="263">
        <v>30792</v>
      </c>
      <c r="I29" s="263">
        <v>192983</v>
      </c>
      <c r="J29" s="263">
        <v>14298</v>
      </c>
      <c r="K29" s="263">
        <v>14504.789256198346</v>
      </c>
    </row>
    <row r="30" spans="1:11" x14ac:dyDescent="0.2">
      <c r="A30" t="s">
        <v>242</v>
      </c>
      <c r="B30" t="s">
        <v>1360</v>
      </c>
      <c r="C30" t="s">
        <v>241</v>
      </c>
      <c r="D30" t="str">
        <f>VLOOKUP($B30,'[4]da summaryx'!$B$3:$K$155,D$1,FALSE)</f>
        <v>Infinity Park</v>
      </c>
      <c r="E30" s="263">
        <v>63938</v>
      </c>
      <c r="F30" s="263">
        <v>0</v>
      </c>
      <c r="G30" s="263">
        <v>0</v>
      </c>
      <c r="H30" s="263">
        <v>0</v>
      </c>
      <c r="I30" s="263">
        <v>63938</v>
      </c>
      <c r="J30" s="263">
        <v>22066</v>
      </c>
      <c r="K30" s="263">
        <v>22385.136363636364</v>
      </c>
    </row>
    <row r="31" spans="1:11" x14ac:dyDescent="0.2">
      <c r="A31" t="s">
        <v>242</v>
      </c>
      <c r="B31" t="s">
        <v>1361</v>
      </c>
      <c r="C31" t="s">
        <v>241</v>
      </c>
      <c r="D31" t="str">
        <f>VLOOKUP($B31,'[4]da summaryx'!$B$3:$K$155,D$1,FALSE)</f>
        <v>Infinity Park Extension</v>
      </c>
      <c r="E31" s="263">
        <v>0</v>
      </c>
      <c r="F31" s="263">
        <v>0</v>
      </c>
      <c r="G31" s="263">
        <v>0</v>
      </c>
      <c r="H31" s="263">
        <v>0</v>
      </c>
      <c r="I31" s="263">
        <v>0</v>
      </c>
      <c r="J31" s="263">
        <v>0</v>
      </c>
      <c r="K31" s="263">
        <v>0</v>
      </c>
    </row>
    <row r="32" spans="1:11" x14ac:dyDescent="0.2">
      <c r="A32" t="s">
        <v>256</v>
      </c>
      <c r="B32" t="s">
        <v>1362</v>
      </c>
      <c r="C32" t="s">
        <v>255</v>
      </c>
      <c r="D32" t="str">
        <f>VLOOKUP($B32,'[4]da summaryx'!$B$3:$K$155,D$1,FALSE)</f>
        <v>Cambridge Compass: Lancaster Way</v>
      </c>
      <c r="E32" s="263">
        <v>191345</v>
      </c>
      <c r="F32" s="263">
        <v>0</v>
      </c>
      <c r="G32" s="263">
        <v>0</v>
      </c>
      <c r="H32" s="263">
        <v>191345</v>
      </c>
      <c r="I32" s="263">
        <v>0</v>
      </c>
      <c r="J32" s="263">
        <v>0</v>
      </c>
      <c r="K32" s="263">
        <v>0</v>
      </c>
    </row>
    <row r="33" spans="1:11" x14ac:dyDescent="0.2">
      <c r="A33" t="s">
        <v>270</v>
      </c>
      <c r="B33" t="s">
        <v>1363</v>
      </c>
      <c r="C33" t="s">
        <v>269</v>
      </c>
      <c r="D33" t="str">
        <f>VLOOKUP($B33,'[4]da summaryx'!$B$3:$K$155,D$1,FALSE)</f>
        <v>Humber Port Corridor East Riding</v>
      </c>
      <c r="E33" s="263">
        <v>0</v>
      </c>
      <c r="F33" s="263">
        <v>0</v>
      </c>
      <c r="G33" s="263">
        <v>0</v>
      </c>
      <c r="H33" s="263">
        <v>0</v>
      </c>
      <c r="I33" s="263">
        <v>0</v>
      </c>
      <c r="J33" s="263">
        <v>0</v>
      </c>
      <c r="K33" s="263">
        <v>0</v>
      </c>
    </row>
    <row r="34" spans="1:11" x14ac:dyDescent="0.2">
      <c r="A34" t="s">
        <v>270</v>
      </c>
      <c r="B34" t="s">
        <v>1364</v>
      </c>
      <c r="C34" t="s">
        <v>269</v>
      </c>
      <c r="D34" t="str">
        <f>VLOOKUP($B34,'[4]da summaryx'!$B$3:$K$155,D$1,FALSE)</f>
        <v>Humber Super Energy Cluster East Riding</v>
      </c>
      <c r="E34" s="263">
        <v>99400</v>
      </c>
      <c r="F34" s="263">
        <v>0</v>
      </c>
      <c r="G34" s="263">
        <v>0</v>
      </c>
      <c r="H34" s="263">
        <v>98517</v>
      </c>
      <c r="I34" s="263">
        <v>883</v>
      </c>
      <c r="J34" s="263">
        <v>0</v>
      </c>
      <c r="K34" s="263">
        <v>0</v>
      </c>
    </row>
    <row r="35" spans="1:11" x14ac:dyDescent="0.2">
      <c r="A35" t="s">
        <v>270</v>
      </c>
      <c r="B35" t="s">
        <v>1365</v>
      </c>
      <c r="C35" t="s">
        <v>269</v>
      </c>
      <c r="D35" t="str">
        <f>VLOOKUP($B35,'[4]da summaryx'!$B$3:$K$155,D$1,FALSE)</f>
        <v>Humber Enterprise Zone: Capital Park Goole</v>
      </c>
      <c r="E35" s="263">
        <v>0</v>
      </c>
      <c r="F35" s="263">
        <v>0</v>
      </c>
      <c r="G35" s="263">
        <v>0</v>
      </c>
      <c r="H35" s="263">
        <v>0</v>
      </c>
      <c r="I35" s="263">
        <v>0</v>
      </c>
      <c r="J35" s="263">
        <v>0</v>
      </c>
      <c r="K35" s="263">
        <v>0</v>
      </c>
    </row>
    <row r="36" spans="1:11" x14ac:dyDescent="0.2">
      <c r="A36" t="s">
        <v>270</v>
      </c>
      <c r="B36" t="s">
        <v>1366</v>
      </c>
      <c r="C36" t="s">
        <v>269</v>
      </c>
      <c r="D36" t="str">
        <f>VLOOKUP($B36,'[4]da summaryx'!$B$3:$K$155,D$1,FALSE)</f>
        <v>Humber Enterprise Zone: Goole 36</v>
      </c>
      <c r="E36" s="263">
        <v>0</v>
      </c>
      <c r="F36" s="263">
        <v>0</v>
      </c>
      <c r="G36" s="263">
        <v>0</v>
      </c>
      <c r="H36" s="263">
        <v>0</v>
      </c>
      <c r="I36" s="263">
        <v>0</v>
      </c>
      <c r="J36" s="263">
        <v>0</v>
      </c>
      <c r="K36" s="263">
        <v>0</v>
      </c>
    </row>
    <row r="37" spans="1:11" x14ac:dyDescent="0.2">
      <c r="A37" t="s">
        <v>270</v>
      </c>
      <c r="B37" t="s">
        <v>1367</v>
      </c>
      <c r="C37" t="s">
        <v>269</v>
      </c>
      <c r="D37" t="str">
        <f>VLOOKUP($B37,'[4]da summaryx'!$B$3:$K$155,D$1,FALSE)</f>
        <v>Humber Enterprise Zone: Goole Intermodal Terminal</v>
      </c>
      <c r="E37" s="263">
        <v>0</v>
      </c>
      <c r="F37" s="263">
        <v>0</v>
      </c>
      <c r="G37" s="263">
        <v>0</v>
      </c>
      <c r="H37" s="263">
        <v>0</v>
      </c>
      <c r="I37" s="263">
        <v>0</v>
      </c>
      <c r="J37" s="263">
        <v>0</v>
      </c>
      <c r="K37" s="263">
        <v>0</v>
      </c>
    </row>
    <row r="38" spans="1:11" x14ac:dyDescent="0.2">
      <c r="A38" t="s">
        <v>270</v>
      </c>
      <c r="B38" t="s">
        <v>1368</v>
      </c>
      <c r="C38" t="s">
        <v>269</v>
      </c>
      <c r="D38" t="str">
        <f>VLOOKUP($B38,'[4]da summaryx'!$B$3:$K$155,D$1,FALSE)</f>
        <v>Humber Enterprise Zone: Melton Park</v>
      </c>
      <c r="E38" s="263">
        <v>0</v>
      </c>
      <c r="F38" s="263">
        <v>0</v>
      </c>
      <c r="G38" s="263">
        <v>0</v>
      </c>
      <c r="H38" s="263">
        <v>0</v>
      </c>
      <c r="I38" s="263">
        <v>0</v>
      </c>
      <c r="J38" s="263">
        <v>0</v>
      </c>
      <c r="K38" s="263">
        <v>0</v>
      </c>
    </row>
    <row r="39" spans="1:11" x14ac:dyDescent="0.2">
      <c r="A39" t="s">
        <v>270</v>
      </c>
      <c r="B39" t="s">
        <v>1369</v>
      </c>
      <c r="C39" t="s">
        <v>269</v>
      </c>
      <c r="D39" t="str">
        <f>VLOOKUP($B39,'[4]da summaryx'!$B$3:$K$155,D$1,FALSE)</f>
        <v>Humber Enterprise Zone: Melton West</v>
      </c>
      <c r="E39" s="263">
        <v>0</v>
      </c>
      <c r="F39" s="263">
        <v>0</v>
      </c>
      <c r="G39" s="263">
        <v>0</v>
      </c>
      <c r="H39" s="263">
        <v>0</v>
      </c>
      <c r="I39" s="263">
        <v>0</v>
      </c>
      <c r="J39" s="263">
        <v>0</v>
      </c>
      <c r="K39" s="263">
        <v>0</v>
      </c>
    </row>
    <row r="40" spans="1:11" x14ac:dyDescent="0.2">
      <c r="A40" t="s">
        <v>292</v>
      </c>
      <c r="B40" t="s">
        <v>1370</v>
      </c>
      <c r="C40" t="s">
        <v>291</v>
      </c>
      <c r="D40" t="str">
        <f>VLOOKUP($B40,'[4]da summaryx'!$B$3:$K$155,D$1,FALSE)</f>
        <v>Solent Fareham</v>
      </c>
      <c r="E40" s="263">
        <v>95972</v>
      </c>
      <c r="F40" s="263">
        <v>81582</v>
      </c>
      <c r="G40" s="263">
        <v>0</v>
      </c>
      <c r="H40" s="263">
        <v>99753</v>
      </c>
      <c r="I40" s="263">
        <v>0</v>
      </c>
      <c r="J40" s="263">
        <v>290157</v>
      </c>
      <c r="K40" s="263">
        <v>294353.48553719011</v>
      </c>
    </row>
    <row r="41" spans="1:11" x14ac:dyDescent="0.2">
      <c r="A41" t="s">
        <v>300</v>
      </c>
      <c r="B41" t="s">
        <v>1371</v>
      </c>
      <c r="C41" t="s">
        <v>299</v>
      </c>
      <c r="D41" t="str">
        <f>VLOOKUP($B41,'[4]da summaryx'!$B$3:$K$155,D$1,FALSE)</f>
        <v>Lancashire Advanced Engineering and Manufacturing Fylde</v>
      </c>
      <c r="E41" s="263">
        <v>2002275</v>
      </c>
      <c r="F41" s="263">
        <v>0</v>
      </c>
      <c r="G41" s="263">
        <v>0</v>
      </c>
      <c r="H41" s="263">
        <v>2010822</v>
      </c>
      <c r="I41" s="263">
        <v>0</v>
      </c>
      <c r="J41" s="263">
        <v>0</v>
      </c>
      <c r="K41" s="263">
        <v>0</v>
      </c>
    </row>
    <row r="42" spans="1:11" x14ac:dyDescent="0.2">
      <c r="A42" t="s">
        <v>302</v>
      </c>
      <c r="B42" t="s">
        <v>1372</v>
      </c>
      <c r="C42" t="s">
        <v>301</v>
      </c>
      <c r="D42" t="str">
        <f>VLOOKUP($B42,'[4]da summaryx'!$B$3:$K$155,D$1,FALSE)</f>
        <v>Gateshead Development Area</v>
      </c>
      <c r="E42" s="263">
        <v>1701578</v>
      </c>
      <c r="F42" s="263">
        <v>0</v>
      </c>
      <c r="G42" s="263">
        <v>0</v>
      </c>
      <c r="H42" s="263">
        <v>1164622</v>
      </c>
      <c r="I42" s="263">
        <v>536956</v>
      </c>
      <c r="J42" s="263">
        <v>0</v>
      </c>
      <c r="K42" s="263">
        <v>0</v>
      </c>
    </row>
    <row r="43" spans="1:11" x14ac:dyDescent="0.2">
      <c r="A43" t="s">
        <v>308</v>
      </c>
      <c r="B43" t="s">
        <v>1373</v>
      </c>
      <c r="C43" t="s">
        <v>307</v>
      </c>
      <c r="D43" t="str">
        <f>VLOOKUP($B43,'[4]da summaryx'!$B$3:$K$155,D$1,FALSE)</f>
        <v>Solent Gosport</v>
      </c>
      <c r="E43" s="263">
        <v>264342</v>
      </c>
      <c r="F43" s="263">
        <v>0</v>
      </c>
      <c r="G43" s="263">
        <v>0</v>
      </c>
      <c r="H43" s="263">
        <v>439295</v>
      </c>
      <c r="I43" s="263">
        <v>0</v>
      </c>
      <c r="J43" s="263">
        <v>111897</v>
      </c>
      <c r="K43" s="263">
        <v>113515.34504132232</v>
      </c>
    </row>
    <row r="44" spans="1:11" x14ac:dyDescent="0.2">
      <c r="A44" t="s">
        <v>312</v>
      </c>
      <c r="B44" t="s">
        <v>1374</v>
      </c>
      <c r="C44" t="s">
        <v>311</v>
      </c>
      <c r="D44" t="str">
        <f>VLOOKUP($B44,'[4]da summaryx'!$B$3:$K$155,D$1,FALSE)</f>
        <v>New Anglia Great Yarmouth</v>
      </c>
      <c r="E44" s="263">
        <v>486989</v>
      </c>
      <c r="F44" s="263">
        <v>0</v>
      </c>
      <c r="G44" s="263">
        <v>0</v>
      </c>
      <c r="H44" s="263">
        <v>280213</v>
      </c>
      <c r="I44" s="263">
        <v>206776</v>
      </c>
      <c r="J44" s="263">
        <v>577867</v>
      </c>
      <c r="K44" s="263">
        <v>586224.5805785124</v>
      </c>
    </row>
    <row r="45" spans="1:11" x14ac:dyDescent="0.2">
      <c r="A45" t="s">
        <v>320</v>
      </c>
      <c r="B45" t="s">
        <v>1375</v>
      </c>
      <c r="C45" t="s">
        <v>319</v>
      </c>
      <c r="D45" t="str">
        <f>VLOOKUP($B45,'[4]da summaryx'!$B$3:$K$155,D$1,FALSE)</f>
        <v>Sci-Tech Daresbury</v>
      </c>
      <c r="E45" s="263">
        <v>0</v>
      </c>
      <c r="F45" s="263">
        <v>0</v>
      </c>
      <c r="G45" s="263">
        <v>0</v>
      </c>
      <c r="H45" s="263">
        <v>33529</v>
      </c>
      <c r="I45" s="263">
        <v>0</v>
      </c>
      <c r="J45" s="263">
        <v>0</v>
      </c>
      <c r="K45" s="263">
        <v>0</v>
      </c>
    </row>
    <row r="46" spans="1:11" x14ac:dyDescent="0.2">
      <c r="A46" t="s">
        <v>330</v>
      </c>
      <c r="B46" t="s">
        <v>1376</v>
      </c>
      <c r="C46" t="s">
        <v>329</v>
      </c>
      <c r="D46" t="str">
        <f>VLOOKUP($B46,'[4]da summaryx'!$B$3:$K$155,D$1,FALSE)</f>
        <v>Harlow</v>
      </c>
      <c r="E46" s="263">
        <v>2811431</v>
      </c>
      <c r="F46" s="263">
        <v>0</v>
      </c>
      <c r="G46" s="263">
        <v>0</v>
      </c>
      <c r="H46" s="263">
        <v>2963047</v>
      </c>
      <c r="I46" s="263">
        <v>0</v>
      </c>
      <c r="J46" s="263">
        <v>0</v>
      </c>
      <c r="K46" s="263">
        <v>0</v>
      </c>
    </row>
    <row r="47" spans="1:11" x14ac:dyDescent="0.2">
      <c r="A47" t="s">
        <v>338</v>
      </c>
      <c r="B47" t="s">
        <v>1377</v>
      </c>
      <c r="C47" t="s">
        <v>337</v>
      </c>
      <c r="D47" t="str">
        <f>VLOOKUP($B47,'[4]da summaryx'!$B$3:$K$155,D$1,FALSE)</f>
        <v>Tees Valley Hartlepool</v>
      </c>
      <c r="E47" s="263">
        <v>0</v>
      </c>
      <c r="F47" s="263">
        <v>0</v>
      </c>
      <c r="G47" s="263">
        <v>0</v>
      </c>
      <c r="H47" s="263">
        <v>0</v>
      </c>
      <c r="I47" s="263">
        <v>0</v>
      </c>
      <c r="J47" s="263">
        <v>129482</v>
      </c>
      <c r="K47" s="263">
        <v>131354.67355371901</v>
      </c>
    </row>
    <row r="48" spans="1:11" x14ac:dyDescent="0.2">
      <c r="A48" t="s">
        <v>346</v>
      </c>
      <c r="B48" t="s">
        <v>1378</v>
      </c>
      <c r="C48" t="s">
        <v>345</v>
      </c>
      <c r="D48" t="str">
        <f>VLOOKUP($B48,'[4]da summaryx'!$B$3:$K$155,D$1,FALSE)</f>
        <v>Hereford</v>
      </c>
      <c r="E48" s="263">
        <v>302555</v>
      </c>
      <c r="F48" s="263">
        <v>0</v>
      </c>
      <c r="G48" s="263">
        <v>0</v>
      </c>
      <c r="H48" s="263">
        <v>236492</v>
      </c>
      <c r="I48" s="263">
        <v>66063</v>
      </c>
      <c r="J48" s="263">
        <v>310203</v>
      </c>
      <c r="K48" s="263">
        <v>314689.40702479339</v>
      </c>
    </row>
    <row r="49" spans="1:11" x14ac:dyDescent="0.2">
      <c r="A49" t="s">
        <v>354</v>
      </c>
      <c r="B49" t="s">
        <v>1379</v>
      </c>
      <c r="C49" t="s">
        <v>353</v>
      </c>
      <c r="D49" t="str">
        <f>VLOOKUP($B49,'[4]da summaryx'!$B$3:$K$155,D$1,FALSE)</f>
        <v>MIRA Technology Park</v>
      </c>
      <c r="E49" s="263">
        <v>942572</v>
      </c>
      <c r="F49" s="263">
        <v>0</v>
      </c>
      <c r="G49" s="263">
        <v>0</v>
      </c>
      <c r="H49" s="263">
        <v>915012</v>
      </c>
      <c r="I49" s="263">
        <v>27560</v>
      </c>
      <c r="J49" s="263">
        <v>380450</v>
      </c>
      <c r="K49" s="263">
        <v>385952.37603305787</v>
      </c>
    </row>
    <row r="50" spans="1:11" x14ac:dyDescent="0.2">
      <c r="A50" t="s">
        <v>354</v>
      </c>
      <c r="B50" t="s">
        <v>1380</v>
      </c>
      <c r="C50" t="s">
        <v>353</v>
      </c>
      <c r="D50" t="str">
        <f>VLOOKUP($B50,'[4]da summaryx'!$B$3:$K$155,D$1,FALSE)</f>
        <v>MIRA</v>
      </c>
      <c r="E50" s="263">
        <v>0</v>
      </c>
      <c r="F50" s="263">
        <v>0</v>
      </c>
      <c r="G50" s="263">
        <v>0</v>
      </c>
      <c r="H50" s="263">
        <v>0</v>
      </c>
      <c r="I50" s="263">
        <v>0</v>
      </c>
      <c r="J50" s="263">
        <v>0</v>
      </c>
      <c r="K50" s="263">
        <v>0</v>
      </c>
    </row>
    <row r="51" spans="1:11" x14ac:dyDescent="0.2">
      <c r="A51" t="s">
        <v>360</v>
      </c>
      <c r="B51" t="s">
        <v>1381</v>
      </c>
      <c r="C51" t="s">
        <v>359</v>
      </c>
      <c r="D51" t="str">
        <f>VLOOKUP($B51,'[4]da summaryx'!$B$3:$K$155,D$1,FALSE)</f>
        <v>Alconbury Enterprise Campus</v>
      </c>
      <c r="E51" s="263">
        <v>349791</v>
      </c>
      <c r="F51" s="263">
        <v>0</v>
      </c>
      <c r="G51" s="263">
        <v>-30388</v>
      </c>
      <c r="H51" s="263">
        <v>642108</v>
      </c>
      <c r="I51" s="263">
        <v>0</v>
      </c>
      <c r="J51" s="263">
        <v>204880</v>
      </c>
      <c r="K51" s="263">
        <v>207843.14049586776</v>
      </c>
    </row>
    <row r="52" spans="1:11" x14ac:dyDescent="0.2">
      <c r="A52" t="s">
        <v>364</v>
      </c>
      <c r="B52" t="s">
        <v>1382</v>
      </c>
      <c r="C52" t="s">
        <v>363</v>
      </c>
      <c r="D52" t="str">
        <f>VLOOKUP($B52,'[4]da summaryx'!$B$3:$K$155,D$1,FALSE)</f>
        <v>New Anglia: Futura Park</v>
      </c>
      <c r="E52" s="263">
        <v>0</v>
      </c>
      <c r="F52" s="263">
        <v>0</v>
      </c>
      <c r="G52" s="263">
        <v>0</v>
      </c>
      <c r="H52" s="263">
        <v>0</v>
      </c>
      <c r="I52" s="263">
        <v>0</v>
      </c>
      <c r="J52" s="263">
        <v>0</v>
      </c>
      <c r="K52" s="263">
        <v>0</v>
      </c>
    </row>
    <row r="53" spans="1:11" x14ac:dyDescent="0.2">
      <c r="A53" t="s">
        <v>364</v>
      </c>
      <c r="B53" t="s">
        <v>1383</v>
      </c>
      <c r="C53" t="s">
        <v>363</v>
      </c>
      <c r="D53" t="str">
        <f>VLOOKUP($B53,'[4]da summaryx'!$B$3:$K$155,D$1,FALSE)</f>
        <v>New Anglia: Princes Street</v>
      </c>
      <c r="E53" s="263">
        <v>0</v>
      </c>
      <c r="F53" s="263">
        <v>0</v>
      </c>
      <c r="G53" s="263">
        <v>0</v>
      </c>
      <c r="H53" s="263">
        <v>186217</v>
      </c>
      <c r="I53" s="263">
        <v>0</v>
      </c>
      <c r="J53" s="263">
        <v>0</v>
      </c>
      <c r="K53" s="263">
        <v>0</v>
      </c>
    </row>
    <row r="54" spans="1:11" x14ac:dyDescent="0.2">
      <c r="A54" t="s">
        <v>364</v>
      </c>
      <c r="B54" t="s">
        <v>1384</v>
      </c>
      <c r="C54" t="s">
        <v>363</v>
      </c>
      <c r="D54" t="str">
        <f>VLOOKUP($B54,'[4]da summaryx'!$B$3:$K$155,D$1,FALSE)</f>
        <v>New Anglia: Waterfront Island</v>
      </c>
      <c r="E54" s="263">
        <v>0</v>
      </c>
      <c r="F54" s="263">
        <v>0</v>
      </c>
      <c r="G54" s="263">
        <v>0</v>
      </c>
      <c r="H54" s="263">
        <v>0</v>
      </c>
      <c r="I54" s="263">
        <v>0</v>
      </c>
      <c r="J54" s="263">
        <v>0</v>
      </c>
      <c r="K54" s="263">
        <v>0</v>
      </c>
    </row>
    <row r="55" spans="1:11" x14ac:dyDescent="0.2">
      <c r="A55" t="s">
        <v>376</v>
      </c>
      <c r="B55" t="s">
        <v>1385</v>
      </c>
      <c r="C55" t="s">
        <v>375</v>
      </c>
      <c r="D55" t="str">
        <f>VLOOKUP($B55,'[4]da summaryx'!$B$3:$K$155,D$1,FALSE)</f>
        <v>New Anglia: Nar Ouse</v>
      </c>
      <c r="E55" s="263">
        <v>0</v>
      </c>
      <c r="F55" s="263">
        <v>0</v>
      </c>
      <c r="G55" s="263">
        <v>0</v>
      </c>
      <c r="H55" s="263">
        <v>0</v>
      </c>
      <c r="I55" s="263">
        <v>0</v>
      </c>
      <c r="J55" s="263">
        <v>71513</v>
      </c>
      <c r="K55" s="263">
        <v>72547.27892561983</v>
      </c>
    </row>
    <row r="56" spans="1:11" x14ac:dyDescent="0.2">
      <c r="A56" t="s">
        <v>378</v>
      </c>
      <c r="B56" t="s">
        <v>1386</v>
      </c>
      <c r="C56" t="s">
        <v>377</v>
      </c>
      <c r="D56" t="str">
        <f>VLOOKUP($B56,'[4]da summaryx'!$B$3:$K$155,D$1,FALSE)</f>
        <v>Humber Port Corridor Hull</v>
      </c>
      <c r="E56" s="263">
        <v>13514</v>
      </c>
      <c r="F56" s="263">
        <v>0</v>
      </c>
      <c r="G56" s="263">
        <v>0</v>
      </c>
      <c r="H56" s="263">
        <v>0</v>
      </c>
      <c r="I56" s="263">
        <v>13514</v>
      </c>
      <c r="J56" s="263">
        <v>98644</v>
      </c>
      <c r="K56" s="263">
        <v>100070.6694214876</v>
      </c>
    </row>
    <row r="57" spans="1:11" x14ac:dyDescent="0.2">
      <c r="A57" t="s">
        <v>378</v>
      </c>
      <c r="B57" t="s">
        <v>1387</v>
      </c>
      <c r="C57" t="s">
        <v>377</v>
      </c>
      <c r="D57" t="str">
        <f>VLOOKUP($B57,'[4]da summaryx'!$B$3:$K$155,D$1,FALSE)</f>
        <v>Humber Super Energy Cluster Hull</v>
      </c>
      <c r="E57" s="263">
        <v>0</v>
      </c>
      <c r="F57" s="263">
        <v>0</v>
      </c>
      <c r="G57" s="263">
        <v>0</v>
      </c>
      <c r="H57" s="263">
        <v>161831</v>
      </c>
      <c r="I57" s="263">
        <v>0</v>
      </c>
      <c r="J57" s="263">
        <v>0</v>
      </c>
      <c r="K57" s="263">
        <v>0</v>
      </c>
    </row>
    <row r="58" spans="1:11" x14ac:dyDescent="0.2">
      <c r="A58" t="s">
        <v>378</v>
      </c>
      <c r="B58" t="s">
        <v>1388</v>
      </c>
      <c r="C58" t="s">
        <v>377</v>
      </c>
      <c r="D58" t="str">
        <f>VLOOKUP($B58,'[4]da summaryx'!$B$3:$K$155,D$1,FALSE)</f>
        <v>Humber Enterprise Zone: Bird’s Eye</v>
      </c>
      <c r="E58" s="263">
        <v>0</v>
      </c>
      <c r="F58" s="263">
        <v>0</v>
      </c>
      <c r="G58" s="263">
        <v>0</v>
      </c>
      <c r="H58" s="263">
        <v>0</v>
      </c>
      <c r="I58" s="263">
        <v>0</v>
      </c>
      <c r="J58" s="263">
        <v>0</v>
      </c>
      <c r="K58" s="263">
        <v>0</v>
      </c>
    </row>
    <row r="59" spans="1:11" x14ac:dyDescent="0.2">
      <c r="A59" t="s">
        <v>378</v>
      </c>
      <c r="B59" t="s">
        <v>1389</v>
      </c>
      <c r="C59" t="s">
        <v>377</v>
      </c>
      <c r="D59" t="str">
        <f>VLOOKUP($B59,'[4]da summaryx'!$B$3:$K$155,D$1,FALSE)</f>
        <v>Humber Enterprise Zone: Priory Park</v>
      </c>
      <c r="E59" s="263">
        <v>0</v>
      </c>
      <c r="F59" s="263">
        <v>0</v>
      </c>
      <c r="G59" s="263">
        <v>0</v>
      </c>
      <c r="H59" s="263">
        <v>0</v>
      </c>
      <c r="I59" s="263">
        <v>0</v>
      </c>
      <c r="J59" s="263">
        <v>0</v>
      </c>
      <c r="K59" s="263">
        <v>0</v>
      </c>
    </row>
    <row r="60" spans="1:11" x14ac:dyDescent="0.2">
      <c r="A60" t="s">
        <v>378</v>
      </c>
      <c r="B60" t="s">
        <v>1390</v>
      </c>
      <c r="C60" t="s">
        <v>377</v>
      </c>
      <c r="D60" t="str">
        <f>VLOOKUP($B60,'[4]da summaryx'!$B$3:$K$155,D$1,FALSE)</f>
        <v>Humber Enterprise Zone: Former Cavaghan and Gray</v>
      </c>
      <c r="E60" s="263">
        <v>0</v>
      </c>
      <c r="F60" s="263">
        <v>0</v>
      </c>
      <c r="G60" s="263">
        <v>0</v>
      </c>
      <c r="H60" s="263">
        <v>0</v>
      </c>
      <c r="I60" s="263">
        <v>0</v>
      </c>
      <c r="J60" s="263">
        <v>0</v>
      </c>
      <c r="K60" s="263">
        <v>0</v>
      </c>
    </row>
    <row r="61" spans="1:11" x14ac:dyDescent="0.2">
      <c r="A61" t="s">
        <v>378</v>
      </c>
      <c r="B61" t="s">
        <v>1391</v>
      </c>
      <c r="C61" t="s">
        <v>377</v>
      </c>
      <c r="D61" t="str">
        <f>VLOOKUP($B61,'[4]da summaryx'!$B$3:$K$155,D$1,FALSE)</f>
        <v>Humber Enterprise Zone: Benchmark Pods</v>
      </c>
      <c r="E61" s="263">
        <v>0</v>
      </c>
      <c r="F61" s="263">
        <v>0</v>
      </c>
      <c r="G61" s="263">
        <v>0</v>
      </c>
      <c r="H61" s="263">
        <v>17399</v>
      </c>
      <c r="I61" s="263">
        <v>0</v>
      </c>
      <c r="J61" s="263">
        <v>0</v>
      </c>
      <c r="K61" s="263">
        <v>0</v>
      </c>
    </row>
    <row r="62" spans="1:11" x14ac:dyDescent="0.2">
      <c r="A62" t="s">
        <v>378</v>
      </c>
      <c r="B62" t="s">
        <v>1392</v>
      </c>
      <c r="C62" t="s">
        <v>377</v>
      </c>
      <c r="D62" t="str">
        <f>VLOOKUP($B62,'[4]da summaryx'!$B$3:$K$155,D$1,FALSE)</f>
        <v>Humber Enterprise Zone: Energy Works</v>
      </c>
      <c r="E62" s="263">
        <v>0</v>
      </c>
      <c r="F62" s="263">
        <v>0</v>
      </c>
      <c r="G62" s="263">
        <v>0</v>
      </c>
      <c r="H62" s="263">
        <v>0</v>
      </c>
      <c r="I62" s="263">
        <v>0</v>
      </c>
      <c r="J62" s="263">
        <v>0</v>
      </c>
      <c r="K62" s="263">
        <v>0</v>
      </c>
    </row>
    <row r="63" spans="1:11" x14ac:dyDescent="0.2">
      <c r="A63" t="s">
        <v>378</v>
      </c>
      <c r="B63" t="s">
        <v>1393</v>
      </c>
      <c r="C63" t="s">
        <v>377</v>
      </c>
      <c r="D63" t="str">
        <f>VLOOKUP($B63,'[4]da summaryx'!$B$3:$K$155,D$1,FALSE)</f>
        <v>Humber Enterprise Zone: Rix Stoneferry</v>
      </c>
      <c r="E63" s="263">
        <v>0</v>
      </c>
      <c r="F63" s="263">
        <v>0</v>
      </c>
      <c r="G63" s="263">
        <v>0</v>
      </c>
      <c r="H63" s="263">
        <v>9942</v>
      </c>
      <c r="I63" s="263">
        <v>0</v>
      </c>
      <c r="J63" s="263">
        <v>0</v>
      </c>
      <c r="K63" s="263">
        <v>0</v>
      </c>
    </row>
    <row r="64" spans="1:11" x14ac:dyDescent="0.2">
      <c r="A64" t="s">
        <v>378</v>
      </c>
      <c r="B64" t="s">
        <v>1394</v>
      </c>
      <c r="C64" t="s">
        <v>377</v>
      </c>
      <c r="D64" t="str">
        <f>VLOOKUP($B64,'[4]da summaryx'!$B$3:$K$155,D$1,FALSE)</f>
        <v>Humber Enterprise Zone: Foster Street</v>
      </c>
      <c r="E64" s="263">
        <v>0</v>
      </c>
      <c r="F64" s="263">
        <v>0</v>
      </c>
      <c r="G64" s="263">
        <v>0</v>
      </c>
      <c r="H64" s="263">
        <v>22768</v>
      </c>
      <c r="I64" s="263">
        <v>0</v>
      </c>
      <c r="J64" s="263">
        <v>0</v>
      </c>
      <c r="K64" s="263">
        <v>0</v>
      </c>
    </row>
    <row r="65" spans="1:11" x14ac:dyDescent="0.2">
      <c r="A65" t="s">
        <v>378</v>
      </c>
      <c r="B65" t="s">
        <v>1395</v>
      </c>
      <c r="C65" t="s">
        <v>377</v>
      </c>
      <c r="D65" t="str">
        <f>VLOOKUP($B65,'[4]da summaryx'!$B$3:$K$155,D$1,FALSE)</f>
        <v>Humber Enterprise Zone: Ashcourt</v>
      </c>
      <c r="E65" s="263">
        <v>0</v>
      </c>
      <c r="F65" s="263">
        <v>0</v>
      </c>
      <c r="G65" s="263">
        <v>0</v>
      </c>
      <c r="H65" s="263">
        <v>4971</v>
      </c>
      <c r="I65" s="263">
        <v>0</v>
      </c>
      <c r="J65" s="263">
        <v>0</v>
      </c>
      <c r="K65" s="263">
        <v>0</v>
      </c>
    </row>
    <row r="66" spans="1:11" x14ac:dyDescent="0.2">
      <c r="A66" t="s">
        <v>378</v>
      </c>
      <c r="B66" t="s">
        <v>1396</v>
      </c>
      <c r="C66" t="s">
        <v>377</v>
      </c>
      <c r="D66" t="str">
        <f>VLOOKUP($B66,'[4]da summaryx'!$B$3:$K$155,D$1,FALSE)</f>
        <v>Humber Enterprise Zone: Former Two Wheel Centre</v>
      </c>
      <c r="E66" s="263">
        <v>0</v>
      </c>
      <c r="F66" s="263">
        <v>0</v>
      </c>
      <c r="G66" s="263">
        <v>0</v>
      </c>
      <c r="H66" s="263">
        <v>7705</v>
      </c>
      <c r="I66" s="263">
        <v>0</v>
      </c>
      <c r="J66" s="263">
        <v>0</v>
      </c>
      <c r="K66" s="263">
        <v>0</v>
      </c>
    </row>
    <row r="67" spans="1:11" x14ac:dyDescent="0.2">
      <c r="A67" t="s">
        <v>378</v>
      </c>
      <c r="B67" t="s">
        <v>1397</v>
      </c>
      <c r="C67" t="s">
        <v>377</v>
      </c>
      <c r="D67" t="str">
        <f>VLOOKUP($B67,'[4]da summaryx'!$B$3:$K$155,D$1,FALSE)</f>
        <v>Humber Enterprise Zone: St Mark Street</v>
      </c>
      <c r="E67" s="263">
        <v>0</v>
      </c>
      <c r="F67" s="263">
        <v>0</v>
      </c>
      <c r="G67" s="263">
        <v>0</v>
      </c>
      <c r="H67" s="263">
        <v>3131</v>
      </c>
      <c r="I67" s="263">
        <v>0</v>
      </c>
      <c r="J67" s="263">
        <v>0</v>
      </c>
      <c r="K67" s="263">
        <v>0</v>
      </c>
    </row>
    <row r="68" spans="1:11" x14ac:dyDescent="0.2">
      <c r="A68" t="s">
        <v>378</v>
      </c>
      <c r="B68" t="s">
        <v>1398</v>
      </c>
      <c r="C68" t="s">
        <v>377</v>
      </c>
      <c r="D68" t="str">
        <f>VLOOKUP($B68,'[4]da summaryx'!$B$3:$K$155,D$1,FALSE)</f>
        <v>Humber Enterprise Zone: Former LA Site</v>
      </c>
      <c r="E68" s="263">
        <v>0</v>
      </c>
      <c r="F68" s="263">
        <v>0</v>
      </c>
      <c r="G68" s="263">
        <v>0</v>
      </c>
      <c r="H68" s="263">
        <v>18765</v>
      </c>
      <c r="I68" s="263">
        <v>0</v>
      </c>
      <c r="J68" s="263">
        <v>0</v>
      </c>
      <c r="K68" s="263">
        <v>0</v>
      </c>
    </row>
    <row r="69" spans="1:11" x14ac:dyDescent="0.2">
      <c r="A69" t="s">
        <v>378</v>
      </c>
      <c r="B69" t="s">
        <v>1399</v>
      </c>
      <c r="C69" t="s">
        <v>377</v>
      </c>
      <c r="D69" t="str">
        <f>VLOOKUP($B69,'[4]da summaryx'!$B$3:$K$155,D$1,FALSE)</f>
        <v>Humber Enterprise Zone: Sammy’s Point</v>
      </c>
      <c r="E69" s="263">
        <v>0</v>
      </c>
      <c r="F69" s="263">
        <v>0</v>
      </c>
      <c r="G69" s="263">
        <v>0</v>
      </c>
      <c r="H69" s="263">
        <v>0</v>
      </c>
      <c r="I69" s="263">
        <v>0</v>
      </c>
      <c r="J69" s="263">
        <v>0</v>
      </c>
      <c r="K69" s="263">
        <v>0</v>
      </c>
    </row>
    <row r="70" spans="1:11" x14ac:dyDescent="0.2">
      <c r="A70" t="s">
        <v>378</v>
      </c>
      <c r="B70" t="s">
        <v>1400</v>
      </c>
      <c r="C70" t="s">
        <v>377</v>
      </c>
      <c r="D70" t="str">
        <f>VLOOKUP($B70,'[4]da summaryx'!$B$3:$K$155,D$1,FALSE)</f>
        <v>Humber Enterprise Zone: Albert Dock</v>
      </c>
      <c r="E70" s="263">
        <v>0</v>
      </c>
      <c r="F70" s="263">
        <v>0</v>
      </c>
      <c r="G70" s="263">
        <v>0</v>
      </c>
      <c r="H70" s="263">
        <v>4971</v>
      </c>
      <c r="I70" s="263">
        <v>0</v>
      </c>
      <c r="J70" s="263">
        <v>0</v>
      </c>
      <c r="K70" s="263">
        <v>0</v>
      </c>
    </row>
    <row r="71" spans="1:11" x14ac:dyDescent="0.2">
      <c r="A71" t="s">
        <v>378</v>
      </c>
      <c r="B71" t="s">
        <v>1401</v>
      </c>
      <c r="C71" t="s">
        <v>377</v>
      </c>
      <c r="D71" t="str">
        <f>VLOOKUP($B71,'[4]da summaryx'!$B$3:$K$155,D$1,FALSE)</f>
        <v>Humber Enterprise Zone: John Street Car Park</v>
      </c>
      <c r="E71" s="263">
        <v>0</v>
      </c>
      <c r="F71" s="263">
        <v>0</v>
      </c>
      <c r="G71" s="263">
        <v>0</v>
      </c>
      <c r="H71" s="263">
        <v>8326</v>
      </c>
      <c r="I71" s="263">
        <v>0</v>
      </c>
      <c r="J71" s="263">
        <v>0</v>
      </c>
      <c r="K71" s="263">
        <v>0</v>
      </c>
    </row>
    <row r="72" spans="1:11" x14ac:dyDescent="0.2">
      <c r="A72" t="s">
        <v>378</v>
      </c>
      <c r="B72" t="s">
        <v>1402</v>
      </c>
      <c r="C72" t="s">
        <v>377</v>
      </c>
      <c r="D72" t="str">
        <f>VLOOKUP($B72,'[4]da summaryx'!$B$3:$K$155,D$1,FALSE)</f>
        <v>Humber Enterprise Zone: Pepi’s</v>
      </c>
      <c r="E72" s="263">
        <v>0</v>
      </c>
      <c r="F72" s="263">
        <v>0</v>
      </c>
      <c r="G72" s="263">
        <v>0</v>
      </c>
      <c r="H72" s="263">
        <v>0</v>
      </c>
      <c r="I72" s="263">
        <v>0</v>
      </c>
      <c r="J72" s="263">
        <v>0</v>
      </c>
      <c r="K72" s="263">
        <v>0</v>
      </c>
    </row>
    <row r="73" spans="1:11" x14ac:dyDescent="0.2">
      <c r="A73" t="s">
        <v>378</v>
      </c>
      <c r="B73" t="s">
        <v>1403</v>
      </c>
      <c r="C73" t="s">
        <v>377</v>
      </c>
      <c r="D73" t="str">
        <f>VLOOKUP($B73,'[4]da summaryx'!$B$3:$K$155,D$1,FALSE)</f>
        <v>Humber Enterprise Zone: Osborne Street</v>
      </c>
      <c r="E73" s="263">
        <v>0</v>
      </c>
      <c r="F73" s="263">
        <v>0</v>
      </c>
      <c r="G73" s="263">
        <v>0</v>
      </c>
      <c r="H73" s="263">
        <v>0</v>
      </c>
      <c r="I73" s="263">
        <v>0</v>
      </c>
      <c r="J73" s="263">
        <v>0</v>
      </c>
      <c r="K73" s="263">
        <v>0</v>
      </c>
    </row>
    <row r="74" spans="1:11" x14ac:dyDescent="0.2">
      <c r="A74" t="s">
        <v>378</v>
      </c>
      <c r="B74" t="s">
        <v>1404</v>
      </c>
      <c r="C74" t="s">
        <v>377</v>
      </c>
      <c r="D74" t="str">
        <f>VLOOKUP($B74,'[4]da summaryx'!$B$3:$K$155,D$1,FALSE)</f>
        <v>Humber Enterprise Zone: Albion Street</v>
      </c>
      <c r="E74" s="263">
        <v>0</v>
      </c>
      <c r="F74" s="263">
        <v>0</v>
      </c>
      <c r="G74" s="263">
        <v>0</v>
      </c>
      <c r="H74" s="263">
        <v>21000</v>
      </c>
      <c r="I74" s="263">
        <v>0</v>
      </c>
      <c r="J74" s="263">
        <v>0</v>
      </c>
      <c r="K74" s="263">
        <v>0</v>
      </c>
    </row>
    <row r="75" spans="1:11" x14ac:dyDescent="0.2">
      <c r="A75" t="s">
        <v>378</v>
      </c>
      <c r="B75" t="s">
        <v>1405</v>
      </c>
      <c r="C75" t="s">
        <v>377</v>
      </c>
      <c r="D75" t="str">
        <f>VLOOKUP($B75,'[4]da summaryx'!$B$3:$K$155,D$1,FALSE)</f>
        <v>Humber Enterprise Zone: Former Bonus Site</v>
      </c>
      <c r="E75" s="263">
        <v>0</v>
      </c>
      <c r="F75" s="263">
        <v>0</v>
      </c>
      <c r="G75" s="263">
        <v>0</v>
      </c>
      <c r="H75" s="263">
        <v>3078</v>
      </c>
      <c r="I75" s="263">
        <v>0</v>
      </c>
      <c r="J75" s="263">
        <v>0</v>
      </c>
      <c r="K75" s="263">
        <v>0</v>
      </c>
    </row>
    <row r="76" spans="1:11" x14ac:dyDescent="0.2">
      <c r="A76" t="s">
        <v>378</v>
      </c>
      <c r="B76" t="s">
        <v>1406</v>
      </c>
      <c r="C76" t="s">
        <v>377</v>
      </c>
      <c r="D76" t="str">
        <f>VLOOKUP($B76,'[4]da summaryx'!$B$3:$K$155,D$1,FALSE)</f>
        <v>Humber Enterprise Zone: Somerden Road</v>
      </c>
      <c r="E76" s="263">
        <v>0</v>
      </c>
      <c r="F76" s="263">
        <v>0</v>
      </c>
      <c r="G76" s="263">
        <v>0</v>
      </c>
      <c r="H76" s="263">
        <v>49711</v>
      </c>
      <c r="I76" s="263">
        <v>0</v>
      </c>
      <c r="J76" s="263">
        <v>0</v>
      </c>
      <c r="K76" s="263">
        <v>0</v>
      </c>
    </row>
    <row r="77" spans="1:11" x14ac:dyDescent="0.2">
      <c r="A77" t="s">
        <v>378</v>
      </c>
      <c r="B77" t="s">
        <v>1407</v>
      </c>
      <c r="C77" t="s">
        <v>377</v>
      </c>
      <c r="D77" t="str">
        <f>VLOOKUP($B77,'[4]da summaryx'!$B$3:$K$155,D$1,FALSE)</f>
        <v>Humber Enterprise Zone: Queen Elizabeth Dock</v>
      </c>
      <c r="E77" s="263">
        <v>0</v>
      </c>
      <c r="F77" s="263">
        <v>0</v>
      </c>
      <c r="G77" s="263">
        <v>0</v>
      </c>
      <c r="H77" s="263">
        <v>0</v>
      </c>
      <c r="I77" s="263">
        <v>0</v>
      </c>
      <c r="J77" s="263">
        <v>0</v>
      </c>
      <c r="K77" s="263">
        <v>0</v>
      </c>
    </row>
    <row r="78" spans="1:11" x14ac:dyDescent="0.2">
      <c r="A78" t="s">
        <v>386</v>
      </c>
      <c r="B78" t="s">
        <v>1408</v>
      </c>
      <c r="C78" t="s">
        <v>385</v>
      </c>
      <c r="D78" t="str">
        <f>VLOOKUP($B78,'[4]da summaryx'!$B$3:$K$155,D$1,FALSE)</f>
        <v>Lambeth Nine Elms</v>
      </c>
      <c r="E78" s="263">
        <v>1873841</v>
      </c>
      <c r="F78" s="263">
        <v>0</v>
      </c>
      <c r="G78" s="263">
        <v>0</v>
      </c>
      <c r="H78" s="263">
        <v>1353295</v>
      </c>
      <c r="I78" s="263">
        <v>520546</v>
      </c>
      <c r="J78" s="263">
        <v>0</v>
      </c>
      <c r="K78" s="263">
        <v>0</v>
      </c>
    </row>
    <row r="79" spans="1:11" x14ac:dyDescent="0.2">
      <c r="A79" t="s">
        <v>390</v>
      </c>
      <c r="B79" t="s">
        <v>1409</v>
      </c>
      <c r="C79" t="s">
        <v>389</v>
      </c>
      <c r="D79" t="str">
        <f>VLOOKUP($B79,'[4]da summaryx'!$B$3:$K$155,D$1,FALSE)</f>
        <v>Aire Valley Leeds</v>
      </c>
      <c r="E79" s="263">
        <v>1674411</v>
      </c>
      <c r="F79" s="263">
        <v>0</v>
      </c>
      <c r="G79" s="263">
        <v>0</v>
      </c>
      <c r="H79" s="263">
        <v>948075</v>
      </c>
      <c r="I79" s="263">
        <v>726336</v>
      </c>
      <c r="J79" s="263">
        <v>576331</v>
      </c>
      <c r="K79" s="263">
        <v>584666.36570247938</v>
      </c>
    </row>
    <row r="80" spans="1:11" x14ac:dyDescent="0.2">
      <c r="A80" t="s">
        <v>402</v>
      </c>
      <c r="B80" t="s">
        <v>1410</v>
      </c>
      <c r="C80" t="s">
        <v>401</v>
      </c>
      <c r="D80" t="str">
        <f>VLOOKUP($B80,'[4]da summaryx'!$B$3:$K$155,D$1,FALSE)</f>
        <v>Mersey Waters Liverpool</v>
      </c>
      <c r="E80" s="263">
        <v>2915940</v>
      </c>
      <c r="F80" s="263">
        <v>0</v>
      </c>
      <c r="G80" s="263">
        <v>-200136</v>
      </c>
      <c r="H80" s="263">
        <v>3693884</v>
      </c>
      <c r="I80" s="263">
        <v>0</v>
      </c>
      <c r="J80" s="263">
        <v>253697</v>
      </c>
      <c r="K80" s="263">
        <v>257366.17148760331</v>
      </c>
    </row>
    <row r="81" spans="1:11" x14ac:dyDescent="0.2">
      <c r="A81" t="s">
        <v>402</v>
      </c>
      <c r="B81" t="s">
        <v>1411</v>
      </c>
      <c r="C81" t="s">
        <v>401</v>
      </c>
      <c r="D81" t="str">
        <f>VLOOKUP($B81,'[4]da summaryx'!$B$3:$K$155,D$1,FALSE)</f>
        <v>Liverpool City</v>
      </c>
      <c r="E81" s="263">
        <v>23990609</v>
      </c>
      <c r="F81" s="263">
        <v>0</v>
      </c>
      <c r="G81" s="263">
        <v>0</v>
      </c>
      <c r="H81" s="263">
        <v>31648003</v>
      </c>
      <c r="I81" s="263">
        <v>0</v>
      </c>
      <c r="J81" s="263">
        <v>0</v>
      </c>
      <c r="K81" s="263">
        <v>0</v>
      </c>
    </row>
    <row r="82" spans="1:11" x14ac:dyDescent="0.2">
      <c r="A82" t="s">
        <v>404</v>
      </c>
      <c r="B82" t="s">
        <v>1412</v>
      </c>
      <c r="C82" t="s">
        <v>403</v>
      </c>
      <c r="D82" t="str">
        <f>VLOOKUP($B82,'[4]da summaryx'!$B$3:$K$155,D$1,FALSE)</f>
        <v>Luton Airport</v>
      </c>
      <c r="E82" s="263">
        <v>4472917</v>
      </c>
      <c r="F82" s="263">
        <v>0</v>
      </c>
      <c r="G82" s="263">
        <v>0</v>
      </c>
      <c r="H82" s="263">
        <v>4781000</v>
      </c>
      <c r="I82" s="263">
        <v>0</v>
      </c>
      <c r="J82" s="263">
        <v>0</v>
      </c>
      <c r="K82" s="263">
        <v>0</v>
      </c>
    </row>
    <row r="83" spans="1:11" x14ac:dyDescent="0.2">
      <c r="A83" t="s">
        <v>412</v>
      </c>
      <c r="B83" t="s">
        <v>1413</v>
      </c>
      <c r="C83" t="s">
        <v>411</v>
      </c>
      <c r="D83" t="str">
        <f>VLOOKUP($B83,'[4]da summaryx'!$B$3:$K$155,D$1,FALSE)</f>
        <v>Manchester Airport City</v>
      </c>
      <c r="E83" s="263">
        <v>5143454</v>
      </c>
      <c r="F83" s="263">
        <v>0</v>
      </c>
      <c r="G83" s="263">
        <v>-162600</v>
      </c>
      <c r="H83" s="263">
        <v>6085584</v>
      </c>
      <c r="I83" s="263">
        <v>0</v>
      </c>
      <c r="J83" s="263">
        <v>0</v>
      </c>
      <c r="K83" s="263">
        <v>0</v>
      </c>
    </row>
    <row r="84" spans="1:11" x14ac:dyDescent="0.2">
      <c r="A84" t="s">
        <v>412</v>
      </c>
      <c r="B84" t="s">
        <v>1414</v>
      </c>
      <c r="C84" t="s">
        <v>411</v>
      </c>
      <c r="D84" t="str">
        <f>VLOOKUP($B84,'[4]da summaryx'!$B$3:$K$155,D$1,FALSE)</f>
        <v>Greater Manchester Life Sciences: MSP Central Campus</v>
      </c>
      <c r="E84" s="263">
        <v>663999</v>
      </c>
      <c r="F84" s="263">
        <v>0</v>
      </c>
      <c r="G84" s="263">
        <v>-17759</v>
      </c>
      <c r="H84" s="263">
        <v>664669</v>
      </c>
      <c r="I84" s="263">
        <v>0</v>
      </c>
      <c r="J84" s="263">
        <v>0</v>
      </c>
      <c r="K84" s="263">
        <v>0</v>
      </c>
    </row>
    <row r="85" spans="1:11" x14ac:dyDescent="0.2">
      <c r="A85" t="s">
        <v>412</v>
      </c>
      <c r="B85" t="s">
        <v>1415</v>
      </c>
      <c r="C85" t="s">
        <v>411</v>
      </c>
      <c r="D85" t="str">
        <f>VLOOKUP($B85,'[4]da summaryx'!$B$3:$K$155,D$1,FALSE)</f>
        <v>Greater Manchester Life Sciences: CMFT Site</v>
      </c>
      <c r="E85" s="263">
        <v>4964420</v>
      </c>
      <c r="F85" s="263">
        <v>0</v>
      </c>
      <c r="G85" s="263">
        <v>-132777</v>
      </c>
      <c r="H85" s="263">
        <v>4969428</v>
      </c>
      <c r="I85" s="263">
        <v>0</v>
      </c>
      <c r="J85" s="263">
        <v>0</v>
      </c>
      <c r="K85" s="263">
        <v>0</v>
      </c>
    </row>
    <row r="86" spans="1:11" x14ac:dyDescent="0.2">
      <c r="A86" t="s">
        <v>412</v>
      </c>
      <c r="B86" t="s">
        <v>1416</v>
      </c>
      <c r="C86" t="s">
        <v>411</v>
      </c>
      <c r="D86" t="str">
        <f>VLOOKUP($B86,'[4]da summaryx'!$B$3:$K$155,D$1,FALSE)</f>
        <v>Greater Manchester Airport City</v>
      </c>
      <c r="E86" s="263">
        <v>824940</v>
      </c>
      <c r="F86" s="263">
        <v>0</v>
      </c>
      <c r="G86" s="263">
        <v>-21663</v>
      </c>
      <c r="H86" s="263">
        <v>810769</v>
      </c>
      <c r="I86" s="263">
        <v>0</v>
      </c>
      <c r="J86" s="263">
        <v>0</v>
      </c>
      <c r="K86" s="263">
        <v>0</v>
      </c>
    </row>
    <row r="87" spans="1:11" x14ac:dyDescent="0.2">
      <c r="A87" t="s">
        <v>426</v>
      </c>
      <c r="B87" t="s">
        <v>1417</v>
      </c>
      <c r="C87" t="s">
        <v>425</v>
      </c>
      <c r="D87" t="str">
        <f>VLOOKUP($B87,'[4]da summaryx'!$B$3:$K$155,D$1,FALSE)</f>
        <v>New Anglia: Sproughton Road</v>
      </c>
      <c r="E87" s="263">
        <v>0</v>
      </c>
      <c r="F87" s="263">
        <v>0</v>
      </c>
      <c r="G87" s="263">
        <v>0</v>
      </c>
      <c r="H87" s="263">
        <v>0</v>
      </c>
      <c r="I87" s="263">
        <v>0</v>
      </c>
      <c r="J87" s="263">
        <v>0</v>
      </c>
      <c r="K87" s="263">
        <v>0</v>
      </c>
    </row>
    <row r="88" spans="1:11" x14ac:dyDescent="0.2">
      <c r="A88" t="s">
        <v>426</v>
      </c>
      <c r="B88" t="s">
        <v>1418</v>
      </c>
      <c r="C88" t="s">
        <v>425</v>
      </c>
      <c r="D88" t="str">
        <f>VLOOKUP($B88,'[4]da summaryx'!$B$3:$K$155,D$1,FALSE)</f>
        <v>New Anglia: Mill Lane</v>
      </c>
      <c r="E88" s="263">
        <v>0</v>
      </c>
      <c r="F88" s="263">
        <v>0</v>
      </c>
      <c r="G88" s="263">
        <v>0</v>
      </c>
      <c r="H88" s="263">
        <v>0</v>
      </c>
      <c r="I88" s="263">
        <v>0</v>
      </c>
      <c r="J88" s="263">
        <v>0</v>
      </c>
      <c r="K88" s="263">
        <v>0</v>
      </c>
    </row>
    <row r="89" spans="1:11" x14ac:dyDescent="0.2">
      <c r="A89" t="s">
        <v>430</v>
      </c>
      <c r="B89" t="s">
        <v>1419</v>
      </c>
      <c r="C89" t="s">
        <v>429</v>
      </c>
      <c r="D89" t="str">
        <f>VLOOKUP($B89,'[4]da summaryx'!$B$3:$K$155,D$1,FALSE)</f>
        <v>Tees Valley Middlesbrough</v>
      </c>
      <c r="E89" s="263">
        <v>0</v>
      </c>
      <c r="F89" s="263">
        <v>0</v>
      </c>
      <c r="G89" s="263">
        <v>0</v>
      </c>
      <c r="H89" s="263">
        <v>0</v>
      </c>
      <c r="I89" s="263">
        <v>0</v>
      </c>
      <c r="J89" s="263">
        <v>0</v>
      </c>
      <c r="K89" s="263">
        <v>0</v>
      </c>
    </row>
    <row r="90" spans="1:11" x14ac:dyDescent="0.2">
      <c r="A90" t="s">
        <v>430</v>
      </c>
      <c r="B90" t="s">
        <v>1420</v>
      </c>
      <c r="C90" t="s">
        <v>429</v>
      </c>
      <c r="D90" t="str">
        <f>VLOOKUP($B90,'[4]da summaryx'!$B$3:$K$155,D$1,FALSE)</f>
        <v>Tees Valley Growth Extension: Middlesborough historic Quarter</v>
      </c>
      <c r="E90" s="263">
        <v>3255233</v>
      </c>
      <c r="F90" s="263">
        <v>0</v>
      </c>
      <c r="G90" s="263">
        <v>-1719</v>
      </c>
      <c r="H90" s="263">
        <v>3303024</v>
      </c>
      <c r="I90" s="263">
        <v>0</v>
      </c>
      <c r="J90" s="263">
        <v>0</v>
      </c>
      <c r="K90" s="263">
        <v>0</v>
      </c>
    </row>
    <row r="91" spans="1:11" x14ac:dyDescent="0.2">
      <c r="A91" t="s">
        <v>440</v>
      </c>
      <c r="B91" t="s">
        <v>1421</v>
      </c>
      <c r="C91" t="s">
        <v>1087</v>
      </c>
      <c r="D91" t="str">
        <f>VLOOKUP($B91,'[4]da summaryx'!$B$3:$K$155,D$1,FALSE)</f>
        <v>North East Newcastle</v>
      </c>
      <c r="E91" s="263">
        <v>683450</v>
      </c>
      <c r="F91" s="263">
        <v>0</v>
      </c>
      <c r="G91" s="263">
        <v>0</v>
      </c>
      <c r="H91" s="263">
        <v>69741</v>
      </c>
      <c r="I91" s="263">
        <v>613709</v>
      </c>
      <c r="J91" s="263">
        <v>0</v>
      </c>
      <c r="K91" s="263">
        <v>0</v>
      </c>
    </row>
    <row r="92" spans="1:11" x14ac:dyDescent="0.2">
      <c r="A92" t="s">
        <v>440</v>
      </c>
      <c r="B92" t="s">
        <v>1422</v>
      </c>
      <c r="C92" t="s">
        <v>1087</v>
      </c>
      <c r="D92" t="str">
        <f>VLOOKUP($B92,'[4]da summaryx'!$B$3:$K$155,D$1,FALSE)</f>
        <v>Newcastle Development Area</v>
      </c>
      <c r="E92" s="263">
        <v>6618157</v>
      </c>
      <c r="F92" s="263">
        <v>0</v>
      </c>
      <c r="G92" s="263">
        <v>-7935</v>
      </c>
      <c r="H92" s="263">
        <v>6021755</v>
      </c>
      <c r="I92" s="263">
        <v>588467</v>
      </c>
      <c r="J92" s="263">
        <v>0</v>
      </c>
      <c r="K92" s="263">
        <v>0</v>
      </c>
    </row>
    <row r="93" spans="1:11" x14ac:dyDescent="0.2">
      <c r="A93" t="s">
        <v>442</v>
      </c>
      <c r="B93" t="s">
        <v>1423</v>
      </c>
      <c r="C93" t="s">
        <v>441</v>
      </c>
      <c r="D93" t="str">
        <f>VLOOKUP($B93,'[4]da summaryx'!$B$3:$K$155,D$1,FALSE)</f>
        <v>Ceramic Valley: Chatterley Valley West</v>
      </c>
      <c r="E93" s="263">
        <v>0</v>
      </c>
      <c r="F93" s="263">
        <v>0</v>
      </c>
      <c r="G93" s="263">
        <v>0</v>
      </c>
      <c r="H93" s="263">
        <v>0</v>
      </c>
      <c r="I93" s="263">
        <v>0</v>
      </c>
      <c r="J93" s="263">
        <v>0</v>
      </c>
      <c r="K93" s="263">
        <v>0</v>
      </c>
    </row>
    <row r="94" spans="1:11" x14ac:dyDescent="0.2">
      <c r="A94" t="s">
        <v>444</v>
      </c>
      <c r="B94" t="s">
        <v>1424</v>
      </c>
      <c r="C94" t="s">
        <v>443</v>
      </c>
      <c r="D94" t="str">
        <f>VLOOKUP($B94,'[4]da summaryx'!$B$3:$K$155,D$1,FALSE)</f>
        <v>Royal Docks</v>
      </c>
      <c r="E94" s="263">
        <v>-379416</v>
      </c>
      <c r="F94" s="263">
        <v>0</v>
      </c>
      <c r="G94" s="263">
        <v>0</v>
      </c>
      <c r="H94" s="263">
        <v>241749</v>
      </c>
      <c r="I94" s="263">
        <v>0</v>
      </c>
      <c r="J94" s="263">
        <v>0</v>
      </c>
      <c r="K94" s="263">
        <v>0</v>
      </c>
    </row>
    <row r="95" spans="1:11" x14ac:dyDescent="0.2">
      <c r="A95" t="s">
        <v>452</v>
      </c>
      <c r="B95" t="s">
        <v>1425</v>
      </c>
      <c r="C95" t="s">
        <v>451</v>
      </c>
      <c r="D95" t="str">
        <f>VLOOKUP($B95,'[4]da summaryx'!$B$3:$K$155,D$1,FALSE)</f>
        <v>Humber Port Corridor North East Lincolnshire</v>
      </c>
      <c r="E95" s="263">
        <v>0</v>
      </c>
      <c r="F95" s="263">
        <v>0</v>
      </c>
      <c r="G95" s="263">
        <v>0</v>
      </c>
      <c r="H95" s="263">
        <v>0</v>
      </c>
      <c r="I95" s="263">
        <v>0</v>
      </c>
      <c r="J95" s="263">
        <v>65728</v>
      </c>
      <c r="K95" s="263">
        <v>66678.611570247929</v>
      </c>
    </row>
    <row r="96" spans="1:11" x14ac:dyDescent="0.2">
      <c r="A96" t="s">
        <v>452</v>
      </c>
      <c r="B96" t="s">
        <v>1426</v>
      </c>
      <c r="C96" t="s">
        <v>451</v>
      </c>
      <c r="D96" t="str">
        <f>VLOOKUP($B96,'[4]da summaryx'!$B$3:$K$155,D$1,FALSE)</f>
        <v>Humber Enterprise Zone: Stallingborough Interchange</v>
      </c>
      <c r="E96" s="263">
        <v>0</v>
      </c>
      <c r="F96" s="263">
        <v>0</v>
      </c>
      <c r="G96" s="263">
        <v>0</v>
      </c>
      <c r="H96" s="263">
        <v>0</v>
      </c>
      <c r="I96" s="263">
        <v>0</v>
      </c>
      <c r="J96" s="263">
        <v>0</v>
      </c>
      <c r="K96" s="263">
        <v>0</v>
      </c>
    </row>
    <row r="97" spans="1:11" x14ac:dyDescent="0.2">
      <c r="A97" t="s">
        <v>452</v>
      </c>
      <c r="B97" t="s">
        <v>1427</v>
      </c>
      <c r="C97" t="s">
        <v>451</v>
      </c>
      <c r="D97" t="str">
        <f>VLOOKUP($B97,'[4]da summaryx'!$B$3:$K$155,D$1,FALSE)</f>
        <v>Humber Enterprise Zone: Great Coates Business Park</v>
      </c>
      <c r="E97" s="263">
        <v>0</v>
      </c>
      <c r="F97" s="263">
        <v>0</v>
      </c>
      <c r="G97" s="263">
        <v>0</v>
      </c>
      <c r="H97" s="263">
        <v>0</v>
      </c>
      <c r="I97" s="263">
        <v>0</v>
      </c>
      <c r="J97" s="263">
        <v>0</v>
      </c>
      <c r="K97" s="263">
        <v>0</v>
      </c>
    </row>
    <row r="98" spans="1:11" x14ac:dyDescent="0.2">
      <c r="A98" t="s">
        <v>452</v>
      </c>
      <c r="B98" t="s">
        <v>1428</v>
      </c>
      <c r="C98" t="s">
        <v>451</v>
      </c>
      <c r="D98" t="str">
        <f>VLOOKUP($B98,'[4]da summaryx'!$B$3:$K$155,D$1,FALSE)</f>
        <v>Humber Enterprise Zone: King’s Road</v>
      </c>
      <c r="E98" s="263">
        <v>0</v>
      </c>
      <c r="F98" s="263">
        <v>0</v>
      </c>
      <c r="G98" s="263">
        <v>0</v>
      </c>
      <c r="H98" s="263">
        <v>0</v>
      </c>
      <c r="I98" s="263">
        <v>0</v>
      </c>
      <c r="J98" s="263">
        <v>0</v>
      </c>
      <c r="K98" s="263">
        <v>0</v>
      </c>
    </row>
    <row r="99" spans="1:11" x14ac:dyDescent="0.2">
      <c r="A99" t="s">
        <v>452</v>
      </c>
      <c r="B99" t="s">
        <v>1429</v>
      </c>
      <c r="C99" t="s">
        <v>451</v>
      </c>
      <c r="D99" t="str">
        <f>VLOOKUP($B99,'[4]da summaryx'!$B$3:$K$155,D$1,FALSE)</f>
        <v>Humber Enterprise Zone: Queen’s Road</v>
      </c>
      <c r="E99" s="263">
        <v>0</v>
      </c>
      <c r="F99" s="263">
        <v>0</v>
      </c>
      <c r="G99" s="263">
        <v>0</v>
      </c>
      <c r="H99" s="263">
        <v>0</v>
      </c>
      <c r="I99" s="263">
        <v>0</v>
      </c>
      <c r="J99" s="263">
        <v>0</v>
      </c>
      <c r="K99" s="263">
        <v>0</v>
      </c>
    </row>
    <row r="100" spans="1:11" x14ac:dyDescent="0.2">
      <c r="A100" t="s">
        <v>452</v>
      </c>
      <c r="B100" t="s">
        <v>1430</v>
      </c>
      <c r="C100" t="s">
        <v>451</v>
      </c>
      <c r="D100" t="str">
        <f>VLOOKUP($B100,'[4]da summaryx'!$B$3:$K$155,D$1,FALSE)</f>
        <v>Humber Enterprise Zone: Abengoa</v>
      </c>
      <c r="E100" s="263">
        <v>0</v>
      </c>
      <c r="F100" s="263">
        <v>0</v>
      </c>
      <c r="G100" s="263">
        <v>0</v>
      </c>
      <c r="H100" s="263">
        <v>0</v>
      </c>
      <c r="I100" s="263">
        <v>0</v>
      </c>
      <c r="J100" s="263">
        <v>0</v>
      </c>
      <c r="K100" s="263">
        <v>0</v>
      </c>
    </row>
    <row r="101" spans="1:11" x14ac:dyDescent="0.2">
      <c r="A101" t="s">
        <v>452</v>
      </c>
      <c r="B101" t="s">
        <v>1431</v>
      </c>
      <c r="C101" t="s">
        <v>451</v>
      </c>
      <c r="D101" t="str">
        <f>VLOOKUP($B101,'[4]da summaryx'!$B$3:$K$155,D$1,FALSE)</f>
        <v>Humber Enterprise Zone: Huntsman Tioxide</v>
      </c>
      <c r="E101" s="263">
        <v>0</v>
      </c>
      <c r="F101" s="263">
        <v>0</v>
      </c>
      <c r="G101" s="263">
        <v>0</v>
      </c>
      <c r="H101" s="263">
        <v>0</v>
      </c>
      <c r="I101" s="263">
        <v>0</v>
      </c>
      <c r="J101" s="263">
        <v>0</v>
      </c>
      <c r="K101" s="263">
        <v>0</v>
      </c>
    </row>
    <row r="102" spans="1:11" x14ac:dyDescent="0.2">
      <c r="A102" t="s">
        <v>458</v>
      </c>
      <c r="B102" t="s">
        <v>1432</v>
      </c>
      <c r="C102" t="s">
        <v>457</v>
      </c>
      <c r="D102" t="str">
        <f>VLOOKUP($B102,'[4]da summaryx'!$B$3:$K$155,D$1,FALSE)</f>
        <v>Humber Super Energy Cluster North Lincolnshire</v>
      </c>
      <c r="E102" s="263">
        <v>1140615</v>
      </c>
      <c r="F102" s="263">
        <v>0</v>
      </c>
      <c r="G102" s="263">
        <v>0</v>
      </c>
      <c r="H102" s="263">
        <v>983459</v>
      </c>
      <c r="I102" s="263">
        <v>157156</v>
      </c>
      <c r="J102" s="263">
        <v>0</v>
      </c>
      <c r="K102" s="263">
        <v>0</v>
      </c>
    </row>
    <row r="103" spans="1:11" x14ac:dyDescent="0.2">
      <c r="A103" t="s">
        <v>458</v>
      </c>
      <c r="B103" t="s">
        <v>1433</v>
      </c>
      <c r="C103" t="s">
        <v>457</v>
      </c>
      <c r="D103" t="str">
        <f>VLOOKUP($B103,'[4]da summaryx'!$B$3:$K$155,D$1,FALSE)</f>
        <v>Humber Enterprise Zone: Humberside Airport</v>
      </c>
      <c r="E103" s="263">
        <v>911428</v>
      </c>
      <c r="F103" s="263">
        <v>0</v>
      </c>
      <c r="G103" s="263">
        <v>-1072</v>
      </c>
      <c r="H103" s="263">
        <v>17551</v>
      </c>
      <c r="I103" s="263">
        <v>892805</v>
      </c>
      <c r="J103" s="263">
        <v>0</v>
      </c>
      <c r="K103" s="263">
        <v>0</v>
      </c>
    </row>
    <row r="104" spans="1:11" x14ac:dyDescent="0.2">
      <c r="A104" t="s">
        <v>460</v>
      </c>
      <c r="B104" t="s">
        <v>1434</v>
      </c>
      <c r="C104" t="s">
        <v>459</v>
      </c>
      <c r="D104" t="str">
        <f>VLOOKUP($B104,'[4]da summaryx'!$B$3:$K$155,D$1,FALSE)</f>
        <v>New Anglia: Scottow Enterprise Park</v>
      </c>
      <c r="E104" s="263">
        <v>0</v>
      </c>
      <c r="F104" s="263">
        <v>0</v>
      </c>
      <c r="G104" s="263">
        <v>0</v>
      </c>
      <c r="H104" s="263">
        <v>0</v>
      </c>
      <c r="I104" s="263">
        <v>0</v>
      </c>
      <c r="J104" s="263">
        <v>76138</v>
      </c>
      <c r="K104" s="263">
        <v>77239.169421487604</v>
      </c>
    </row>
    <row r="105" spans="1:11" x14ac:dyDescent="0.2">
      <c r="A105" t="s">
        <v>460</v>
      </c>
      <c r="B105" t="s">
        <v>1435</v>
      </c>
      <c r="C105" t="s">
        <v>459</v>
      </c>
      <c r="D105" t="str">
        <f>VLOOKUP($B105,'[4]da summaryx'!$B$3:$K$155,D$1,FALSE)</f>
        <v>New Anglia: Egmere Business Zone</v>
      </c>
      <c r="E105" s="263">
        <v>0</v>
      </c>
      <c r="F105" s="263">
        <v>0</v>
      </c>
      <c r="G105" s="263">
        <v>0</v>
      </c>
      <c r="H105" s="263">
        <v>0</v>
      </c>
      <c r="I105" s="263">
        <v>0</v>
      </c>
      <c r="J105" s="263">
        <v>0</v>
      </c>
      <c r="K105" s="263">
        <v>0</v>
      </c>
    </row>
    <row r="106" spans="1:11" x14ac:dyDescent="0.2">
      <c r="A106" t="s">
        <v>462</v>
      </c>
      <c r="B106" t="s">
        <v>1436</v>
      </c>
      <c r="C106" t="s">
        <v>461</v>
      </c>
      <c r="D106" t="str">
        <f>VLOOKUP($B106,'[4]da summaryx'!$B$3:$K$155,D$1,FALSE)</f>
        <v>North Somerset</v>
      </c>
      <c r="E106" s="263">
        <v>726742</v>
      </c>
      <c r="F106" s="263">
        <v>0</v>
      </c>
      <c r="G106" s="263">
        <v>0</v>
      </c>
      <c r="H106" s="263">
        <v>200354</v>
      </c>
      <c r="I106" s="263">
        <v>526388</v>
      </c>
      <c r="J106" s="263">
        <v>0</v>
      </c>
      <c r="K106" s="263">
        <v>0</v>
      </c>
    </row>
    <row r="107" spans="1:11" x14ac:dyDescent="0.2">
      <c r="A107" t="s">
        <v>464</v>
      </c>
      <c r="B107" t="s">
        <v>1437</v>
      </c>
      <c r="C107" t="s">
        <v>463</v>
      </c>
      <c r="D107" t="str">
        <f>VLOOKUP($B107,'[4]da summaryx'!$B$3:$K$155,D$1,FALSE)</f>
        <v>North East North Tyneside</v>
      </c>
      <c r="E107" s="263">
        <v>650122</v>
      </c>
      <c r="F107" s="263">
        <v>0</v>
      </c>
      <c r="G107" s="263">
        <v>0</v>
      </c>
      <c r="H107" s="263">
        <v>555434</v>
      </c>
      <c r="I107" s="263">
        <v>94688</v>
      </c>
      <c r="J107" s="263">
        <v>63845</v>
      </c>
      <c r="K107" s="263">
        <v>64768.378099173555</v>
      </c>
    </row>
    <row r="108" spans="1:11" x14ac:dyDescent="0.2">
      <c r="A108" t="s">
        <v>470</v>
      </c>
      <c r="B108" t="s">
        <v>1438</v>
      </c>
      <c r="C108" t="s">
        <v>469</v>
      </c>
      <c r="D108" t="str">
        <f>VLOOKUP($B108,'[4]da summaryx'!$B$3:$K$155,D$1,FALSE)</f>
        <v>Northampton Waterside</v>
      </c>
      <c r="E108" s="263">
        <v>4872404</v>
      </c>
      <c r="F108" s="263">
        <v>0</v>
      </c>
      <c r="G108" s="263">
        <v>1900</v>
      </c>
      <c r="H108" s="263">
        <v>3435843</v>
      </c>
      <c r="I108" s="263">
        <v>1438461</v>
      </c>
      <c r="J108" s="263">
        <v>1977530</v>
      </c>
      <c r="K108" s="263">
        <v>2006130.6404958677</v>
      </c>
    </row>
    <row r="109" spans="1:11" x14ac:dyDescent="0.2">
      <c r="A109" t="s">
        <v>472</v>
      </c>
      <c r="B109" t="s">
        <v>1439</v>
      </c>
      <c r="C109" t="s">
        <v>471</v>
      </c>
      <c r="D109" t="str">
        <f>VLOOKUP($B109,'[4]da summaryx'!$B$3:$K$155,D$1,FALSE)</f>
        <v>North East Northumberland</v>
      </c>
      <c r="E109" s="263">
        <v>41683</v>
      </c>
      <c r="F109" s="263">
        <v>0</v>
      </c>
      <c r="G109" s="263">
        <v>0</v>
      </c>
      <c r="H109" s="263">
        <v>11945</v>
      </c>
      <c r="I109" s="263">
        <v>29738</v>
      </c>
      <c r="J109" s="263">
        <v>140844</v>
      </c>
      <c r="K109" s="263">
        <v>142881</v>
      </c>
    </row>
    <row r="110" spans="1:11" x14ac:dyDescent="0.2">
      <c r="A110" t="s">
        <v>476</v>
      </c>
      <c r="B110" t="s">
        <v>1440</v>
      </c>
      <c r="C110" t="s">
        <v>475</v>
      </c>
      <c r="D110" t="str">
        <f>VLOOKUP($B110,'[4]da summaryx'!$B$3:$K$155,D$1,FALSE)</f>
        <v>Nottingham City</v>
      </c>
      <c r="E110" s="263">
        <v>4015760</v>
      </c>
      <c r="F110" s="263">
        <v>0</v>
      </c>
      <c r="G110" s="263">
        <v>0</v>
      </c>
      <c r="H110" s="263">
        <v>4137735</v>
      </c>
      <c r="I110" s="263">
        <v>0</v>
      </c>
      <c r="J110" s="263">
        <v>0</v>
      </c>
      <c r="K110" s="263">
        <v>0</v>
      </c>
    </row>
    <row r="111" spans="1:11" x14ac:dyDescent="0.2">
      <c r="A111" t="s">
        <v>476</v>
      </c>
      <c r="B111" t="s">
        <v>1441</v>
      </c>
      <c r="C111" t="s">
        <v>475</v>
      </c>
      <c r="D111" t="str">
        <f>VLOOKUP($B111,'[4]da summaryx'!$B$3:$K$155,D$1,FALSE)</f>
        <v>Nottingham Development Area</v>
      </c>
      <c r="E111" s="263">
        <v>5691469</v>
      </c>
      <c r="F111" s="263">
        <v>0</v>
      </c>
      <c r="G111" s="263">
        <v>-8411</v>
      </c>
      <c r="H111" s="263">
        <v>5904735</v>
      </c>
      <c r="I111" s="263">
        <v>0</v>
      </c>
      <c r="J111" s="263">
        <v>0</v>
      </c>
      <c r="K111" s="263">
        <v>0</v>
      </c>
    </row>
    <row r="112" spans="1:11" x14ac:dyDescent="0.2">
      <c r="A112" t="s">
        <v>504</v>
      </c>
      <c r="B112" t="s">
        <v>1442</v>
      </c>
      <c r="C112" t="s">
        <v>503</v>
      </c>
      <c r="D112" t="str">
        <f>VLOOKUP($B112,'[4]da summaryx'!$B$3:$K$155,D$1,FALSE)</f>
        <v>Tees Valley Redcar and Cleveland</v>
      </c>
      <c r="E112" s="263">
        <v>850326</v>
      </c>
      <c r="F112" s="263">
        <v>0</v>
      </c>
      <c r="G112" s="263">
        <v>0</v>
      </c>
      <c r="H112" s="263">
        <v>0</v>
      </c>
      <c r="I112" s="263">
        <v>850326</v>
      </c>
      <c r="J112" s="263">
        <v>0</v>
      </c>
      <c r="K112" s="263">
        <v>0</v>
      </c>
    </row>
    <row r="113" spans="1:11" x14ac:dyDescent="0.2">
      <c r="A113" t="s">
        <v>510</v>
      </c>
      <c r="B113" t="s">
        <v>1443</v>
      </c>
      <c r="C113" t="s">
        <v>509</v>
      </c>
      <c r="D113" t="str">
        <f>VLOOKUP($B113,'[4]da summaryx'!$B$3:$K$155,D$1,FALSE)</f>
        <v>Lancashire Advanced Engineering and Manufacturing Ribble Valley</v>
      </c>
      <c r="E113" s="263">
        <v>1903510</v>
      </c>
      <c r="F113" s="263">
        <v>7157</v>
      </c>
      <c r="G113" s="263">
        <v>0</v>
      </c>
      <c r="H113" s="263">
        <v>1876823</v>
      </c>
      <c r="I113" s="263">
        <v>19530</v>
      </c>
      <c r="J113" s="263">
        <v>0</v>
      </c>
      <c r="K113" s="263">
        <v>0</v>
      </c>
    </row>
    <row r="114" spans="1:11" x14ac:dyDescent="0.2">
      <c r="A114" t="s">
        <v>524</v>
      </c>
      <c r="B114" t="s">
        <v>1444</v>
      </c>
      <c r="C114" t="s">
        <v>523</v>
      </c>
      <c r="D114" t="str">
        <f>VLOOKUP($B114,'[4]da summaryx'!$B$3:$K$155,D$1,FALSE)</f>
        <v>Sheffield City Region Rotherham</v>
      </c>
      <c r="E114" s="263">
        <v>208356</v>
      </c>
      <c r="F114" s="263">
        <v>0</v>
      </c>
      <c r="G114" s="263">
        <v>0</v>
      </c>
      <c r="H114" s="263">
        <v>339626</v>
      </c>
      <c r="I114" s="263">
        <v>0</v>
      </c>
      <c r="J114" s="263">
        <v>398113</v>
      </c>
      <c r="K114" s="263">
        <v>403870.83264462813</v>
      </c>
    </row>
    <row r="115" spans="1:11" x14ac:dyDescent="0.2">
      <c r="A115" t="s">
        <v>552</v>
      </c>
      <c r="B115" t="s">
        <v>1445</v>
      </c>
      <c r="C115" t="s">
        <v>551</v>
      </c>
      <c r="D115" t="str">
        <f>VLOOKUP($B115,'[4]da summaryx'!$B$3:$K$155,D$1,FALSE)</f>
        <v>Sheffield City Region Sheffield</v>
      </c>
      <c r="E115" s="263">
        <v>2478406</v>
      </c>
      <c r="F115" s="263">
        <v>0</v>
      </c>
      <c r="G115" s="263">
        <v>0</v>
      </c>
      <c r="H115" s="263">
        <v>1695299</v>
      </c>
      <c r="I115" s="263">
        <v>783107</v>
      </c>
      <c r="J115" s="263">
        <v>55000</v>
      </c>
      <c r="K115" s="263">
        <v>55795.454545454544</v>
      </c>
    </row>
    <row r="116" spans="1:11" x14ac:dyDescent="0.2">
      <c r="A116" t="s">
        <v>552</v>
      </c>
      <c r="B116" t="s">
        <v>1446</v>
      </c>
      <c r="C116" t="s">
        <v>551</v>
      </c>
      <c r="D116" t="str">
        <f>VLOOKUP($B116,'[4]da summaryx'!$B$3:$K$155,D$1,FALSE)</f>
        <v>Sheffield Development Area</v>
      </c>
      <c r="E116" s="263">
        <v>1026494</v>
      </c>
      <c r="F116" s="263">
        <v>0</v>
      </c>
      <c r="G116" s="263">
        <v>1182</v>
      </c>
      <c r="H116" s="263">
        <v>1552510</v>
      </c>
      <c r="I116" s="263">
        <v>0</v>
      </c>
      <c r="J116" s="263">
        <v>0</v>
      </c>
      <c r="K116" s="263">
        <v>0</v>
      </c>
    </row>
    <row r="117" spans="1:11" x14ac:dyDescent="0.2">
      <c r="A117" t="s">
        <v>564</v>
      </c>
      <c r="B117" t="s">
        <v>1447</v>
      </c>
      <c r="C117" t="s">
        <v>563</v>
      </c>
      <c r="D117" t="str">
        <f>VLOOKUP($B117,'[4]da summaryx'!$B$3:$K$155,D$1,FALSE)</f>
        <v>Cambridge Compass: Cambourne Business Park</v>
      </c>
      <c r="E117" s="263">
        <v>0</v>
      </c>
      <c r="F117" s="263">
        <v>0</v>
      </c>
      <c r="G117" s="263">
        <v>0</v>
      </c>
      <c r="H117" s="263">
        <v>0</v>
      </c>
      <c r="I117" s="263">
        <v>0</v>
      </c>
      <c r="J117" s="263">
        <v>0</v>
      </c>
      <c r="K117" s="263">
        <v>0</v>
      </c>
    </row>
    <row r="118" spans="1:11" x14ac:dyDescent="0.2">
      <c r="A118" t="s">
        <v>564</v>
      </c>
      <c r="B118" t="s">
        <v>1448</v>
      </c>
      <c r="C118" t="s">
        <v>563</v>
      </c>
      <c r="D118" t="str">
        <f>VLOOKUP($B118,'[4]da summaryx'!$B$3:$K$155,D$1,FALSE)</f>
        <v>Cambridge Compass: Cambridge Research Park</v>
      </c>
      <c r="E118" s="263">
        <v>500157</v>
      </c>
      <c r="F118" s="263">
        <v>0</v>
      </c>
      <c r="G118" s="263">
        <v>0</v>
      </c>
      <c r="H118" s="263">
        <v>0</v>
      </c>
      <c r="I118" s="263">
        <v>500157</v>
      </c>
      <c r="J118" s="263">
        <v>0</v>
      </c>
      <c r="K118" s="263">
        <v>0</v>
      </c>
    </row>
    <row r="119" spans="1:11" x14ac:dyDescent="0.2">
      <c r="A119" t="s">
        <v>564</v>
      </c>
      <c r="B119" t="s">
        <v>1449</v>
      </c>
      <c r="C119" t="s">
        <v>563</v>
      </c>
      <c r="D119" t="str">
        <f>VLOOKUP($B119,'[4]da summaryx'!$B$3:$K$155,D$1,FALSE)</f>
        <v>Cambridge Compass: Northstowe</v>
      </c>
      <c r="E119" s="263">
        <v>0</v>
      </c>
      <c r="F119" s="263">
        <v>0</v>
      </c>
      <c r="G119" s="263">
        <v>0</v>
      </c>
      <c r="H119" s="263">
        <v>0</v>
      </c>
      <c r="I119" s="263">
        <v>0</v>
      </c>
      <c r="J119" s="263">
        <v>0</v>
      </c>
      <c r="K119" s="263">
        <v>0</v>
      </c>
    </row>
    <row r="120" spans="1:11" x14ac:dyDescent="0.2">
      <c r="A120" t="s">
        <v>568</v>
      </c>
      <c r="B120" t="s">
        <v>1450</v>
      </c>
      <c r="C120" t="s">
        <v>567</v>
      </c>
      <c r="D120" t="str">
        <f>VLOOKUP($B120,'[4]da summaryx'!$B$3:$K$155,D$1,FALSE)</f>
        <v>South Gloucestershire</v>
      </c>
      <c r="E120" s="263">
        <v>5263789</v>
      </c>
      <c r="F120" s="263">
        <v>0</v>
      </c>
      <c r="G120" s="263">
        <v>0</v>
      </c>
      <c r="H120" s="263">
        <v>645974</v>
      </c>
      <c r="I120" s="263">
        <v>4617815</v>
      </c>
      <c r="J120" s="263">
        <v>0</v>
      </c>
      <c r="K120" s="263">
        <v>0</v>
      </c>
    </row>
    <row r="121" spans="1:11" x14ac:dyDescent="0.2">
      <c r="A121" t="s">
        <v>578</v>
      </c>
      <c r="B121" t="s">
        <v>1451</v>
      </c>
      <c r="C121" t="s">
        <v>577</v>
      </c>
      <c r="D121" t="str">
        <f>VLOOKUP($B121,'[4]da summaryx'!$B$3:$K$155,D$1,FALSE)</f>
        <v>New Anglia: Norwich Research Park</v>
      </c>
      <c r="E121" s="263">
        <v>-57757</v>
      </c>
      <c r="F121" s="263">
        <v>0</v>
      </c>
      <c r="G121" s="263">
        <v>0</v>
      </c>
      <c r="H121" s="263">
        <v>195392</v>
      </c>
      <c r="I121" s="263">
        <v>0</v>
      </c>
      <c r="J121" s="263">
        <v>119904</v>
      </c>
      <c r="K121" s="263">
        <v>121638.14876033057</v>
      </c>
    </row>
    <row r="122" spans="1:11" x14ac:dyDescent="0.2">
      <c r="A122" t="s">
        <v>582</v>
      </c>
      <c r="B122" t="s">
        <v>1452</v>
      </c>
      <c r="C122" t="s">
        <v>581</v>
      </c>
      <c r="D122" t="str">
        <f>VLOOKUP($B122,'[4]da summaryx'!$B$3:$K$155,D$1,FALSE)</f>
        <v>Oxford Didcot Growth Accelerator: Didcot A (South Oxfordshire)</v>
      </c>
      <c r="E122" s="263">
        <v>0</v>
      </c>
      <c r="F122" s="263">
        <v>0</v>
      </c>
      <c r="G122" s="263">
        <v>0</v>
      </c>
      <c r="H122" s="263">
        <v>0</v>
      </c>
      <c r="I122" s="263">
        <v>0</v>
      </c>
      <c r="J122" s="263">
        <v>0</v>
      </c>
      <c r="K122" s="263">
        <v>0</v>
      </c>
    </row>
    <row r="123" spans="1:11" x14ac:dyDescent="0.2">
      <c r="A123" t="s">
        <v>582</v>
      </c>
      <c r="B123" t="s">
        <v>1453</v>
      </c>
      <c r="C123" t="s">
        <v>581</v>
      </c>
      <c r="D123" t="str">
        <f>VLOOKUP($B123,'[4]da summaryx'!$B$3:$K$155,D$1,FALSE)</f>
        <v>Oxford Didcot Growth Accelerator: Southmead 1</v>
      </c>
      <c r="E123" s="263">
        <v>45227</v>
      </c>
      <c r="F123" s="263">
        <v>0</v>
      </c>
      <c r="G123" s="263">
        <v>0</v>
      </c>
      <c r="H123" s="263">
        <v>45237</v>
      </c>
      <c r="I123" s="263">
        <v>0</v>
      </c>
      <c r="J123" s="263">
        <v>0</v>
      </c>
      <c r="K123" s="263">
        <v>0</v>
      </c>
    </row>
    <row r="124" spans="1:11" x14ac:dyDescent="0.2">
      <c r="A124" t="s">
        <v>582</v>
      </c>
      <c r="B124" t="s">
        <v>1454</v>
      </c>
      <c r="C124" t="s">
        <v>581</v>
      </c>
      <c r="D124" t="str">
        <f>VLOOKUP($B124,'[4]da summaryx'!$B$3:$K$155,D$1,FALSE)</f>
        <v>Oxford Didcot Growth Accelerator: Southmead 2</v>
      </c>
      <c r="E124" s="263">
        <v>0</v>
      </c>
      <c r="F124" s="263">
        <v>0</v>
      </c>
      <c r="G124" s="263">
        <v>0</v>
      </c>
      <c r="H124" s="263">
        <v>0</v>
      </c>
      <c r="I124" s="263">
        <v>0</v>
      </c>
      <c r="J124" s="263">
        <v>0</v>
      </c>
      <c r="K124" s="263">
        <v>0</v>
      </c>
    </row>
    <row r="125" spans="1:11" x14ac:dyDescent="0.2">
      <c r="A125" t="s">
        <v>582</v>
      </c>
      <c r="B125" t="s">
        <v>1455</v>
      </c>
      <c r="C125" t="s">
        <v>581</v>
      </c>
      <c r="D125" t="str">
        <f>VLOOKUP($B125,'[4]da summaryx'!$B$3:$K$155,D$1,FALSE)</f>
        <v>Oxford Didcot Growth Accelerator: Southmead 3</v>
      </c>
      <c r="E125" s="263">
        <v>190848</v>
      </c>
      <c r="F125" s="263">
        <v>0</v>
      </c>
      <c r="G125" s="263">
        <v>0</v>
      </c>
      <c r="H125" s="263">
        <v>141790</v>
      </c>
      <c r="I125" s="263">
        <v>49058</v>
      </c>
      <c r="J125" s="263">
        <v>0</v>
      </c>
      <c r="K125" s="263">
        <v>0</v>
      </c>
    </row>
    <row r="126" spans="1:11" x14ac:dyDescent="0.2">
      <c r="A126" t="s">
        <v>584</v>
      </c>
      <c r="B126" t="s">
        <v>1456</v>
      </c>
      <c r="C126" t="s">
        <v>583</v>
      </c>
      <c r="D126" t="str">
        <f>VLOOKUP($B126,'[4]da summaryx'!$B$3:$K$155,D$1,FALSE)</f>
        <v>Lancashire Advanced Engineering and Manufacturing South Ribble</v>
      </c>
      <c r="E126" s="263">
        <v>0</v>
      </c>
      <c r="F126" s="263">
        <v>0</v>
      </c>
      <c r="G126" s="263">
        <v>0</v>
      </c>
      <c r="H126" s="263">
        <v>0</v>
      </c>
      <c r="I126" s="263">
        <v>0</v>
      </c>
      <c r="J126" s="263">
        <v>0</v>
      </c>
      <c r="K126" s="263">
        <v>0</v>
      </c>
    </row>
    <row r="127" spans="1:11" x14ac:dyDescent="0.2">
      <c r="A127" t="s">
        <v>588</v>
      </c>
      <c r="B127" t="s">
        <v>1457</v>
      </c>
      <c r="C127" t="s">
        <v>587</v>
      </c>
      <c r="D127" t="str">
        <f>VLOOKUP($B127,'[4]da summaryx'!$B$3:$K$155,D$1,FALSE)</f>
        <v>Black Country South Staffordshire</v>
      </c>
      <c r="E127" s="263">
        <v>2699665</v>
      </c>
      <c r="F127" s="263">
        <v>0</v>
      </c>
      <c r="G127" s="263">
        <v>0</v>
      </c>
      <c r="H127" s="263">
        <v>0</v>
      </c>
      <c r="I127" s="263">
        <v>2699665</v>
      </c>
      <c r="J127" s="263">
        <v>106422</v>
      </c>
      <c r="K127" s="263">
        <v>107961.16115702479</v>
      </c>
    </row>
    <row r="128" spans="1:11" x14ac:dyDescent="0.2">
      <c r="A128" t="s">
        <v>602</v>
      </c>
      <c r="B128" t="s">
        <v>1458</v>
      </c>
      <c r="C128" t="s">
        <v>601</v>
      </c>
      <c r="D128" t="str">
        <f>VLOOKUP($B128,'[4]da summaryx'!$B$3:$K$155,D$1,FALSE)</f>
        <v>Cambridge Compass: Haverhill Research Park</v>
      </c>
      <c r="E128" s="263">
        <v>0</v>
      </c>
      <c r="F128" s="263">
        <v>0</v>
      </c>
      <c r="G128" s="263">
        <v>0</v>
      </c>
      <c r="H128" s="263">
        <v>0</v>
      </c>
      <c r="I128" s="263">
        <v>0</v>
      </c>
      <c r="J128" s="263">
        <v>0</v>
      </c>
      <c r="K128" s="263">
        <v>0</v>
      </c>
    </row>
    <row r="129" spans="1:11" x14ac:dyDescent="0.2">
      <c r="A129" t="s">
        <v>602</v>
      </c>
      <c r="B129" t="s">
        <v>1459</v>
      </c>
      <c r="C129" t="s">
        <v>601</v>
      </c>
      <c r="D129" t="str">
        <f>VLOOKUP($B129,'[4]da summaryx'!$B$3:$K$155,D$1,FALSE)</f>
        <v>New Anglia: Suffolk Business Park</v>
      </c>
      <c r="E129" s="263">
        <v>0</v>
      </c>
      <c r="F129" s="263">
        <v>0</v>
      </c>
      <c r="G129" s="263">
        <v>0</v>
      </c>
      <c r="H129" s="263">
        <v>0</v>
      </c>
      <c r="I129" s="263">
        <v>0</v>
      </c>
      <c r="J129" s="263">
        <v>0</v>
      </c>
      <c r="K129" s="263">
        <v>0</v>
      </c>
    </row>
    <row r="130" spans="1:11" x14ac:dyDescent="0.2">
      <c r="A130" t="s">
        <v>614</v>
      </c>
      <c r="B130" t="s">
        <v>1460</v>
      </c>
      <c r="C130" t="s">
        <v>613</v>
      </c>
      <c r="D130" t="str">
        <f>VLOOKUP($B130,'[4]da summaryx'!$B$3:$K$155,D$1,FALSE)</f>
        <v>Tees Valley Stockton</v>
      </c>
      <c r="E130" s="263">
        <v>92211</v>
      </c>
      <c r="F130" s="263">
        <v>0</v>
      </c>
      <c r="G130" s="263">
        <v>0</v>
      </c>
      <c r="H130" s="263">
        <v>0</v>
      </c>
      <c r="I130" s="263">
        <v>92211</v>
      </c>
      <c r="J130" s="263">
        <v>37672</v>
      </c>
      <c r="K130" s="263">
        <v>38216.842975206615</v>
      </c>
    </row>
    <row r="131" spans="1:11" x14ac:dyDescent="0.2">
      <c r="A131" t="s">
        <v>614</v>
      </c>
      <c r="B131" t="s">
        <v>1461</v>
      </c>
      <c r="C131" t="s">
        <v>613</v>
      </c>
      <c r="D131" t="str">
        <f>VLOOKUP($B131,'[4]da summaryx'!$B$3:$K$155,D$1,FALSE)</f>
        <v>Tees Valley Growth Extension: Northshore</v>
      </c>
      <c r="E131" s="263">
        <v>0</v>
      </c>
      <c r="F131" s="263">
        <v>0</v>
      </c>
      <c r="G131" s="263">
        <v>0</v>
      </c>
      <c r="H131" s="263">
        <v>118803</v>
      </c>
      <c r="I131" s="263">
        <v>0</v>
      </c>
      <c r="J131" s="263">
        <v>0</v>
      </c>
      <c r="K131" s="263">
        <v>0</v>
      </c>
    </row>
    <row r="132" spans="1:11" x14ac:dyDescent="0.2">
      <c r="A132" t="s">
        <v>616</v>
      </c>
      <c r="B132" t="s">
        <v>1462</v>
      </c>
      <c r="C132" t="s">
        <v>615</v>
      </c>
      <c r="D132" t="str">
        <f>VLOOKUP($B132,'[4]da summaryx'!$B$3:$K$155,D$1,FALSE)</f>
        <v>Ceramic Valley: Chatterley Valley East</v>
      </c>
      <c r="E132" s="263">
        <v>327424</v>
      </c>
      <c r="F132" s="263">
        <v>0</v>
      </c>
      <c r="G132" s="263">
        <v>0</v>
      </c>
      <c r="H132" s="263">
        <v>337891</v>
      </c>
      <c r="I132" s="263">
        <v>0</v>
      </c>
      <c r="J132" s="263">
        <v>0</v>
      </c>
      <c r="K132" s="263">
        <v>0</v>
      </c>
    </row>
    <row r="133" spans="1:11" x14ac:dyDescent="0.2">
      <c r="A133" t="s">
        <v>616</v>
      </c>
      <c r="B133" t="s">
        <v>1463</v>
      </c>
      <c r="C133" t="s">
        <v>615</v>
      </c>
      <c r="D133" t="str">
        <f>VLOOKUP($B133,'[4]da summaryx'!$B$3:$K$155,D$1,FALSE)</f>
        <v>Ceramic Valley: Tunstall Arrow</v>
      </c>
      <c r="E133" s="263">
        <v>0</v>
      </c>
      <c r="F133" s="263">
        <v>0</v>
      </c>
      <c r="G133" s="263">
        <v>0</v>
      </c>
      <c r="H133" s="263">
        <v>0</v>
      </c>
      <c r="I133" s="263">
        <v>0</v>
      </c>
      <c r="J133" s="263">
        <v>0</v>
      </c>
      <c r="K133" s="263">
        <v>0</v>
      </c>
    </row>
    <row r="134" spans="1:11" x14ac:dyDescent="0.2">
      <c r="A134" t="s">
        <v>616</v>
      </c>
      <c r="B134" t="s">
        <v>1464</v>
      </c>
      <c r="C134" t="s">
        <v>615</v>
      </c>
      <c r="D134" t="str">
        <f>VLOOKUP($B134,'[4]da summaryx'!$B$3:$K$155,D$1,FALSE)</f>
        <v>Ceramic Valley: Highgate/Ravensdale</v>
      </c>
      <c r="E134" s="263">
        <v>42245</v>
      </c>
      <c r="F134" s="263">
        <v>0</v>
      </c>
      <c r="G134" s="263">
        <v>0</v>
      </c>
      <c r="H134" s="263">
        <v>42254</v>
      </c>
      <c r="I134" s="263">
        <v>0</v>
      </c>
      <c r="J134" s="263">
        <v>0</v>
      </c>
      <c r="K134" s="263">
        <v>0</v>
      </c>
    </row>
    <row r="135" spans="1:11" x14ac:dyDescent="0.2">
      <c r="A135" t="s">
        <v>616</v>
      </c>
      <c r="B135" t="s">
        <v>1465</v>
      </c>
      <c r="C135" t="s">
        <v>615</v>
      </c>
      <c r="D135" t="str">
        <f>VLOOKUP($B135,'[4]da summaryx'!$B$3:$K$155,D$1,FALSE)</f>
        <v>Ceramic Valley: Etruria Valley</v>
      </c>
      <c r="E135" s="263">
        <v>274012</v>
      </c>
      <c r="F135" s="263">
        <v>0</v>
      </c>
      <c r="G135" s="263">
        <v>0</v>
      </c>
      <c r="H135" s="263">
        <v>20257</v>
      </c>
      <c r="I135" s="263">
        <v>253755</v>
      </c>
      <c r="J135" s="263">
        <v>0</v>
      </c>
      <c r="K135" s="263">
        <v>0</v>
      </c>
    </row>
    <row r="136" spans="1:11" x14ac:dyDescent="0.2">
      <c r="A136" t="s">
        <v>616</v>
      </c>
      <c r="B136" t="s">
        <v>1466</v>
      </c>
      <c r="C136" t="s">
        <v>615</v>
      </c>
      <c r="D136" t="str">
        <f>VLOOKUP($B136,'[4]da summaryx'!$B$3:$K$155,D$1,FALSE)</f>
        <v>Ceramic Valley: Cliffe Vale</v>
      </c>
      <c r="E136" s="263">
        <v>28762</v>
      </c>
      <c r="F136" s="263">
        <v>0</v>
      </c>
      <c r="G136" s="263">
        <v>0</v>
      </c>
      <c r="H136" s="263">
        <v>30858</v>
      </c>
      <c r="I136" s="263">
        <v>0</v>
      </c>
      <c r="J136" s="263">
        <v>0</v>
      </c>
      <c r="K136" s="263">
        <v>0</v>
      </c>
    </row>
    <row r="137" spans="1:11" x14ac:dyDescent="0.2">
      <c r="A137" t="s">
        <v>624</v>
      </c>
      <c r="B137" t="s">
        <v>1467</v>
      </c>
      <c r="C137" t="s">
        <v>623</v>
      </c>
      <c r="D137" t="str">
        <f>VLOOKUP($B137,'[4]da summaryx'!$B$3:$K$155,D$1,FALSE)</f>
        <v>North East Sunderland</v>
      </c>
      <c r="E137" s="263">
        <v>850914</v>
      </c>
      <c r="F137" s="263">
        <v>0</v>
      </c>
      <c r="G137" s="263">
        <v>0</v>
      </c>
      <c r="H137" s="263">
        <v>143840</v>
      </c>
      <c r="I137" s="263">
        <v>707074</v>
      </c>
      <c r="J137" s="263">
        <v>34790</v>
      </c>
      <c r="K137" s="263">
        <v>35293.161157024791</v>
      </c>
    </row>
    <row r="138" spans="1:11" x14ac:dyDescent="0.2">
      <c r="A138" t="s">
        <v>672</v>
      </c>
      <c r="B138" t="s">
        <v>1468</v>
      </c>
      <c r="C138" t="s">
        <v>671</v>
      </c>
      <c r="D138" t="str">
        <f>VLOOKUP($B138,'[4]da summaryx'!$B$3:$K$155,D$1,FALSE)</f>
        <v>Science Vale UK</v>
      </c>
      <c r="E138" s="263">
        <v>1668911</v>
      </c>
      <c r="F138" s="263">
        <v>0</v>
      </c>
      <c r="G138" s="263">
        <v>0</v>
      </c>
      <c r="H138" s="263">
        <v>1218664</v>
      </c>
      <c r="I138" s="263">
        <v>450247</v>
      </c>
      <c r="J138" s="263">
        <v>850328</v>
      </c>
      <c r="K138" s="263">
        <v>862626.132231405</v>
      </c>
    </row>
    <row r="139" spans="1:11" x14ac:dyDescent="0.2">
      <c r="A139" t="s">
        <v>672</v>
      </c>
      <c r="B139" t="s">
        <v>1469</v>
      </c>
      <c r="C139" t="s">
        <v>671</v>
      </c>
      <c r="D139" t="str">
        <f>VLOOKUP($B139,'[4]da summaryx'!$B$3:$K$155,D$1,FALSE)</f>
        <v>Oxford Didcot Growth Accelerator: Diageo Site</v>
      </c>
      <c r="E139" s="263">
        <v>358790</v>
      </c>
      <c r="F139" s="263">
        <v>0</v>
      </c>
      <c r="G139" s="263">
        <v>0</v>
      </c>
      <c r="H139" s="263">
        <v>545115</v>
      </c>
      <c r="I139" s="263">
        <v>0</v>
      </c>
      <c r="J139" s="263">
        <v>0</v>
      </c>
      <c r="K139" s="263">
        <v>0</v>
      </c>
    </row>
    <row r="140" spans="1:11" x14ac:dyDescent="0.2">
      <c r="A140" t="s">
        <v>672</v>
      </c>
      <c r="B140" t="s">
        <v>1470</v>
      </c>
      <c r="C140" t="s">
        <v>671</v>
      </c>
      <c r="D140" t="str">
        <f>VLOOKUP($B140,'[4]da summaryx'!$B$3:$K$155,D$1,FALSE)</f>
        <v>Oxford Didcot Growth Accelerator: Didcot A (Vale of White Horse)</v>
      </c>
      <c r="E140" s="263">
        <v>0</v>
      </c>
      <c r="F140" s="263">
        <v>0</v>
      </c>
      <c r="G140" s="263">
        <v>0</v>
      </c>
      <c r="H140" s="263">
        <v>0</v>
      </c>
      <c r="I140" s="263">
        <v>0</v>
      </c>
      <c r="J140" s="263">
        <v>0</v>
      </c>
      <c r="K140" s="263">
        <v>0</v>
      </c>
    </row>
    <row r="141" spans="1:11" x14ac:dyDescent="0.2">
      <c r="A141" t="s">
        <v>672</v>
      </c>
      <c r="B141" t="s">
        <v>1471</v>
      </c>
      <c r="C141" t="s">
        <v>671</v>
      </c>
      <c r="D141" t="str">
        <f>VLOOKUP($B141,'[4]da summaryx'!$B$3:$K$155,D$1,FALSE)</f>
        <v>Oxford Didcot Growth Accelerator: Didcot Park</v>
      </c>
      <c r="E141" s="263">
        <v>0</v>
      </c>
      <c r="F141" s="263">
        <v>0</v>
      </c>
      <c r="G141" s="263">
        <v>0</v>
      </c>
      <c r="H141" s="263">
        <v>0</v>
      </c>
      <c r="I141" s="263">
        <v>0</v>
      </c>
      <c r="J141" s="263">
        <v>0</v>
      </c>
      <c r="K141" s="263">
        <v>0</v>
      </c>
    </row>
    <row r="142" spans="1:11" x14ac:dyDescent="0.2">
      <c r="A142" t="s">
        <v>672</v>
      </c>
      <c r="B142" t="s">
        <v>1472</v>
      </c>
      <c r="C142" t="s">
        <v>671</v>
      </c>
      <c r="D142" t="str">
        <f>VLOOKUP($B142,'[4]da summaryx'!$B$3:$K$155,D$1,FALSE)</f>
        <v>Oxford Didcot Growth Accelerator: Milton Interchange</v>
      </c>
      <c r="E142" s="263">
        <v>0</v>
      </c>
      <c r="F142" s="263">
        <v>0</v>
      </c>
      <c r="G142" s="263">
        <v>0</v>
      </c>
      <c r="H142" s="263">
        <v>0</v>
      </c>
      <c r="I142" s="263">
        <v>0</v>
      </c>
      <c r="J142" s="263">
        <v>0</v>
      </c>
      <c r="K142" s="263">
        <v>0</v>
      </c>
    </row>
    <row r="143" spans="1:11" x14ac:dyDescent="0.2">
      <c r="A143" t="s">
        <v>672</v>
      </c>
      <c r="B143" t="s">
        <v>1473</v>
      </c>
      <c r="C143" t="s">
        <v>671</v>
      </c>
      <c r="D143" t="str">
        <f>VLOOKUP($B143,'[4]da summaryx'!$B$3:$K$155,D$1,FALSE)</f>
        <v>Milton Park Extension - Site A</v>
      </c>
      <c r="E143" s="263">
        <v>1162</v>
      </c>
      <c r="F143" s="263">
        <v>0</v>
      </c>
      <c r="G143" s="263">
        <v>0</v>
      </c>
      <c r="H143" s="263">
        <v>1162</v>
      </c>
      <c r="I143" s="263">
        <v>0</v>
      </c>
      <c r="J143" s="263">
        <v>0</v>
      </c>
      <c r="K143" s="263">
        <v>0</v>
      </c>
    </row>
    <row r="144" spans="1:11" x14ac:dyDescent="0.2">
      <c r="A144" t="s">
        <v>672</v>
      </c>
      <c r="B144" t="s">
        <v>1474</v>
      </c>
      <c r="C144" t="s">
        <v>671</v>
      </c>
      <c r="D144" t="str">
        <f>VLOOKUP($B144,'[4]da summaryx'!$B$3:$K$155,D$1,FALSE)</f>
        <v>Milton Park Extension - Site B</v>
      </c>
      <c r="E144" s="263">
        <v>38766</v>
      </c>
      <c r="F144" s="263">
        <v>0</v>
      </c>
      <c r="G144" s="263">
        <v>0</v>
      </c>
      <c r="H144" s="263">
        <v>46639</v>
      </c>
      <c r="I144" s="263">
        <v>0</v>
      </c>
      <c r="J144" s="263">
        <v>0</v>
      </c>
      <c r="K144" s="263">
        <v>0</v>
      </c>
    </row>
    <row r="145" spans="1:11" x14ac:dyDescent="0.2">
      <c r="A145" t="s">
        <v>672</v>
      </c>
      <c r="B145" t="s">
        <v>1475</v>
      </c>
      <c r="C145" t="s">
        <v>671</v>
      </c>
      <c r="D145" t="str">
        <f>VLOOKUP($B145,'[4]da summaryx'!$B$3:$K$155,D$1,FALSE)</f>
        <v>Milton Park Extension - Site C</v>
      </c>
      <c r="E145" s="263">
        <v>251525</v>
      </c>
      <c r="F145" s="263">
        <v>0</v>
      </c>
      <c r="G145" s="263">
        <v>0</v>
      </c>
      <c r="H145" s="263">
        <v>371104</v>
      </c>
      <c r="I145" s="263">
        <v>0</v>
      </c>
      <c r="J145" s="263">
        <v>118119</v>
      </c>
      <c r="K145" s="263">
        <v>119827.3326446281</v>
      </c>
    </row>
    <row r="146" spans="1:11" x14ac:dyDescent="0.2">
      <c r="A146" t="s">
        <v>672</v>
      </c>
      <c r="B146" t="s">
        <v>1476</v>
      </c>
      <c r="C146" t="s">
        <v>671</v>
      </c>
      <c r="D146" t="str">
        <f>VLOOKUP($B146,'[4]da summaryx'!$B$3:$K$155,D$1,FALSE)</f>
        <v>Milton Park Extension - Site D</v>
      </c>
      <c r="E146" s="263">
        <v>45933</v>
      </c>
      <c r="F146" s="263">
        <v>0</v>
      </c>
      <c r="G146" s="263">
        <v>0</v>
      </c>
      <c r="H146" s="263">
        <v>50208</v>
      </c>
      <c r="I146" s="263">
        <v>0</v>
      </c>
      <c r="J146" s="263">
        <v>0</v>
      </c>
      <c r="K146" s="263">
        <v>0</v>
      </c>
    </row>
    <row r="147" spans="1:11" x14ac:dyDescent="0.2">
      <c r="A147" t="s">
        <v>672</v>
      </c>
      <c r="B147" t="s">
        <v>1477</v>
      </c>
      <c r="C147" t="s">
        <v>671</v>
      </c>
      <c r="D147" t="str">
        <f>VLOOKUP($B147,'[4]da summaryx'!$B$3:$K$155,D$1,FALSE)</f>
        <v>Milton Park Extension - Site E</v>
      </c>
      <c r="E147" s="263">
        <v>149100</v>
      </c>
      <c r="F147" s="263">
        <v>0</v>
      </c>
      <c r="G147" s="263">
        <v>0</v>
      </c>
      <c r="H147" s="263">
        <v>149133</v>
      </c>
      <c r="I147" s="263">
        <v>0</v>
      </c>
      <c r="J147" s="263">
        <v>0</v>
      </c>
      <c r="K147" s="263">
        <v>0</v>
      </c>
    </row>
    <row r="148" spans="1:11" x14ac:dyDescent="0.2">
      <c r="A148" t="s">
        <v>672</v>
      </c>
      <c r="B148" t="s">
        <v>1478</v>
      </c>
      <c r="C148" t="s">
        <v>671</v>
      </c>
      <c r="D148" t="str">
        <f>VLOOKUP($B148,'[4]da summaryx'!$B$3:$K$155,D$1,FALSE)</f>
        <v>Milton Park Extension - Site F</v>
      </c>
      <c r="E148" s="263">
        <v>44978</v>
      </c>
      <c r="F148" s="263">
        <v>0</v>
      </c>
      <c r="G148" s="263">
        <v>0</v>
      </c>
      <c r="H148" s="263">
        <v>44989</v>
      </c>
      <c r="I148" s="263">
        <v>0</v>
      </c>
      <c r="J148" s="263">
        <v>0</v>
      </c>
      <c r="K148" s="263">
        <v>0</v>
      </c>
    </row>
    <row r="149" spans="1:11" x14ac:dyDescent="0.2">
      <c r="A149" t="s">
        <v>676</v>
      </c>
      <c r="B149" t="s">
        <v>1479</v>
      </c>
      <c r="C149" t="s">
        <v>675</v>
      </c>
      <c r="D149" t="str">
        <f>VLOOKUP($B149,'[4]da summaryx'!$B$3:$K$155,D$1,FALSE)</f>
        <v>Black Country Walsall</v>
      </c>
      <c r="E149" s="263">
        <v>202132</v>
      </c>
      <c r="F149" s="263">
        <v>0</v>
      </c>
      <c r="G149" s="263">
        <v>0</v>
      </c>
      <c r="H149" s="263">
        <v>177303</v>
      </c>
      <c r="I149" s="263">
        <v>24829</v>
      </c>
      <c r="J149" s="263">
        <v>0</v>
      </c>
      <c r="K149" s="263">
        <v>0</v>
      </c>
    </row>
    <row r="150" spans="1:11" x14ac:dyDescent="0.2">
      <c r="A150" t="s">
        <v>680</v>
      </c>
      <c r="B150" t="s">
        <v>1480</v>
      </c>
      <c r="C150" t="s">
        <v>679</v>
      </c>
      <c r="D150" t="str">
        <f>VLOOKUP($B150,'[4]da summaryx'!$B$3:$K$155,D$1,FALSE)</f>
        <v>Wandsworth Nine Elms and Battersea Power Station</v>
      </c>
      <c r="E150" s="263">
        <v>2860611</v>
      </c>
      <c r="F150" s="263">
        <v>0</v>
      </c>
      <c r="G150" s="263">
        <v>-151686</v>
      </c>
      <c r="H150" s="263">
        <v>4206450</v>
      </c>
      <c r="I150" s="263">
        <v>0</v>
      </c>
      <c r="J150" s="263">
        <v>0</v>
      </c>
      <c r="K150" s="263">
        <v>0</v>
      </c>
    </row>
    <row r="151" spans="1:11" x14ac:dyDescent="0.2">
      <c r="A151" t="s">
        <v>682</v>
      </c>
      <c r="B151" t="s">
        <v>1481</v>
      </c>
      <c r="C151" t="s">
        <v>681</v>
      </c>
      <c r="D151" t="str">
        <f>VLOOKUP($B151,'[4]da summaryx'!$B$3:$K$155,D$1,FALSE)</f>
        <v>Cheshire &amp; Warrington Science Corridor: Birchwood Sites</v>
      </c>
      <c r="E151" s="263">
        <v>976664</v>
      </c>
      <c r="F151" s="263">
        <v>0</v>
      </c>
      <c r="G151" s="263">
        <v>0</v>
      </c>
      <c r="H151" s="263">
        <v>1174032</v>
      </c>
      <c r="I151" s="263">
        <v>0</v>
      </c>
      <c r="J151" s="263">
        <v>0</v>
      </c>
      <c r="K151" s="263">
        <v>0</v>
      </c>
    </row>
    <row r="152" spans="1:11" x14ac:dyDescent="0.2">
      <c r="A152" t="s">
        <v>688</v>
      </c>
      <c r="B152" t="s">
        <v>1482</v>
      </c>
      <c r="C152" t="s">
        <v>687</v>
      </c>
      <c r="D152" t="str">
        <f>VLOOKUP($B152,'[4]da summaryx'!$B$3:$K$155,D$1,FALSE)</f>
        <v>New Anglia Waveney</v>
      </c>
      <c r="E152" s="263">
        <v>251692</v>
      </c>
      <c r="F152" s="263">
        <v>0</v>
      </c>
      <c r="G152" s="263">
        <v>0</v>
      </c>
      <c r="H152" s="263">
        <v>0</v>
      </c>
      <c r="I152" s="263">
        <v>251692</v>
      </c>
      <c r="J152" s="263">
        <v>163398</v>
      </c>
      <c r="K152" s="263">
        <v>165761.19421487604</v>
      </c>
    </row>
    <row r="153" spans="1:11" x14ac:dyDescent="0.2">
      <c r="A153" t="s">
        <v>724</v>
      </c>
      <c r="B153" t="s">
        <v>1483</v>
      </c>
      <c r="C153" t="s">
        <v>723</v>
      </c>
      <c r="D153" t="str">
        <f>VLOOKUP($B153,'[4]da summaryx'!$B$3:$K$155,D$1,FALSE)</f>
        <v>Mersey Waters Wirral</v>
      </c>
      <c r="E153" s="263">
        <v>5966</v>
      </c>
      <c r="F153" s="263">
        <v>0</v>
      </c>
      <c r="G153" s="263">
        <v>0</v>
      </c>
      <c r="H153" s="263">
        <v>2939</v>
      </c>
      <c r="I153" s="263">
        <v>3027</v>
      </c>
      <c r="J153" s="263">
        <v>0</v>
      </c>
      <c r="K153" s="263">
        <v>0</v>
      </c>
    </row>
    <row r="154" spans="1:11" x14ac:dyDescent="0.2">
      <c r="A154" t="s">
        <v>724</v>
      </c>
      <c r="B154" t="s">
        <v>1484</v>
      </c>
      <c r="C154" t="s">
        <v>723</v>
      </c>
      <c r="D154" t="str">
        <f>VLOOKUP($B154,'[4]da summaryx'!$B$3:$K$155,D$1,FALSE)</f>
        <v>Wirral Waters Enterprise Site</v>
      </c>
      <c r="E154" s="263">
        <v>1048862</v>
      </c>
      <c r="F154" s="263">
        <v>0</v>
      </c>
      <c r="G154" s="263">
        <v>0</v>
      </c>
      <c r="H154" s="263">
        <v>855907</v>
      </c>
      <c r="I154" s="263">
        <v>192955</v>
      </c>
      <c r="J154" s="263">
        <v>134162</v>
      </c>
      <c r="K154" s="263">
        <v>136102.35950413224</v>
      </c>
    </row>
    <row r="155" spans="1:11" x14ac:dyDescent="0.2">
      <c r="A155" t="s">
        <v>730</v>
      </c>
      <c r="B155" t="s">
        <v>1485</v>
      </c>
      <c r="C155" t="s">
        <v>729</v>
      </c>
      <c r="D155" t="str">
        <f>VLOOKUP($B155,'[4]da summaryx'!$B$3:$K$155,D$1,FALSE)</f>
        <v>Black Country Wolverhampton</v>
      </c>
      <c r="E155" s="263">
        <v>135552</v>
      </c>
      <c r="F155" s="263">
        <v>0</v>
      </c>
      <c r="G155" s="263">
        <v>0</v>
      </c>
      <c r="H155" s="263">
        <v>89287</v>
      </c>
      <c r="I155" s="263">
        <v>46265</v>
      </c>
      <c r="J155" s="263">
        <v>0</v>
      </c>
      <c r="K155" s="263">
        <v>0</v>
      </c>
    </row>
    <row r="156" spans="1:11" x14ac:dyDescent="0.2">
      <c r="A156" t="s">
        <v>740</v>
      </c>
      <c r="B156" t="s">
        <v>1486</v>
      </c>
      <c r="C156" t="s">
        <v>739</v>
      </c>
      <c r="D156" t="str">
        <f>VLOOKUP($B156,'[4]da summaryx'!$B$3:$K$155,D$1,FALSE)</f>
        <v>Lancashire - Hillhouse Chemicals and Energy</v>
      </c>
      <c r="E156" s="263">
        <v>2581910</v>
      </c>
      <c r="F156" s="263">
        <v>0</v>
      </c>
      <c r="G156" s="263">
        <v>0</v>
      </c>
      <c r="H156" s="263">
        <v>2526621</v>
      </c>
      <c r="I156" s="263">
        <v>55289</v>
      </c>
      <c r="J156" s="263">
        <v>0</v>
      </c>
      <c r="K156" s="263">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D332"/>
  <sheetViews>
    <sheetView workbookViewId="0"/>
  </sheetViews>
  <sheetFormatPr defaultRowHeight="12.75" x14ac:dyDescent="0.2"/>
  <cols>
    <col min="1" max="1" width="3.85546875" customWidth="1"/>
    <col min="3" max="3" width="34" customWidth="1"/>
    <col min="4" max="6" width="9.42578125" style="607" bestFit="1" customWidth="1"/>
    <col min="7" max="7" width="11.140625" style="607" bestFit="1" customWidth="1"/>
    <col min="8" max="8" width="9.42578125" style="607" bestFit="1" customWidth="1"/>
    <col min="9" max="9" width="11.140625" style="607" bestFit="1" customWidth="1"/>
    <col min="10" max="12" width="9.42578125" style="607" bestFit="1" customWidth="1"/>
    <col min="13" max="13" width="10.140625" style="607" bestFit="1" customWidth="1"/>
    <col min="14" max="14" width="9.42578125" style="607" bestFit="1" customWidth="1"/>
    <col min="15" max="15" width="10.140625" style="607" bestFit="1" customWidth="1"/>
    <col min="16" max="16" width="11.140625" style="607" bestFit="1" customWidth="1"/>
    <col min="17" max="17" width="9.42578125" style="607" bestFit="1" customWidth="1"/>
    <col min="18" max="18" width="11.140625" style="607" bestFit="1" customWidth="1"/>
    <col min="19" max="19" width="13.42578125" style="607" bestFit="1" customWidth="1"/>
    <col min="20" max="20" width="9.7109375" style="607" bestFit="1" customWidth="1"/>
    <col min="21" max="21" width="13.42578125" style="607" bestFit="1" customWidth="1"/>
    <col min="22" max="22" width="9.7109375" style="607" bestFit="1" customWidth="1"/>
    <col min="23" max="23" width="9.42578125" style="607" bestFit="1" customWidth="1"/>
    <col min="24" max="24" width="9.7109375" style="607" bestFit="1" customWidth="1"/>
    <col min="25" max="25" width="10.7109375" style="607" bestFit="1" customWidth="1"/>
    <col min="26" max="26" width="9.42578125" style="607" bestFit="1" customWidth="1"/>
    <col min="27" max="28" width="10.7109375" style="607" bestFit="1" customWidth="1"/>
    <col min="29" max="29" width="9.42578125" style="607" bestFit="1" customWidth="1"/>
    <col min="30" max="30" width="10.7109375" style="607" bestFit="1" customWidth="1"/>
    <col min="31" max="33" width="9.42578125" style="607" bestFit="1" customWidth="1"/>
    <col min="34" max="34" width="11.140625" style="607" bestFit="1" customWidth="1"/>
    <col min="35" max="35" width="9.42578125" style="607" bestFit="1" customWidth="1"/>
    <col min="36" max="36" width="11.140625" style="607" bestFit="1" customWidth="1"/>
    <col min="37" max="37" width="9.7109375" style="607" bestFit="1" customWidth="1"/>
    <col min="38" max="38" width="9.42578125" style="607" bestFit="1" customWidth="1"/>
    <col min="39" max="39" width="9.7109375" style="607" bestFit="1" customWidth="1"/>
    <col min="40" max="40" width="13.42578125" style="607" bestFit="1" customWidth="1"/>
    <col min="41" max="41" width="9.7109375" style="607" bestFit="1" customWidth="1"/>
    <col min="42" max="42" width="13.42578125" style="607" bestFit="1" customWidth="1"/>
    <col min="43" max="43" width="9.7109375" style="607" bestFit="1" customWidth="1"/>
    <col min="44" max="44" width="9.42578125" style="607" bestFit="1" customWidth="1"/>
    <col min="45" max="45" width="9.7109375" style="607" bestFit="1" customWidth="1"/>
    <col min="46" max="46" width="10.7109375" style="607" bestFit="1" customWidth="1"/>
    <col min="47" max="47" width="9.42578125" style="607" bestFit="1" customWidth="1"/>
    <col min="48" max="48" width="10.7109375" style="607" bestFit="1" customWidth="1"/>
    <col min="49" max="51" width="9.42578125" style="607" bestFit="1" customWidth="1"/>
    <col min="52" max="52" width="9.7109375" style="607" bestFit="1" customWidth="1"/>
    <col min="53" max="53" width="9.42578125" style="607" bestFit="1" customWidth="1"/>
    <col min="54" max="54" width="9.7109375" style="607" bestFit="1" customWidth="1"/>
    <col min="55" max="57" width="9.42578125" style="607" bestFit="1" customWidth="1"/>
    <col min="58" max="58" width="13.42578125" style="607" bestFit="1" customWidth="1"/>
    <col min="59" max="59" width="9.7109375" style="607" bestFit="1" customWidth="1"/>
    <col min="60" max="60" width="13.42578125" style="607" bestFit="1" customWidth="1"/>
    <col min="61" max="61" width="10.7109375" style="607" bestFit="1" customWidth="1"/>
    <col min="62" max="62" width="9.42578125" style="607" bestFit="1" customWidth="1"/>
    <col min="63" max="64" width="10.7109375" style="607" bestFit="1" customWidth="1"/>
    <col min="65" max="65" width="9.42578125" style="607" bestFit="1" customWidth="1"/>
    <col min="66" max="66" width="10.7109375" style="607" bestFit="1" customWidth="1"/>
    <col min="67" max="67" width="11.7109375" style="607" bestFit="1" customWidth="1"/>
    <col min="68" max="68" width="10.7109375" style="607" bestFit="1" customWidth="1"/>
    <col min="69" max="69" width="11.7109375" style="607" bestFit="1" customWidth="1"/>
    <col min="70" max="70" width="10.7109375" style="607" bestFit="1" customWidth="1"/>
    <col min="71" max="71" width="9.42578125" style="607" bestFit="1" customWidth="1"/>
    <col min="72" max="72" width="10.7109375" style="607" bestFit="1" customWidth="1"/>
    <col min="73" max="73" width="11.7109375" style="607" bestFit="1" customWidth="1"/>
    <col min="74" max="74" width="10.7109375" style="607" bestFit="1" customWidth="1"/>
    <col min="75" max="75" width="11.7109375" style="607" bestFit="1" customWidth="1"/>
    <col min="76" max="76" width="10.7109375" style="607" bestFit="1" customWidth="1"/>
    <col min="77" max="77" width="9.42578125" style="607" bestFit="1" customWidth="1"/>
    <col min="78" max="78" width="10.7109375" style="607" bestFit="1" customWidth="1"/>
    <col min="79" max="81" width="9.42578125" style="607" bestFit="1" customWidth="1"/>
    <col min="82" max="82" width="10.7109375" style="607" bestFit="1" customWidth="1"/>
    <col min="83" max="83" width="9.42578125" style="607" bestFit="1" customWidth="1"/>
    <col min="84" max="84" width="10.7109375" style="607" bestFit="1" customWidth="1"/>
    <col min="85" max="85" width="9.7109375" style="607" bestFit="1" customWidth="1"/>
    <col min="86" max="86" width="9.42578125" style="607" bestFit="1" customWidth="1"/>
    <col min="87" max="88" width="9.7109375" style="607" bestFit="1" customWidth="1"/>
    <col min="89" max="89" width="9.42578125" style="607" bestFit="1" customWidth="1"/>
    <col min="90" max="90" width="9.7109375" style="607" bestFit="1" customWidth="1"/>
    <col min="91" max="93" width="9.42578125" style="607" bestFit="1" customWidth="1"/>
    <col min="94" max="94" width="9.7109375" style="607" bestFit="1" customWidth="1"/>
    <col min="95" max="95" width="9.42578125" style="607" bestFit="1" customWidth="1"/>
    <col min="96" max="96" width="9.7109375" style="607" bestFit="1" customWidth="1"/>
    <col min="97" max="99" width="9.42578125" style="607" bestFit="1" customWidth="1"/>
    <col min="100" max="100" width="9.7109375" style="607" bestFit="1" customWidth="1"/>
    <col min="101" max="101" width="9.42578125" style="607" bestFit="1" customWidth="1"/>
    <col min="102" max="102" width="9.7109375" style="607" bestFit="1" customWidth="1"/>
    <col min="103" max="105" width="9.42578125" style="607" bestFit="1" customWidth="1"/>
    <col min="106" max="107" width="9.7109375" style="607" bestFit="1" customWidth="1"/>
    <col min="108" max="108" width="10" style="607" customWidth="1"/>
    <col min="109" max="111" width="9.42578125" style="607" bestFit="1" customWidth="1"/>
    <col min="112" max="112" width="14.42578125" style="607" customWidth="1"/>
    <col min="113" max="113" width="13.42578125" style="607" customWidth="1"/>
    <col min="114" max="114" width="10.7109375" style="607" bestFit="1" customWidth="1"/>
    <col min="115" max="115" width="9.7109375" style="607" bestFit="1" customWidth="1"/>
    <col min="116" max="116" width="11.7109375" style="607" bestFit="1" customWidth="1"/>
    <col min="117" max="117" width="9.7109375" style="607" bestFit="1" customWidth="1"/>
    <col min="118" max="118" width="9.42578125" style="607" bestFit="1" customWidth="1"/>
    <col min="119" max="119" width="9.5703125" style="607" customWidth="1"/>
    <col min="120" max="122" width="9.42578125" style="607" bestFit="1" customWidth="1"/>
    <col min="123" max="123" width="10.7109375" style="607" bestFit="1" customWidth="1"/>
    <col min="124" max="124" width="9.42578125" style="607" bestFit="1" customWidth="1"/>
    <col min="125" max="125" width="10.7109375" style="607" bestFit="1" customWidth="1"/>
    <col min="126" max="126" width="9.7109375" style="607" bestFit="1" customWidth="1"/>
    <col min="127" max="127" width="9.42578125" style="607" bestFit="1" customWidth="1"/>
    <col min="128" max="128" width="9.7109375" style="607" bestFit="1" customWidth="1"/>
    <col min="129" max="129" width="11.7109375" style="607" bestFit="1" customWidth="1"/>
    <col min="130" max="130" width="9.42578125" style="607" bestFit="1" customWidth="1"/>
    <col min="131" max="131" width="11.7109375" style="607" bestFit="1" customWidth="1"/>
    <col min="132" max="132" width="9.7109375" style="607" bestFit="1" customWidth="1"/>
    <col min="133" max="133" width="9.42578125" style="607" bestFit="1" customWidth="1"/>
    <col min="134" max="135" width="9.7109375" style="607" bestFit="1" customWidth="1"/>
    <col min="136" max="136" width="9.42578125" style="607" bestFit="1" customWidth="1"/>
    <col min="137" max="137" width="9.7109375" style="607" bestFit="1" customWidth="1"/>
    <col min="138" max="140" width="9.42578125" style="607" bestFit="1" customWidth="1"/>
    <col min="141" max="141" width="9.7109375" style="607" bestFit="1" customWidth="1"/>
    <col min="142" max="142" width="9.42578125" style="607" bestFit="1" customWidth="1"/>
    <col min="143" max="143" width="9.7109375" style="607" bestFit="1" customWidth="1"/>
    <col min="144" max="146" width="9.7109375" style="607" customWidth="1"/>
    <col min="147" max="147" width="11.7109375" style="607" bestFit="1" customWidth="1"/>
    <col min="148" max="148" width="9.42578125" style="607" bestFit="1" customWidth="1"/>
    <col min="149" max="149" width="11.7109375" style="607" bestFit="1" customWidth="1"/>
    <col min="150" max="150" width="9.7109375" style="607" bestFit="1" customWidth="1"/>
    <col min="151" max="151" width="9.42578125" style="607" bestFit="1" customWidth="1"/>
    <col min="152" max="152" width="9.7109375" style="607" bestFit="1" customWidth="1"/>
    <col min="153" max="155" width="9.42578125" style="607" bestFit="1" customWidth="1"/>
    <col min="156" max="156" width="9.7109375" style="607" bestFit="1" customWidth="1"/>
    <col min="157" max="157" width="9.42578125" style="607" bestFit="1" customWidth="1"/>
    <col min="158" max="158" width="9.7109375" style="607" bestFit="1" customWidth="1"/>
    <col min="159" max="159" width="11.85546875" style="607" customWidth="1"/>
    <col min="160" max="160" width="10.42578125" style="607" customWidth="1"/>
    <col min="161" max="161" width="10.5703125" style="607" customWidth="1"/>
    <col min="162" max="162" width="10" style="607" customWidth="1"/>
    <col min="163" max="163" width="9.42578125" style="607" bestFit="1" customWidth="1"/>
    <col min="164" max="164" width="11.140625" style="607" bestFit="1" customWidth="1"/>
    <col min="165" max="165" width="13.42578125" style="607" bestFit="1" customWidth="1"/>
    <col min="166" max="166" width="9.7109375" style="607" bestFit="1" customWidth="1"/>
    <col min="167" max="167" width="13.42578125" style="607" bestFit="1" customWidth="1"/>
    <col min="168" max="168" width="11.7109375" style="607" bestFit="1" customWidth="1"/>
    <col min="169" max="169" width="10.7109375" style="607" bestFit="1" customWidth="1"/>
    <col min="170" max="170" width="11.7109375" style="607" bestFit="1" customWidth="1"/>
    <col min="171" max="171" width="10.7109375" style="607" bestFit="1" customWidth="1"/>
    <col min="172" max="172" width="9.7109375" style="607" bestFit="1" customWidth="1"/>
    <col min="173" max="174" width="11.7109375" style="607" bestFit="1" customWidth="1"/>
    <col min="175" max="175" width="9.42578125" style="607" bestFit="1" customWidth="1"/>
    <col min="176" max="176" width="11.7109375" style="607" bestFit="1" customWidth="1"/>
    <col min="177" max="177" width="9.7109375" style="607" bestFit="1" customWidth="1"/>
    <col min="178" max="178" width="9.42578125" style="607" bestFit="1" customWidth="1"/>
    <col min="179" max="179" width="9.7109375" style="607" bestFit="1" customWidth="1"/>
    <col min="180" max="180" width="12.140625" style="607" customWidth="1"/>
    <col min="181" max="181" width="11.28515625" style="607" customWidth="1"/>
    <col min="182" max="182" width="10.42578125" style="607" customWidth="1"/>
    <col min="183" max="183" width="13.42578125" style="607" customWidth="1"/>
    <col min="184" max="184" width="10.42578125" style="607" customWidth="1"/>
    <col min="185" max="185" width="14.140625" style="607" customWidth="1"/>
  </cols>
  <sheetData>
    <row r="1" spans="2:186" s="214" customFormat="1" x14ac:dyDescent="0.2">
      <c r="B1" s="215"/>
      <c r="D1" s="632">
        <v>3</v>
      </c>
      <c r="E1" s="632">
        <v>4</v>
      </c>
      <c r="F1" s="632">
        <v>5</v>
      </c>
      <c r="G1" s="632">
        <v>6</v>
      </c>
      <c r="H1" s="632">
        <v>7</v>
      </c>
      <c r="I1" s="632">
        <v>8</v>
      </c>
      <c r="J1" s="632">
        <v>9</v>
      </c>
      <c r="K1" s="632">
        <v>10</v>
      </c>
      <c r="L1" s="632">
        <v>11</v>
      </c>
      <c r="M1" s="632">
        <v>12</v>
      </c>
      <c r="N1" s="632">
        <v>13</v>
      </c>
      <c r="O1" s="632">
        <v>14</v>
      </c>
      <c r="P1" s="632">
        <v>15</v>
      </c>
      <c r="Q1" s="632">
        <v>16</v>
      </c>
      <c r="R1" s="632">
        <v>17</v>
      </c>
      <c r="S1" s="632">
        <v>18</v>
      </c>
      <c r="T1" s="632">
        <v>19</v>
      </c>
      <c r="U1" s="632">
        <v>20</v>
      </c>
      <c r="V1" s="632">
        <v>21</v>
      </c>
      <c r="W1" s="632">
        <v>22</v>
      </c>
      <c r="X1" s="632">
        <v>23</v>
      </c>
      <c r="Y1" s="632">
        <v>24</v>
      </c>
      <c r="Z1" s="632">
        <v>25</v>
      </c>
      <c r="AA1" s="632">
        <v>26</v>
      </c>
      <c r="AB1" s="632">
        <v>27</v>
      </c>
      <c r="AC1" s="632">
        <v>28</v>
      </c>
      <c r="AD1" s="632">
        <v>29</v>
      </c>
      <c r="AE1" s="632">
        <v>30</v>
      </c>
      <c r="AF1" s="632">
        <v>31</v>
      </c>
      <c r="AG1" s="632">
        <v>32</v>
      </c>
      <c r="AH1" s="632">
        <v>33</v>
      </c>
      <c r="AI1" s="632">
        <v>34</v>
      </c>
      <c r="AJ1" s="632">
        <v>35</v>
      </c>
      <c r="AK1" s="632">
        <v>36</v>
      </c>
      <c r="AL1" s="632">
        <v>37</v>
      </c>
      <c r="AM1" s="632">
        <v>38</v>
      </c>
      <c r="AN1" s="632">
        <v>39</v>
      </c>
      <c r="AO1" s="632">
        <v>40</v>
      </c>
      <c r="AP1" s="632">
        <v>41</v>
      </c>
      <c r="AQ1" s="632">
        <v>42</v>
      </c>
      <c r="AR1" s="632">
        <v>43</v>
      </c>
      <c r="AS1" s="632">
        <v>44</v>
      </c>
      <c r="AT1" s="632">
        <v>45</v>
      </c>
      <c r="AU1" s="632">
        <v>46</v>
      </c>
      <c r="AV1" s="632">
        <v>47</v>
      </c>
      <c r="AW1" s="632">
        <v>48</v>
      </c>
      <c r="AX1" s="632">
        <v>49</v>
      </c>
      <c r="AY1" s="632">
        <v>50</v>
      </c>
      <c r="AZ1" s="632">
        <v>51</v>
      </c>
      <c r="BA1" s="632">
        <v>52</v>
      </c>
      <c r="BB1" s="632">
        <v>53</v>
      </c>
      <c r="BC1" s="632">
        <v>54</v>
      </c>
      <c r="BD1" s="632">
        <v>55</v>
      </c>
      <c r="BE1" s="632">
        <v>56</v>
      </c>
      <c r="BF1" s="632">
        <v>57</v>
      </c>
      <c r="BG1" s="632">
        <v>58</v>
      </c>
      <c r="BH1" s="632">
        <v>59</v>
      </c>
      <c r="BI1" s="632">
        <v>60</v>
      </c>
      <c r="BJ1" s="632">
        <v>61</v>
      </c>
      <c r="BK1" s="632">
        <v>62</v>
      </c>
      <c r="BL1" s="632">
        <v>63</v>
      </c>
      <c r="BM1" s="632">
        <v>64</v>
      </c>
      <c r="BN1" s="632">
        <v>65</v>
      </c>
      <c r="BO1" s="632">
        <v>66</v>
      </c>
      <c r="BP1" s="632">
        <v>67</v>
      </c>
      <c r="BQ1" s="632">
        <v>68</v>
      </c>
      <c r="BR1" s="632">
        <v>69</v>
      </c>
      <c r="BS1" s="632">
        <v>70</v>
      </c>
      <c r="BT1" s="632">
        <v>71</v>
      </c>
      <c r="BU1" s="632">
        <v>72</v>
      </c>
      <c r="BV1" s="632">
        <v>73</v>
      </c>
      <c r="BW1" s="632">
        <v>74</v>
      </c>
      <c r="BX1" s="632">
        <v>75</v>
      </c>
      <c r="BY1" s="632">
        <v>76</v>
      </c>
      <c r="BZ1" s="632">
        <v>77</v>
      </c>
      <c r="CA1" s="632">
        <v>78</v>
      </c>
      <c r="CB1" s="632">
        <v>79</v>
      </c>
      <c r="CC1" s="632">
        <v>80</v>
      </c>
      <c r="CD1" s="632">
        <v>81</v>
      </c>
      <c r="CE1" s="632">
        <v>82</v>
      </c>
      <c r="CF1" s="632">
        <v>83</v>
      </c>
      <c r="CG1" s="632">
        <v>84</v>
      </c>
      <c r="CH1" s="632">
        <v>85</v>
      </c>
      <c r="CI1" s="632">
        <v>86</v>
      </c>
      <c r="CJ1" s="632">
        <v>87</v>
      </c>
      <c r="CK1" s="632">
        <v>88</v>
      </c>
      <c r="CL1" s="632">
        <v>89</v>
      </c>
      <c r="CM1" s="632">
        <v>90</v>
      </c>
      <c r="CN1" s="632">
        <v>91</v>
      </c>
      <c r="CO1" s="632">
        <v>92</v>
      </c>
      <c r="CP1" s="632">
        <v>93</v>
      </c>
      <c r="CQ1" s="632">
        <v>94</v>
      </c>
      <c r="CR1" s="632">
        <v>95</v>
      </c>
      <c r="CS1" s="632">
        <v>96</v>
      </c>
      <c r="CT1" s="632">
        <v>97</v>
      </c>
      <c r="CU1" s="632">
        <v>98</v>
      </c>
      <c r="CV1" s="632">
        <v>99</v>
      </c>
      <c r="CW1" s="632">
        <v>100</v>
      </c>
      <c r="CX1" s="632">
        <v>101</v>
      </c>
      <c r="CY1" s="632">
        <v>102</v>
      </c>
      <c r="CZ1" s="632">
        <v>103</v>
      </c>
      <c r="DA1" s="632">
        <v>104</v>
      </c>
      <c r="DB1" s="632">
        <v>105</v>
      </c>
      <c r="DC1" s="632">
        <v>106</v>
      </c>
      <c r="DD1" s="632">
        <v>107</v>
      </c>
      <c r="DE1" s="632">
        <v>108</v>
      </c>
      <c r="DF1" s="632">
        <v>109</v>
      </c>
      <c r="DG1" s="632">
        <v>110</v>
      </c>
      <c r="DH1" s="632">
        <v>111</v>
      </c>
      <c r="DI1" s="632">
        <v>112</v>
      </c>
      <c r="DJ1" s="632">
        <v>113</v>
      </c>
      <c r="DK1" s="632">
        <v>114</v>
      </c>
      <c r="DL1" s="632">
        <v>115</v>
      </c>
      <c r="DM1" s="632">
        <v>116</v>
      </c>
      <c r="DN1" s="632">
        <v>117</v>
      </c>
      <c r="DO1" s="632">
        <v>118</v>
      </c>
      <c r="DP1" s="632">
        <v>119</v>
      </c>
      <c r="DQ1" s="632">
        <v>120</v>
      </c>
      <c r="DR1" s="632">
        <v>121</v>
      </c>
      <c r="DS1" s="632">
        <v>122</v>
      </c>
      <c r="DT1" s="632">
        <v>123</v>
      </c>
      <c r="DU1" s="632">
        <v>124</v>
      </c>
      <c r="DV1" s="632">
        <v>125</v>
      </c>
      <c r="DW1" s="632">
        <v>126</v>
      </c>
      <c r="DX1" s="632">
        <v>127</v>
      </c>
      <c r="DY1" s="632">
        <v>128</v>
      </c>
      <c r="DZ1" s="632">
        <v>129</v>
      </c>
      <c r="EA1" s="632">
        <v>130</v>
      </c>
      <c r="EB1" s="632">
        <v>131</v>
      </c>
      <c r="EC1" s="632">
        <v>132</v>
      </c>
      <c r="ED1" s="632">
        <v>133</v>
      </c>
      <c r="EE1" s="632">
        <v>134</v>
      </c>
      <c r="EF1" s="632">
        <v>135</v>
      </c>
      <c r="EG1" s="632">
        <v>136</v>
      </c>
      <c r="EH1" s="632">
        <v>137</v>
      </c>
      <c r="EI1" s="632">
        <v>138</v>
      </c>
      <c r="EJ1" s="632">
        <v>139</v>
      </c>
      <c r="EK1" s="632">
        <v>140</v>
      </c>
      <c r="EL1" s="632">
        <v>141</v>
      </c>
      <c r="EM1" s="632">
        <v>142</v>
      </c>
      <c r="EN1" s="632">
        <v>143</v>
      </c>
      <c r="EO1" s="632">
        <v>144</v>
      </c>
      <c r="EP1" s="632">
        <v>145</v>
      </c>
      <c r="EQ1" s="632">
        <v>146</v>
      </c>
      <c r="ER1" s="632">
        <v>147</v>
      </c>
      <c r="ES1" s="632">
        <v>148</v>
      </c>
      <c r="ET1" s="632">
        <v>149</v>
      </c>
      <c r="EU1" s="632">
        <v>150</v>
      </c>
      <c r="EV1" s="632">
        <v>151</v>
      </c>
      <c r="EW1" s="632">
        <v>152</v>
      </c>
      <c r="EX1" s="632">
        <v>153</v>
      </c>
      <c r="EY1" s="632">
        <v>154</v>
      </c>
      <c r="EZ1" s="632">
        <v>155</v>
      </c>
      <c r="FA1" s="632">
        <v>156</v>
      </c>
      <c r="FB1" s="632">
        <v>157</v>
      </c>
      <c r="FC1" s="632">
        <v>158</v>
      </c>
      <c r="FD1" s="632">
        <v>159</v>
      </c>
      <c r="FE1" s="632">
        <v>160</v>
      </c>
      <c r="FF1" s="632">
        <v>161</v>
      </c>
      <c r="FG1" s="632">
        <v>162</v>
      </c>
      <c r="FH1" s="632">
        <v>163</v>
      </c>
      <c r="FI1" s="632">
        <v>164</v>
      </c>
      <c r="FJ1" s="632">
        <v>165</v>
      </c>
      <c r="FK1" s="632">
        <v>166</v>
      </c>
      <c r="FL1" s="632">
        <v>167</v>
      </c>
      <c r="FM1" s="632">
        <v>168</v>
      </c>
      <c r="FN1" s="632">
        <v>169</v>
      </c>
      <c r="FO1" s="632">
        <v>170</v>
      </c>
      <c r="FP1" s="632">
        <v>171</v>
      </c>
      <c r="FQ1" s="632">
        <v>172</v>
      </c>
      <c r="FR1" s="632">
        <v>173</v>
      </c>
      <c r="FS1" s="632">
        <v>174</v>
      </c>
      <c r="FT1" s="632">
        <v>175</v>
      </c>
      <c r="FU1" s="632">
        <v>176</v>
      </c>
      <c r="FV1" s="632">
        <v>177</v>
      </c>
      <c r="FW1" s="632">
        <v>178</v>
      </c>
      <c r="FX1" s="632">
        <v>179</v>
      </c>
      <c r="FY1" s="632">
        <v>180</v>
      </c>
      <c r="FZ1" s="632">
        <v>181</v>
      </c>
      <c r="GA1" s="632">
        <v>182</v>
      </c>
      <c r="GB1" s="632">
        <v>183</v>
      </c>
      <c r="GC1" s="632">
        <v>184</v>
      </c>
    </row>
    <row r="2" spans="2:186" s="608" customFormat="1" ht="68.25" customHeight="1" x14ac:dyDescent="0.2">
      <c r="B2" s="215"/>
      <c r="C2" s="610"/>
      <c r="D2" s="934" t="s">
        <v>1221</v>
      </c>
      <c r="E2" s="934"/>
      <c r="F2" s="934"/>
      <c r="G2" s="934" t="s">
        <v>1102</v>
      </c>
      <c r="H2" s="934"/>
      <c r="I2" s="934"/>
      <c r="J2" s="934" t="s">
        <v>1222</v>
      </c>
      <c r="K2" s="934"/>
      <c r="L2" s="934"/>
      <c r="M2" s="934" t="s">
        <v>1103</v>
      </c>
      <c r="N2" s="934"/>
      <c r="O2" s="934"/>
      <c r="P2" s="934" t="s">
        <v>1104</v>
      </c>
      <c r="Q2" s="934"/>
      <c r="R2" s="934"/>
      <c r="S2" s="934" t="s">
        <v>1224</v>
      </c>
      <c r="T2" s="934"/>
      <c r="U2" s="934"/>
      <c r="V2" s="934" t="s">
        <v>1105</v>
      </c>
      <c r="W2" s="934"/>
      <c r="X2" s="934"/>
      <c r="Y2" s="934" t="s">
        <v>1106</v>
      </c>
      <c r="Z2" s="934"/>
      <c r="AA2" s="934"/>
      <c r="AB2" s="934" t="s">
        <v>1225</v>
      </c>
      <c r="AC2" s="934"/>
      <c r="AD2" s="934"/>
      <c r="AE2" s="934" t="s">
        <v>1107</v>
      </c>
      <c r="AF2" s="934"/>
      <c r="AG2" s="934"/>
      <c r="AH2" s="934" t="s">
        <v>1226</v>
      </c>
      <c r="AI2" s="934"/>
      <c r="AJ2" s="934"/>
      <c r="AK2" s="934" t="s">
        <v>1108</v>
      </c>
      <c r="AL2" s="934"/>
      <c r="AM2" s="934"/>
      <c r="AN2" s="934" t="s">
        <v>1227</v>
      </c>
      <c r="AO2" s="934"/>
      <c r="AP2" s="934"/>
      <c r="AQ2" s="934" t="s">
        <v>1109</v>
      </c>
      <c r="AR2" s="934"/>
      <c r="AS2" s="934"/>
      <c r="AT2" s="934" t="s">
        <v>1228</v>
      </c>
      <c r="AU2" s="934"/>
      <c r="AV2" s="934"/>
      <c r="AW2" s="934" t="s">
        <v>1110</v>
      </c>
      <c r="AX2" s="934"/>
      <c r="AY2" s="934"/>
      <c r="AZ2" s="934" t="s">
        <v>1229</v>
      </c>
      <c r="BA2" s="934"/>
      <c r="BB2" s="934"/>
      <c r="BC2" s="934" t="s">
        <v>1111</v>
      </c>
      <c r="BD2" s="934"/>
      <c r="BE2" s="934"/>
      <c r="BF2" s="934" t="s">
        <v>1112</v>
      </c>
      <c r="BG2" s="934"/>
      <c r="BH2" s="934"/>
      <c r="BI2" s="934" t="s">
        <v>1230</v>
      </c>
      <c r="BJ2" s="934"/>
      <c r="BK2" s="934"/>
      <c r="BL2" s="934" t="s">
        <v>1113</v>
      </c>
      <c r="BM2" s="934"/>
      <c r="BN2" s="934"/>
      <c r="BO2" s="934" t="s">
        <v>1231</v>
      </c>
      <c r="BP2" s="934"/>
      <c r="BQ2" s="934"/>
      <c r="BR2" s="934" t="s">
        <v>1114</v>
      </c>
      <c r="BS2" s="934"/>
      <c r="BT2" s="934"/>
      <c r="BU2" s="934" t="s">
        <v>1115</v>
      </c>
      <c r="BV2" s="934"/>
      <c r="BW2" s="934"/>
      <c r="BX2" s="934" t="s">
        <v>1232</v>
      </c>
      <c r="BY2" s="934"/>
      <c r="BZ2" s="934"/>
      <c r="CA2" s="934" t="s">
        <v>1116</v>
      </c>
      <c r="CB2" s="934"/>
      <c r="CC2" s="934"/>
      <c r="CD2" s="934" t="s">
        <v>1233</v>
      </c>
      <c r="CE2" s="934"/>
      <c r="CF2" s="934"/>
      <c r="CG2" s="934" t="s">
        <v>1117</v>
      </c>
      <c r="CH2" s="934"/>
      <c r="CI2" s="934"/>
      <c r="CJ2" s="934" t="s">
        <v>1228</v>
      </c>
      <c r="CK2" s="934"/>
      <c r="CL2" s="934"/>
      <c r="CM2" s="934" t="s">
        <v>1110</v>
      </c>
      <c r="CN2" s="934"/>
      <c r="CO2" s="934"/>
      <c r="CP2" s="934" t="s">
        <v>1234</v>
      </c>
      <c r="CQ2" s="934"/>
      <c r="CR2" s="934"/>
      <c r="CS2" s="934" t="s">
        <v>1118</v>
      </c>
      <c r="CT2" s="934"/>
      <c r="CU2" s="934"/>
      <c r="CV2" s="934" t="s">
        <v>1235</v>
      </c>
      <c r="CW2" s="934"/>
      <c r="CX2" s="934"/>
      <c r="CY2" s="934" t="s">
        <v>1119</v>
      </c>
      <c r="CZ2" s="934"/>
      <c r="DA2" s="934"/>
      <c r="DB2" s="934" t="s">
        <v>1236</v>
      </c>
      <c r="DC2" s="934"/>
      <c r="DD2" s="934"/>
      <c r="DE2" s="934" t="s">
        <v>1120</v>
      </c>
      <c r="DF2" s="934"/>
      <c r="DG2" s="934"/>
      <c r="DH2" s="612" t="s">
        <v>91</v>
      </c>
      <c r="DI2" s="612" t="s">
        <v>92</v>
      </c>
      <c r="DJ2" s="934" t="s">
        <v>1121</v>
      </c>
      <c r="DK2" s="934"/>
      <c r="DL2" s="934"/>
      <c r="DM2" s="934" t="s">
        <v>1237</v>
      </c>
      <c r="DN2" s="934"/>
      <c r="DO2" s="934"/>
      <c r="DP2" s="934" t="s">
        <v>1122</v>
      </c>
      <c r="DQ2" s="934"/>
      <c r="DR2" s="934"/>
      <c r="DS2" s="934" t="s">
        <v>1238</v>
      </c>
      <c r="DT2" s="934"/>
      <c r="DU2" s="934"/>
      <c r="DV2" s="934" t="s">
        <v>1123</v>
      </c>
      <c r="DW2" s="934"/>
      <c r="DX2" s="934"/>
      <c r="DY2" s="934" t="s">
        <v>1239</v>
      </c>
      <c r="DZ2" s="934"/>
      <c r="EA2" s="934"/>
      <c r="EB2" s="934" t="s">
        <v>1124</v>
      </c>
      <c r="EC2" s="934"/>
      <c r="ED2" s="934"/>
      <c r="EE2" s="934" t="s">
        <v>1240</v>
      </c>
      <c r="EF2" s="934"/>
      <c r="EG2" s="934"/>
      <c r="EH2" s="934" t="s">
        <v>1125</v>
      </c>
      <c r="EI2" s="934"/>
      <c r="EJ2" s="934"/>
      <c r="EK2" s="934" t="s">
        <v>1241</v>
      </c>
      <c r="EL2" s="934"/>
      <c r="EM2" s="934"/>
      <c r="EN2" s="934" t="s">
        <v>1223</v>
      </c>
      <c r="EO2" s="934"/>
      <c r="EP2" s="934"/>
      <c r="EQ2" s="934" t="s">
        <v>1126</v>
      </c>
      <c r="ER2" s="934"/>
      <c r="ES2" s="934"/>
      <c r="ET2" s="934" t="s">
        <v>1242</v>
      </c>
      <c r="EU2" s="934"/>
      <c r="EV2" s="934"/>
      <c r="EW2" s="934" t="s">
        <v>1127</v>
      </c>
      <c r="EX2" s="934"/>
      <c r="EY2" s="934"/>
      <c r="EZ2" s="934" t="s">
        <v>1128</v>
      </c>
      <c r="FA2" s="934"/>
      <c r="FB2" s="934"/>
      <c r="FC2" s="934" t="s">
        <v>1129</v>
      </c>
      <c r="FD2" s="934"/>
      <c r="FE2" s="934"/>
      <c r="FF2" s="934" t="s">
        <v>1130</v>
      </c>
      <c r="FG2" s="934"/>
      <c r="FH2" s="934"/>
      <c r="FI2" s="934" t="s">
        <v>1131</v>
      </c>
      <c r="FJ2" s="934"/>
      <c r="FK2" s="934"/>
      <c r="FL2" s="934" t="s">
        <v>1132</v>
      </c>
      <c r="FM2" s="934"/>
      <c r="FN2" s="934"/>
      <c r="FO2" s="934" t="s">
        <v>1133</v>
      </c>
      <c r="FP2" s="934"/>
      <c r="FQ2" s="934"/>
      <c r="FR2" s="934" t="s">
        <v>1134</v>
      </c>
      <c r="FS2" s="934"/>
      <c r="FT2" s="934"/>
      <c r="FU2" s="934" t="s">
        <v>1135</v>
      </c>
      <c r="FV2" s="934"/>
      <c r="FW2" s="934"/>
      <c r="FX2" s="934" t="s">
        <v>1136</v>
      </c>
      <c r="FY2" s="934"/>
      <c r="FZ2" s="934"/>
      <c r="GA2" s="935" t="s">
        <v>1137</v>
      </c>
      <c r="GB2" s="935"/>
      <c r="GC2" s="935"/>
    </row>
    <row r="3" spans="2:186" s="214" customFormat="1" x14ac:dyDescent="0.2">
      <c r="B3" s="215"/>
      <c r="C3" s="214" t="s">
        <v>1071</v>
      </c>
      <c r="D3" s="632">
        <v>1</v>
      </c>
      <c r="E3" s="632"/>
      <c r="F3" s="632"/>
      <c r="G3" s="632">
        <v>2</v>
      </c>
      <c r="H3" s="632"/>
      <c r="I3" s="632"/>
      <c r="J3" s="632">
        <v>3</v>
      </c>
      <c r="K3" s="632"/>
      <c r="L3" s="632"/>
      <c r="M3" s="632">
        <v>4</v>
      </c>
      <c r="N3" s="632"/>
      <c r="O3" s="632"/>
      <c r="P3" s="632">
        <v>5</v>
      </c>
      <c r="Q3" s="632"/>
      <c r="R3" s="632"/>
      <c r="S3" s="632">
        <v>6</v>
      </c>
      <c r="T3" s="632"/>
      <c r="U3" s="632"/>
      <c r="V3" s="632">
        <v>7</v>
      </c>
      <c r="W3" s="632"/>
      <c r="X3" s="632"/>
      <c r="Y3" s="632">
        <v>8</v>
      </c>
      <c r="Z3" s="632"/>
      <c r="AA3" s="632"/>
      <c r="AB3" s="632">
        <v>9</v>
      </c>
      <c r="AC3" s="632"/>
      <c r="AD3" s="632"/>
      <c r="AE3" s="632">
        <v>10</v>
      </c>
      <c r="AF3" s="632"/>
      <c r="AG3" s="632"/>
      <c r="AH3" s="632">
        <v>11</v>
      </c>
      <c r="AI3" s="632"/>
      <c r="AJ3" s="632"/>
      <c r="AK3" s="632">
        <v>12</v>
      </c>
      <c r="AL3" s="632"/>
      <c r="AM3" s="632"/>
      <c r="AN3" s="632">
        <v>13</v>
      </c>
      <c r="AO3" s="632"/>
      <c r="AP3" s="632"/>
      <c r="AQ3" s="632">
        <v>14</v>
      </c>
      <c r="AR3" s="632"/>
      <c r="AS3" s="632"/>
      <c r="AT3" s="632">
        <v>15</v>
      </c>
      <c r="AU3" s="632"/>
      <c r="AV3" s="632"/>
      <c r="AW3" s="632">
        <v>16</v>
      </c>
      <c r="AX3" s="632"/>
      <c r="AY3" s="632"/>
      <c r="AZ3" s="632">
        <v>17</v>
      </c>
      <c r="BA3" s="632"/>
      <c r="BB3" s="632"/>
      <c r="BC3" s="632">
        <v>18</v>
      </c>
      <c r="BD3" s="632"/>
      <c r="BE3" s="632"/>
      <c r="BF3" s="632">
        <v>19</v>
      </c>
      <c r="BG3" s="632"/>
      <c r="BH3" s="632"/>
      <c r="BI3" s="632">
        <v>20</v>
      </c>
      <c r="BJ3" s="632"/>
      <c r="BK3" s="632"/>
      <c r="BL3" s="632">
        <v>21</v>
      </c>
      <c r="BM3" s="632"/>
      <c r="BN3" s="632"/>
      <c r="BO3" s="632">
        <v>22</v>
      </c>
      <c r="BP3" s="632"/>
      <c r="BQ3" s="632"/>
      <c r="BR3" s="632">
        <v>23</v>
      </c>
      <c r="BS3" s="632"/>
      <c r="BT3" s="632"/>
      <c r="BU3" s="632">
        <v>24</v>
      </c>
      <c r="BV3" s="632"/>
      <c r="BW3" s="632"/>
      <c r="BX3" s="632">
        <v>25</v>
      </c>
      <c r="BY3" s="632"/>
      <c r="BZ3" s="632"/>
      <c r="CA3" s="632">
        <v>26</v>
      </c>
      <c r="CB3" s="632"/>
      <c r="CC3" s="632"/>
      <c r="CD3" s="632">
        <v>27</v>
      </c>
      <c r="CE3" s="632"/>
      <c r="CF3" s="632"/>
      <c r="CG3" s="632">
        <v>28</v>
      </c>
      <c r="CH3" s="632"/>
      <c r="CI3" s="632"/>
      <c r="CJ3" s="632">
        <v>29</v>
      </c>
      <c r="CK3" s="632"/>
      <c r="CL3" s="632"/>
      <c r="CM3" s="632">
        <v>30</v>
      </c>
      <c r="CN3" s="632"/>
      <c r="CO3" s="632"/>
      <c r="CP3" s="632">
        <v>31</v>
      </c>
      <c r="CQ3" s="632"/>
      <c r="CR3" s="632"/>
      <c r="CS3" s="632">
        <v>32</v>
      </c>
      <c r="CT3" s="632"/>
      <c r="CU3" s="632"/>
      <c r="CV3" s="632">
        <v>33</v>
      </c>
      <c r="CW3" s="632"/>
      <c r="CX3" s="632"/>
      <c r="CY3" s="632">
        <v>34</v>
      </c>
      <c r="CZ3" s="632"/>
      <c r="DA3" s="632"/>
      <c r="DB3" s="632">
        <v>35</v>
      </c>
      <c r="DC3" s="632"/>
      <c r="DD3" s="632"/>
      <c r="DE3" s="632">
        <v>36</v>
      </c>
      <c r="DF3" s="632"/>
      <c r="DG3" s="632"/>
      <c r="DH3" s="632">
        <v>37</v>
      </c>
      <c r="DI3" s="632">
        <v>38</v>
      </c>
      <c r="DJ3" s="632">
        <v>39</v>
      </c>
      <c r="DK3" s="632"/>
      <c r="DL3" s="632"/>
      <c r="DM3" s="632">
        <v>40</v>
      </c>
      <c r="DN3" s="632"/>
      <c r="DO3" s="632"/>
      <c r="DP3" s="632">
        <v>41</v>
      </c>
      <c r="DQ3" s="632"/>
      <c r="DR3" s="632"/>
      <c r="DS3" s="632">
        <v>42</v>
      </c>
      <c r="DT3" s="632"/>
      <c r="DU3" s="632"/>
      <c r="DV3" s="632">
        <v>43</v>
      </c>
      <c r="DW3" s="632"/>
      <c r="DX3" s="632"/>
      <c r="DY3" s="632">
        <v>44</v>
      </c>
      <c r="DZ3" s="632"/>
      <c r="EA3" s="632"/>
      <c r="EB3" s="632">
        <v>45</v>
      </c>
      <c r="EC3" s="632"/>
      <c r="ED3" s="632"/>
      <c r="EE3" s="632">
        <v>46</v>
      </c>
      <c r="EF3" s="632"/>
      <c r="EG3" s="632"/>
      <c r="EH3" s="632">
        <v>47</v>
      </c>
      <c r="EI3" s="632"/>
      <c r="EJ3" s="632"/>
      <c r="EK3" s="632">
        <v>48</v>
      </c>
      <c r="EL3" s="632"/>
      <c r="EM3" s="632"/>
      <c r="EN3" s="632">
        <v>49</v>
      </c>
      <c r="EO3" s="632"/>
      <c r="EP3" s="632"/>
      <c r="EQ3" s="632">
        <v>49</v>
      </c>
      <c r="ER3" s="632"/>
      <c r="ES3" s="632"/>
      <c r="ET3" s="632">
        <v>50</v>
      </c>
      <c r="EU3" s="632"/>
      <c r="EV3" s="632"/>
      <c r="EW3" s="632">
        <v>51</v>
      </c>
      <c r="EX3" s="632"/>
      <c r="EY3" s="632"/>
      <c r="EZ3" s="632">
        <v>52</v>
      </c>
      <c r="FA3" s="632"/>
      <c r="FB3" s="632"/>
      <c r="FC3" s="632">
        <v>53</v>
      </c>
      <c r="FD3" s="632"/>
      <c r="FE3" s="632"/>
      <c r="FF3" s="632">
        <v>54</v>
      </c>
      <c r="FG3" s="632"/>
      <c r="FH3" s="632"/>
      <c r="FI3" s="632">
        <v>55</v>
      </c>
      <c r="FJ3" s="632"/>
      <c r="FK3" s="632"/>
      <c r="FL3" s="632">
        <v>56</v>
      </c>
      <c r="FM3" s="632"/>
      <c r="FN3" s="632"/>
      <c r="FO3" s="632">
        <v>57</v>
      </c>
      <c r="FP3" s="632"/>
      <c r="FQ3" s="632"/>
      <c r="FR3" s="632">
        <v>58</v>
      </c>
      <c r="FS3" s="632"/>
      <c r="FT3" s="632"/>
      <c r="FU3" s="632">
        <v>59</v>
      </c>
      <c r="FV3" s="632"/>
      <c r="FW3" s="632"/>
      <c r="FX3" s="632">
        <v>60</v>
      </c>
      <c r="FY3" s="632"/>
      <c r="FZ3" s="632"/>
      <c r="GA3" s="632">
        <v>61</v>
      </c>
      <c r="GB3" s="632"/>
      <c r="GC3" s="632"/>
    </row>
    <row r="4" spans="2:186" s="214" customFormat="1" x14ac:dyDescent="0.2">
      <c r="B4" s="215"/>
      <c r="C4" s="214" t="s">
        <v>1084</v>
      </c>
      <c r="D4" s="632">
        <v>1</v>
      </c>
      <c r="E4" s="632">
        <v>2</v>
      </c>
      <c r="F4" s="632">
        <v>3</v>
      </c>
      <c r="G4" s="632">
        <v>1</v>
      </c>
      <c r="H4" s="632">
        <v>2</v>
      </c>
      <c r="I4" s="632">
        <v>3</v>
      </c>
      <c r="J4" s="632">
        <v>1</v>
      </c>
      <c r="K4" s="632">
        <v>2</v>
      </c>
      <c r="L4" s="632">
        <v>3</v>
      </c>
      <c r="M4" s="632">
        <v>1</v>
      </c>
      <c r="N4" s="632">
        <v>2</v>
      </c>
      <c r="O4" s="632">
        <v>3</v>
      </c>
      <c r="P4" s="632">
        <v>1</v>
      </c>
      <c r="Q4" s="632">
        <v>2</v>
      </c>
      <c r="R4" s="632">
        <v>3</v>
      </c>
      <c r="S4" s="632">
        <v>1</v>
      </c>
      <c r="T4" s="632">
        <v>2</v>
      </c>
      <c r="U4" s="632">
        <v>3</v>
      </c>
      <c r="V4" s="632">
        <v>1</v>
      </c>
      <c r="W4" s="632">
        <v>2</v>
      </c>
      <c r="X4" s="632">
        <v>3</v>
      </c>
      <c r="Y4" s="632">
        <v>1</v>
      </c>
      <c r="Z4" s="632">
        <v>2</v>
      </c>
      <c r="AA4" s="632">
        <v>3</v>
      </c>
      <c r="AB4" s="632">
        <v>1</v>
      </c>
      <c r="AC4" s="632">
        <v>2</v>
      </c>
      <c r="AD4" s="632">
        <v>3</v>
      </c>
      <c r="AE4" s="632">
        <v>1</v>
      </c>
      <c r="AF4" s="632">
        <v>2</v>
      </c>
      <c r="AG4" s="632">
        <v>3</v>
      </c>
      <c r="AH4" s="632">
        <v>1</v>
      </c>
      <c r="AI4" s="632">
        <v>2</v>
      </c>
      <c r="AJ4" s="632">
        <v>3</v>
      </c>
      <c r="AK4" s="632">
        <v>1</v>
      </c>
      <c r="AL4" s="632">
        <v>2</v>
      </c>
      <c r="AM4" s="632">
        <v>3</v>
      </c>
      <c r="AN4" s="632">
        <v>1</v>
      </c>
      <c r="AO4" s="632">
        <v>2</v>
      </c>
      <c r="AP4" s="632">
        <v>3</v>
      </c>
      <c r="AQ4" s="632">
        <v>1</v>
      </c>
      <c r="AR4" s="632">
        <v>2</v>
      </c>
      <c r="AS4" s="632">
        <v>3</v>
      </c>
      <c r="AT4" s="632">
        <v>1</v>
      </c>
      <c r="AU4" s="632">
        <v>2</v>
      </c>
      <c r="AV4" s="632">
        <v>3</v>
      </c>
      <c r="AW4" s="632">
        <v>1</v>
      </c>
      <c r="AX4" s="632">
        <v>2</v>
      </c>
      <c r="AY4" s="632">
        <v>3</v>
      </c>
      <c r="AZ4" s="632">
        <v>1</v>
      </c>
      <c r="BA4" s="632">
        <v>2</v>
      </c>
      <c r="BB4" s="632">
        <v>3</v>
      </c>
      <c r="BC4" s="632">
        <v>1</v>
      </c>
      <c r="BD4" s="632">
        <v>2</v>
      </c>
      <c r="BE4" s="632">
        <v>3</v>
      </c>
      <c r="BF4" s="632">
        <v>1</v>
      </c>
      <c r="BG4" s="632">
        <v>2</v>
      </c>
      <c r="BH4" s="632">
        <v>3</v>
      </c>
      <c r="BI4" s="632">
        <v>1</v>
      </c>
      <c r="BJ4" s="632">
        <v>2</v>
      </c>
      <c r="BK4" s="632">
        <v>3</v>
      </c>
      <c r="BL4" s="632">
        <v>1</v>
      </c>
      <c r="BM4" s="632">
        <v>2</v>
      </c>
      <c r="BN4" s="632">
        <v>3</v>
      </c>
      <c r="BO4" s="632">
        <v>1</v>
      </c>
      <c r="BP4" s="632">
        <v>2</v>
      </c>
      <c r="BQ4" s="632">
        <v>3</v>
      </c>
      <c r="BR4" s="632">
        <v>1</v>
      </c>
      <c r="BS4" s="632">
        <v>2</v>
      </c>
      <c r="BT4" s="632">
        <v>3</v>
      </c>
      <c r="BU4" s="632">
        <v>1</v>
      </c>
      <c r="BV4" s="632">
        <v>2</v>
      </c>
      <c r="BW4" s="632">
        <v>3</v>
      </c>
      <c r="BX4" s="632">
        <v>1</v>
      </c>
      <c r="BY4" s="632">
        <v>2</v>
      </c>
      <c r="BZ4" s="632">
        <v>3</v>
      </c>
      <c r="CA4" s="632">
        <v>1</v>
      </c>
      <c r="CB4" s="632">
        <v>2</v>
      </c>
      <c r="CC4" s="632">
        <v>3</v>
      </c>
      <c r="CD4" s="632">
        <v>1</v>
      </c>
      <c r="CE4" s="632">
        <v>2</v>
      </c>
      <c r="CF4" s="632">
        <v>3</v>
      </c>
      <c r="CG4" s="632">
        <v>1</v>
      </c>
      <c r="CH4" s="632">
        <v>2</v>
      </c>
      <c r="CI4" s="632">
        <v>3</v>
      </c>
      <c r="CJ4" s="632">
        <v>1</v>
      </c>
      <c r="CK4" s="632">
        <v>2</v>
      </c>
      <c r="CL4" s="632">
        <v>3</v>
      </c>
      <c r="CM4" s="632">
        <v>1</v>
      </c>
      <c r="CN4" s="632">
        <v>2</v>
      </c>
      <c r="CO4" s="632">
        <v>3</v>
      </c>
      <c r="CP4" s="632">
        <v>1</v>
      </c>
      <c r="CQ4" s="632">
        <v>2</v>
      </c>
      <c r="CR4" s="632">
        <v>3</v>
      </c>
      <c r="CS4" s="632">
        <v>1</v>
      </c>
      <c r="CT4" s="632">
        <v>2</v>
      </c>
      <c r="CU4" s="632">
        <v>3</v>
      </c>
      <c r="CV4" s="632">
        <v>1</v>
      </c>
      <c r="CW4" s="632">
        <v>2</v>
      </c>
      <c r="CX4" s="632">
        <v>3</v>
      </c>
      <c r="CY4" s="632">
        <v>1</v>
      </c>
      <c r="CZ4" s="632">
        <v>2</v>
      </c>
      <c r="DA4" s="632">
        <v>3</v>
      </c>
      <c r="DB4" s="632">
        <v>1</v>
      </c>
      <c r="DC4" s="632">
        <v>2</v>
      </c>
      <c r="DD4" s="632">
        <v>3</v>
      </c>
      <c r="DE4" s="632">
        <v>1</v>
      </c>
      <c r="DF4" s="632">
        <v>2</v>
      </c>
      <c r="DG4" s="632">
        <v>3</v>
      </c>
      <c r="DH4" s="632">
        <v>2</v>
      </c>
      <c r="DI4" s="632">
        <v>1</v>
      </c>
      <c r="DJ4" s="632">
        <v>1</v>
      </c>
      <c r="DK4" s="632">
        <v>2</v>
      </c>
      <c r="DL4" s="632">
        <v>3</v>
      </c>
      <c r="DM4" s="632">
        <v>1</v>
      </c>
      <c r="DN4" s="632">
        <v>2</v>
      </c>
      <c r="DO4" s="632">
        <v>3</v>
      </c>
      <c r="DP4" s="632">
        <v>1</v>
      </c>
      <c r="DQ4" s="632">
        <v>2</v>
      </c>
      <c r="DR4" s="632">
        <v>3</v>
      </c>
      <c r="DS4" s="632">
        <v>1</v>
      </c>
      <c r="DT4" s="632">
        <v>2</v>
      </c>
      <c r="DU4" s="632">
        <v>3</v>
      </c>
      <c r="DV4" s="632">
        <v>1</v>
      </c>
      <c r="DW4" s="632">
        <v>2</v>
      </c>
      <c r="DX4" s="632">
        <v>3</v>
      </c>
      <c r="DY4" s="632">
        <v>1</v>
      </c>
      <c r="DZ4" s="632">
        <v>2</v>
      </c>
      <c r="EA4" s="632">
        <v>3</v>
      </c>
      <c r="EB4" s="632">
        <v>1</v>
      </c>
      <c r="EC4" s="632">
        <v>2</v>
      </c>
      <c r="ED4" s="632">
        <v>3</v>
      </c>
      <c r="EE4" s="632">
        <v>1</v>
      </c>
      <c r="EF4" s="632">
        <v>2</v>
      </c>
      <c r="EG4" s="632">
        <v>3</v>
      </c>
      <c r="EH4" s="632">
        <v>1</v>
      </c>
      <c r="EI4" s="632">
        <v>2</v>
      </c>
      <c r="EJ4" s="632">
        <v>3</v>
      </c>
      <c r="EK4" s="632">
        <v>1</v>
      </c>
      <c r="EL4" s="632">
        <v>2</v>
      </c>
      <c r="EM4" s="632">
        <v>3</v>
      </c>
      <c r="EN4" s="632">
        <v>1</v>
      </c>
      <c r="EO4" s="632">
        <v>2</v>
      </c>
      <c r="EP4" s="632">
        <v>3</v>
      </c>
      <c r="EQ4" s="632">
        <v>1</v>
      </c>
      <c r="ER4" s="632">
        <v>2</v>
      </c>
      <c r="ES4" s="632">
        <v>3</v>
      </c>
      <c r="ET4" s="632">
        <v>1</v>
      </c>
      <c r="EU4" s="632">
        <v>2</v>
      </c>
      <c r="EV4" s="632">
        <v>3</v>
      </c>
      <c r="EW4" s="632">
        <v>1</v>
      </c>
      <c r="EX4" s="632">
        <v>2</v>
      </c>
      <c r="EY4" s="632">
        <v>3</v>
      </c>
      <c r="EZ4" s="632">
        <v>1</v>
      </c>
      <c r="FA4" s="632">
        <v>2</v>
      </c>
      <c r="FB4" s="632">
        <v>3</v>
      </c>
      <c r="FC4" s="632">
        <v>1</v>
      </c>
      <c r="FD4" s="632">
        <v>2</v>
      </c>
      <c r="FE4" s="632">
        <v>3</v>
      </c>
      <c r="FF4" s="632">
        <v>1</v>
      </c>
      <c r="FG4" s="632">
        <v>2</v>
      </c>
      <c r="FH4" s="632">
        <v>3</v>
      </c>
      <c r="FI4" s="632">
        <v>1</v>
      </c>
      <c r="FJ4" s="632">
        <v>2</v>
      </c>
      <c r="FK4" s="632">
        <v>3</v>
      </c>
      <c r="FL4" s="632">
        <v>1</v>
      </c>
      <c r="FM4" s="632">
        <v>2</v>
      </c>
      <c r="FN4" s="632">
        <v>3</v>
      </c>
      <c r="FO4" s="632">
        <v>1</v>
      </c>
      <c r="FP4" s="632">
        <v>2</v>
      </c>
      <c r="FQ4" s="632">
        <v>3</v>
      </c>
      <c r="FR4" s="632">
        <v>1</v>
      </c>
      <c r="FS4" s="632">
        <v>2</v>
      </c>
      <c r="FT4" s="632">
        <v>3</v>
      </c>
      <c r="FU4" s="632">
        <v>1</v>
      </c>
      <c r="FV4" s="632">
        <v>2</v>
      </c>
      <c r="FW4" s="632">
        <v>3</v>
      </c>
      <c r="FX4" s="632">
        <v>1</v>
      </c>
      <c r="FY4" s="632">
        <v>2</v>
      </c>
      <c r="FZ4" s="632">
        <v>3</v>
      </c>
      <c r="GA4" s="632">
        <v>1</v>
      </c>
      <c r="GB4" s="632">
        <v>2</v>
      </c>
      <c r="GC4" s="632">
        <v>3</v>
      </c>
    </row>
    <row r="5" spans="2:186" s="214" customFormat="1" x14ac:dyDescent="0.2">
      <c r="B5" s="634" t="s">
        <v>1085</v>
      </c>
      <c r="C5" s="634" t="s">
        <v>1086</v>
      </c>
      <c r="D5" s="632"/>
      <c r="E5" s="632"/>
      <c r="F5" s="632"/>
      <c r="G5" s="632"/>
      <c r="H5" s="632"/>
      <c r="I5" s="632"/>
      <c r="J5" s="632"/>
      <c r="K5" s="632"/>
      <c r="L5" s="632"/>
      <c r="M5" s="632"/>
      <c r="N5" s="632"/>
      <c r="O5" s="632"/>
      <c r="P5" s="632"/>
      <c r="Q5" s="632"/>
      <c r="R5" s="632"/>
      <c r="S5" s="632"/>
      <c r="T5" s="632"/>
      <c r="U5" s="632"/>
      <c r="V5" s="632"/>
      <c r="W5" s="632"/>
      <c r="X5" s="632"/>
      <c r="Y5" s="632"/>
      <c r="Z5" s="632"/>
      <c r="AA5" s="632"/>
      <c r="AB5" s="632"/>
      <c r="AC5" s="632"/>
      <c r="AD5" s="632"/>
      <c r="AE5" s="632"/>
      <c r="AF5" s="632"/>
      <c r="AG5" s="632"/>
      <c r="AH5" s="632"/>
      <c r="AI5" s="632"/>
      <c r="AJ5" s="632"/>
      <c r="AK5" s="632"/>
      <c r="AL5" s="632"/>
      <c r="AM5" s="632"/>
      <c r="AN5" s="632"/>
      <c r="AO5" s="632"/>
      <c r="AP5" s="632"/>
      <c r="AQ5" s="632"/>
      <c r="AR5" s="632"/>
      <c r="AS5" s="632"/>
      <c r="AT5" s="632"/>
      <c r="AU5" s="632"/>
      <c r="AV5" s="632"/>
      <c r="AW5" s="632"/>
      <c r="AX5" s="632"/>
      <c r="AY5" s="632"/>
      <c r="AZ5" s="632"/>
      <c r="BA5" s="632"/>
      <c r="BB5" s="632"/>
      <c r="BC5" s="632"/>
      <c r="BD5" s="632"/>
      <c r="BE5" s="632"/>
      <c r="BF5" s="632"/>
      <c r="BG5" s="632"/>
      <c r="BH5" s="632"/>
      <c r="BI5" s="632"/>
      <c r="BJ5" s="632"/>
      <c r="BK5" s="632"/>
      <c r="BL5" s="632"/>
      <c r="BM5" s="632"/>
      <c r="BN5" s="632"/>
      <c r="BO5" s="632"/>
      <c r="BP5" s="632"/>
      <c r="BQ5" s="632"/>
      <c r="BR5" s="632"/>
      <c r="BS5" s="632"/>
      <c r="BT5" s="632"/>
      <c r="BU5" s="632"/>
      <c r="BV5" s="632"/>
      <c r="BW5" s="632"/>
      <c r="BX5" s="632"/>
      <c r="BY5" s="632"/>
      <c r="BZ5" s="632"/>
      <c r="CA5" s="632"/>
      <c r="CB5" s="632"/>
      <c r="CC5" s="632"/>
      <c r="CD5" s="632"/>
      <c r="CE5" s="632"/>
      <c r="CF5" s="632"/>
      <c r="CG5" s="632"/>
      <c r="CH5" s="632"/>
      <c r="CI5" s="632"/>
      <c r="CJ5" s="632"/>
      <c r="CK5" s="632"/>
      <c r="CL5" s="632"/>
      <c r="CM5" s="632"/>
      <c r="CN5" s="632"/>
      <c r="CO5" s="632"/>
      <c r="CP5" s="632"/>
      <c r="CQ5" s="632"/>
      <c r="CR5" s="632"/>
      <c r="CS5" s="632"/>
      <c r="CT5" s="632"/>
      <c r="CU5" s="632"/>
      <c r="CV5" s="632"/>
      <c r="CW5" s="632"/>
      <c r="CX5" s="632"/>
      <c r="CY5" s="632"/>
      <c r="CZ5" s="632"/>
      <c r="DA5" s="632"/>
      <c r="DB5" s="632"/>
      <c r="DC5" s="632"/>
      <c r="DD5" s="632"/>
      <c r="DE5" s="632"/>
      <c r="DF5" s="632"/>
      <c r="DG5" s="632"/>
      <c r="DH5" s="632"/>
      <c r="DI5" s="632"/>
      <c r="DJ5" s="632"/>
      <c r="DK5" s="632"/>
      <c r="DL5" s="632"/>
      <c r="DM5" s="632"/>
      <c r="DN5" s="632"/>
      <c r="DO5" s="632"/>
      <c r="DP5" s="632"/>
      <c r="DQ5" s="632"/>
      <c r="DR5" s="632"/>
      <c r="DS5" s="632"/>
      <c r="DT5" s="632"/>
      <c r="DU5" s="632"/>
      <c r="DV5" s="632"/>
      <c r="DW5" s="632"/>
      <c r="DX5" s="632"/>
      <c r="DY5" s="632"/>
      <c r="DZ5" s="632"/>
      <c r="EA5" s="632"/>
      <c r="EB5" s="632"/>
      <c r="EC5" s="632"/>
      <c r="ED5" s="632"/>
      <c r="EE5" s="632"/>
      <c r="EF5" s="632"/>
      <c r="EG5" s="632"/>
      <c r="EH5" s="632"/>
      <c r="EI5" s="632"/>
      <c r="EJ5" s="632"/>
      <c r="EK5" s="632"/>
      <c r="EL5" s="632"/>
      <c r="EM5" s="632"/>
      <c r="EN5" s="632"/>
      <c r="EO5" s="632"/>
      <c r="EP5" s="632"/>
      <c r="EQ5" s="632"/>
      <c r="ER5" s="632"/>
      <c r="ES5" s="632"/>
      <c r="ET5" s="632"/>
      <c r="EU5" s="632"/>
      <c r="EV5" s="632"/>
      <c r="EW5" s="632"/>
      <c r="EX5" s="632"/>
      <c r="EY5" s="632"/>
      <c r="EZ5" s="632"/>
      <c r="FA5" s="632"/>
      <c r="FB5" s="632"/>
      <c r="FC5" s="632"/>
      <c r="FD5" s="632"/>
      <c r="FE5" s="632"/>
      <c r="FF5" s="632"/>
      <c r="FG5" s="632"/>
      <c r="FH5" s="632"/>
      <c r="FI5" s="632"/>
      <c r="FJ5" s="632"/>
      <c r="FK5" s="632"/>
      <c r="FL5" s="632"/>
      <c r="FM5" s="632"/>
      <c r="FN5" s="632"/>
      <c r="FO5" s="632"/>
      <c r="FP5" s="632"/>
      <c r="FQ5" s="632"/>
      <c r="FR5" s="632"/>
      <c r="FS5" s="632"/>
      <c r="FT5" s="632"/>
      <c r="FU5" s="632"/>
      <c r="FV5" s="632"/>
      <c r="FW5" s="632"/>
      <c r="FX5" s="632"/>
      <c r="FY5" s="632"/>
      <c r="FZ5" s="632"/>
      <c r="GA5" s="632"/>
      <c r="GB5" s="632"/>
      <c r="GC5" s="632"/>
      <c r="GD5" s="634" t="s">
        <v>1189</v>
      </c>
    </row>
    <row r="6" spans="2:186" s="214" customFormat="1" x14ac:dyDescent="0.2">
      <c r="B6" s="609" t="s">
        <v>94</v>
      </c>
      <c r="C6" s="609" t="s">
        <v>93</v>
      </c>
      <c r="D6" s="239">
        <v>0</v>
      </c>
      <c r="E6" s="239">
        <v>0</v>
      </c>
      <c r="F6" s="239">
        <v>0</v>
      </c>
      <c r="G6" s="239">
        <v>1072675</v>
      </c>
      <c r="H6" s="239">
        <v>0</v>
      </c>
      <c r="I6" s="239">
        <v>1072675</v>
      </c>
      <c r="J6" s="239">
        <v>0</v>
      </c>
      <c r="K6" s="239">
        <v>0</v>
      </c>
      <c r="L6" s="239">
        <v>0</v>
      </c>
      <c r="M6" s="239">
        <v>9481</v>
      </c>
      <c r="N6" s="239">
        <v>0</v>
      </c>
      <c r="O6" s="239">
        <v>9481</v>
      </c>
      <c r="P6" s="239">
        <v>1082156</v>
      </c>
      <c r="Q6" s="239">
        <v>0</v>
      </c>
      <c r="R6" s="239">
        <v>1082156</v>
      </c>
      <c r="S6" s="239">
        <v>-1379147</v>
      </c>
      <c r="T6" s="239">
        <v>0</v>
      </c>
      <c r="U6" s="239">
        <v>-1379147</v>
      </c>
      <c r="V6" s="239">
        <v>0</v>
      </c>
      <c r="W6" s="239">
        <v>0</v>
      </c>
      <c r="X6" s="239">
        <v>0</v>
      </c>
      <c r="Y6" s="239">
        <v>-76668</v>
      </c>
      <c r="Z6" s="239">
        <v>0</v>
      </c>
      <c r="AA6" s="239">
        <v>-76668</v>
      </c>
      <c r="AB6" s="239">
        <v>-61801</v>
      </c>
      <c r="AC6" s="239">
        <v>0</v>
      </c>
      <c r="AD6" s="239">
        <v>-61801</v>
      </c>
      <c r="AE6" s="239">
        <v>0</v>
      </c>
      <c r="AF6" s="239">
        <v>0</v>
      </c>
      <c r="AG6" s="239">
        <v>0</v>
      </c>
      <c r="AH6" s="239">
        <v>486350</v>
      </c>
      <c r="AI6" s="239">
        <v>0</v>
      </c>
      <c r="AJ6" s="239">
        <v>486350</v>
      </c>
      <c r="AK6" s="239">
        <v>1192</v>
      </c>
      <c r="AL6" s="239">
        <v>0</v>
      </c>
      <c r="AM6" s="239">
        <v>1192</v>
      </c>
      <c r="AN6" s="239">
        <v>-1568209</v>
      </c>
      <c r="AO6" s="239">
        <v>0</v>
      </c>
      <c r="AP6" s="239">
        <v>-1568209</v>
      </c>
      <c r="AQ6" s="239">
        <v>-1288503</v>
      </c>
      <c r="AR6" s="239">
        <v>0</v>
      </c>
      <c r="AS6" s="239">
        <v>-1288503</v>
      </c>
      <c r="AT6" s="239">
        <v>-81560</v>
      </c>
      <c r="AU6" s="239">
        <v>0</v>
      </c>
      <c r="AV6" s="239">
        <v>-81560</v>
      </c>
      <c r="AW6" s="239">
        <v>0</v>
      </c>
      <c r="AX6" s="239">
        <v>0</v>
      </c>
      <c r="AY6" s="239">
        <v>0</v>
      </c>
      <c r="AZ6" s="239">
        <v>0</v>
      </c>
      <c r="BA6" s="239">
        <v>0</v>
      </c>
      <c r="BB6" s="239">
        <v>0</v>
      </c>
      <c r="BC6" s="239">
        <v>0</v>
      </c>
      <c r="BD6" s="239">
        <v>0</v>
      </c>
      <c r="BE6" s="239">
        <v>0</v>
      </c>
      <c r="BF6" s="239">
        <v>-3906545</v>
      </c>
      <c r="BG6" s="239">
        <v>0</v>
      </c>
      <c r="BH6" s="239">
        <v>-3906545</v>
      </c>
      <c r="BI6" s="239">
        <v>0</v>
      </c>
      <c r="BJ6" s="239">
        <v>0</v>
      </c>
      <c r="BK6" s="239">
        <v>0</v>
      </c>
      <c r="BL6" s="239">
        <v>-112</v>
      </c>
      <c r="BM6" s="239">
        <v>0</v>
      </c>
      <c r="BN6" s="239">
        <v>-112</v>
      </c>
      <c r="BO6" s="239">
        <v>-183416</v>
      </c>
      <c r="BP6" s="239">
        <v>0</v>
      </c>
      <c r="BQ6" s="239">
        <v>-183416</v>
      </c>
      <c r="BR6" s="239">
        <v>-86083</v>
      </c>
      <c r="BS6" s="239">
        <v>0</v>
      </c>
      <c r="BT6" s="239">
        <v>-86083</v>
      </c>
      <c r="BU6" s="239">
        <v>-269611</v>
      </c>
      <c r="BV6" s="239">
        <v>0</v>
      </c>
      <c r="BW6" s="239">
        <v>-269611</v>
      </c>
      <c r="BX6" s="239">
        <v>-13981</v>
      </c>
      <c r="BY6" s="239">
        <v>0</v>
      </c>
      <c r="BZ6" s="239">
        <v>-13981</v>
      </c>
      <c r="CA6" s="239">
        <v>-1956</v>
      </c>
      <c r="CB6" s="239">
        <v>0</v>
      </c>
      <c r="CC6" s="239">
        <v>-1956</v>
      </c>
      <c r="CD6" s="239">
        <v>-19290</v>
      </c>
      <c r="CE6" s="239">
        <v>0</v>
      </c>
      <c r="CF6" s="239">
        <v>-19290</v>
      </c>
      <c r="CG6" s="239">
        <v>-10062</v>
      </c>
      <c r="CH6" s="239">
        <v>0</v>
      </c>
      <c r="CI6" s="239">
        <v>-10062</v>
      </c>
      <c r="CJ6" s="239">
        <v>-2665</v>
      </c>
      <c r="CK6" s="239">
        <v>0</v>
      </c>
      <c r="CL6" s="239">
        <v>-2665</v>
      </c>
      <c r="CM6" s="239">
        <v>0</v>
      </c>
      <c r="CN6" s="239">
        <v>0</v>
      </c>
      <c r="CO6" s="239">
        <v>0</v>
      </c>
      <c r="CP6" s="239">
        <v>0</v>
      </c>
      <c r="CQ6" s="239">
        <v>0</v>
      </c>
      <c r="CR6" s="239">
        <v>0</v>
      </c>
      <c r="CS6" s="239">
        <v>0</v>
      </c>
      <c r="CT6" s="239">
        <v>0</v>
      </c>
      <c r="CU6" s="239">
        <v>0</v>
      </c>
      <c r="CV6" s="239">
        <v>0</v>
      </c>
      <c r="CW6" s="239">
        <v>0</v>
      </c>
      <c r="CX6" s="239">
        <v>0</v>
      </c>
      <c r="CY6" s="239">
        <v>0</v>
      </c>
      <c r="CZ6" s="239">
        <v>0</v>
      </c>
      <c r="DA6" s="239">
        <v>0</v>
      </c>
      <c r="DB6" s="239">
        <v>0</v>
      </c>
      <c r="DC6" s="239">
        <v>0</v>
      </c>
      <c r="DD6" s="239">
        <v>0</v>
      </c>
      <c r="DE6" s="239">
        <v>0</v>
      </c>
      <c r="DF6" s="239">
        <v>0</v>
      </c>
      <c r="DG6" s="239">
        <v>0</v>
      </c>
      <c r="DH6" s="239">
        <v>0</v>
      </c>
      <c r="DI6" s="239">
        <v>0</v>
      </c>
      <c r="DJ6" s="239">
        <v>-47954</v>
      </c>
      <c r="DK6" s="239">
        <v>0</v>
      </c>
      <c r="DL6" s="239">
        <v>-47954</v>
      </c>
      <c r="DM6" s="239">
        <v>-64</v>
      </c>
      <c r="DN6" s="239">
        <v>0</v>
      </c>
      <c r="DO6" s="239">
        <v>-64</v>
      </c>
      <c r="DP6" s="239">
        <v>7317</v>
      </c>
      <c r="DQ6" s="239">
        <v>0</v>
      </c>
      <c r="DR6" s="239">
        <v>7317</v>
      </c>
      <c r="DS6" s="239">
        <v>-1056</v>
      </c>
      <c r="DT6" s="239">
        <v>0</v>
      </c>
      <c r="DU6" s="239">
        <v>-1056</v>
      </c>
      <c r="DV6" s="239">
        <v>0</v>
      </c>
      <c r="DW6" s="239">
        <v>0</v>
      </c>
      <c r="DX6" s="239">
        <v>0</v>
      </c>
      <c r="DY6" s="239">
        <v>0</v>
      </c>
      <c r="DZ6" s="239">
        <v>0</v>
      </c>
      <c r="EA6" s="239">
        <v>0</v>
      </c>
      <c r="EB6" s="239">
        <v>-7265</v>
      </c>
      <c r="EC6" s="239">
        <v>0</v>
      </c>
      <c r="ED6" s="239">
        <v>-7265</v>
      </c>
      <c r="EE6" s="239">
        <v>0</v>
      </c>
      <c r="EF6" s="239">
        <v>0</v>
      </c>
      <c r="EG6" s="239">
        <v>0</v>
      </c>
      <c r="EH6" s="239">
        <v>0</v>
      </c>
      <c r="EI6" s="239">
        <v>0</v>
      </c>
      <c r="EJ6" s="239">
        <v>0</v>
      </c>
      <c r="EK6" s="239">
        <v>-2940</v>
      </c>
      <c r="EL6" s="239">
        <v>0</v>
      </c>
      <c r="EM6" s="239">
        <v>-2940</v>
      </c>
      <c r="EN6" s="239">
        <v>229</v>
      </c>
      <c r="EO6" s="239">
        <v>0</v>
      </c>
      <c r="EP6" s="239">
        <v>229</v>
      </c>
      <c r="EQ6" s="239">
        <v>-3779</v>
      </c>
      <c r="ER6" s="239">
        <v>0</v>
      </c>
      <c r="ES6" s="239">
        <v>-3779</v>
      </c>
      <c r="ET6" s="239">
        <v>0</v>
      </c>
      <c r="EU6" s="239">
        <v>0</v>
      </c>
      <c r="EV6" s="239">
        <v>0</v>
      </c>
      <c r="EW6" s="239">
        <v>-8040</v>
      </c>
      <c r="EX6" s="239">
        <v>0</v>
      </c>
      <c r="EY6" s="239">
        <v>-8040</v>
      </c>
      <c r="EZ6" s="239">
        <v>-8040</v>
      </c>
      <c r="FA6" s="239">
        <v>0</v>
      </c>
      <c r="FB6" s="239">
        <v>-8040</v>
      </c>
      <c r="FC6" s="239">
        <v>21827398</v>
      </c>
      <c r="FD6" s="239">
        <v>0</v>
      </c>
      <c r="FE6" s="239">
        <v>21827398</v>
      </c>
      <c r="FF6" s="239">
        <v>1082156</v>
      </c>
      <c r="FG6" s="239">
        <v>0</v>
      </c>
      <c r="FH6" s="239">
        <v>1082156</v>
      </c>
      <c r="FI6" s="239">
        <v>-3906545</v>
      </c>
      <c r="FJ6" s="239">
        <v>0</v>
      </c>
      <c r="FK6" s="239">
        <v>-3906545</v>
      </c>
      <c r="FL6" s="239">
        <v>-269611</v>
      </c>
      <c r="FM6" s="239">
        <v>0</v>
      </c>
      <c r="FN6" s="239">
        <v>-269611</v>
      </c>
      <c r="FO6" s="239">
        <v>-47954</v>
      </c>
      <c r="FP6" s="239">
        <v>0</v>
      </c>
      <c r="FQ6" s="239">
        <v>-47954</v>
      </c>
      <c r="FR6" s="239">
        <v>-3779</v>
      </c>
      <c r="FS6" s="239">
        <v>0</v>
      </c>
      <c r="FT6" s="239">
        <v>-3779</v>
      </c>
      <c r="FU6" s="239">
        <v>-8040</v>
      </c>
      <c r="FV6" s="239">
        <v>0</v>
      </c>
      <c r="FW6" s="239">
        <v>-8040</v>
      </c>
      <c r="FX6" s="239">
        <v>-3153773</v>
      </c>
      <c r="FY6" s="239">
        <v>0</v>
      </c>
      <c r="FZ6" s="239">
        <v>-3153773</v>
      </c>
      <c r="GA6" s="239">
        <v>18673625</v>
      </c>
      <c r="GB6" s="239">
        <v>0</v>
      </c>
      <c r="GC6" s="239">
        <v>18673625</v>
      </c>
      <c r="GD6" s="214" t="s">
        <v>1190</v>
      </c>
    </row>
    <row r="7" spans="2:186" s="214" customFormat="1" x14ac:dyDescent="0.2">
      <c r="B7" s="609" t="s">
        <v>96</v>
      </c>
      <c r="C7" s="609" t="s">
        <v>95</v>
      </c>
      <c r="D7" s="239">
        <v>0</v>
      </c>
      <c r="E7" s="239">
        <v>0</v>
      </c>
      <c r="F7" s="239">
        <v>0</v>
      </c>
      <c r="G7" s="239">
        <v>7142</v>
      </c>
      <c r="H7" s="239">
        <v>0</v>
      </c>
      <c r="I7" s="239">
        <v>7142</v>
      </c>
      <c r="J7" s="239">
        <v>0</v>
      </c>
      <c r="K7" s="239">
        <v>0</v>
      </c>
      <c r="L7" s="239">
        <v>0</v>
      </c>
      <c r="M7" s="239">
        <v>40273</v>
      </c>
      <c r="N7" s="239">
        <v>0</v>
      </c>
      <c r="O7" s="239">
        <v>40273</v>
      </c>
      <c r="P7" s="239">
        <v>47415</v>
      </c>
      <c r="Q7" s="239">
        <v>0</v>
      </c>
      <c r="R7" s="239">
        <v>47415</v>
      </c>
      <c r="S7" s="239">
        <v>-3548482</v>
      </c>
      <c r="T7" s="239">
        <v>0</v>
      </c>
      <c r="U7" s="239">
        <v>-3548482</v>
      </c>
      <c r="V7" s="239">
        <v>-16368</v>
      </c>
      <c r="W7" s="239">
        <v>0</v>
      </c>
      <c r="X7" s="239">
        <v>-16368</v>
      </c>
      <c r="Y7" s="239">
        <v>-150783</v>
      </c>
      <c r="Z7" s="239">
        <v>0</v>
      </c>
      <c r="AA7" s="239">
        <v>-150783</v>
      </c>
      <c r="AB7" s="239">
        <v>-98086</v>
      </c>
      <c r="AC7" s="239">
        <v>0</v>
      </c>
      <c r="AD7" s="239">
        <v>-98086</v>
      </c>
      <c r="AE7" s="239">
        <v>-3612</v>
      </c>
      <c r="AF7" s="239">
        <v>0</v>
      </c>
      <c r="AG7" s="239">
        <v>-3612</v>
      </c>
      <c r="AH7" s="239">
        <v>694607</v>
      </c>
      <c r="AI7" s="239">
        <v>0</v>
      </c>
      <c r="AJ7" s="239">
        <v>694607</v>
      </c>
      <c r="AK7" s="239">
        <v>-9546</v>
      </c>
      <c r="AL7" s="239">
        <v>0</v>
      </c>
      <c r="AM7" s="239">
        <v>-9546</v>
      </c>
      <c r="AN7" s="239">
        <v>-2071588</v>
      </c>
      <c r="AO7" s="239">
        <v>0</v>
      </c>
      <c r="AP7" s="239">
        <v>-2071588</v>
      </c>
      <c r="AQ7" s="239">
        <v>-23169</v>
      </c>
      <c r="AR7" s="239">
        <v>0</v>
      </c>
      <c r="AS7" s="239">
        <v>-23169</v>
      </c>
      <c r="AT7" s="239">
        <v>-62642</v>
      </c>
      <c r="AU7" s="239">
        <v>0</v>
      </c>
      <c r="AV7" s="239">
        <v>-62642</v>
      </c>
      <c r="AW7" s="239">
        <v>4519</v>
      </c>
      <c r="AX7" s="239">
        <v>0</v>
      </c>
      <c r="AY7" s="239">
        <v>4519</v>
      </c>
      <c r="AZ7" s="239">
        <v>-38633</v>
      </c>
      <c r="BA7" s="239">
        <v>0</v>
      </c>
      <c r="BB7" s="239">
        <v>-38633</v>
      </c>
      <c r="BC7" s="239">
        <v>-1474</v>
      </c>
      <c r="BD7" s="239">
        <v>0</v>
      </c>
      <c r="BE7" s="239">
        <v>-1474</v>
      </c>
      <c r="BF7" s="239">
        <v>-5207191</v>
      </c>
      <c r="BG7" s="239">
        <v>0</v>
      </c>
      <c r="BH7" s="239">
        <v>-5207191</v>
      </c>
      <c r="BI7" s="239">
        <v>-9887</v>
      </c>
      <c r="BJ7" s="239">
        <v>0</v>
      </c>
      <c r="BK7" s="239">
        <v>-9887</v>
      </c>
      <c r="BL7" s="239">
        <v>-23755</v>
      </c>
      <c r="BM7" s="239">
        <v>0</v>
      </c>
      <c r="BN7" s="239">
        <v>-23755</v>
      </c>
      <c r="BO7" s="239">
        <v>-674041</v>
      </c>
      <c r="BP7" s="239">
        <v>0</v>
      </c>
      <c r="BQ7" s="239">
        <v>-674041</v>
      </c>
      <c r="BR7" s="239">
        <v>48098</v>
      </c>
      <c r="BS7" s="239">
        <v>0</v>
      </c>
      <c r="BT7" s="239">
        <v>48098</v>
      </c>
      <c r="BU7" s="239">
        <v>-659585</v>
      </c>
      <c r="BV7" s="239">
        <v>0</v>
      </c>
      <c r="BW7" s="239">
        <v>-659585</v>
      </c>
      <c r="BX7" s="239">
        <v>-156162</v>
      </c>
      <c r="BY7" s="239">
        <v>0</v>
      </c>
      <c r="BZ7" s="239">
        <v>-156162</v>
      </c>
      <c r="CA7" s="239">
        <v>7</v>
      </c>
      <c r="CB7" s="239">
        <v>0</v>
      </c>
      <c r="CC7" s="239">
        <v>7</v>
      </c>
      <c r="CD7" s="239">
        <v>-86229</v>
      </c>
      <c r="CE7" s="239">
        <v>0</v>
      </c>
      <c r="CF7" s="239">
        <v>-86229</v>
      </c>
      <c r="CG7" s="239">
        <v>4558</v>
      </c>
      <c r="CH7" s="239">
        <v>0</v>
      </c>
      <c r="CI7" s="239">
        <v>4558</v>
      </c>
      <c r="CJ7" s="239">
        <v>-1242</v>
      </c>
      <c r="CK7" s="239">
        <v>0</v>
      </c>
      <c r="CL7" s="239">
        <v>-1242</v>
      </c>
      <c r="CM7" s="239">
        <v>0</v>
      </c>
      <c r="CN7" s="239">
        <v>0</v>
      </c>
      <c r="CO7" s="239">
        <v>0</v>
      </c>
      <c r="CP7" s="239">
        <v>-1491</v>
      </c>
      <c r="CQ7" s="239">
        <v>0</v>
      </c>
      <c r="CR7" s="239">
        <v>-1491</v>
      </c>
      <c r="CS7" s="239">
        <v>0</v>
      </c>
      <c r="CT7" s="239">
        <v>0</v>
      </c>
      <c r="CU7" s="239">
        <v>0</v>
      </c>
      <c r="CV7" s="239">
        <v>0</v>
      </c>
      <c r="CW7" s="239">
        <v>0</v>
      </c>
      <c r="CX7" s="239">
        <v>0</v>
      </c>
      <c r="CY7" s="239">
        <v>0</v>
      </c>
      <c r="CZ7" s="239">
        <v>0</v>
      </c>
      <c r="DA7" s="239">
        <v>0</v>
      </c>
      <c r="DB7" s="239">
        <v>0</v>
      </c>
      <c r="DC7" s="239">
        <v>0</v>
      </c>
      <c r="DD7" s="239">
        <v>0</v>
      </c>
      <c r="DE7" s="239">
        <v>0</v>
      </c>
      <c r="DF7" s="239">
        <v>0</v>
      </c>
      <c r="DG7" s="239">
        <v>0</v>
      </c>
      <c r="DH7" s="239">
        <v>0</v>
      </c>
      <c r="DI7" s="239">
        <v>0</v>
      </c>
      <c r="DJ7" s="239">
        <v>-240559</v>
      </c>
      <c r="DK7" s="239">
        <v>0</v>
      </c>
      <c r="DL7" s="239">
        <v>-240559</v>
      </c>
      <c r="DM7" s="239">
        <v>0</v>
      </c>
      <c r="DN7" s="239">
        <v>0</v>
      </c>
      <c r="DO7" s="239">
        <v>0</v>
      </c>
      <c r="DP7" s="239">
        <v>0</v>
      </c>
      <c r="DQ7" s="239">
        <v>0</v>
      </c>
      <c r="DR7" s="239">
        <v>0</v>
      </c>
      <c r="DS7" s="239">
        <v>-38123</v>
      </c>
      <c r="DT7" s="239">
        <v>0</v>
      </c>
      <c r="DU7" s="239">
        <v>-38123</v>
      </c>
      <c r="DV7" s="239">
        <v>-83</v>
      </c>
      <c r="DW7" s="239">
        <v>0</v>
      </c>
      <c r="DX7" s="239">
        <v>-83</v>
      </c>
      <c r="DY7" s="239">
        <v>0</v>
      </c>
      <c r="DZ7" s="239">
        <v>0</v>
      </c>
      <c r="EA7" s="239">
        <v>0</v>
      </c>
      <c r="EB7" s="239">
        <v>9780</v>
      </c>
      <c r="EC7" s="239">
        <v>0</v>
      </c>
      <c r="ED7" s="239">
        <v>9780</v>
      </c>
      <c r="EE7" s="239">
        <v>-142613</v>
      </c>
      <c r="EF7" s="239">
        <v>0</v>
      </c>
      <c r="EG7" s="239">
        <v>-142613</v>
      </c>
      <c r="EH7" s="239">
        <v>7016</v>
      </c>
      <c r="EI7" s="239">
        <v>0</v>
      </c>
      <c r="EJ7" s="239">
        <v>7016</v>
      </c>
      <c r="EK7" s="239">
        <v>-4325</v>
      </c>
      <c r="EL7" s="239">
        <v>0</v>
      </c>
      <c r="EM7" s="239">
        <v>-4325</v>
      </c>
      <c r="EN7" s="239">
        <v>0</v>
      </c>
      <c r="EO7" s="239">
        <v>0</v>
      </c>
      <c r="EP7" s="239">
        <v>0</v>
      </c>
      <c r="EQ7" s="239">
        <v>-168348</v>
      </c>
      <c r="ER7" s="239">
        <v>0</v>
      </c>
      <c r="ES7" s="239">
        <v>-168348</v>
      </c>
      <c r="ET7" s="239">
        <v>0</v>
      </c>
      <c r="EU7" s="239">
        <v>0</v>
      </c>
      <c r="EV7" s="239">
        <v>0</v>
      </c>
      <c r="EW7" s="239">
        <v>0</v>
      </c>
      <c r="EX7" s="239">
        <v>0</v>
      </c>
      <c r="EY7" s="239">
        <v>0</v>
      </c>
      <c r="EZ7" s="239">
        <v>0</v>
      </c>
      <c r="FA7" s="239">
        <v>0</v>
      </c>
      <c r="FB7" s="239">
        <v>0</v>
      </c>
      <c r="FC7" s="239">
        <v>33883654</v>
      </c>
      <c r="FD7" s="239">
        <v>0</v>
      </c>
      <c r="FE7" s="239">
        <v>33883654</v>
      </c>
      <c r="FF7" s="239">
        <v>47415</v>
      </c>
      <c r="FG7" s="239">
        <v>0</v>
      </c>
      <c r="FH7" s="239">
        <v>47415</v>
      </c>
      <c r="FI7" s="239">
        <v>-5207191</v>
      </c>
      <c r="FJ7" s="239">
        <v>0</v>
      </c>
      <c r="FK7" s="239">
        <v>-5207191</v>
      </c>
      <c r="FL7" s="239">
        <v>-659585</v>
      </c>
      <c r="FM7" s="239">
        <v>0</v>
      </c>
      <c r="FN7" s="239">
        <v>-659585</v>
      </c>
      <c r="FO7" s="239">
        <v>-240559</v>
      </c>
      <c r="FP7" s="239">
        <v>0</v>
      </c>
      <c r="FQ7" s="239">
        <v>-240559</v>
      </c>
      <c r="FR7" s="239">
        <v>-168348</v>
      </c>
      <c r="FS7" s="239">
        <v>0</v>
      </c>
      <c r="FT7" s="239">
        <v>-168348</v>
      </c>
      <c r="FU7" s="239">
        <v>0</v>
      </c>
      <c r="FV7" s="239">
        <v>0</v>
      </c>
      <c r="FW7" s="239">
        <v>0</v>
      </c>
      <c r="FX7" s="239">
        <v>-6228268</v>
      </c>
      <c r="FY7" s="239">
        <v>0</v>
      </c>
      <c r="FZ7" s="239">
        <v>-6228268</v>
      </c>
      <c r="GA7" s="239">
        <v>27655386</v>
      </c>
      <c r="GB7" s="239">
        <v>0</v>
      </c>
      <c r="GC7" s="239">
        <v>27655386</v>
      </c>
      <c r="GD7" s="214" t="s">
        <v>1190</v>
      </c>
    </row>
    <row r="8" spans="2:186" s="214" customFormat="1" x14ac:dyDescent="0.2">
      <c r="B8" s="609" t="s">
        <v>98</v>
      </c>
      <c r="C8" s="609" t="s">
        <v>97</v>
      </c>
      <c r="D8" s="239">
        <v>0</v>
      </c>
      <c r="E8" s="239">
        <v>0</v>
      </c>
      <c r="F8" s="239">
        <v>0</v>
      </c>
      <c r="G8" s="239">
        <v>-7053</v>
      </c>
      <c r="H8" s="239">
        <v>0</v>
      </c>
      <c r="I8" s="239">
        <v>-7053</v>
      </c>
      <c r="J8" s="239">
        <v>0</v>
      </c>
      <c r="K8" s="239">
        <v>0</v>
      </c>
      <c r="L8" s="239">
        <v>0</v>
      </c>
      <c r="M8" s="239">
        <v>-2916</v>
      </c>
      <c r="N8" s="239">
        <v>0</v>
      </c>
      <c r="O8" s="239">
        <v>-2916</v>
      </c>
      <c r="P8" s="239">
        <v>-9969</v>
      </c>
      <c r="Q8" s="239">
        <v>0</v>
      </c>
      <c r="R8" s="239">
        <v>-9969</v>
      </c>
      <c r="S8" s="239">
        <v>-2941944</v>
      </c>
      <c r="T8" s="239">
        <v>0</v>
      </c>
      <c r="U8" s="239">
        <v>-2941944</v>
      </c>
      <c r="V8" s="239">
        <v>0</v>
      </c>
      <c r="W8" s="239">
        <v>0</v>
      </c>
      <c r="X8" s="239">
        <v>0</v>
      </c>
      <c r="Y8" s="239">
        <v>-59264</v>
      </c>
      <c r="Z8" s="239">
        <v>0</v>
      </c>
      <c r="AA8" s="239">
        <v>-59264</v>
      </c>
      <c r="AB8" s="239">
        <v>-59264</v>
      </c>
      <c r="AC8" s="239">
        <v>0</v>
      </c>
      <c r="AD8" s="239">
        <v>-59264</v>
      </c>
      <c r="AE8" s="239">
        <v>0</v>
      </c>
      <c r="AF8" s="239">
        <v>0</v>
      </c>
      <c r="AG8" s="239">
        <v>0</v>
      </c>
      <c r="AH8" s="239">
        <v>816256</v>
      </c>
      <c r="AI8" s="239">
        <v>0</v>
      </c>
      <c r="AJ8" s="239">
        <v>816256</v>
      </c>
      <c r="AK8" s="239">
        <v>-33742</v>
      </c>
      <c r="AL8" s="239">
        <v>0</v>
      </c>
      <c r="AM8" s="239">
        <v>-33742</v>
      </c>
      <c r="AN8" s="239">
        <v>-1617130</v>
      </c>
      <c r="AO8" s="239">
        <v>0</v>
      </c>
      <c r="AP8" s="239">
        <v>-1617130</v>
      </c>
      <c r="AQ8" s="239">
        <v>12178</v>
      </c>
      <c r="AR8" s="239">
        <v>0</v>
      </c>
      <c r="AS8" s="239">
        <v>12178</v>
      </c>
      <c r="AT8" s="239">
        <v>-41947</v>
      </c>
      <c r="AU8" s="239">
        <v>0</v>
      </c>
      <c r="AV8" s="239">
        <v>-41947</v>
      </c>
      <c r="AW8" s="239">
        <v>0</v>
      </c>
      <c r="AX8" s="239">
        <v>0</v>
      </c>
      <c r="AY8" s="239">
        <v>0</v>
      </c>
      <c r="AZ8" s="239">
        <v>-19993</v>
      </c>
      <c r="BA8" s="239">
        <v>0</v>
      </c>
      <c r="BB8" s="239">
        <v>-19993</v>
      </c>
      <c r="BC8" s="239">
        <v>0</v>
      </c>
      <c r="BD8" s="239">
        <v>0</v>
      </c>
      <c r="BE8" s="239">
        <v>0</v>
      </c>
      <c r="BF8" s="239">
        <v>-3885586</v>
      </c>
      <c r="BG8" s="239">
        <v>0</v>
      </c>
      <c r="BH8" s="239">
        <v>-3885586</v>
      </c>
      <c r="BI8" s="239">
        <v>-36395</v>
      </c>
      <c r="BJ8" s="239">
        <v>0</v>
      </c>
      <c r="BK8" s="239">
        <v>-36395</v>
      </c>
      <c r="BL8" s="239">
        <v>0</v>
      </c>
      <c r="BM8" s="239">
        <v>0</v>
      </c>
      <c r="BN8" s="239">
        <v>0</v>
      </c>
      <c r="BO8" s="239">
        <v>-1376747</v>
      </c>
      <c r="BP8" s="239">
        <v>0</v>
      </c>
      <c r="BQ8" s="239">
        <v>-1376747</v>
      </c>
      <c r="BR8" s="239">
        <v>-14277</v>
      </c>
      <c r="BS8" s="239">
        <v>0</v>
      </c>
      <c r="BT8" s="239">
        <v>-14277</v>
      </c>
      <c r="BU8" s="239">
        <v>-1427419</v>
      </c>
      <c r="BV8" s="239">
        <v>0</v>
      </c>
      <c r="BW8" s="239">
        <v>-1427419</v>
      </c>
      <c r="BX8" s="239">
        <v>-46829</v>
      </c>
      <c r="BY8" s="239">
        <v>0</v>
      </c>
      <c r="BZ8" s="239">
        <v>-46829</v>
      </c>
      <c r="CA8" s="239">
        <v>7</v>
      </c>
      <c r="CB8" s="239">
        <v>0</v>
      </c>
      <c r="CC8" s="239">
        <v>7</v>
      </c>
      <c r="CD8" s="239">
        <v>-375941</v>
      </c>
      <c r="CE8" s="239">
        <v>0</v>
      </c>
      <c r="CF8" s="239">
        <v>-375941</v>
      </c>
      <c r="CG8" s="239">
        <v>0</v>
      </c>
      <c r="CH8" s="239">
        <v>0</v>
      </c>
      <c r="CI8" s="239">
        <v>0</v>
      </c>
      <c r="CJ8" s="239">
        <v>0</v>
      </c>
      <c r="CK8" s="239">
        <v>0</v>
      </c>
      <c r="CL8" s="239">
        <v>0</v>
      </c>
      <c r="CM8" s="239">
        <v>0</v>
      </c>
      <c r="CN8" s="239">
        <v>0</v>
      </c>
      <c r="CO8" s="239">
        <v>0</v>
      </c>
      <c r="CP8" s="239">
        <v>-19993</v>
      </c>
      <c r="CQ8" s="239">
        <v>0</v>
      </c>
      <c r="CR8" s="239">
        <v>-19993</v>
      </c>
      <c r="CS8" s="239">
        <v>0</v>
      </c>
      <c r="CT8" s="239">
        <v>0</v>
      </c>
      <c r="CU8" s="239">
        <v>0</v>
      </c>
      <c r="CV8" s="239">
        <v>-2140</v>
      </c>
      <c r="CW8" s="239">
        <v>0</v>
      </c>
      <c r="CX8" s="239">
        <v>-2140</v>
      </c>
      <c r="CY8" s="239">
        <v>0</v>
      </c>
      <c r="CZ8" s="239">
        <v>0</v>
      </c>
      <c r="DA8" s="239">
        <v>0</v>
      </c>
      <c r="DB8" s="239">
        <v>0</v>
      </c>
      <c r="DC8" s="239">
        <v>0</v>
      </c>
      <c r="DD8" s="239">
        <v>0</v>
      </c>
      <c r="DE8" s="239">
        <v>0</v>
      </c>
      <c r="DF8" s="239">
        <v>0</v>
      </c>
      <c r="DG8" s="239">
        <v>0</v>
      </c>
      <c r="DH8" s="239">
        <v>0</v>
      </c>
      <c r="DI8" s="239">
        <v>0</v>
      </c>
      <c r="DJ8" s="239">
        <v>-444896</v>
      </c>
      <c r="DK8" s="239">
        <v>0</v>
      </c>
      <c r="DL8" s="239">
        <v>-444896</v>
      </c>
      <c r="DM8" s="239">
        <v>0</v>
      </c>
      <c r="DN8" s="239">
        <v>0</v>
      </c>
      <c r="DO8" s="239">
        <v>0</v>
      </c>
      <c r="DP8" s="239">
        <v>0</v>
      </c>
      <c r="DQ8" s="239">
        <v>0</v>
      </c>
      <c r="DR8" s="239">
        <v>0</v>
      </c>
      <c r="DS8" s="239">
        <v>-8739</v>
      </c>
      <c r="DT8" s="239">
        <v>0</v>
      </c>
      <c r="DU8" s="239">
        <v>-8739</v>
      </c>
      <c r="DV8" s="239">
        <v>0</v>
      </c>
      <c r="DW8" s="239">
        <v>0</v>
      </c>
      <c r="DX8" s="239">
        <v>0</v>
      </c>
      <c r="DY8" s="239">
        <v>0</v>
      </c>
      <c r="DZ8" s="239">
        <v>0</v>
      </c>
      <c r="EA8" s="239">
        <v>0</v>
      </c>
      <c r="EB8" s="239">
        <v>1632</v>
      </c>
      <c r="EC8" s="239">
        <v>0</v>
      </c>
      <c r="ED8" s="239">
        <v>1632</v>
      </c>
      <c r="EE8" s="239">
        <v>0</v>
      </c>
      <c r="EF8" s="239">
        <v>0</v>
      </c>
      <c r="EG8" s="239">
        <v>0</v>
      </c>
      <c r="EH8" s="239">
        <v>0</v>
      </c>
      <c r="EI8" s="239">
        <v>0</v>
      </c>
      <c r="EJ8" s="239">
        <v>0</v>
      </c>
      <c r="EK8" s="239">
        <v>-13820</v>
      </c>
      <c r="EL8" s="239">
        <v>0</v>
      </c>
      <c r="EM8" s="239">
        <v>-13820</v>
      </c>
      <c r="EN8" s="239">
        <v>-1286</v>
      </c>
      <c r="EO8" s="239">
        <v>0</v>
      </c>
      <c r="EP8" s="239">
        <v>-1286</v>
      </c>
      <c r="EQ8" s="239">
        <v>-22213</v>
      </c>
      <c r="ER8" s="239">
        <v>0</v>
      </c>
      <c r="ES8" s="239">
        <v>-22213</v>
      </c>
      <c r="ET8" s="239">
        <v>0</v>
      </c>
      <c r="EU8" s="239">
        <v>0</v>
      </c>
      <c r="EV8" s="239">
        <v>0</v>
      </c>
      <c r="EW8" s="239">
        <v>0</v>
      </c>
      <c r="EX8" s="239">
        <v>0</v>
      </c>
      <c r="EY8" s="239">
        <v>0</v>
      </c>
      <c r="EZ8" s="239">
        <v>0</v>
      </c>
      <c r="FA8" s="239">
        <v>0</v>
      </c>
      <c r="FB8" s="239">
        <v>0</v>
      </c>
      <c r="FC8" s="239">
        <v>36147390</v>
      </c>
      <c r="FD8" s="239">
        <v>0</v>
      </c>
      <c r="FE8" s="239">
        <v>36147390</v>
      </c>
      <c r="FF8" s="239">
        <v>-9969</v>
      </c>
      <c r="FG8" s="239">
        <v>0</v>
      </c>
      <c r="FH8" s="239">
        <v>-9969</v>
      </c>
      <c r="FI8" s="239">
        <v>-3885586</v>
      </c>
      <c r="FJ8" s="239">
        <v>0</v>
      </c>
      <c r="FK8" s="239">
        <v>-3885586</v>
      </c>
      <c r="FL8" s="239">
        <v>-1427419</v>
      </c>
      <c r="FM8" s="239">
        <v>0</v>
      </c>
      <c r="FN8" s="239">
        <v>-1427419</v>
      </c>
      <c r="FO8" s="239">
        <v>-444896</v>
      </c>
      <c r="FP8" s="239">
        <v>0</v>
      </c>
      <c r="FQ8" s="239">
        <v>-444896</v>
      </c>
      <c r="FR8" s="239">
        <v>-22213</v>
      </c>
      <c r="FS8" s="239">
        <v>0</v>
      </c>
      <c r="FT8" s="239">
        <v>-22213</v>
      </c>
      <c r="FU8" s="239">
        <v>0</v>
      </c>
      <c r="FV8" s="239">
        <v>0</v>
      </c>
      <c r="FW8" s="239">
        <v>0</v>
      </c>
      <c r="FX8" s="239">
        <v>-5790083</v>
      </c>
      <c r="FY8" s="239">
        <v>0</v>
      </c>
      <c r="FZ8" s="239">
        <v>-5790083</v>
      </c>
      <c r="GA8" s="239">
        <v>30357307</v>
      </c>
      <c r="GB8" s="239">
        <v>0</v>
      </c>
      <c r="GC8" s="239">
        <v>30357307</v>
      </c>
      <c r="GD8" s="214" t="s">
        <v>1190</v>
      </c>
    </row>
    <row r="9" spans="2:186" s="214" customFormat="1" x14ac:dyDescent="0.2">
      <c r="B9" s="609" t="s">
        <v>100</v>
      </c>
      <c r="C9" s="609" t="s">
        <v>99</v>
      </c>
      <c r="D9" s="239">
        <v>0</v>
      </c>
      <c r="E9" s="239">
        <v>0</v>
      </c>
      <c r="F9" s="239">
        <v>0</v>
      </c>
      <c r="G9" s="239">
        <v>93906</v>
      </c>
      <c r="H9" s="239">
        <v>0</v>
      </c>
      <c r="I9" s="239">
        <v>93906</v>
      </c>
      <c r="J9" s="239">
        <v>0</v>
      </c>
      <c r="K9" s="239">
        <v>0</v>
      </c>
      <c r="L9" s="239">
        <v>0</v>
      </c>
      <c r="M9" s="239">
        <v>-1130.56</v>
      </c>
      <c r="N9" s="239">
        <v>0</v>
      </c>
      <c r="O9" s="239">
        <v>-1130.56</v>
      </c>
      <c r="P9" s="239">
        <v>92775</v>
      </c>
      <c r="Q9" s="239">
        <v>0</v>
      </c>
      <c r="R9" s="239">
        <v>92775</v>
      </c>
      <c r="S9" s="239">
        <v>-3559187</v>
      </c>
      <c r="T9" s="239">
        <v>0</v>
      </c>
      <c r="U9" s="239">
        <v>-3559187</v>
      </c>
      <c r="V9" s="239">
        <v>-16974</v>
      </c>
      <c r="W9" s="239">
        <v>0</v>
      </c>
      <c r="X9" s="239">
        <v>-16974</v>
      </c>
      <c r="Y9" s="239">
        <v>-184567</v>
      </c>
      <c r="Z9" s="239">
        <v>0</v>
      </c>
      <c r="AA9" s="239">
        <v>-184567</v>
      </c>
      <c r="AB9" s="239">
        <v>-134831</v>
      </c>
      <c r="AC9" s="239">
        <v>0</v>
      </c>
      <c r="AD9" s="239">
        <v>-134831</v>
      </c>
      <c r="AE9" s="239">
        <v>2687</v>
      </c>
      <c r="AF9" s="239">
        <v>0</v>
      </c>
      <c r="AG9" s="239">
        <v>2687</v>
      </c>
      <c r="AH9" s="239">
        <v>927294</v>
      </c>
      <c r="AI9" s="239">
        <v>0</v>
      </c>
      <c r="AJ9" s="239">
        <v>927294</v>
      </c>
      <c r="AK9" s="239">
        <v>16705</v>
      </c>
      <c r="AL9" s="239">
        <v>0</v>
      </c>
      <c r="AM9" s="239">
        <v>16705</v>
      </c>
      <c r="AN9" s="239">
        <v>-2791543</v>
      </c>
      <c r="AO9" s="239">
        <v>0</v>
      </c>
      <c r="AP9" s="239">
        <v>-2791543</v>
      </c>
      <c r="AQ9" s="239">
        <v>-57366</v>
      </c>
      <c r="AR9" s="239">
        <v>0</v>
      </c>
      <c r="AS9" s="239">
        <v>-57366</v>
      </c>
      <c r="AT9" s="239">
        <v>-85893</v>
      </c>
      <c r="AU9" s="239">
        <v>0</v>
      </c>
      <c r="AV9" s="239">
        <v>-85893</v>
      </c>
      <c r="AW9" s="239">
        <v>-135</v>
      </c>
      <c r="AX9" s="239">
        <v>0</v>
      </c>
      <c r="AY9" s="239">
        <v>-135</v>
      </c>
      <c r="AZ9" s="239">
        <v>-5219</v>
      </c>
      <c r="BA9" s="239">
        <v>0</v>
      </c>
      <c r="BB9" s="239">
        <v>-5219</v>
      </c>
      <c r="BC9" s="239">
        <v>3152</v>
      </c>
      <c r="BD9" s="239">
        <v>0</v>
      </c>
      <c r="BE9" s="239">
        <v>3152</v>
      </c>
      <c r="BF9" s="239">
        <v>-5736759</v>
      </c>
      <c r="BG9" s="239">
        <v>0</v>
      </c>
      <c r="BH9" s="239">
        <v>-5736759</v>
      </c>
      <c r="BI9" s="239">
        <v>0</v>
      </c>
      <c r="BJ9" s="239">
        <v>0</v>
      </c>
      <c r="BK9" s="239">
        <v>0</v>
      </c>
      <c r="BL9" s="239">
        <v>-16993</v>
      </c>
      <c r="BM9" s="239">
        <v>0</v>
      </c>
      <c r="BN9" s="239">
        <v>-16993</v>
      </c>
      <c r="BO9" s="239">
        <v>-636885</v>
      </c>
      <c r="BP9" s="239">
        <v>0</v>
      </c>
      <c r="BQ9" s="239">
        <v>-636885</v>
      </c>
      <c r="BR9" s="239">
        <v>2246</v>
      </c>
      <c r="BS9" s="239">
        <v>0</v>
      </c>
      <c r="BT9" s="239">
        <v>2246</v>
      </c>
      <c r="BU9" s="239">
        <v>-651632</v>
      </c>
      <c r="BV9" s="239">
        <v>0</v>
      </c>
      <c r="BW9" s="239">
        <v>-651632</v>
      </c>
      <c r="BX9" s="239">
        <v>-114118</v>
      </c>
      <c r="BY9" s="239">
        <v>0</v>
      </c>
      <c r="BZ9" s="239">
        <v>-114118</v>
      </c>
      <c r="CA9" s="239">
        <v>-2949</v>
      </c>
      <c r="CB9" s="239">
        <v>0</v>
      </c>
      <c r="CC9" s="239">
        <v>-2949</v>
      </c>
      <c r="CD9" s="239">
        <v>-17884</v>
      </c>
      <c r="CE9" s="239">
        <v>0</v>
      </c>
      <c r="CF9" s="239">
        <v>-17884</v>
      </c>
      <c r="CG9" s="239">
        <v>-5670</v>
      </c>
      <c r="CH9" s="239">
        <v>0</v>
      </c>
      <c r="CI9" s="239">
        <v>-5670</v>
      </c>
      <c r="CJ9" s="239">
        <v>-1006</v>
      </c>
      <c r="CK9" s="239">
        <v>0</v>
      </c>
      <c r="CL9" s="239">
        <v>-1006</v>
      </c>
      <c r="CM9" s="239">
        <v>0</v>
      </c>
      <c r="CN9" s="239">
        <v>0</v>
      </c>
      <c r="CO9" s="239">
        <v>0</v>
      </c>
      <c r="CP9" s="239">
        <v>-3175</v>
      </c>
      <c r="CQ9" s="239">
        <v>0</v>
      </c>
      <c r="CR9" s="239">
        <v>-3175</v>
      </c>
      <c r="CS9" s="239">
        <v>3153</v>
      </c>
      <c r="CT9" s="239">
        <v>0</v>
      </c>
      <c r="CU9" s="239">
        <v>3153</v>
      </c>
      <c r="CV9" s="239">
        <v>0</v>
      </c>
      <c r="CW9" s="239">
        <v>0</v>
      </c>
      <c r="CX9" s="239">
        <v>0</v>
      </c>
      <c r="CY9" s="239">
        <v>0</v>
      </c>
      <c r="CZ9" s="239">
        <v>0</v>
      </c>
      <c r="DA9" s="239">
        <v>0</v>
      </c>
      <c r="DB9" s="239">
        <v>0</v>
      </c>
      <c r="DC9" s="239">
        <v>0</v>
      </c>
      <c r="DD9" s="239">
        <v>0</v>
      </c>
      <c r="DE9" s="239">
        <v>0</v>
      </c>
      <c r="DF9" s="239">
        <v>0</v>
      </c>
      <c r="DG9" s="239">
        <v>0</v>
      </c>
      <c r="DH9" s="239">
        <v>0</v>
      </c>
      <c r="DI9" s="239">
        <v>0</v>
      </c>
      <c r="DJ9" s="239">
        <v>-141649</v>
      </c>
      <c r="DK9" s="239">
        <v>0</v>
      </c>
      <c r="DL9" s="239">
        <v>-141649</v>
      </c>
      <c r="DM9" s="239">
        <v>0</v>
      </c>
      <c r="DN9" s="239">
        <v>0</v>
      </c>
      <c r="DO9" s="239">
        <v>0</v>
      </c>
      <c r="DP9" s="239">
        <v>0</v>
      </c>
      <c r="DQ9" s="239">
        <v>0</v>
      </c>
      <c r="DR9" s="239">
        <v>0</v>
      </c>
      <c r="DS9" s="239">
        <v>-43081</v>
      </c>
      <c r="DT9" s="239">
        <v>0</v>
      </c>
      <c r="DU9" s="239">
        <v>-43081</v>
      </c>
      <c r="DV9" s="239">
        <v>-82</v>
      </c>
      <c r="DW9" s="239">
        <v>0</v>
      </c>
      <c r="DX9" s="239">
        <v>-82</v>
      </c>
      <c r="DY9" s="239">
        <v>0</v>
      </c>
      <c r="DZ9" s="239">
        <v>0</v>
      </c>
      <c r="EA9" s="239">
        <v>0</v>
      </c>
      <c r="EB9" s="239">
        <v>21623</v>
      </c>
      <c r="EC9" s="239">
        <v>0</v>
      </c>
      <c r="ED9" s="239">
        <v>21623</v>
      </c>
      <c r="EE9" s="239">
        <v>0</v>
      </c>
      <c r="EF9" s="239">
        <v>0</v>
      </c>
      <c r="EG9" s="239">
        <v>0</v>
      </c>
      <c r="EH9" s="239">
        <v>0</v>
      </c>
      <c r="EI9" s="239">
        <v>0</v>
      </c>
      <c r="EJ9" s="239">
        <v>0</v>
      </c>
      <c r="EK9" s="239">
        <v>-727</v>
      </c>
      <c r="EL9" s="239">
        <v>0</v>
      </c>
      <c r="EM9" s="239">
        <v>-727</v>
      </c>
      <c r="EN9" s="239">
        <v>144</v>
      </c>
      <c r="EO9" s="239">
        <v>0</v>
      </c>
      <c r="EP9" s="239">
        <v>144</v>
      </c>
      <c r="EQ9" s="239">
        <v>-22123</v>
      </c>
      <c r="ER9" s="239">
        <v>0</v>
      </c>
      <c r="ES9" s="239">
        <v>-22123</v>
      </c>
      <c r="ET9" s="239">
        <v>0</v>
      </c>
      <c r="EU9" s="239">
        <v>0</v>
      </c>
      <c r="EV9" s="239">
        <v>0</v>
      </c>
      <c r="EW9" s="239">
        <v>0</v>
      </c>
      <c r="EX9" s="239">
        <v>0</v>
      </c>
      <c r="EY9" s="239">
        <v>0</v>
      </c>
      <c r="EZ9" s="239">
        <v>0</v>
      </c>
      <c r="FA9" s="239">
        <v>0</v>
      </c>
      <c r="FB9" s="239">
        <v>0</v>
      </c>
      <c r="FC9" s="239">
        <v>44081841</v>
      </c>
      <c r="FD9" s="239">
        <v>0</v>
      </c>
      <c r="FE9" s="239">
        <v>44081841</v>
      </c>
      <c r="FF9" s="239">
        <v>92775</v>
      </c>
      <c r="FG9" s="239">
        <v>0</v>
      </c>
      <c r="FH9" s="239">
        <v>92775</v>
      </c>
      <c r="FI9" s="239">
        <v>-5736759</v>
      </c>
      <c r="FJ9" s="239">
        <v>0</v>
      </c>
      <c r="FK9" s="239">
        <v>-5736759</v>
      </c>
      <c r="FL9" s="239">
        <v>-651632</v>
      </c>
      <c r="FM9" s="239">
        <v>0</v>
      </c>
      <c r="FN9" s="239">
        <v>-651632</v>
      </c>
      <c r="FO9" s="239">
        <v>-141649</v>
      </c>
      <c r="FP9" s="239">
        <v>0</v>
      </c>
      <c r="FQ9" s="239">
        <v>-141649</v>
      </c>
      <c r="FR9" s="239">
        <v>-22123</v>
      </c>
      <c r="FS9" s="239">
        <v>0</v>
      </c>
      <c r="FT9" s="239">
        <v>-22123</v>
      </c>
      <c r="FU9" s="239">
        <v>0</v>
      </c>
      <c r="FV9" s="239">
        <v>0</v>
      </c>
      <c r="FW9" s="239">
        <v>0</v>
      </c>
      <c r="FX9" s="239">
        <v>-6459388</v>
      </c>
      <c r="FY9" s="239">
        <v>0</v>
      </c>
      <c r="FZ9" s="239">
        <v>-6459388</v>
      </c>
      <c r="GA9" s="239">
        <v>37622453</v>
      </c>
      <c r="GB9" s="239">
        <v>0</v>
      </c>
      <c r="GC9" s="239">
        <v>37622453</v>
      </c>
      <c r="GD9" s="214" t="s">
        <v>1190</v>
      </c>
    </row>
    <row r="10" spans="2:186" s="214" customFormat="1" x14ac:dyDescent="0.2">
      <c r="B10" s="609" t="s">
        <v>102</v>
      </c>
      <c r="C10" s="609" t="s">
        <v>101</v>
      </c>
      <c r="D10" s="239">
        <v>0</v>
      </c>
      <c r="E10" s="239">
        <v>0</v>
      </c>
      <c r="F10" s="239">
        <v>0</v>
      </c>
      <c r="G10" s="239">
        <v>0</v>
      </c>
      <c r="H10" s="239">
        <v>0</v>
      </c>
      <c r="I10" s="239">
        <v>0</v>
      </c>
      <c r="J10" s="239">
        <v>0</v>
      </c>
      <c r="K10" s="239">
        <v>0</v>
      </c>
      <c r="L10" s="239">
        <v>0</v>
      </c>
      <c r="M10" s="239">
        <v>0</v>
      </c>
      <c r="N10" s="239">
        <v>0</v>
      </c>
      <c r="O10" s="239">
        <v>0</v>
      </c>
      <c r="P10" s="239">
        <v>0</v>
      </c>
      <c r="Q10" s="239">
        <v>0</v>
      </c>
      <c r="R10" s="239">
        <v>0</v>
      </c>
      <c r="S10" s="239">
        <v>-2080941</v>
      </c>
      <c r="T10" s="239">
        <v>0</v>
      </c>
      <c r="U10" s="239">
        <v>-2080941</v>
      </c>
      <c r="V10" s="239">
        <v>1868</v>
      </c>
      <c r="W10" s="239">
        <v>0</v>
      </c>
      <c r="X10" s="239">
        <v>1868</v>
      </c>
      <c r="Y10" s="239">
        <v>-82683</v>
      </c>
      <c r="Z10" s="239">
        <v>0</v>
      </c>
      <c r="AA10" s="239">
        <v>-82683</v>
      </c>
      <c r="AB10" s="239">
        <v>-68409</v>
      </c>
      <c r="AC10" s="239">
        <v>0</v>
      </c>
      <c r="AD10" s="239">
        <v>-68409</v>
      </c>
      <c r="AE10" s="239">
        <v>0</v>
      </c>
      <c r="AF10" s="239">
        <v>0</v>
      </c>
      <c r="AG10" s="239">
        <v>0</v>
      </c>
      <c r="AH10" s="239">
        <v>941795</v>
      </c>
      <c r="AI10" s="239">
        <v>0</v>
      </c>
      <c r="AJ10" s="239">
        <v>941795</v>
      </c>
      <c r="AK10" s="239">
        <v>9834</v>
      </c>
      <c r="AL10" s="239">
        <v>0</v>
      </c>
      <c r="AM10" s="239">
        <v>9834</v>
      </c>
      <c r="AN10" s="239">
        <v>-1798132</v>
      </c>
      <c r="AO10" s="239">
        <v>0</v>
      </c>
      <c r="AP10" s="239">
        <v>-1798132</v>
      </c>
      <c r="AQ10" s="239">
        <v>44601</v>
      </c>
      <c r="AR10" s="239">
        <v>0</v>
      </c>
      <c r="AS10" s="239">
        <v>44601</v>
      </c>
      <c r="AT10" s="239">
        <v>-8429</v>
      </c>
      <c r="AU10" s="239">
        <v>0</v>
      </c>
      <c r="AV10" s="239">
        <v>-8429</v>
      </c>
      <c r="AW10" s="239">
        <v>0</v>
      </c>
      <c r="AX10" s="239">
        <v>0</v>
      </c>
      <c r="AY10" s="239">
        <v>0</v>
      </c>
      <c r="AZ10" s="239">
        <v>-11698</v>
      </c>
      <c r="BA10" s="239">
        <v>0</v>
      </c>
      <c r="BB10" s="239">
        <v>-11698</v>
      </c>
      <c r="BC10" s="239">
        <v>680</v>
      </c>
      <c r="BD10" s="239">
        <v>0</v>
      </c>
      <c r="BE10" s="239">
        <v>680</v>
      </c>
      <c r="BF10" s="239">
        <v>-2984973</v>
      </c>
      <c r="BG10" s="239">
        <v>0</v>
      </c>
      <c r="BH10" s="239">
        <v>-2984973</v>
      </c>
      <c r="BI10" s="239">
        <v>-1215</v>
      </c>
      <c r="BJ10" s="239">
        <v>0</v>
      </c>
      <c r="BK10" s="239">
        <v>-1215</v>
      </c>
      <c r="BL10" s="239">
        <v>-421</v>
      </c>
      <c r="BM10" s="239">
        <v>0</v>
      </c>
      <c r="BN10" s="239">
        <v>-421</v>
      </c>
      <c r="BO10" s="239">
        <v>-745133</v>
      </c>
      <c r="BP10" s="239">
        <v>0</v>
      </c>
      <c r="BQ10" s="239">
        <v>-745133</v>
      </c>
      <c r="BR10" s="239">
        <v>21990</v>
      </c>
      <c r="BS10" s="239">
        <v>0</v>
      </c>
      <c r="BT10" s="239">
        <v>21990</v>
      </c>
      <c r="BU10" s="239">
        <v>-724779</v>
      </c>
      <c r="BV10" s="239">
        <v>0</v>
      </c>
      <c r="BW10" s="239">
        <v>-724779</v>
      </c>
      <c r="BX10" s="239">
        <v>-147857</v>
      </c>
      <c r="BY10" s="239">
        <v>0</v>
      </c>
      <c r="BZ10" s="239">
        <v>-147857</v>
      </c>
      <c r="CA10" s="239">
        <v>237</v>
      </c>
      <c r="CB10" s="239">
        <v>0</v>
      </c>
      <c r="CC10" s="239">
        <v>237</v>
      </c>
      <c r="CD10" s="239">
        <v>-40881</v>
      </c>
      <c r="CE10" s="239">
        <v>0</v>
      </c>
      <c r="CF10" s="239">
        <v>-40881</v>
      </c>
      <c r="CG10" s="239">
        <v>22385</v>
      </c>
      <c r="CH10" s="239">
        <v>0</v>
      </c>
      <c r="CI10" s="239">
        <v>22385</v>
      </c>
      <c r="CJ10" s="239">
        <v>0</v>
      </c>
      <c r="CK10" s="239">
        <v>0</v>
      </c>
      <c r="CL10" s="239">
        <v>0</v>
      </c>
      <c r="CM10" s="239">
        <v>0</v>
      </c>
      <c r="CN10" s="239">
        <v>0</v>
      </c>
      <c r="CO10" s="239">
        <v>0</v>
      </c>
      <c r="CP10" s="239">
        <v>-6268</v>
      </c>
      <c r="CQ10" s="239">
        <v>0</v>
      </c>
      <c r="CR10" s="239">
        <v>-6268</v>
      </c>
      <c r="CS10" s="239">
        <v>1384</v>
      </c>
      <c r="CT10" s="239">
        <v>0</v>
      </c>
      <c r="CU10" s="239">
        <v>1384</v>
      </c>
      <c r="CV10" s="239">
        <v>-4437</v>
      </c>
      <c r="CW10" s="239">
        <v>0</v>
      </c>
      <c r="CX10" s="239">
        <v>-4437</v>
      </c>
      <c r="CY10" s="239">
        <v>0</v>
      </c>
      <c r="CZ10" s="239">
        <v>0</v>
      </c>
      <c r="DA10" s="239">
        <v>0</v>
      </c>
      <c r="DB10" s="239">
        <v>0</v>
      </c>
      <c r="DC10" s="239">
        <v>0</v>
      </c>
      <c r="DD10" s="239">
        <v>0</v>
      </c>
      <c r="DE10" s="239">
        <v>0</v>
      </c>
      <c r="DF10" s="239">
        <v>0</v>
      </c>
      <c r="DG10" s="239">
        <v>0</v>
      </c>
      <c r="DH10" s="239">
        <v>0</v>
      </c>
      <c r="DI10" s="239">
        <v>0</v>
      </c>
      <c r="DJ10" s="239">
        <v>-175437</v>
      </c>
      <c r="DK10" s="239">
        <v>0</v>
      </c>
      <c r="DL10" s="239">
        <v>-175437</v>
      </c>
      <c r="DM10" s="239">
        <v>-54199</v>
      </c>
      <c r="DN10" s="239">
        <v>0</v>
      </c>
      <c r="DO10" s="239">
        <v>-54199</v>
      </c>
      <c r="DP10" s="239">
        <v>0</v>
      </c>
      <c r="DQ10" s="239">
        <v>0</v>
      </c>
      <c r="DR10" s="239">
        <v>0</v>
      </c>
      <c r="DS10" s="239">
        <v>-4579</v>
      </c>
      <c r="DT10" s="239">
        <v>0</v>
      </c>
      <c r="DU10" s="239">
        <v>-4579</v>
      </c>
      <c r="DV10" s="239">
        <v>-2470</v>
      </c>
      <c r="DW10" s="239">
        <v>0</v>
      </c>
      <c r="DX10" s="239">
        <v>-2470</v>
      </c>
      <c r="DY10" s="239">
        <v>0</v>
      </c>
      <c r="DZ10" s="239">
        <v>0</v>
      </c>
      <c r="EA10" s="239">
        <v>0</v>
      </c>
      <c r="EB10" s="239">
        <v>0</v>
      </c>
      <c r="EC10" s="239">
        <v>0</v>
      </c>
      <c r="ED10" s="239">
        <v>0</v>
      </c>
      <c r="EE10" s="239">
        <v>0</v>
      </c>
      <c r="EF10" s="239">
        <v>0</v>
      </c>
      <c r="EG10" s="239">
        <v>0</v>
      </c>
      <c r="EH10" s="239">
        <v>0</v>
      </c>
      <c r="EI10" s="239">
        <v>0</v>
      </c>
      <c r="EJ10" s="239">
        <v>0</v>
      </c>
      <c r="EK10" s="239">
        <v>-1872</v>
      </c>
      <c r="EL10" s="239">
        <v>0</v>
      </c>
      <c r="EM10" s="239">
        <v>-1872</v>
      </c>
      <c r="EN10" s="239">
        <v>0</v>
      </c>
      <c r="EO10" s="239">
        <v>0</v>
      </c>
      <c r="EP10" s="239">
        <v>0</v>
      </c>
      <c r="EQ10" s="239">
        <v>-63120</v>
      </c>
      <c r="ER10" s="239">
        <v>0</v>
      </c>
      <c r="ES10" s="239">
        <v>-63120</v>
      </c>
      <c r="ET10" s="239">
        <v>0</v>
      </c>
      <c r="EU10" s="239">
        <v>0</v>
      </c>
      <c r="EV10" s="239">
        <v>0</v>
      </c>
      <c r="EW10" s="239">
        <v>0</v>
      </c>
      <c r="EX10" s="239">
        <v>0</v>
      </c>
      <c r="EY10" s="239">
        <v>0</v>
      </c>
      <c r="EZ10" s="239">
        <v>0</v>
      </c>
      <c r="FA10" s="239">
        <v>0</v>
      </c>
      <c r="FB10" s="239">
        <v>0</v>
      </c>
      <c r="FC10" s="239">
        <v>40543825</v>
      </c>
      <c r="FD10" s="239">
        <v>0</v>
      </c>
      <c r="FE10" s="239">
        <v>40543825</v>
      </c>
      <c r="FF10" s="239">
        <v>0</v>
      </c>
      <c r="FG10" s="239">
        <v>0</v>
      </c>
      <c r="FH10" s="239">
        <v>0</v>
      </c>
      <c r="FI10" s="239">
        <v>-2984973</v>
      </c>
      <c r="FJ10" s="239">
        <v>0</v>
      </c>
      <c r="FK10" s="239">
        <v>-2984973</v>
      </c>
      <c r="FL10" s="239">
        <v>-724779</v>
      </c>
      <c r="FM10" s="239">
        <v>0</v>
      </c>
      <c r="FN10" s="239">
        <v>-724779</v>
      </c>
      <c r="FO10" s="239">
        <v>-175437</v>
      </c>
      <c r="FP10" s="239">
        <v>0</v>
      </c>
      <c r="FQ10" s="239">
        <v>-175437</v>
      </c>
      <c r="FR10" s="239">
        <v>-63120</v>
      </c>
      <c r="FS10" s="239">
        <v>0</v>
      </c>
      <c r="FT10" s="239">
        <v>-63120</v>
      </c>
      <c r="FU10" s="239">
        <v>0</v>
      </c>
      <c r="FV10" s="239">
        <v>0</v>
      </c>
      <c r="FW10" s="239">
        <v>0</v>
      </c>
      <c r="FX10" s="239">
        <v>-3948309</v>
      </c>
      <c r="FY10" s="239">
        <v>0</v>
      </c>
      <c r="FZ10" s="239">
        <v>-3948309</v>
      </c>
      <c r="GA10" s="239">
        <v>36595516</v>
      </c>
      <c r="GB10" s="239">
        <v>0</v>
      </c>
      <c r="GC10" s="239">
        <v>36595516</v>
      </c>
      <c r="GD10" s="214" t="s">
        <v>1190</v>
      </c>
    </row>
    <row r="11" spans="2:186" s="214" customFormat="1" x14ac:dyDescent="0.2">
      <c r="B11" s="609" t="s">
        <v>104</v>
      </c>
      <c r="C11" s="609" t="s">
        <v>103</v>
      </c>
      <c r="D11" s="239">
        <v>0</v>
      </c>
      <c r="E11" s="239">
        <v>0</v>
      </c>
      <c r="F11" s="239">
        <v>0</v>
      </c>
      <c r="G11" s="239">
        <v>-1049.03</v>
      </c>
      <c r="H11" s="239">
        <v>0</v>
      </c>
      <c r="I11" s="239">
        <v>-1049.03</v>
      </c>
      <c r="J11" s="239">
        <v>0</v>
      </c>
      <c r="K11" s="239">
        <v>0</v>
      </c>
      <c r="L11" s="239">
        <v>0</v>
      </c>
      <c r="M11" s="239">
        <v>40267.72</v>
      </c>
      <c r="N11" s="239">
        <v>0</v>
      </c>
      <c r="O11" s="239">
        <v>40267.72</v>
      </c>
      <c r="P11" s="239">
        <v>39219</v>
      </c>
      <c r="Q11" s="239">
        <v>0</v>
      </c>
      <c r="R11" s="239">
        <v>39219</v>
      </c>
      <c r="S11" s="239">
        <v>-2925750</v>
      </c>
      <c r="T11" s="239">
        <v>0</v>
      </c>
      <c r="U11" s="239">
        <v>-2925750</v>
      </c>
      <c r="V11" s="239">
        <v>-8578</v>
      </c>
      <c r="W11" s="239">
        <v>0</v>
      </c>
      <c r="X11" s="239">
        <v>-8578</v>
      </c>
      <c r="Y11" s="239">
        <v>-242880</v>
      </c>
      <c r="Z11" s="239">
        <v>0</v>
      </c>
      <c r="AA11" s="239">
        <v>-242880</v>
      </c>
      <c r="AB11" s="239">
        <v>-187444</v>
      </c>
      <c r="AC11" s="239">
        <v>0</v>
      </c>
      <c r="AD11" s="239">
        <v>-187444</v>
      </c>
      <c r="AE11" s="239">
        <v>-1399.94</v>
      </c>
      <c r="AF11" s="239">
        <v>0</v>
      </c>
      <c r="AG11" s="239">
        <v>-1399.94</v>
      </c>
      <c r="AH11" s="239">
        <v>1265801</v>
      </c>
      <c r="AI11" s="239">
        <v>0</v>
      </c>
      <c r="AJ11" s="239">
        <v>1265801</v>
      </c>
      <c r="AK11" s="239">
        <v>15253</v>
      </c>
      <c r="AL11" s="239">
        <v>0</v>
      </c>
      <c r="AM11" s="239">
        <v>15253</v>
      </c>
      <c r="AN11" s="239">
        <v>-3450036</v>
      </c>
      <c r="AO11" s="239">
        <v>0</v>
      </c>
      <c r="AP11" s="239">
        <v>-3450036</v>
      </c>
      <c r="AQ11" s="239">
        <v>-26381</v>
      </c>
      <c r="AR11" s="239">
        <v>0</v>
      </c>
      <c r="AS11" s="239">
        <v>-26381</v>
      </c>
      <c r="AT11" s="239">
        <v>-88226</v>
      </c>
      <c r="AU11" s="239">
        <v>0</v>
      </c>
      <c r="AV11" s="239">
        <v>-88226</v>
      </c>
      <c r="AW11" s="239">
        <v>-1940</v>
      </c>
      <c r="AX11" s="239">
        <v>0</v>
      </c>
      <c r="AY11" s="239">
        <v>-1940</v>
      </c>
      <c r="AZ11" s="239">
        <v>-36968</v>
      </c>
      <c r="BA11" s="239">
        <v>0</v>
      </c>
      <c r="BB11" s="239">
        <v>-36968</v>
      </c>
      <c r="BC11" s="239">
        <v>-100.32</v>
      </c>
      <c r="BD11" s="239">
        <v>0</v>
      </c>
      <c r="BE11" s="239">
        <v>-100.32</v>
      </c>
      <c r="BF11" s="239">
        <v>-5491227</v>
      </c>
      <c r="BG11" s="239">
        <v>0</v>
      </c>
      <c r="BH11" s="239">
        <v>-5491227</v>
      </c>
      <c r="BI11" s="239">
        <v>-873</v>
      </c>
      <c r="BJ11" s="239">
        <v>0</v>
      </c>
      <c r="BK11" s="239">
        <v>-873</v>
      </c>
      <c r="BL11" s="239">
        <v>0</v>
      </c>
      <c r="BM11" s="239">
        <v>0</v>
      </c>
      <c r="BN11" s="239">
        <v>0</v>
      </c>
      <c r="BO11" s="239">
        <v>-1780591</v>
      </c>
      <c r="BP11" s="239">
        <v>0</v>
      </c>
      <c r="BQ11" s="239">
        <v>-1780591</v>
      </c>
      <c r="BR11" s="239">
        <v>34234</v>
      </c>
      <c r="BS11" s="239">
        <v>0</v>
      </c>
      <c r="BT11" s="239">
        <v>34234</v>
      </c>
      <c r="BU11" s="239">
        <v>-1747230</v>
      </c>
      <c r="BV11" s="239">
        <v>0</v>
      </c>
      <c r="BW11" s="239">
        <v>-1747230</v>
      </c>
      <c r="BX11" s="239">
        <v>-174149</v>
      </c>
      <c r="BY11" s="239">
        <v>0</v>
      </c>
      <c r="BZ11" s="239">
        <v>-174149</v>
      </c>
      <c r="CA11" s="239">
        <v>4419</v>
      </c>
      <c r="CB11" s="239">
        <v>0</v>
      </c>
      <c r="CC11" s="239">
        <v>4419</v>
      </c>
      <c r="CD11" s="239">
        <v>-64493</v>
      </c>
      <c r="CE11" s="239">
        <v>0</v>
      </c>
      <c r="CF11" s="239">
        <v>-64493</v>
      </c>
      <c r="CG11" s="239">
        <v>-4257</v>
      </c>
      <c r="CH11" s="239">
        <v>0</v>
      </c>
      <c r="CI11" s="239">
        <v>-4257</v>
      </c>
      <c r="CJ11" s="239">
        <v>-13349</v>
      </c>
      <c r="CK11" s="239">
        <v>0</v>
      </c>
      <c r="CL11" s="239">
        <v>-13349</v>
      </c>
      <c r="CM11" s="239">
        <v>-485</v>
      </c>
      <c r="CN11" s="239">
        <v>0</v>
      </c>
      <c r="CO11" s="239">
        <v>-485</v>
      </c>
      <c r="CP11" s="239">
        <v>-15569</v>
      </c>
      <c r="CQ11" s="239">
        <v>0</v>
      </c>
      <c r="CR11" s="239">
        <v>-15569</v>
      </c>
      <c r="CS11" s="239">
        <v>0</v>
      </c>
      <c r="CT11" s="239">
        <v>0</v>
      </c>
      <c r="CU11" s="239">
        <v>0</v>
      </c>
      <c r="CV11" s="239">
        <v>-52161</v>
      </c>
      <c r="CW11" s="239">
        <v>0</v>
      </c>
      <c r="CX11" s="239">
        <v>-52161</v>
      </c>
      <c r="CY11" s="239">
        <v>1884</v>
      </c>
      <c r="CZ11" s="239">
        <v>0</v>
      </c>
      <c r="DA11" s="239">
        <v>1884</v>
      </c>
      <c r="DB11" s="239">
        <v>0</v>
      </c>
      <c r="DC11" s="239">
        <v>0</v>
      </c>
      <c r="DD11" s="239">
        <v>0</v>
      </c>
      <c r="DE11" s="239">
        <v>0</v>
      </c>
      <c r="DF11" s="239">
        <v>0</v>
      </c>
      <c r="DG11" s="239">
        <v>0</v>
      </c>
      <c r="DH11" s="239">
        <v>0</v>
      </c>
      <c r="DI11" s="239">
        <v>0</v>
      </c>
      <c r="DJ11" s="239">
        <v>-318160</v>
      </c>
      <c r="DK11" s="239">
        <v>0</v>
      </c>
      <c r="DL11" s="239">
        <v>-318160</v>
      </c>
      <c r="DM11" s="239">
        <v>-5072</v>
      </c>
      <c r="DN11" s="239">
        <v>0</v>
      </c>
      <c r="DO11" s="239">
        <v>-5072</v>
      </c>
      <c r="DP11" s="239">
        <v>639</v>
      </c>
      <c r="DQ11" s="239">
        <v>0</v>
      </c>
      <c r="DR11" s="239">
        <v>639</v>
      </c>
      <c r="DS11" s="239">
        <v>-8141</v>
      </c>
      <c r="DT11" s="239">
        <v>0</v>
      </c>
      <c r="DU11" s="239">
        <v>-8141</v>
      </c>
      <c r="DV11" s="239">
        <v>-189</v>
      </c>
      <c r="DW11" s="239">
        <v>0</v>
      </c>
      <c r="DX11" s="239">
        <v>-189</v>
      </c>
      <c r="DY11" s="239">
        <v>0</v>
      </c>
      <c r="DZ11" s="239">
        <v>0</v>
      </c>
      <c r="EA11" s="239">
        <v>0</v>
      </c>
      <c r="EB11" s="239">
        <v>17048</v>
      </c>
      <c r="EC11" s="239">
        <v>0</v>
      </c>
      <c r="ED11" s="239">
        <v>17048</v>
      </c>
      <c r="EE11" s="239">
        <v>0</v>
      </c>
      <c r="EF11" s="239">
        <v>0</v>
      </c>
      <c r="EG11" s="239">
        <v>0</v>
      </c>
      <c r="EH11" s="239">
        <v>0</v>
      </c>
      <c r="EI11" s="239">
        <v>0</v>
      </c>
      <c r="EJ11" s="239">
        <v>0</v>
      </c>
      <c r="EK11" s="239">
        <v>-1451</v>
      </c>
      <c r="EL11" s="239">
        <v>0</v>
      </c>
      <c r="EM11" s="239">
        <v>-1451</v>
      </c>
      <c r="EN11" s="239">
        <v>192</v>
      </c>
      <c r="EO11" s="239">
        <v>0</v>
      </c>
      <c r="EP11" s="239">
        <v>192</v>
      </c>
      <c r="EQ11" s="239">
        <v>3026</v>
      </c>
      <c r="ER11" s="239">
        <v>0</v>
      </c>
      <c r="ES11" s="239">
        <v>3026</v>
      </c>
      <c r="ET11" s="239">
        <v>0</v>
      </c>
      <c r="EU11" s="239">
        <v>0</v>
      </c>
      <c r="EV11" s="239">
        <v>0</v>
      </c>
      <c r="EW11" s="239">
        <v>0</v>
      </c>
      <c r="EX11" s="239">
        <v>0</v>
      </c>
      <c r="EY11" s="239">
        <v>0</v>
      </c>
      <c r="EZ11" s="239">
        <v>0</v>
      </c>
      <c r="FA11" s="239">
        <v>0</v>
      </c>
      <c r="FB11" s="239">
        <v>0</v>
      </c>
      <c r="FC11" s="239">
        <v>54718366</v>
      </c>
      <c r="FD11" s="239">
        <v>0</v>
      </c>
      <c r="FE11" s="239">
        <v>54718366</v>
      </c>
      <c r="FF11" s="239">
        <v>39219</v>
      </c>
      <c r="FG11" s="239">
        <v>0</v>
      </c>
      <c r="FH11" s="239">
        <v>39219</v>
      </c>
      <c r="FI11" s="239">
        <v>-5491227</v>
      </c>
      <c r="FJ11" s="239">
        <v>0</v>
      </c>
      <c r="FK11" s="239">
        <v>-5491227</v>
      </c>
      <c r="FL11" s="239">
        <v>-1747230</v>
      </c>
      <c r="FM11" s="239">
        <v>0</v>
      </c>
      <c r="FN11" s="239">
        <v>-1747230</v>
      </c>
      <c r="FO11" s="239">
        <v>-318160</v>
      </c>
      <c r="FP11" s="239">
        <v>0</v>
      </c>
      <c r="FQ11" s="239">
        <v>-318160</v>
      </c>
      <c r="FR11" s="239">
        <v>3026</v>
      </c>
      <c r="FS11" s="239">
        <v>0</v>
      </c>
      <c r="FT11" s="239">
        <v>3026</v>
      </c>
      <c r="FU11" s="239">
        <v>0</v>
      </c>
      <c r="FV11" s="239">
        <v>0</v>
      </c>
      <c r="FW11" s="239">
        <v>0</v>
      </c>
      <c r="FX11" s="239">
        <v>-7514372</v>
      </c>
      <c r="FY11" s="239">
        <v>0</v>
      </c>
      <c r="FZ11" s="239">
        <v>-7514372</v>
      </c>
      <c r="GA11" s="239">
        <v>47203994</v>
      </c>
      <c r="GB11" s="239">
        <v>0</v>
      </c>
      <c r="GC11" s="239">
        <v>47203994</v>
      </c>
      <c r="GD11" s="214" t="s">
        <v>1190</v>
      </c>
    </row>
    <row r="12" spans="2:186" s="214" customFormat="1" x14ac:dyDescent="0.2">
      <c r="B12" s="609" t="s">
        <v>106</v>
      </c>
      <c r="C12" s="609" t="s">
        <v>105</v>
      </c>
      <c r="D12" s="239">
        <v>0</v>
      </c>
      <c r="E12" s="239">
        <v>0</v>
      </c>
      <c r="F12" s="239">
        <v>0</v>
      </c>
      <c r="G12" s="239">
        <v>30190</v>
      </c>
      <c r="H12" s="239">
        <v>0</v>
      </c>
      <c r="I12" s="239">
        <v>30190</v>
      </c>
      <c r="J12" s="239">
        <v>0</v>
      </c>
      <c r="K12" s="239">
        <v>0</v>
      </c>
      <c r="L12" s="239">
        <v>0</v>
      </c>
      <c r="M12" s="239">
        <v>6992</v>
      </c>
      <c r="N12" s="239">
        <v>0</v>
      </c>
      <c r="O12" s="239">
        <v>6992</v>
      </c>
      <c r="P12" s="239">
        <v>37182</v>
      </c>
      <c r="Q12" s="239">
        <v>0</v>
      </c>
      <c r="R12" s="239">
        <v>37182</v>
      </c>
      <c r="S12" s="239">
        <v>-3405396</v>
      </c>
      <c r="T12" s="239">
        <v>0</v>
      </c>
      <c r="U12" s="239">
        <v>-3405396</v>
      </c>
      <c r="V12" s="239">
        <v>-9231</v>
      </c>
      <c r="W12" s="239">
        <v>0</v>
      </c>
      <c r="X12" s="239">
        <v>-9231</v>
      </c>
      <c r="Y12" s="239">
        <v>-194386</v>
      </c>
      <c r="Z12" s="239">
        <v>0</v>
      </c>
      <c r="AA12" s="239">
        <v>-194386</v>
      </c>
      <c r="AB12" s="239">
        <v>0</v>
      </c>
      <c r="AC12" s="239">
        <v>0</v>
      </c>
      <c r="AD12" s="239">
        <v>0</v>
      </c>
      <c r="AE12" s="239">
        <v>2671</v>
      </c>
      <c r="AF12" s="239">
        <v>0</v>
      </c>
      <c r="AG12" s="239">
        <v>2671</v>
      </c>
      <c r="AH12" s="239">
        <v>1418416</v>
      </c>
      <c r="AI12" s="239">
        <v>0</v>
      </c>
      <c r="AJ12" s="239">
        <v>1418416</v>
      </c>
      <c r="AK12" s="239">
        <v>94347</v>
      </c>
      <c r="AL12" s="239">
        <v>0</v>
      </c>
      <c r="AM12" s="239">
        <v>94347</v>
      </c>
      <c r="AN12" s="239">
        <v>-4727174</v>
      </c>
      <c r="AO12" s="239">
        <v>0</v>
      </c>
      <c r="AP12" s="239">
        <v>-4727174</v>
      </c>
      <c r="AQ12" s="239">
        <v>-127640</v>
      </c>
      <c r="AR12" s="239">
        <v>0</v>
      </c>
      <c r="AS12" s="239">
        <v>-127640</v>
      </c>
      <c r="AT12" s="239">
        <v>-28506</v>
      </c>
      <c r="AU12" s="239">
        <v>0</v>
      </c>
      <c r="AV12" s="239">
        <v>-28506</v>
      </c>
      <c r="AW12" s="239">
        <v>0</v>
      </c>
      <c r="AX12" s="239">
        <v>0</v>
      </c>
      <c r="AY12" s="239">
        <v>0</v>
      </c>
      <c r="AZ12" s="239">
        <v>-58700</v>
      </c>
      <c r="BA12" s="239">
        <v>0</v>
      </c>
      <c r="BB12" s="239">
        <v>-58700</v>
      </c>
      <c r="BC12" s="239">
        <v>-1618</v>
      </c>
      <c r="BD12" s="239">
        <v>0</v>
      </c>
      <c r="BE12" s="239">
        <v>-1618</v>
      </c>
      <c r="BF12" s="239">
        <v>-7030657</v>
      </c>
      <c r="BG12" s="239">
        <v>0</v>
      </c>
      <c r="BH12" s="239">
        <v>-7030657</v>
      </c>
      <c r="BI12" s="239">
        <v>-5976</v>
      </c>
      <c r="BJ12" s="239">
        <v>0</v>
      </c>
      <c r="BK12" s="239">
        <v>-5976</v>
      </c>
      <c r="BL12" s="239">
        <v>4349</v>
      </c>
      <c r="BM12" s="239">
        <v>0</v>
      </c>
      <c r="BN12" s="239">
        <v>4349</v>
      </c>
      <c r="BO12" s="239">
        <v>-2529198</v>
      </c>
      <c r="BP12" s="239">
        <v>0</v>
      </c>
      <c r="BQ12" s="239">
        <v>-2529198</v>
      </c>
      <c r="BR12" s="239">
        <v>-87627</v>
      </c>
      <c r="BS12" s="239">
        <v>0</v>
      </c>
      <c r="BT12" s="239">
        <v>-87627</v>
      </c>
      <c r="BU12" s="239">
        <v>-2618452</v>
      </c>
      <c r="BV12" s="239">
        <v>0</v>
      </c>
      <c r="BW12" s="239">
        <v>-2618452</v>
      </c>
      <c r="BX12" s="239">
        <v>-220957</v>
      </c>
      <c r="BY12" s="239">
        <v>0</v>
      </c>
      <c r="BZ12" s="239">
        <v>-220957</v>
      </c>
      <c r="CA12" s="239">
        <v>15446</v>
      </c>
      <c r="CB12" s="239">
        <v>0</v>
      </c>
      <c r="CC12" s="239">
        <v>15446</v>
      </c>
      <c r="CD12" s="239">
        <v>-137684</v>
      </c>
      <c r="CE12" s="239">
        <v>0</v>
      </c>
      <c r="CF12" s="239">
        <v>-137684</v>
      </c>
      <c r="CG12" s="239">
        <v>0</v>
      </c>
      <c r="CH12" s="239">
        <v>0</v>
      </c>
      <c r="CI12" s="239">
        <v>0</v>
      </c>
      <c r="CJ12" s="239">
        <v>-2256</v>
      </c>
      <c r="CK12" s="239">
        <v>0</v>
      </c>
      <c r="CL12" s="239">
        <v>-2256</v>
      </c>
      <c r="CM12" s="239">
        <v>0</v>
      </c>
      <c r="CN12" s="239">
        <v>0</v>
      </c>
      <c r="CO12" s="239">
        <v>0</v>
      </c>
      <c r="CP12" s="239">
        <v>0</v>
      </c>
      <c r="CQ12" s="239">
        <v>0</v>
      </c>
      <c r="CR12" s="239">
        <v>0</v>
      </c>
      <c r="CS12" s="239">
        <v>0</v>
      </c>
      <c r="CT12" s="239">
        <v>0</v>
      </c>
      <c r="CU12" s="239">
        <v>0</v>
      </c>
      <c r="CV12" s="239">
        <v>0</v>
      </c>
      <c r="CW12" s="239">
        <v>0</v>
      </c>
      <c r="CX12" s="239">
        <v>0</v>
      </c>
      <c r="CY12" s="239">
        <v>0</v>
      </c>
      <c r="CZ12" s="239">
        <v>0</v>
      </c>
      <c r="DA12" s="239">
        <v>0</v>
      </c>
      <c r="DB12" s="239">
        <v>0</v>
      </c>
      <c r="DC12" s="239">
        <v>0</v>
      </c>
      <c r="DD12" s="239">
        <v>0</v>
      </c>
      <c r="DE12" s="239">
        <v>0</v>
      </c>
      <c r="DF12" s="239">
        <v>0</v>
      </c>
      <c r="DG12" s="239">
        <v>0</v>
      </c>
      <c r="DH12" s="239">
        <v>0</v>
      </c>
      <c r="DI12" s="239">
        <v>0</v>
      </c>
      <c r="DJ12" s="239">
        <v>-345451</v>
      </c>
      <c r="DK12" s="239">
        <v>0</v>
      </c>
      <c r="DL12" s="239">
        <v>-345451</v>
      </c>
      <c r="DM12" s="239">
        <v>-22146</v>
      </c>
      <c r="DN12" s="239">
        <v>-494</v>
      </c>
      <c r="DO12" s="239">
        <v>-22640</v>
      </c>
      <c r="DP12" s="239">
        <v>-12059</v>
      </c>
      <c r="DQ12" s="239">
        <v>0</v>
      </c>
      <c r="DR12" s="239">
        <v>-12059</v>
      </c>
      <c r="DS12" s="239">
        <v>-16319</v>
      </c>
      <c r="DT12" s="239">
        <v>0</v>
      </c>
      <c r="DU12" s="239">
        <v>-16319</v>
      </c>
      <c r="DV12" s="239">
        <v>-824</v>
      </c>
      <c r="DW12" s="239">
        <v>0</v>
      </c>
      <c r="DX12" s="239">
        <v>-824</v>
      </c>
      <c r="DY12" s="239">
        <v>0</v>
      </c>
      <c r="DZ12" s="239">
        <v>0</v>
      </c>
      <c r="EA12" s="239">
        <v>0</v>
      </c>
      <c r="EB12" s="239">
        <v>-13752</v>
      </c>
      <c r="EC12" s="239">
        <v>0</v>
      </c>
      <c r="ED12" s="239">
        <v>-13752</v>
      </c>
      <c r="EE12" s="239">
        <v>0</v>
      </c>
      <c r="EF12" s="239">
        <v>0</v>
      </c>
      <c r="EG12" s="239">
        <v>0</v>
      </c>
      <c r="EH12" s="239">
        <v>0</v>
      </c>
      <c r="EI12" s="239">
        <v>0</v>
      </c>
      <c r="EJ12" s="239">
        <v>0</v>
      </c>
      <c r="EK12" s="239">
        <v>0</v>
      </c>
      <c r="EL12" s="239">
        <v>0</v>
      </c>
      <c r="EM12" s="239">
        <v>0</v>
      </c>
      <c r="EN12" s="239">
        <v>0</v>
      </c>
      <c r="EO12" s="239">
        <v>0</v>
      </c>
      <c r="EP12" s="239">
        <v>0</v>
      </c>
      <c r="EQ12" s="239">
        <v>-65100</v>
      </c>
      <c r="ER12" s="239">
        <v>-494</v>
      </c>
      <c r="ES12" s="239">
        <v>-65594</v>
      </c>
      <c r="ET12" s="239">
        <v>-1931</v>
      </c>
      <c r="EU12" s="239">
        <v>0</v>
      </c>
      <c r="EV12" s="239">
        <v>-1931</v>
      </c>
      <c r="EW12" s="239">
        <v>0</v>
      </c>
      <c r="EX12" s="239">
        <v>0</v>
      </c>
      <c r="EY12" s="239">
        <v>0</v>
      </c>
      <c r="EZ12" s="239">
        <v>-1931</v>
      </c>
      <c r="FA12" s="239">
        <v>0</v>
      </c>
      <c r="FB12" s="239">
        <v>-1931</v>
      </c>
      <c r="FC12" s="239">
        <v>62118598</v>
      </c>
      <c r="FD12" s="239">
        <v>231813</v>
      </c>
      <c r="FE12" s="239">
        <v>62350411</v>
      </c>
      <c r="FF12" s="239">
        <v>37182</v>
      </c>
      <c r="FG12" s="239">
        <v>0</v>
      </c>
      <c r="FH12" s="239">
        <v>37182</v>
      </c>
      <c r="FI12" s="239">
        <v>-7030657</v>
      </c>
      <c r="FJ12" s="239">
        <v>0</v>
      </c>
      <c r="FK12" s="239">
        <v>-7030657</v>
      </c>
      <c r="FL12" s="239">
        <v>-2618452</v>
      </c>
      <c r="FM12" s="239">
        <v>0</v>
      </c>
      <c r="FN12" s="239">
        <v>-2618452</v>
      </c>
      <c r="FO12" s="239">
        <v>-345451</v>
      </c>
      <c r="FP12" s="239">
        <v>0</v>
      </c>
      <c r="FQ12" s="239">
        <v>-345451</v>
      </c>
      <c r="FR12" s="239">
        <v>-65100</v>
      </c>
      <c r="FS12" s="239">
        <v>-494</v>
      </c>
      <c r="FT12" s="239">
        <v>-65594</v>
      </c>
      <c r="FU12" s="239">
        <v>-1931</v>
      </c>
      <c r="FV12" s="239">
        <v>0</v>
      </c>
      <c r="FW12" s="239">
        <v>-1931</v>
      </c>
      <c r="FX12" s="239">
        <v>-10024409</v>
      </c>
      <c r="FY12" s="239">
        <v>-494</v>
      </c>
      <c r="FZ12" s="239">
        <v>-10024903</v>
      </c>
      <c r="GA12" s="239">
        <v>52094189</v>
      </c>
      <c r="GB12" s="239">
        <v>231319</v>
      </c>
      <c r="GC12" s="239">
        <v>52325508</v>
      </c>
      <c r="GD12" s="214" t="s">
        <v>1190</v>
      </c>
    </row>
    <row r="13" spans="2:186" s="214" customFormat="1" x14ac:dyDescent="0.2">
      <c r="B13" s="609" t="s">
        <v>108</v>
      </c>
      <c r="C13" s="609" t="s">
        <v>107</v>
      </c>
      <c r="D13" s="239">
        <v>0</v>
      </c>
      <c r="E13" s="239">
        <v>0</v>
      </c>
      <c r="F13" s="239">
        <v>0</v>
      </c>
      <c r="G13" s="239">
        <v>18907.03</v>
      </c>
      <c r="H13" s="239">
        <v>0</v>
      </c>
      <c r="I13" s="239">
        <v>18907.03</v>
      </c>
      <c r="J13" s="239">
        <v>0</v>
      </c>
      <c r="K13" s="239">
        <v>0</v>
      </c>
      <c r="L13" s="239">
        <v>0</v>
      </c>
      <c r="M13" s="239">
        <v>24990.79</v>
      </c>
      <c r="N13" s="239">
        <v>0</v>
      </c>
      <c r="O13" s="239">
        <v>24990.79</v>
      </c>
      <c r="P13" s="239">
        <v>43898</v>
      </c>
      <c r="Q13" s="239">
        <v>0</v>
      </c>
      <c r="R13" s="239">
        <v>43898</v>
      </c>
      <c r="S13" s="239">
        <v>-2384299</v>
      </c>
      <c r="T13" s="239">
        <v>0</v>
      </c>
      <c r="U13" s="239">
        <v>-2384299</v>
      </c>
      <c r="V13" s="239">
        <v>-16479</v>
      </c>
      <c r="W13" s="239">
        <v>0</v>
      </c>
      <c r="X13" s="239">
        <v>-16479</v>
      </c>
      <c r="Y13" s="239">
        <v>-154063</v>
      </c>
      <c r="Z13" s="239">
        <v>0</v>
      </c>
      <c r="AA13" s="239">
        <v>-154063</v>
      </c>
      <c r="AB13" s="239">
        <v>-109448</v>
      </c>
      <c r="AC13" s="239">
        <v>0</v>
      </c>
      <c r="AD13" s="239">
        <v>-109448</v>
      </c>
      <c r="AE13" s="239">
        <v>-3295</v>
      </c>
      <c r="AF13" s="239">
        <v>0</v>
      </c>
      <c r="AG13" s="239">
        <v>-3295</v>
      </c>
      <c r="AH13" s="239">
        <v>618254</v>
      </c>
      <c r="AI13" s="239">
        <v>0</v>
      </c>
      <c r="AJ13" s="239">
        <v>618254</v>
      </c>
      <c r="AK13" s="239">
        <v>2944</v>
      </c>
      <c r="AL13" s="239">
        <v>0</v>
      </c>
      <c r="AM13" s="239">
        <v>2944</v>
      </c>
      <c r="AN13" s="239">
        <v>-2110451</v>
      </c>
      <c r="AO13" s="239">
        <v>0</v>
      </c>
      <c r="AP13" s="239">
        <v>-2110451</v>
      </c>
      <c r="AQ13" s="239">
        <v>-628965</v>
      </c>
      <c r="AR13" s="239">
        <v>0</v>
      </c>
      <c r="AS13" s="239">
        <v>-628965</v>
      </c>
      <c r="AT13" s="239">
        <v>-58478</v>
      </c>
      <c r="AU13" s="239">
        <v>0</v>
      </c>
      <c r="AV13" s="239">
        <v>-58478</v>
      </c>
      <c r="AW13" s="239">
        <v>0</v>
      </c>
      <c r="AX13" s="239">
        <v>0</v>
      </c>
      <c r="AY13" s="239">
        <v>0</v>
      </c>
      <c r="AZ13" s="239">
        <v>-86725</v>
      </c>
      <c r="BA13" s="239">
        <v>0</v>
      </c>
      <c r="BB13" s="239">
        <v>-86725</v>
      </c>
      <c r="BC13" s="239">
        <v>3046</v>
      </c>
      <c r="BD13" s="239">
        <v>0</v>
      </c>
      <c r="BE13" s="239">
        <v>3046</v>
      </c>
      <c r="BF13" s="239">
        <v>-4798737</v>
      </c>
      <c r="BG13" s="239">
        <v>0</v>
      </c>
      <c r="BH13" s="239">
        <v>-4798737</v>
      </c>
      <c r="BI13" s="239">
        <v>-4182</v>
      </c>
      <c r="BJ13" s="239">
        <v>0</v>
      </c>
      <c r="BK13" s="239">
        <v>-4182</v>
      </c>
      <c r="BL13" s="239">
        <v>-360</v>
      </c>
      <c r="BM13" s="239">
        <v>0</v>
      </c>
      <c r="BN13" s="239">
        <v>-360</v>
      </c>
      <c r="BO13" s="239">
        <v>-455117</v>
      </c>
      <c r="BP13" s="239">
        <v>0</v>
      </c>
      <c r="BQ13" s="239">
        <v>-455117</v>
      </c>
      <c r="BR13" s="239">
        <v>-10902</v>
      </c>
      <c r="BS13" s="239">
        <v>0</v>
      </c>
      <c r="BT13" s="239">
        <v>-10902</v>
      </c>
      <c r="BU13" s="239">
        <v>-470561</v>
      </c>
      <c r="BV13" s="239">
        <v>0</v>
      </c>
      <c r="BW13" s="239">
        <v>-470561</v>
      </c>
      <c r="BX13" s="239">
        <v>-44159</v>
      </c>
      <c r="BY13" s="239">
        <v>0</v>
      </c>
      <c r="BZ13" s="239">
        <v>-44159</v>
      </c>
      <c r="CA13" s="239">
        <v>260</v>
      </c>
      <c r="CB13" s="239">
        <v>0</v>
      </c>
      <c r="CC13" s="239">
        <v>260</v>
      </c>
      <c r="CD13" s="239">
        <v>-9412</v>
      </c>
      <c r="CE13" s="239">
        <v>0</v>
      </c>
      <c r="CF13" s="239">
        <v>-9412</v>
      </c>
      <c r="CG13" s="239">
        <v>0</v>
      </c>
      <c r="CH13" s="239">
        <v>0</v>
      </c>
      <c r="CI13" s="239">
        <v>0</v>
      </c>
      <c r="CJ13" s="239">
        <v>-7310</v>
      </c>
      <c r="CK13" s="239">
        <v>0</v>
      </c>
      <c r="CL13" s="239">
        <v>-7310</v>
      </c>
      <c r="CM13" s="239">
        <v>0</v>
      </c>
      <c r="CN13" s="239">
        <v>0</v>
      </c>
      <c r="CO13" s="239">
        <v>0</v>
      </c>
      <c r="CP13" s="239">
        <v>-71485</v>
      </c>
      <c r="CQ13" s="239">
        <v>0</v>
      </c>
      <c r="CR13" s="239">
        <v>-71485</v>
      </c>
      <c r="CS13" s="239">
        <v>2436</v>
      </c>
      <c r="CT13" s="239">
        <v>0</v>
      </c>
      <c r="CU13" s="239">
        <v>2436</v>
      </c>
      <c r="CV13" s="239">
        <v>-12463</v>
      </c>
      <c r="CW13" s="239">
        <v>0</v>
      </c>
      <c r="CX13" s="239">
        <v>-12463</v>
      </c>
      <c r="CY13" s="239">
        <v>0</v>
      </c>
      <c r="CZ13" s="239">
        <v>0</v>
      </c>
      <c r="DA13" s="239">
        <v>0</v>
      </c>
      <c r="DB13" s="239">
        <v>0</v>
      </c>
      <c r="DC13" s="239">
        <v>0</v>
      </c>
      <c r="DD13" s="239">
        <v>0</v>
      </c>
      <c r="DE13" s="239">
        <v>0</v>
      </c>
      <c r="DF13" s="239">
        <v>0</v>
      </c>
      <c r="DG13" s="239">
        <v>0</v>
      </c>
      <c r="DH13" s="239">
        <v>0</v>
      </c>
      <c r="DI13" s="239">
        <v>0</v>
      </c>
      <c r="DJ13" s="239">
        <v>-142133</v>
      </c>
      <c r="DK13" s="239">
        <v>0</v>
      </c>
      <c r="DL13" s="239">
        <v>-142133</v>
      </c>
      <c r="DM13" s="239">
        <v>-9461</v>
      </c>
      <c r="DN13" s="239">
        <v>0</v>
      </c>
      <c r="DO13" s="239">
        <v>-9461</v>
      </c>
      <c r="DP13" s="239">
        <v>-752</v>
      </c>
      <c r="DQ13" s="239">
        <v>0</v>
      </c>
      <c r="DR13" s="239">
        <v>-752</v>
      </c>
      <c r="DS13" s="239">
        <v>-16443</v>
      </c>
      <c r="DT13" s="239">
        <v>0</v>
      </c>
      <c r="DU13" s="239">
        <v>-16443</v>
      </c>
      <c r="DV13" s="239">
        <v>0</v>
      </c>
      <c r="DW13" s="239">
        <v>0</v>
      </c>
      <c r="DX13" s="239">
        <v>0</v>
      </c>
      <c r="DY13" s="239">
        <v>0</v>
      </c>
      <c r="DZ13" s="239">
        <v>0</v>
      </c>
      <c r="EA13" s="239">
        <v>0</v>
      </c>
      <c r="EB13" s="239">
        <v>2895</v>
      </c>
      <c r="EC13" s="239">
        <v>0</v>
      </c>
      <c r="ED13" s="239">
        <v>2895</v>
      </c>
      <c r="EE13" s="239">
        <v>0</v>
      </c>
      <c r="EF13" s="239">
        <v>0</v>
      </c>
      <c r="EG13" s="239">
        <v>0</v>
      </c>
      <c r="EH13" s="239">
        <v>0</v>
      </c>
      <c r="EI13" s="239">
        <v>0</v>
      </c>
      <c r="EJ13" s="239">
        <v>0</v>
      </c>
      <c r="EK13" s="239">
        <v>0</v>
      </c>
      <c r="EL13" s="239">
        <v>0</v>
      </c>
      <c r="EM13" s="239">
        <v>0</v>
      </c>
      <c r="EN13" s="239">
        <v>0</v>
      </c>
      <c r="EO13" s="239">
        <v>0</v>
      </c>
      <c r="EP13" s="239">
        <v>0</v>
      </c>
      <c r="EQ13" s="239">
        <v>-23761</v>
      </c>
      <c r="ER13" s="239">
        <v>0</v>
      </c>
      <c r="ES13" s="239">
        <v>-23761</v>
      </c>
      <c r="ET13" s="239">
        <v>0</v>
      </c>
      <c r="EU13" s="239">
        <v>0</v>
      </c>
      <c r="EV13" s="239">
        <v>0</v>
      </c>
      <c r="EW13" s="239">
        <v>0</v>
      </c>
      <c r="EX13" s="239">
        <v>0</v>
      </c>
      <c r="EY13" s="239">
        <v>0</v>
      </c>
      <c r="EZ13" s="239">
        <v>0</v>
      </c>
      <c r="FA13" s="239">
        <v>0</v>
      </c>
      <c r="FB13" s="239">
        <v>0</v>
      </c>
      <c r="FC13" s="239">
        <v>28815258</v>
      </c>
      <c r="FD13" s="239">
        <v>0</v>
      </c>
      <c r="FE13" s="239">
        <v>28815258</v>
      </c>
      <c r="FF13" s="239">
        <v>43898</v>
      </c>
      <c r="FG13" s="239">
        <v>0</v>
      </c>
      <c r="FH13" s="239">
        <v>43898</v>
      </c>
      <c r="FI13" s="239">
        <v>-4798737</v>
      </c>
      <c r="FJ13" s="239">
        <v>0</v>
      </c>
      <c r="FK13" s="239">
        <v>-4798737</v>
      </c>
      <c r="FL13" s="239">
        <v>-470561</v>
      </c>
      <c r="FM13" s="239">
        <v>0</v>
      </c>
      <c r="FN13" s="239">
        <v>-470561</v>
      </c>
      <c r="FO13" s="239">
        <v>-142133</v>
      </c>
      <c r="FP13" s="239">
        <v>0</v>
      </c>
      <c r="FQ13" s="239">
        <v>-142133</v>
      </c>
      <c r="FR13" s="239">
        <v>-23761</v>
      </c>
      <c r="FS13" s="239">
        <v>0</v>
      </c>
      <c r="FT13" s="239">
        <v>-23761</v>
      </c>
      <c r="FU13" s="239">
        <v>0</v>
      </c>
      <c r="FV13" s="239">
        <v>0</v>
      </c>
      <c r="FW13" s="239">
        <v>0</v>
      </c>
      <c r="FX13" s="239">
        <v>-5391294</v>
      </c>
      <c r="FY13" s="239">
        <v>0</v>
      </c>
      <c r="FZ13" s="239">
        <v>-5391294</v>
      </c>
      <c r="GA13" s="239">
        <v>23423964</v>
      </c>
      <c r="GB13" s="239">
        <v>0</v>
      </c>
      <c r="GC13" s="239">
        <v>23423964</v>
      </c>
      <c r="GD13" s="214" t="s">
        <v>1190</v>
      </c>
    </row>
    <row r="14" spans="2:186" s="214" customFormat="1" x14ac:dyDescent="0.2">
      <c r="B14" s="609" t="s">
        <v>110</v>
      </c>
      <c r="C14" s="609" t="s">
        <v>109</v>
      </c>
      <c r="D14" s="239">
        <v>0</v>
      </c>
      <c r="E14" s="239">
        <v>0</v>
      </c>
      <c r="F14" s="239">
        <v>0</v>
      </c>
      <c r="G14" s="239">
        <v>33869</v>
      </c>
      <c r="H14" s="239">
        <v>0</v>
      </c>
      <c r="I14" s="239">
        <v>33869</v>
      </c>
      <c r="J14" s="239">
        <v>0</v>
      </c>
      <c r="K14" s="239">
        <v>0</v>
      </c>
      <c r="L14" s="239">
        <v>0</v>
      </c>
      <c r="M14" s="239">
        <v>125157</v>
      </c>
      <c r="N14" s="239">
        <v>0</v>
      </c>
      <c r="O14" s="239">
        <v>125157</v>
      </c>
      <c r="P14" s="239">
        <v>159026</v>
      </c>
      <c r="Q14" s="239">
        <v>0</v>
      </c>
      <c r="R14" s="239">
        <v>159026</v>
      </c>
      <c r="S14" s="239">
        <v>-2774270</v>
      </c>
      <c r="T14" s="239">
        <v>0</v>
      </c>
      <c r="U14" s="239">
        <v>-2774270</v>
      </c>
      <c r="V14" s="239">
        <v>-7195</v>
      </c>
      <c r="W14" s="239">
        <v>0</v>
      </c>
      <c r="X14" s="239">
        <v>-7195</v>
      </c>
      <c r="Y14" s="239">
        <v>-109031</v>
      </c>
      <c r="Z14" s="239">
        <v>0</v>
      </c>
      <c r="AA14" s="239">
        <v>-109031</v>
      </c>
      <c r="AB14" s="239">
        <v>0</v>
      </c>
      <c r="AC14" s="239">
        <v>0</v>
      </c>
      <c r="AD14" s="239">
        <v>0</v>
      </c>
      <c r="AE14" s="239">
        <v>0</v>
      </c>
      <c r="AF14" s="239">
        <v>0</v>
      </c>
      <c r="AG14" s="239">
        <v>0</v>
      </c>
      <c r="AH14" s="239">
        <v>1508766</v>
      </c>
      <c r="AI14" s="239">
        <v>0</v>
      </c>
      <c r="AJ14" s="239">
        <v>1508766</v>
      </c>
      <c r="AK14" s="239">
        <v>-47777</v>
      </c>
      <c r="AL14" s="239">
        <v>0</v>
      </c>
      <c r="AM14" s="239">
        <v>-47777</v>
      </c>
      <c r="AN14" s="239">
        <v>-3606573</v>
      </c>
      <c r="AO14" s="239">
        <v>0</v>
      </c>
      <c r="AP14" s="239">
        <v>-3606573</v>
      </c>
      <c r="AQ14" s="239">
        <v>4636</v>
      </c>
      <c r="AR14" s="239">
        <v>0</v>
      </c>
      <c r="AS14" s="239">
        <v>4636</v>
      </c>
      <c r="AT14" s="239">
        <v>-22425</v>
      </c>
      <c r="AU14" s="239">
        <v>0</v>
      </c>
      <c r="AV14" s="239">
        <v>-22425</v>
      </c>
      <c r="AW14" s="239">
        <v>-2485</v>
      </c>
      <c r="AX14" s="239">
        <v>0</v>
      </c>
      <c r="AY14" s="239">
        <v>-2485</v>
      </c>
      <c r="AZ14" s="239">
        <v>0</v>
      </c>
      <c r="BA14" s="239">
        <v>0</v>
      </c>
      <c r="BB14" s="239">
        <v>0</v>
      </c>
      <c r="BC14" s="239">
        <v>0</v>
      </c>
      <c r="BD14" s="239">
        <v>0</v>
      </c>
      <c r="BE14" s="239">
        <v>0</v>
      </c>
      <c r="BF14" s="239">
        <v>-5049159</v>
      </c>
      <c r="BG14" s="239">
        <v>0</v>
      </c>
      <c r="BH14" s="239">
        <v>-5049159</v>
      </c>
      <c r="BI14" s="239">
        <v>-15942</v>
      </c>
      <c r="BJ14" s="239">
        <v>0</v>
      </c>
      <c r="BK14" s="239">
        <v>-15942</v>
      </c>
      <c r="BL14" s="239">
        <v>-4233</v>
      </c>
      <c r="BM14" s="239">
        <v>0</v>
      </c>
      <c r="BN14" s="239">
        <v>-4233</v>
      </c>
      <c r="BO14" s="239">
        <v>-3048683</v>
      </c>
      <c r="BP14" s="239">
        <v>0</v>
      </c>
      <c r="BQ14" s="239">
        <v>-3048683</v>
      </c>
      <c r="BR14" s="239">
        <v>-394815</v>
      </c>
      <c r="BS14" s="239">
        <v>0</v>
      </c>
      <c r="BT14" s="239">
        <v>-394815</v>
      </c>
      <c r="BU14" s="239">
        <v>-3463673</v>
      </c>
      <c r="BV14" s="239">
        <v>0</v>
      </c>
      <c r="BW14" s="239">
        <v>-3463673</v>
      </c>
      <c r="BX14" s="239">
        <v>-217638</v>
      </c>
      <c r="BY14" s="239">
        <v>0</v>
      </c>
      <c r="BZ14" s="239">
        <v>-217638</v>
      </c>
      <c r="CA14" s="239">
        <v>12390</v>
      </c>
      <c r="CB14" s="239">
        <v>0</v>
      </c>
      <c r="CC14" s="239">
        <v>12390</v>
      </c>
      <c r="CD14" s="239">
        <v>-2468</v>
      </c>
      <c r="CE14" s="239">
        <v>0</v>
      </c>
      <c r="CF14" s="239">
        <v>-2468</v>
      </c>
      <c r="CG14" s="239">
        <v>12029</v>
      </c>
      <c r="CH14" s="239">
        <v>0</v>
      </c>
      <c r="CI14" s="239">
        <v>12029</v>
      </c>
      <c r="CJ14" s="239">
        <v>-5606</v>
      </c>
      <c r="CK14" s="239">
        <v>0</v>
      </c>
      <c r="CL14" s="239">
        <v>-5606</v>
      </c>
      <c r="CM14" s="239">
        <v>-5403</v>
      </c>
      <c r="CN14" s="239">
        <v>0</v>
      </c>
      <c r="CO14" s="239">
        <v>-5403</v>
      </c>
      <c r="CP14" s="239">
        <v>0</v>
      </c>
      <c r="CQ14" s="239">
        <v>0</v>
      </c>
      <c r="CR14" s="239">
        <v>0</v>
      </c>
      <c r="CS14" s="239">
        <v>0</v>
      </c>
      <c r="CT14" s="239">
        <v>0</v>
      </c>
      <c r="CU14" s="239">
        <v>0</v>
      </c>
      <c r="CV14" s="239">
        <v>0</v>
      </c>
      <c r="CW14" s="239">
        <v>0</v>
      </c>
      <c r="CX14" s="239">
        <v>0</v>
      </c>
      <c r="CY14" s="239">
        <v>0</v>
      </c>
      <c r="CZ14" s="239">
        <v>0</v>
      </c>
      <c r="DA14" s="239">
        <v>0</v>
      </c>
      <c r="DB14" s="239">
        <v>-437360</v>
      </c>
      <c r="DC14" s="239">
        <v>0</v>
      </c>
      <c r="DD14" s="239">
        <v>-437360</v>
      </c>
      <c r="DE14" s="239">
        <v>0</v>
      </c>
      <c r="DF14" s="239">
        <v>0</v>
      </c>
      <c r="DG14" s="239">
        <v>0</v>
      </c>
      <c r="DH14" s="239">
        <v>0</v>
      </c>
      <c r="DI14" s="239">
        <v>0</v>
      </c>
      <c r="DJ14" s="239">
        <v>-644056</v>
      </c>
      <c r="DK14" s="239">
        <v>0</v>
      </c>
      <c r="DL14" s="239">
        <v>-644056</v>
      </c>
      <c r="DM14" s="239">
        <v>0</v>
      </c>
      <c r="DN14" s="239">
        <v>0</v>
      </c>
      <c r="DO14" s="239">
        <v>0</v>
      </c>
      <c r="DP14" s="239">
        <v>0</v>
      </c>
      <c r="DQ14" s="239">
        <v>0</v>
      </c>
      <c r="DR14" s="239">
        <v>0</v>
      </c>
      <c r="DS14" s="239">
        <v>0</v>
      </c>
      <c r="DT14" s="239">
        <v>0</v>
      </c>
      <c r="DU14" s="239">
        <v>0</v>
      </c>
      <c r="DV14" s="239">
        <v>0</v>
      </c>
      <c r="DW14" s="239">
        <v>0</v>
      </c>
      <c r="DX14" s="239">
        <v>0</v>
      </c>
      <c r="DY14" s="239">
        <v>0</v>
      </c>
      <c r="DZ14" s="239">
        <v>0</v>
      </c>
      <c r="EA14" s="239">
        <v>0</v>
      </c>
      <c r="EB14" s="239">
        <v>22357</v>
      </c>
      <c r="EC14" s="239">
        <v>0</v>
      </c>
      <c r="ED14" s="239">
        <v>22357</v>
      </c>
      <c r="EE14" s="239">
        <v>0</v>
      </c>
      <c r="EF14" s="239">
        <v>0</v>
      </c>
      <c r="EG14" s="239">
        <v>0</v>
      </c>
      <c r="EH14" s="239">
        <v>0</v>
      </c>
      <c r="EI14" s="239">
        <v>0</v>
      </c>
      <c r="EJ14" s="239">
        <v>0</v>
      </c>
      <c r="EK14" s="239">
        <v>0</v>
      </c>
      <c r="EL14" s="239">
        <v>0</v>
      </c>
      <c r="EM14" s="239">
        <v>0</v>
      </c>
      <c r="EN14" s="239">
        <v>0</v>
      </c>
      <c r="EO14" s="239">
        <v>0</v>
      </c>
      <c r="EP14" s="239">
        <v>0</v>
      </c>
      <c r="EQ14" s="239">
        <v>22357</v>
      </c>
      <c r="ER14" s="239">
        <v>0</v>
      </c>
      <c r="ES14" s="239">
        <v>22357</v>
      </c>
      <c r="ET14" s="239">
        <v>0</v>
      </c>
      <c r="EU14" s="239">
        <v>0</v>
      </c>
      <c r="EV14" s="239">
        <v>0</v>
      </c>
      <c r="EW14" s="239">
        <v>0</v>
      </c>
      <c r="EX14" s="239">
        <v>0</v>
      </c>
      <c r="EY14" s="239">
        <v>0</v>
      </c>
      <c r="EZ14" s="239">
        <v>0</v>
      </c>
      <c r="FA14" s="239">
        <v>0</v>
      </c>
      <c r="FB14" s="239">
        <v>0</v>
      </c>
      <c r="FC14" s="239">
        <v>65544712</v>
      </c>
      <c r="FD14" s="239">
        <v>0</v>
      </c>
      <c r="FE14" s="239">
        <v>65544712</v>
      </c>
      <c r="FF14" s="239">
        <v>159026</v>
      </c>
      <c r="FG14" s="239">
        <v>0</v>
      </c>
      <c r="FH14" s="239">
        <v>159026</v>
      </c>
      <c r="FI14" s="239">
        <v>-5049159</v>
      </c>
      <c r="FJ14" s="239">
        <v>0</v>
      </c>
      <c r="FK14" s="239">
        <v>-5049159</v>
      </c>
      <c r="FL14" s="239">
        <v>-3463673</v>
      </c>
      <c r="FM14" s="239">
        <v>0</v>
      </c>
      <c r="FN14" s="239">
        <v>-3463673</v>
      </c>
      <c r="FO14" s="239">
        <v>-644056</v>
      </c>
      <c r="FP14" s="239">
        <v>0</v>
      </c>
      <c r="FQ14" s="239">
        <v>-644056</v>
      </c>
      <c r="FR14" s="239">
        <v>22357</v>
      </c>
      <c r="FS14" s="239">
        <v>0</v>
      </c>
      <c r="FT14" s="239">
        <v>22357</v>
      </c>
      <c r="FU14" s="239">
        <v>0</v>
      </c>
      <c r="FV14" s="239">
        <v>0</v>
      </c>
      <c r="FW14" s="239">
        <v>0</v>
      </c>
      <c r="FX14" s="239">
        <v>-8975505</v>
      </c>
      <c r="FY14" s="239">
        <v>0</v>
      </c>
      <c r="FZ14" s="239">
        <v>-8975505</v>
      </c>
      <c r="GA14" s="239">
        <v>56569207</v>
      </c>
      <c r="GB14" s="239">
        <v>0</v>
      </c>
      <c r="GC14" s="239">
        <v>56569207</v>
      </c>
      <c r="GD14" s="214" t="s">
        <v>1191</v>
      </c>
    </row>
    <row r="15" spans="2:186" s="214" customFormat="1" x14ac:dyDescent="0.2">
      <c r="B15" s="609" t="s">
        <v>112</v>
      </c>
      <c r="C15" s="609" t="s">
        <v>111</v>
      </c>
      <c r="D15" s="239">
        <v>0</v>
      </c>
      <c r="E15" s="239">
        <v>0</v>
      </c>
      <c r="F15" s="239">
        <v>0</v>
      </c>
      <c r="G15" s="239">
        <v>156782</v>
      </c>
      <c r="H15" s="239">
        <v>0</v>
      </c>
      <c r="I15" s="239">
        <v>156782</v>
      </c>
      <c r="J15" s="239">
        <v>0</v>
      </c>
      <c r="K15" s="239">
        <v>0</v>
      </c>
      <c r="L15" s="239">
        <v>0</v>
      </c>
      <c r="M15" s="239">
        <v>86398</v>
      </c>
      <c r="N15" s="239">
        <v>0</v>
      </c>
      <c r="O15" s="239">
        <v>86398</v>
      </c>
      <c r="P15" s="239">
        <v>243180</v>
      </c>
      <c r="Q15" s="239">
        <v>0</v>
      </c>
      <c r="R15" s="239">
        <v>243180</v>
      </c>
      <c r="S15" s="239">
        <v>-4044025</v>
      </c>
      <c r="T15" s="239">
        <v>0</v>
      </c>
      <c r="U15" s="239">
        <v>-4044025</v>
      </c>
      <c r="V15" s="239">
        <v>0</v>
      </c>
      <c r="W15" s="239">
        <v>0</v>
      </c>
      <c r="X15" s="239">
        <v>0</v>
      </c>
      <c r="Y15" s="239">
        <v>-476807</v>
      </c>
      <c r="Z15" s="239">
        <v>0</v>
      </c>
      <c r="AA15" s="239">
        <v>-476807</v>
      </c>
      <c r="AB15" s="239">
        <v>-326262</v>
      </c>
      <c r="AC15" s="239">
        <v>0</v>
      </c>
      <c r="AD15" s="239">
        <v>-326262</v>
      </c>
      <c r="AE15" s="239">
        <v>0</v>
      </c>
      <c r="AF15" s="239">
        <v>0</v>
      </c>
      <c r="AG15" s="239">
        <v>0</v>
      </c>
      <c r="AH15" s="239">
        <v>2811567</v>
      </c>
      <c r="AI15" s="239">
        <v>0</v>
      </c>
      <c r="AJ15" s="239">
        <v>2811567</v>
      </c>
      <c r="AK15" s="239">
        <v>-101748</v>
      </c>
      <c r="AL15" s="239">
        <v>0</v>
      </c>
      <c r="AM15" s="239">
        <v>-101748</v>
      </c>
      <c r="AN15" s="239">
        <v>-11645160</v>
      </c>
      <c r="AO15" s="239">
        <v>0</v>
      </c>
      <c r="AP15" s="239">
        <v>-11645160</v>
      </c>
      <c r="AQ15" s="239">
        <v>110689</v>
      </c>
      <c r="AR15" s="239">
        <v>0</v>
      </c>
      <c r="AS15" s="239">
        <v>110689</v>
      </c>
      <c r="AT15" s="239">
        <v>-210171</v>
      </c>
      <c r="AU15" s="239">
        <v>0</v>
      </c>
      <c r="AV15" s="239">
        <v>-210171</v>
      </c>
      <c r="AW15" s="239">
        <v>33892</v>
      </c>
      <c r="AX15" s="239">
        <v>0</v>
      </c>
      <c r="AY15" s="239">
        <v>33892</v>
      </c>
      <c r="AZ15" s="239">
        <v>0</v>
      </c>
      <c r="BA15" s="239">
        <v>0</v>
      </c>
      <c r="BB15" s="239">
        <v>0</v>
      </c>
      <c r="BC15" s="239">
        <v>0</v>
      </c>
      <c r="BD15" s="239">
        <v>0</v>
      </c>
      <c r="BE15" s="239">
        <v>0</v>
      </c>
      <c r="BF15" s="239">
        <v>-13521763</v>
      </c>
      <c r="BG15" s="239">
        <v>0</v>
      </c>
      <c r="BH15" s="239">
        <v>-13521763</v>
      </c>
      <c r="BI15" s="239">
        <v>-48034</v>
      </c>
      <c r="BJ15" s="239">
        <v>0</v>
      </c>
      <c r="BK15" s="239">
        <v>-48034</v>
      </c>
      <c r="BL15" s="239">
        <v>0</v>
      </c>
      <c r="BM15" s="239">
        <v>0</v>
      </c>
      <c r="BN15" s="239">
        <v>0</v>
      </c>
      <c r="BO15" s="239">
        <v>-3331118</v>
      </c>
      <c r="BP15" s="239">
        <v>0</v>
      </c>
      <c r="BQ15" s="239">
        <v>-3331118</v>
      </c>
      <c r="BR15" s="239">
        <v>-49594</v>
      </c>
      <c r="BS15" s="239">
        <v>0</v>
      </c>
      <c r="BT15" s="239">
        <v>-49594</v>
      </c>
      <c r="BU15" s="239">
        <v>-3428746</v>
      </c>
      <c r="BV15" s="239">
        <v>0</v>
      </c>
      <c r="BW15" s="239">
        <v>-3428746</v>
      </c>
      <c r="BX15" s="239">
        <v>-927893</v>
      </c>
      <c r="BY15" s="239">
        <v>0</v>
      </c>
      <c r="BZ15" s="239">
        <v>-927893</v>
      </c>
      <c r="CA15" s="239">
        <v>24048</v>
      </c>
      <c r="CB15" s="239">
        <v>0</v>
      </c>
      <c r="CC15" s="239">
        <v>24048</v>
      </c>
      <c r="CD15" s="239">
        <v>-78628</v>
      </c>
      <c r="CE15" s="239">
        <v>0</v>
      </c>
      <c r="CF15" s="239">
        <v>-78628</v>
      </c>
      <c r="CG15" s="239">
        <v>-2390</v>
      </c>
      <c r="CH15" s="239">
        <v>0</v>
      </c>
      <c r="CI15" s="239">
        <v>-2390</v>
      </c>
      <c r="CJ15" s="239">
        <v>-5188</v>
      </c>
      <c r="CK15" s="239">
        <v>0</v>
      </c>
      <c r="CL15" s="239">
        <v>-5188</v>
      </c>
      <c r="CM15" s="239">
        <v>0</v>
      </c>
      <c r="CN15" s="239">
        <v>0</v>
      </c>
      <c r="CO15" s="239">
        <v>0</v>
      </c>
      <c r="CP15" s="239">
        <v>0</v>
      </c>
      <c r="CQ15" s="239">
        <v>0</v>
      </c>
      <c r="CR15" s="239">
        <v>0</v>
      </c>
      <c r="CS15" s="239">
        <v>0</v>
      </c>
      <c r="CT15" s="239">
        <v>0</v>
      </c>
      <c r="CU15" s="239">
        <v>0</v>
      </c>
      <c r="CV15" s="239">
        <v>0</v>
      </c>
      <c r="CW15" s="239">
        <v>0</v>
      </c>
      <c r="CX15" s="239">
        <v>0</v>
      </c>
      <c r="CY15" s="239">
        <v>0</v>
      </c>
      <c r="CZ15" s="239">
        <v>0</v>
      </c>
      <c r="DA15" s="239">
        <v>0</v>
      </c>
      <c r="DB15" s="239">
        <v>0</v>
      </c>
      <c r="DC15" s="239">
        <v>0</v>
      </c>
      <c r="DD15" s="239">
        <v>0</v>
      </c>
      <c r="DE15" s="239">
        <v>0</v>
      </c>
      <c r="DF15" s="239">
        <v>0</v>
      </c>
      <c r="DG15" s="239">
        <v>0</v>
      </c>
      <c r="DH15" s="239">
        <v>0</v>
      </c>
      <c r="DI15" s="239">
        <v>0</v>
      </c>
      <c r="DJ15" s="239">
        <v>-990051</v>
      </c>
      <c r="DK15" s="239">
        <v>0</v>
      </c>
      <c r="DL15" s="239">
        <v>-990051</v>
      </c>
      <c r="DM15" s="239">
        <v>0</v>
      </c>
      <c r="DN15" s="239">
        <v>0</v>
      </c>
      <c r="DO15" s="239">
        <v>0</v>
      </c>
      <c r="DP15" s="239">
        <v>-9500</v>
      </c>
      <c r="DQ15" s="239">
        <v>0</v>
      </c>
      <c r="DR15" s="239">
        <v>-9500</v>
      </c>
      <c r="DS15" s="239">
        <v>-19096</v>
      </c>
      <c r="DT15" s="239">
        <v>0</v>
      </c>
      <c r="DU15" s="239">
        <v>-19096</v>
      </c>
      <c r="DV15" s="239">
        <v>49540</v>
      </c>
      <c r="DW15" s="239">
        <v>0</v>
      </c>
      <c r="DX15" s="239">
        <v>49540</v>
      </c>
      <c r="DY15" s="239">
        <v>0</v>
      </c>
      <c r="DZ15" s="239">
        <v>0</v>
      </c>
      <c r="EA15" s="239">
        <v>0</v>
      </c>
      <c r="EB15" s="239">
        <v>-9658</v>
      </c>
      <c r="EC15" s="239">
        <v>0</v>
      </c>
      <c r="ED15" s="239">
        <v>-9658</v>
      </c>
      <c r="EE15" s="239">
        <v>0</v>
      </c>
      <c r="EF15" s="239">
        <v>0</v>
      </c>
      <c r="EG15" s="239">
        <v>0</v>
      </c>
      <c r="EH15" s="239">
        <v>0</v>
      </c>
      <c r="EI15" s="239">
        <v>0</v>
      </c>
      <c r="EJ15" s="239">
        <v>0</v>
      </c>
      <c r="EK15" s="239">
        <v>-11113</v>
      </c>
      <c r="EL15" s="239">
        <v>0</v>
      </c>
      <c r="EM15" s="239">
        <v>-11113</v>
      </c>
      <c r="EN15" s="239">
        <v>365</v>
      </c>
      <c r="EO15" s="239">
        <v>0</v>
      </c>
      <c r="EP15" s="239">
        <v>365</v>
      </c>
      <c r="EQ15" s="239">
        <v>538</v>
      </c>
      <c r="ER15" s="239">
        <v>0</v>
      </c>
      <c r="ES15" s="239">
        <v>538</v>
      </c>
      <c r="ET15" s="239">
        <v>0</v>
      </c>
      <c r="EU15" s="239">
        <v>0</v>
      </c>
      <c r="EV15" s="239">
        <v>0</v>
      </c>
      <c r="EW15" s="239">
        <v>0</v>
      </c>
      <c r="EX15" s="239">
        <v>0</v>
      </c>
      <c r="EY15" s="239">
        <v>0</v>
      </c>
      <c r="EZ15" s="239">
        <v>0</v>
      </c>
      <c r="FA15" s="239">
        <v>0</v>
      </c>
      <c r="FB15" s="239">
        <v>0</v>
      </c>
      <c r="FC15" s="239">
        <v>127878683</v>
      </c>
      <c r="FD15" s="239">
        <v>0</v>
      </c>
      <c r="FE15" s="239">
        <v>127878683</v>
      </c>
      <c r="FF15" s="239">
        <v>243180</v>
      </c>
      <c r="FG15" s="239">
        <v>0</v>
      </c>
      <c r="FH15" s="239">
        <v>243180</v>
      </c>
      <c r="FI15" s="239">
        <v>-13521763</v>
      </c>
      <c r="FJ15" s="239">
        <v>0</v>
      </c>
      <c r="FK15" s="239">
        <v>-13521763</v>
      </c>
      <c r="FL15" s="239">
        <v>-3428746</v>
      </c>
      <c r="FM15" s="239">
        <v>0</v>
      </c>
      <c r="FN15" s="239">
        <v>-3428746</v>
      </c>
      <c r="FO15" s="239">
        <v>-990051</v>
      </c>
      <c r="FP15" s="239">
        <v>0</v>
      </c>
      <c r="FQ15" s="239">
        <v>-990051</v>
      </c>
      <c r="FR15" s="239">
        <v>538</v>
      </c>
      <c r="FS15" s="239">
        <v>0</v>
      </c>
      <c r="FT15" s="239">
        <v>538</v>
      </c>
      <c r="FU15" s="239">
        <v>0</v>
      </c>
      <c r="FV15" s="239">
        <v>0</v>
      </c>
      <c r="FW15" s="239">
        <v>0</v>
      </c>
      <c r="FX15" s="239">
        <v>-17696842</v>
      </c>
      <c r="FY15" s="239">
        <v>0</v>
      </c>
      <c r="FZ15" s="239">
        <v>-17696842</v>
      </c>
      <c r="GA15" s="239">
        <v>110181841</v>
      </c>
      <c r="GB15" s="239">
        <v>0</v>
      </c>
      <c r="GC15" s="239">
        <v>110181841</v>
      </c>
      <c r="GD15" s="214" t="s">
        <v>1191</v>
      </c>
    </row>
    <row r="16" spans="2:186" s="214" customFormat="1" x14ac:dyDescent="0.2">
      <c r="B16" s="609" t="s">
        <v>114</v>
      </c>
      <c r="C16" s="609" t="s">
        <v>113</v>
      </c>
      <c r="D16" s="239">
        <v>0</v>
      </c>
      <c r="E16" s="239">
        <v>0</v>
      </c>
      <c r="F16" s="239">
        <v>0</v>
      </c>
      <c r="G16" s="239">
        <v>13224</v>
      </c>
      <c r="H16" s="239">
        <v>0</v>
      </c>
      <c r="I16" s="239">
        <v>13224</v>
      </c>
      <c r="J16" s="239">
        <v>0</v>
      </c>
      <c r="K16" s="239">
        <v>0</v>
      </c>
      <c r="L16" s="239">
        <v>0</v>
      </c>
      <c r="M16" s="239">
        <v>119016</v>
      </c>
      <c r="N16" s="239">
        <v>0</v>
      </c>
      <c r="O16" s="239">
        <v>119016</v>
      </c>
      <c r="P16" s="239">
        <v>132240</v>
      </c>
      <c r="Q16" s="239">
        <v>0</v>
      </c>
      <c r="R16" s="239">
        <v>132240</v>
      </c>
      <c r="S16" s="239">
        <v>-5239293</v>
      </c>
      <c r="T16" s="239">
        <v>0</v>
      </c>
      <c r="U16" s="239">
        <v>-5239293</v>
      </c>
      <c r="V16" s="239">
        <v>0</v>
      </c>
      <c r="W16" s="239">
        <v>0</v>
      </c>
      <c r="X16" s="239">
        <v>0</v>
      </c>
      <c r="Y16" s="239">
        <v>-325046</v>
      </c>
      <c r="Z16" s="239">
        <v>0</v>
      </c>
      <c r="AA16" s="239">
        <v>-325046</v>
      </c>
      <c r="AB16" s="239">
        <v>-210051</v>
      </c>
      <c r="AC16" s="239">
        <v>0</v>
      </c>
      <c r="AD16" s="239">
        <v>-210051</v>
      </c>
      <c r="AE16" s="239">
        <v>0</v>
      </c>
      <c r="AF16" s="239">
        <v>0</v>
      </c>
      <c r="AG16" s="239">
        <v>0</v>
      </c>
      <c r="AH16" s="239">
        <v>1468345</v>
      </c>
      <c r="AI16" s="239">
        <v>21960</v>
      </c>
      <c r="AJ16" s="239">
        <v>1490305</v>
      </c>
      <c r="AK16" s="239">
        <v>-19652</v>
      </c>
      <c r="AL16" s="239">
        <v>0</v>
      </c>
      <c r="AM16" s="239">
        <v>-19652</v>
      </c>
      <c r="AN16" s="239">
        <v>-4410511</v>
      </c>
      <c r="AO16" s="239">
        <v>0</v>
      </c>
      <c r="AP16" s="239">
        <v>-4410511</v>
      </c>
      <c r="AQ16" s="239">
        <v>-11175</v>
      </c>
      <c r="AR16" s="239">
        <v>0</v>
      </c>
      <c r="AS16" s="239">
        <v>-11175</v>
      </c>
      <c r="AT16" s="239">
        <v>0</v>
      </c>
      <c r="AU16" s="239">
        <v>0</v>
      </c>
      <c r="AV16" s="239">
        <v>0</v>
      </c>
      <c r="AW16" s="239">
        <v>0</v>
      </c>
      <c r="AX16" s="239">
        <v>0</v>
      </c>
      <c r="AY16" s="239">
        <v>0</v>
      </c>
      <c r="AZ16" s="239">
        <v>-6646</v>
      </c>
      <c r="BA16" s="239">
        <v>0</v>
      </c>
      <c r="BB16" s="239">
        <v>-6646</v>
      </c>
      <c r="BC16" s="239">
        <v>0</v>
      </c>
      <c r="BD16" s="239">
        <v>0</v>
      </c>
      <c r="BE16" s="239">
        <v>0</v>
      </c>
      <c r="BF16" s="239">
        <v>-8543978</v>
      </c>
      <c r="BG16" s="239">
        <v>21960</v>
      </c>
      <c r="BH16" s="239">
        <v>-8522018</v>
      </c>
      <c r="BI16" s="239">
        <v>0</v>
      </c>
      <c r="BJ16" s="239">
        <v>0</v>
      </c>
      <c r="BK16" s="239">
        <v>0</v>
      </c>
      <c r="BL16" s="239">
        <v>-4360</v>
      </c>
      <c r="BM16" s="239">
        <v>0</v>
      </c>
      <c r="BN16" s="239">
        <v>-4360</v>
      </c>
      <c r="BO16" s="239">
        <v>-2207970</v>
      </c>
      <c r="BP16" s="239">
        <v>0</v>
      </c>
      <c r="BQ16" s="239">
        <v>-2207970</v>
      </c>
      <c r="BR16" s="239">
        <v>126417</v>
      </c>
      <c r="BS16" s="239">
        <v>0</v>
      </c>
      <c r="BT16" s="239">
        <v>126417</v>
      </c>
      <c r="BU16" s="239">
        <v>-2085913</v>
      </c>
      <c r="BV16" s="239">
        <v>0</v>
      </c>
      <c r="BW16" s="239">
        <v>-2085913</v>
      </c>
      <c r="BX16" s="239">
        <v>-57494</v>
      </c>
      <c r="BY16" s="239">
        <v>0</v>
      </c>
      <c r="BZ16" s="239">
        <v>-57494</v>
      </c>
      <c r="CA16" s="239">
        <v>-1843</v>
      </c>
      <c r="CB16" s="239">
        <v>0</v>
      </c>
      <c r="CC16" s="239">
        <v>-1843</v>
      </c>
      <c r="CD16" s="239">
        <v>-38875</v>
      </c>
      <c r="CE16" s="239">
        <v>0</v>
      </c>
      <c r="CF16" s="239">
        <v>-38875</v>
      </c>
      <c r="CG16" s="239">
        <v>-831</v>
      </c>
      <c r="CH16" s="239">
        <v>0</v>
      </c>
      <c r="CI16" s="239">
        <v>-831</v>
      </c>
      <c r="CJ16" s="239">
        <v>0</v>
      </c>
      <c r="CK16" s="239">
        <v>0</v>
      </c>
      <c r="CL16" s="239">
        <v>0</v>
      </c>
      <c r="CM16" s="239">
        <v>0</v>
      </c>
      <c r="CN16" s="239">
        <v>0</v>
      </c>
      <c r="CO16" s="239">
        <v>0</v>
      </c>
      <c r="CP16" s="239">
        <v>-932</v>
      </c>
      <c r="CQ16" s="239">
        <v>0</v>
      </c>
      <c r="CR16" s="239">
        <v>-932</v>
      </c>
      <c r="CS16" s="239">
        <v>0</v>
      </c>
      <c r="CT16" s="239">
        <v>0</v>
      </c>
      <c r="CU16" s="239">
        <v>0</v>
      </c>
      <c r="CV16" s="239">
        <v>0</v>
      </c>
      <c r="CW16" s="239">
        <v>0</v>
      </c>
      <c r="CX16" s="239">
        <v>0</v>
      </c>
      <c r="CY16" s="239">
        <v>0</v>
      </c>
      <c r="CZ16" s="239">
        <v>0</v>
      </c>
      <c r="DA16" s="239">
        <v>0</v>
      </c>
      <c r="DB16" s="239">
        <v>0</v>
      </c>
      <c r="DC16" s="239">
        <v>-306688</v>
      </c>
      <c r="DD16" s="239">
        <v>-306688</v>
      </c>
      <c r="DE16" s="239">
        <v>0</v>
      </c>
      <c r="DF16" s="239">
        <v>0</v>
      </c>
      <c r="DG16" s="239">
        <v>0</v>
      </c>
      <c r="DH16" s="239">
        <v>-306688</v>
      </c>
      <c r="DI16" s="239">
        <v>0</v>
      </c>
      <c r="DJ16" s="239">
        <v>-99975</v>
      </c>
      <c r="DK16" s="239">
        <v>-306688</v>
      </c>
      <c r="DL16" s="239">
        <v>-406663</v>
      </c>
      <c r="DM16" s="239">
        <v>0</v>
      </c>
      <c r="DN16" s="239">
        <v>0</v>
      </c>
      <c r="DO16" s="239">
        <v>0</v>
      </c>
      <c r="DP16" s="239">
        <v>0</v>
      </c>
      <c r="DQ16" s="239">
        <v>0</v>
      </c>
      <c r="DR16" s="239">
        <v>0</v>
      </c>
      <c r="DS16" s="239">
        <v>-3929</v>
      </c>
      <c r="DT16" s="239">
        <v>0</v>
      </c>
      <c r="DU16" s="239">
        <v>-3929</v>
      </c>
      <c r="DV16" s="239">
        <v>-237</v>
      </c>
      <c r="DW16" s="239">
        <v>0</v>
      </c>
      <c r="DX16" s="239">
        <v>-237</v>
      </c>
      <c r="DY16" s="239">
        <v>0</v>
      </c>
      <c r="DZ16" s="239">
        <v>0</v>
      </c>
      <c r="EA16" s="239">
        <v>0</v>
      </c>
      <c r="EB16" s="239">
        <v>32800</v>
      </c>
      <c r="EC16" s="239">
        <v>0</v>
      </c>
      <c r="ED16" s="239">
        <v>32800</v>
      </c>
      <c r="EE16" s="239">
        <v>0</v>
      </c>
      <c r="EF16" s="239">
        <v>0</v>
      </c>
      <c r="EG16" s="239">
        <v>0</v>
      </c>
      <c r="EH16" s="239">
        <v>0</v>
      </c>
      <c r="EI16" s="239">
        <v>0</v>
      </c>
      <c r="EJ16" s="239">
        <v>0</v>
      </c>
      <c r="EK16" s="239">
        <v>-8995</v>
      </c>
      <c r="EL16" s="239">
        <v>0</v>
      </c>
      <c r="EM16" s="239">
        <v>-8995</v>
      </c>
      <c r="EN16" s="239">
        <v>0</v>
      </c>
      <c r="EO16" s="239">
        <v>0</v>
      </c>
      <c r="EP16" s="239">
        <v>0</v>
      </c>
      <c r="EQ16" s="239">
        <v>19639</v>
      </c>
      <c r="ER16" s="239">
        <v>0</v>
      </c>
      <c r="ES16" s="239">
        <v>19639</v>
      </c>
      <c r="ET16" s="239">
        <v>-3591</v>
      </c>
      <c r="EU16" s="239">
        <v>0</v>
      </c>
      <c r="EV16" s="239">
        <v>-3591</v>
      </c>
      <c r="EW16" s="239">
        <v>-13804</v>
      </c>
      <c r="EX16" s="239">
        <v>0</v>
      </c>
      <c r="EY16" s="239">
        <v>-13804</v>
      </c>
      <c r="EZ16" s="239">
        <v>-17395</v>
      </c>
      <c r="FA16" s="239">
        <v>0</v>
      </c>
      <c r="FB16" s="239">
        <v>-17395</v>
      </c>
      <c r="FC16" s="239">
        <v>66169339</v>
      </c>
      <c r="FD16" s="239">
        <v>817580</v>
      </c>
      <c r="FE16" s="239">
        <v>66986919</v>
      </c>
      <c r="FF16" s="239">
        <v>132240</v>
      </c>
      <c r="FG16" s="239">
        <v>0</v>
      </c>
      <c r="FH16" s="239">
        <v>132240</v>
      </c>
      <c r="FI16" s="239">
        <v>-8543978</v>
      </c>
      <c r="FJ16" s="239">
        <v>21960</v>
      </c>
      <c r="FK16" s="239">
        <v>-8522018</v>
      </c>
      <c r="FL16" s="239">
        <v>-2085913</v>
      </c>
      <c r="FM16" s="239">
        <v>0</v>
      </c>
      <c r="FN16" s="239">
        <v>-2085913</v>
      </c>
      <c r="FO16" s="239">
        <v>-99975</v>
      </c>
      <c r="FP16" s="239">
        <v>-306688</v>
      </c>
      <c r="FQ16" s="239">
        <v>-406663</v>
      </c>
      <c r="FR16" s="239">
        <v>19639</v>
      </c>
      <c r="FS16" s="239">
        <v>0</v>
      </c>
      <c r="FT16" s="239">
        <v>19639</v>
      </c>
      <c r="FU16" s="239">
        <v>-17395</v>
      </c>
      <c r="FV16" s="239">
        <v>0</v>
      </c>
      <c r="FW16" s="239">
        <v>-17395</v>
      </c>
      <c r="FX16" s="239">
        <v>-10595382</v>
      </c>
      <c r="FY16" s="239">
        <v>-284728</v>
      </c>
      <c r="FZ16" s="239">
        <v>-10880110</v>
      </c>
      <c r="GA16" s="239">
        <v>55573957</v>
      </c>
      <c r="GB16" s="239">
        <v>532852</v>
      </c>
      <c r="GC16" s="239">
        <v>56106809</v>
      </c>
      <c r="GD16" s="214" t="s">
        <v>1192</v>
      </c>
    </row>
    <row r="17" spans="2:186" s="214" customFormat="1" x14ac:dyDescent="0.2">
      <c r="B17" s="609" t="s">
        <v>116</v>
      </c>
      <c r="C17" s="609" t="s">
        <v>115</v>
      </c>
      <c r="D17" s="239">
        <v>0</v>
      </c>
      <c r="E17" s="239">
        <v>0</v>
      </c>
      <c r="F17" s="239">
        <v>0</v>
      </c>
      <c r="G17" s="239">
        <v>552452</v>
      </c>
      <c r="H17" s="239">
        <v>0</v>
      </c>
      <c r="I17" s="239">
        <v>552452</v>
      </c>
      <c r="J17" s="239">
        <v>0</v>
      </c>
      <c r="K17" s="239">
        <v>0</v>
      </c>
      <c r="L17" s="239">
        <v>0</v>
      </c>
      <c r="M17" s="239">
        <v>2217</v>
      </c>
      <c r="N17" s="239">
        <v>0</v>
      </c>
      <c r="O17" s="239">
        <v>2217</v>
      </c>
      <c r="P17" s="239">
        <v>554669</v>
      </c>
      <c r="Q17" s="239">
        <v>0</v>
      </c>
      <c r="R17" s="239">
        <v>554669</v>
      </c>
      <c r="S17" s="239">
        <v>-1434605</v>
      </c>
      <c r="T17" s="239">
        <v>0</v>
      </c>
      <c r="U17" s="239">
        <v>-1434605</v>
      </c>
      <c r="V17" s="239">
        <v>0</v>
      </c>
      <c r="W17" s="239">
        <v>0</v>
      </c>
      <c r="X17" s="239">
        <v>0</v>
      </c>
      <c r="Y17" s="239">
        <v>-65767</v>
      </c>
      <c r="Z17" s="239">
        <v>0</v>
      </c>
      <c r="AA17" s="239">
        <v>-65767</v>
      </c>
      <c r="AB17" s="239">
        <v>-45453</v>
      </c>
      <c r="AC17" s="239">
        <v>0</v>
      </c>
      <c r="AD17" s="239">
        <v>-45453</v>
      </c>
      <c r="AE17" s="239">
        <v>-243</v>
      </c>
      <c r="AF17" s="239">
        <v>0</v>
      </c>
      <c r="AG17" s="239">
        <v>-243</v>
      </c>
      <c r="AH17" s="239">
        <v>640096</v>
      </c>
      <c r="AI17" s="239">
        <v>0</v>
      </c>
      <c r="AJ17" s="239">
        <v>640096</v>
      </c>
      <c r="AK17" s="239">
        <v>7180</v>
      </c>
      <c r="AL17" s="239">
        <v>0</v>
      </c>
      <c r="AM17" s="239">
        <v>7180</v>
      </c>
      <c r="AN17" s="239">
        <v>-1720091</v>
      </c>
      <c r="AO17" s="239">
        <v>0</v>
      </c>
      <c r="AP17" s="239">
        <v>-1720091</v>
      </c>
      <c r="AQ17" s="239">
        <v>-842</v>
      </c>
      <c r="AR17" s="239">
        <v>0</v>
      </c>
      <c r="AS17" s="239">
        <v>-842</v>
      </c>
      <c r="AT17" s="239">
        <v>-103806</v>
      </c>
      <c r="AU17" s="239">
        <v>0</v>
      </c>
      <c r="AV17" s="239">
        <v>-103806</v>
      </c>
      <c r="AW17" s="239">
        <v>-59</v>
      </c>
      <c r="AX17" s="239">
        <v>0</v>
      </c>
      <c r="AY17" s="239">
        <v>-59</v>
      </c>
      <c r="AZ17" s="239">
        <v>0</v>
      </c>
      <c r="BA17" s="239">
        <v>0</v>
      </c>
      <c r="BB17" s="239">
        <v>0</v>
      </c>
      <c r="BC17" s="239">
        <v>0</v>
      </c>
      <c r="BD17" s="239">
        <v>0</v>
      </c>
      <c r="BE17" s="239">
        <v>0</v>
      </c>
      <c r="BF17" s="239">
        <v>-2677894</v>
      </c>
      <c r="BG17" s="239">
        <v>0</v>
      </c>
      <c r="BH17" s="239">
        <v>-2677894</v>
      </c>
      <c r="BI17" s="239">
        <v>-693734</v>
      </c>
      <c r="BJ17" s="239">
        <v>0</v>
      </c>
      <c r="BK17" s="239">
        <v>-693734</v>
      </c>
      <c r="BL17" s="239">
        <v>219536</v>
      </c>
      <c r="BM17" s="239">
        <v>0</v>
      </c>
      <c r="BN17" s="239">
        <v>219536</v>
      </c>
      <c r="BO17" s="239">
        <v>-580844</v>
      </c>
      <c r="BP17" s="239">
        <v>0</v>
      </c>
      <c r="BQ17" s="239">
        <v>-580844</v>
      </c>
      <c r="BR17" s="239">
        <v>-27396</v>
      </c>
      <c r="BS17" s="239">
        <v>0</v>
      </c>
      <c r="BT17" s="239">
        <v>-27396</v>
      </c>
      <c r="BU17" s="239">
        <v>-1082438</v>
      </c>
      <c r="BV17" s="239">
        <v>0</v>
      </c>
      <c r="BW17" s="239">
        <v>-1082438</v>
      </c>
      <c r="BX17" s="239">
        <v>0</v>
      </c>
      <c r="BY17" s="239">
        <v>0</v>
      </c>
      <c r="BZ17" s="239">
        <v>0</v>
      </c>
      <c r="CA17" s="239">
        <v>0</v>
      </c>
      <c r="CB17" s="239">
        <v>0</v>
      </c>
      <c r="CC17" s="239">
        <v>0</v>
      </c>
      <c r="CD17" s="239">
        <v>0</v>
      </c>
      <c r="CE17" s="239">
        <v>0</v>
      </c>
      <c r="CF17" s="239">
        <v>0</v>
      </c>
      <c r="CG17" s="239">
        <v>0</v>
      </c>
      <c r="CH17" s="239">
        <v>0</v>
      </c>
      <c r="CI17" s="239">
        <v>0</v>
      </c>
      <c r="CJ17" s="239">
        <v>0</v>
      </c>
      <c r="CK17" s="239">
        <v>0</v>
      </c>
      <c r="CL17" s="239">
        <v>0</v>
      </c>
      <c r="CM17" s="239">
        <v>0</v>
      </c>
      <c r="CN17" s="239">
        <v>0</v>
      </c>
      <c r="CO17" s="239">
        <v>0</v>
      </c>
      <c r="CP17" s="239">
        <v>0</v>
      </c>
      <c r="CQ17" s="239">
        <v>0</v>
      </c>
      <c r="CR17" s="239">
        <v>0</v>
      </c>
      <c r="CS17" s="239">
        <v>0</v>
      </c>
      <c r="CT17" s="239">
        <v>0</v>
      </c>
      <c r="CU17" s="239">
        <v>0</v>
      </c>
      <c r="CV17" s="239">
        <v>0</v>
      </c>
      <c r="CW17" s="239">
        <v>0</v>
      </c>
      <c r="CX17" s="239">
        <v>0</v>
      </c>
      <c r="CY17" s="239">
        <v>0</v>
      </c>
      <c r="CZ17" s="239">
        <v>0</v>
      </c>
      <c r="DA17" s="239">
        <v>0</v>
      </c>
      <c r="DB17" s="239">
        <v>0</v>
      </c>
      <c r="DC17" s="239">
        <v>0</v>
      </c>
      <c r="DD17" s="239">
        <v>0</v>
      </c>
      <c r="DE17" s="239">
        <v>0</v>
      </c>
      <c r="DF17" s="239">
        <v>0</v>
      </c>
      <c r="DG17" s="239">
        <v>0</v>
      </c>
      <c r="DH17" s="239">
        <v>0</v>
      </c>
      <c r="DI17" s="239">
        <v>0</v>
      </c>
      <c r="DJ17" s="239">
        <v>0</v>
      </c>
      <c r="DK17" s="239">
        <v>0</v>
      </c>
      <c r="DL17" s="239">
        <v>0</v>
      </c>
      <c r="DM17" s="239">
        <v>0</v>
      </c>
      <c r="DN17" s="239">
        <v>0</v>
      </c>
      <c r="DO17" s="239">
        <v>0</v>
      </c>
      <c r="DP17" s="239">
        <v>0</v>
      </c>
      <c r="DQ17" s="239">
        <v>0</v>
      </c>
      <c r="DR17" s="239">
        <v>0</v>
      </c>
      <c r="DS17" s="239">
        <v>-49</v>
      </c>
      <c r="DT17" s="239">
        <v>0</v>
      </c>
      <c r="DU17" s="239">
        <v>-49</v>
      </c>
      <c r="DV17" s="239">
        <v>699</v>
      </c>
      <c r="DW17" s="239">
        <v>0</v>
      </c>
      <c r="DX17" s="239">
        <v>699</v>
      </c>
      <c r="DY17" s="239">
        <v>0</v>
      </c>
      <c r="DZ17" s="239">
        <v>0</v>
      </c>
      <c r="EA17" s="239">
        <v>0</v>
      </c>
      <c r="EB17" s="239">
        <v>-16150</v>
      </c>
      <c r="EC17" s="239">
        <v>0</v>
      </c>
      <c r="ED17" s="239">
        <v>-16150</v>
      </c>
      <c r="EE17" s="239">
        <v>0</v>
      </c>
      <c r="EF17" s="239">
        <v>0</v>
      </c>
      <c r="EG17" s="239">
        <v>0</v>
      </c>
      <c r="EH17" s="239">
        <v>0</v>
      </c>
      <c r="EI17" s="239">
        <v>0</v>
      </c>
      <c r="EJ17" s="239">
        <v>0</v>
      </c>
      <c r="EK17" s="239">
        <v>-655</v>
      </c>
      <c r="EL17" s="239">
        <v>0</v>
      </c>
      <c r="EM17" s="239">
        <v>-655</v>
      </c>
      <c r="EN17" s="239">
        <v>0</v>
      </c>
      <c r="EO17" s="239">
        <v>0</v>
      </c>
      <c r="EP17" s="239">
        <v>0</v>
      </c>
      <c r="EQ17" s="239">
        <v>-16155</v>
      </c>
      <c r="ER17" s="239">
        <v>0</v>
      </c>
      <c r="ES17" s="239">
        <v>-16155</v>
      </c>
      <c r="ET17" s="239">
        <v>0</v>
      </c>
      <c r="EU17" s="239">
        <v>0</v>
      </c>
      <c r="EV17" s="239">
        <v>0</v>
      </c>
      <c r="EW17" s="239">
        <v>0</v>
      </c>
      <c r="EX17" s="239">
        <v>0</v>
      </c>
      <c r="EY17" s="239">
        <v>0</v>
      </c>
      <c r="EZ17" s="239">
        <v>0</v>
      </c>
      <c r="FA17" s="239">
        <v>0</v>
      </c>
      <c r="FB17" s="239">
        <v>0</v>
      </c>
      <c r="FC17" s="239">
        <v>26722668</v>
      </c>
      <c r="FD17" s="239">
        <v>0</v>
      </c>
      <c r="FE17" s="239">
        <v>26722668</v>
      </c>
      <c r="FF17" s="239">
        <v>554669</v>
      </c>
      <c r="FG17" s="239">
        <v>0</v>
      </c>
      <c r="FH17" s="239">
        <v>554669</v>
      </c>
      <c r="FI17" s="239">
        <v>-2677894</v>
      </c>
      <c r="FJ17" s="239">
        <v>0</v>
      </c>
      <c r="FK17" s="239">
        <v>-2677894</v>
      </c>
      <c r="FL17" s="239">
        <v>-1082438</v>
      </c>
      <c r="FM17" s="239">
        <v>0</v>
      </c>
      <c r="FN17" s="239">
        <v>-1082438</v>
      </c>
      <c r="FO17" s="239">
        <v>0</v>
      </c>
      <c r="FP17" s="239">
        <v>0</v>
      </c>
      <c r="FQ17" s="239">
        <v>0</v>
      </c>
      <c r="FR17" s="239">
        <v>-16155</v>
      </c>
      <c r="FS17" s="239">
        <v>0</v>
      </c>
      <c r="FT17" s="239">
        <v>-16155</v>
      </c>
      <c r="FU17" s="239">
        <v>0</v>
      </c>
      <c r="FV17" s="239">
        <v>0</v>
      </c>
      <c r="FW17" s="239">
        <v>0</v>
      </c>
      <c r="FX17" s="239">
        <v>-3221818</v>
      </c>
      <c r="FY17" s="239">
        <v>0</v>
      </c>
      <c r="FZ17" s="239">
        <v>-3221818</v>
      </c>
      <c r="GA17" s="239">
        <v>23500850</v>
      </c>
      <c r="GB17" s="239">
        <v>0</v>
      </c>
      <c r="GC17" s="239">
        <v>23500850</v>
      </c>
      <c r="GD17" s="214" t="s">
        <v>1190</v>
      </c>
    </row>
    <row r="18" spans="2:186" s="214" customFormat="1" x14ac:dyDescent="0.2">
      <c r="B18" s="609" t="s">
        <v>118</v>
      </c>
      <c r="C18" s="609" t="s">
        <v>117</v>
      </c>
      <c r="D18" s="239">
        <v>0</v>
      </c>
      <c r="E18" s="239">
        <v>0</v>
      </c>
      <c r="F18" s="239">
        <v>0</v>
      </c>
      <c r="G18" s="239">
        <v>243297</v>
      </c>
      <c r="H18" s="239">
        <v>0</v>
      </c>
      <c r="I18" s="239">
        <v>243297</v>
      </c>
      <c r="J18" s="239">
        <v>0</v>
      </c>
      <c r="K18" s="239">
        <v>0</v>
      </c>
      <c r="L18" s="239">
        <v>0</v>
      </c>
      <c r="M18" s="239">
        <v>-16305</v>
      </c>
      <c r="N18" s="239">
        <v>0</v>
      </c>
      <c r="O18" s="239">
        <v>-16305</v>
      </c>
      <c r="P18" s="239">
        <v>226992</v>
      </c>
      <c r="Q18" s="239">
        <v>0</v>
      </c>
      <c r="R18" s="239">
        <v>226992</v>
      </c>
      <c r="S18" s="239">
        <v>-2600882</v>
      </c>
      <c r="T18" s="239">
        <v>0</v>
      </c>
      <c r="U18" s="239">
        <v>-2600882</v>
      </c>
      <c r="V18" s="239">
        <v>-2233</v>
      </c>
      <c r="W18" s="239">
        <v>0</v>
      </c>
      <c r="X18" s="239">
        <v>-2233</v>
      </c>
      <c r="Y18" s="239">
        <v>-132248</v>
      </c>
      <c r="Z18" s="239">
        <v>0</v>
      </c>
      <c r="AA18" s="239">
        <v>-132248</v>
      </c>
      <c r="AB18" s="239">
        <v>-90787</v>
      </c>
      <c r="AC18" s="239">
        <v>0</v>
      </c>
      <c r="AD18" s="239">
        <v>-90787</v>
      </c>
      <c r="AE18" s="239">
        <v>-4878</v>
      </c>
      <c r="AF18" s="239">
        <v>0</v>
      </c>
      <c r="AG18" s="239">
        <v>-4878</v>
      </c>
      <c r="AH18" s="239">
        <v>2186662</v>
      </c>
      <c r="AI18" s="239">
        <v>0</v>
      </c>
      <c r="AJ18" s="239">
        <v>2186662</v>
      </c>
      <c r="AK18" s="239">
        <v>-22505</v>
      </c>
      <c r="AL18" s="239">
        <v>0</v>
      </c>
      <c r="AM18" s="239">
        <v>-22505</v>
      </c>
      <c r="AN18" s="239">
        <v>-3671985</v>
      </c>
      <c r="AO18" s="239">
        <v>0</v>
      </c>
      <c r="AP18" s="239">
        <v>-3671985</v>
      </c>
      <c r="AQ18" s="239">
        <v>29364</v>
      </c>
      <c r="AR18" s="239">
        <v>0</v>
      </c>
      <c r="AS18" s="239">
        <v>29364</v>
      </c>
      <c r="AT18" s="239">
        <v>-40850</v>
      </c>
      <c r="AU18" s="239">
        <v>0</v>
      </c>
      <c r="AV18" s="239">
        <v>-40850</v>
      </c>
      <c r="AW18" s="239">
        <v>0</v>
      </c>
      <c r="AX18" s="239">
        <v>0</v>
      </c>
      <c r="AY18" s="239">
        <v>0</v>
      </c>
      <c r="AZ18" s="239">
        <v>-3504</v>
      </c>
      <c r="BA18" s="239">
        <v>0</v>
      </c>
      <c r="BB18" s="239">
        <v>-3504</v>
      </c>
      <c r="BC18" s="239">
        <v>0</v>
      </c>
      <c r="BD18" s="239">
        <v>0</v>
      </c>
      <c r="BE18" s="239">
        <v>0</v>
      </c>
      <c r="BF18" s="239">
        <v>-4255948</v>
      </c>
      <c r="BG18" s="239">
        <v>0</v>
      </c>
      <c r="BH18" s="239">
        <v>-4255948</v>
      </c>
      <c r="BI18" s="239">
        <v>-1656</v>
      </c>
      <c r="BJ18" s="239">
        <v>0</v>
      </c>
      <c r="BK18" s="239">
        <v>-1656</v>
      </c>
      <c r="BL18" s="239">
        <v>0</v>
      </c>
      <c r="BM18" s="239">
        <v>0</v>
      </c>
      <c r="BN18" s="239">
        <v>0</v>
      </c>
      <c r="BO18" s="239">
        <v>-1744695</v>
      </c>
      <c r="BP18" s="239">
        <v>0</v>
      </c>
      <c r="BQ18" s="239">
        <v>-1744695</v>
      </c>
      <c r="BR18" s="239">
        <v>-157413</v>
      </c>
      <c r="BS18" s="239">
        <v>0</v>
      </c>
      <c r="BT18" s="239">
        <v>-157413</v>
      </c>
      <c r="BU18" s="239">
        <v>-1903764</v>
      </c>
      <c r="BV18" s="239">
        <v>0</v>
      </c>
      <c r="BW18" s="239">
        <v>-1903764</v>
      </c>
      <c r="BX18" s="239">
        <v>-9390</v>
      </c>
      <c r="BY18" s="239">
        <v>0</v>
      </c>
      <c r="BZ18" s="239">
        <v>-9390</v>
      </c>
      <c r="CA18" s="239">
        <v>139</v>
      </c>
      <c r="CB18" s="239">
        <v>0</v>
      </c>
      <c r="CC18" s="239">
        <v>139</v>
      </c>
      <c r="CD18" s="239">
        <v>-41855</v>
      </c>
      <c r="CE18" s="239">
        <v>0</v>
      </c>
      <c r="CF18" s="239">
        <v>-41855</v>
      </c>
      <c r="CG18" s="239">
        <v>2783</v>
      </c>
      <c r="CH18" s="239">
        <v>0</v>
      </c>
      <c r="CI18" s="239">
        <v>2783</v>
      </c>
      <c r="CJ18" s="239">
        <v>0</v>
      </c>
      <c r="CK18" s="239">
        <v>0</v>
      </c>
      <c r="CL18" s="239">
        <v>0</v>
      </c>
      <c r="CM18" s="239">
        <v>0</v>
      </c>
      <c r="CN18" s="239">
        <v>0</v>
      </c>
      <c r="CO18" s="239">
        <v>0</v>
      </c>
      <c r="CP18" s="239">
        <v>0</v>
      </c>
      <c r="CQ18" s="239">
        <v>0</v>
      </c>
      <c r="CR18" s="239">
        <v>0</v>
      </c>
      <c r="CS18" s="239">
        <v>0</v>
      </c>
      <c r="CT18" s="239">
        <v>0</v>
      </c>
      <c r="CU18" s="239">
        <v>0</v>
      </c>
      <c r="CV18" s="239">
        <v>0</v>
      </c>
      <c r="CW18" s="239">
        <v>0</v>
      </c>
      <c r="CX18" s="239">
        <v>0</v>
      </c>
      <c r="CY18" s="239">
        <v>0</v>
      </c>
      <c r="CZ18" s="239">
        <v>0</v>
      </c>
      <c r="DA18" s="239">
        <v>0</v>
      </c>
      <c r="DB18" s="239">
        <v>0</v>
      </c>
      <c r="DC18" s="239">
        <v>0</v>
      </c>
      <c r="DD18" s="239">
        <v>0</v>
      </c>
      <c r="DE18" s="239">
        <v>0</v>
      </c>
      <c r="DF18" s="239">
        <v>0</v>
      </c>
      <c r="DG18" s="239">
        <v>0</v>
      </c>
      <c r="DH18" s="239">
        <v>0</v>
      </c>
      <c r="DI18" s="239">
        <v>0</v>
      </c>
      <c r="DJ18" s="239">
        <v>-48323</v>
      </c>
      <c r="DK18" s="239">
        <v>0</v>
      </c>
      <c r="DL18" s="239">
        <v>-48323</v>
      </c>
      <c r="DM18" s="239">
        <v>0</v>
      </c>
      <c r="DN18" s="239">
        <v>0</v>
      </c>
      <c r="DO18" s="239">
        <v>0</v>
      </c>
      <c r="DP18" s="239">
        <v>0</v>
      </c>
      <c r="DQ18" s="239">
        <v>0</v>
      </c>
      <c r="DR18" s="239">
        <v>0</v>
      </c>
      <c r="DS18" s="239">
        <v>0</v>
      </c>
      <c r="DT18" s="239">
        <v>0</v>
      </c>
      <c r="DU18" s="239">
        <v>0</v>
      </c>
      <c r="DV18" s="239">
        <v>0</v>
      </c>
      <c r="DW18" s="239">
        <v>0</v>
      </c>
      <c r="DX18" s="239">
        <v>0</v>
      </c>
      <c r="DY18" s="239">
        <v>0</v>
      </c>
      <c r="DZ18" s="239">
        <v>0</v>
      </c>
      <c r="EA18" s="239">
        <v>0</v>
      </c>
      <c r="EB18" s="239">
        <v>-5177</v>
      </c>
      <c r="EC18" s="239">
        <v>0</v>
      </c>
      <c r="ED18" s="239">
        <v>-5177</v>
      </c>
      <c r="EE18" s="239">
        <v>0</v>
      </c>
      <c r="EF18" s="239">
        <v>0</v>
      </c>
      <c r="EG18" s="239">
        <v>0</v>
      </c>
      <c r="EH18" s="239">
        <v>0</v>
      </c>
      <c r="EI18" s="239">
        <v>0</v>
      </c>
      <c r="EJ18" s="239">
        <v>0</v>
      </c>
      <c r="EK18" s="239">
        <v>-9357</v>
      </c>
      <c r="EL18" s="239">
        <v>0</v>
      </c>
      <c r="EM18" s="239">
        <v>-9357</v>
      </c>
      <c r="EN18" s="239">
        <v>0</v>
      </c>
      <c r="EO18" s="239">
        <v>0</v>
      </c>
      <c r="EP18" s="239">
        <v>0</v>
      </c>
      <c r="EQ18" s="239">
        <v>-14534</v>
      </c>
      <c r="ER18" s="239">
        <v>0</v>
      </c>
      <c r="ES18" s="239">
        <v>-14534</v>
      </c>
      <c r="ET18" s="239">
        <v>0</v>
      </c>
      <c r="EU18" s="239">
        <v>0</v>
      </c>
      <c r="EV18" s="239">
        <v>0</v>
      </c>
      <c r="EW18" s="239">
        <v>0</v>
      </c>
      <c r="EX18" s="239">
        <v>0</v>
      </c>
      <c r="EY18" s="239">
        <v>0</v>
      </c>
      <c r="EZ18" s="239">
        <v>0</v>
      </c>
      <c r="FA18" s="239">
        <v>0</v>
      </c>
      <c r="FB18" s="239">
        <v>0</v>
      </c>
      <c r="FC18" s="239">
        <v>89745840</v>
      </c>
      <c r="FD18" s="239">
        <v>0</v>
      </c>
      <c r="FE18" s="239">
        <v>89745840</v>
      </c>
      <c r="FF18" s="239">
        <v>226992</v>
      </c>
      <c r="FG18" s="239">
        <v>0</v>
      </c>
      <c r="FH18" s="239">
        <v>226992</v>
      </c>
      <c r="FI18" s="239">
        <v>-4255948</v>
      </c>
      <c r="FJ18" s="239">
        <v>0</v>
      </c>
      <c r="FK18" s="239">
        <v>-4255948</v>
      </c>
      <c r="FL18" s="239">
        <v>-1903764</v>
      </c>
      <c r="FM18" s="239">
        <v>0</v>
      </c>
      <c r="FN18" s="239">
        <v>-1903764</v>
      </c>
      <c r="FO18" s="239">
        <v>-48323</v>
      </c>
      <c r="FP18" s="239">
        <v>0</v>
      </c>
      <c r="FQ18" s="239">
        <v>-48323</v>
      </c>
      <c r="FR18" s="239">
        <v>-14534</v>
      </c>
      <c r="FS18" s="239">
        <v>0</v>
      </c>
      <c r="FT18" s="239">
        <v>-14534</v>
      </c>
      <c r="FU18" s="239">
        <v>0</v>
      </c>
      <c r="FV18" s="239">
        <v>0</v>
      </c>
      <c r="FW18" s="239">
        <v>0</v>
      </c>
      <c r="FX18" s="239">
        <v>-5995577</v>
      </c>
      <c r="FY18" s="239">
        <v>0</v>
      </c>
      <c r="FZ18" s="239">
        <v>-5995577</v>
      </c>
      <c r="GA18" s="239">
        <v>83750263</v>
      </c>
      <c r="GB18" s="239">
        <v>0</v>
      </c>
      <c r="GC18" s="239">
        <v>83750263</v>
      </c>
      <c r="GD18" s="214" t="s">
        <v>1190</v>
      </c>
    </row>
    <row r="19" spans="2:186" s="214" customFormat="1" x14ac:dyDescent="0.2">
      <c r="B19" s="609" t="s">
        <v>120</v>
      </c>
      <c r="C19" s="609" t="s">
        <v>119</v>
      </c>
      <c r="D19" s="239">
        <v>0</v>
      </c>
      <c r="E19" s="239">
        <v>0</v>
      </c>
      <c r="F19" s="239">
        <v>0</v>
      </c>
      <c r="G19" s="239">
        <v>868643</v>
      </c>
      <c r="H19" s="239">
        <v>0</v>
      </c>
      <c r="I19" s="239">
        <v>868643</v>
      </c>
      <c r="J19" s="239">
        <v>0</v>
      </c>
      <c r="K19" s="239">
        <v>0</v>
      </c>
      <c r="L19" s="239">
        <v>0</v>
      </c>
      <c r="M19" s="239">
        <v>-212</v>
      </c>
      <c r="N19" s="239">
        <v>0</v>
      </c>
      <c r="O19" s="239">
        <v>-212</v>
      </c>
      <c r="P19" s="239">
        <v>868431</v>
      </c>
      <c r="Q19" s="239">
        <v>0</v>
      </c>
      <c r="R19" s="239">
        <v>868431</v>
      </c>
      <c r="S19" s="239">
        <v>-1770308</v>
      </c>
      <c r="T19" s="239">
        <v>0</v>
      </c>
      <c r="U19" s="239">
        <v>-1770308</v>
      </c>
      <c r="V19" s="239">
        <v>-27184</v>
      </c>
      <c r="W19" s="239">
        <v>0</v>
      </c>
      <c r="X19" s="239">
        <v>-27184</v>
      </c>
      <c r="Y19" s="239">
        <v>-85160</v>
      </c>
      <c r="Z19" s="239">
        <v>0</v>
      </c>
      <c r="AA19" s="239">
        <v>-85160</v>
      </c>
      <c r="AB19" s="239">
        <v>-85160</v>
      </c>
      <c r="AC19" s="239">
        <v>0</v>
      </c>
      <c r="AD19" s="239">
        <v>-85160</v>
      </c>
      <c r="AE19" s="239">
        <v>0</v>
      </c>
      <c r="AF19" s="239">
        <v>0</v>
      </c>
      <c r="AG19" s="239">
        <v>0</v>
      </c>
      <c r="AH19" s="239">
        <v>2092972</v>
      </c>
      <c r="AI19" s="239">
        <v>0</v>
      </c>
      <c r="AJ19" s="239">
        <v>2092972</v>
      </c>
      <c r="AK19" s="239">
        <v>-63101</v>
      </c>
      <c r="AL19" s="239">
        <v>0</v>
      </c>
      <c r="AM19" s="239">
        <v>-63101</v>
      </c>
      <c r="AN19" s="239">
        <v>-3348992</v>
      </c>
      <c r="AO19" s="239">
        <v>0</v>
      </c>
      <c r="AP19" s="239">
        <v>-3348992</v>
      </c>
      <c r="AQ19" s="239">
        <v>-58421</v>
      </c>
      <c r="AR19" s="239">
        <v>0</v>
      </c>
      <c r="AS19" s="239">
        <v>-58421</v>
      </c>
      <c r="AT19" s="239">
        <v>-11311</v>
      </c>
      <c r="AU19" s="239">
        <v>0</v>
      </c>
      <c r="AV19" s="239">
        <v>-11311</v>
      </c>
      <c r="AW19" s="239">
        <v>0</v>
      </c>
      <c r="AX19" s="239">
        <v>0</v>
      </c>
      <c r="AY19" s="239">
        <v>0</v>
      </c>
      <c r="AZ19" s="239">
        <v>-35627</v>
      </c>
      <c r="BA19" s="239">
        <v>0</v>
      </c>
      <c r="BB19" s="239">
        <v>-35627</v>
      </c>
      <c r="BC19" s="239">
        <v>0</v>
      </c>
      <c r="BD19" s="239">
        <v>0</v>
      </c>
      <c r="BE19" s="239">
        <v>0</v>
      </c>
      <c r="BF19" s="239">
        <v>-3279948</v>
      </c>
      <c r="BG19" s="239">
        <v>0</v>
      </c>
      <c r="BH19" s="239">
        <v>-3279948</v>
      </c>
      <c r="BI19" s="239">
        <v>-867917</v>
      </c>
      <c r="BJ19" s="239">
        <v>0</v>
      </c>
      <c r="BK19" s="239">
        <v>-867917</v>
      </c>
      <c r="BL19" s="239">
        <v>-12860</v>
      </c>
      <c r="BM19" s="239">
        <v>0</v>
      </c>
      <c r="BN19" s="239">
        <v>-12860</v>
      </c>
      <c r="BO19" s="239">
        <v>-3748529</v>
      </c>
      <c r="BP19" s="239">
        <v>0</v>
      </c>
      <c r="BQ19" s="239">
        <v>-3748529</v>
      </c>
      <c r="BR19" s="239">
        <v>-61238</v>
      </c>
      <c r="BS19" s="239">
        <v>0</v>
      </c>
      <c r="BT19" s="239">
        <v>-61238</v>
      </c>
      <c r="BU19" s="239">
        <v>-4690544</v>
      </c>
      <c r="BV19" s="239">
        <v>0</v>
      </c>
      <c r="BW19" s="239">
        <v>-4690544</v>
      </c>
      <c r="BX19" s="239">
        <v>-458803</v>
      </c>
      <c r="BY19" s="239">
        <v>0</v>
      </c>
      <c r="BZ19" s="239">
        <v>-458803</v>
      </c>
      <c r="CA19" s="239">
        <v>-74934</v>
      </c>
      <c r="CB19" s="239">
        <v>0</v>
      </c>
      <c r="CC19" s="239">
        <v>-74934</v>
      </c>
      <c r="CD19" s="239">
        <v>-171032</v>
      </c>
      <c r="CE19" s="239">
        <v>0</v>
      </c>
      <c r="CF19" s="239">
        <v>-171032</v>
      </c>
      <c r="CG19" s="239">
        <v>-31</v>
      </c>
      <c r="CH19" s="239">
        <v>0</v>
      </c>
      <c r="CI19" s="239">
        <v>-31</v>
      </c>
      <c r="CJ19" s="239">
        <v>-2827</v>
      </c>
      <c r="CK19" s="239">
        <v>0</v>
      </c>
      <c r="CL19" s="239">
        <v>-2827</v>
      </c>
      <c r="CM19" s="239">
        <v>0</v>
      </c>
      <c r="CN19" s="239">
        <v>0</v>
      </c>
      <c r="CO19" s="239">
        <v>0</v>
      </c>
      <c r="CP19" s="239">
        <v>-28982</v>
      </c>
      <c r="CQ19" s="239">
        <v>0</v>
      </c>
      <c r="CR19" s="239">
        <v>-28982</v>
      </c>
      <c r="CS19" s="239">
        <v>0</v>
      </c>
      <c r="CT19" s="239">
        <v>0</v>
      </c>
      <c r="CU19" s="239">
        <v>0</v>
      </c>
      <c r="CV19" s="239">
        <v>-66538</v>
      </c>
      <c r="CW19" s="239">
        <v>0</v>
      </c>
      <c r="CX19" s="239">
        <v>-66538</v>
      </c>
      <c r="CY19" s="239">
        <v>-6600</v>
      </c>
      <c r="CZ19" s="239">
        <v>0</v>
      </c>
      <c r="DA19" s="239">
        <v>-6600</v>
      </c>
      <c r="DB19" s="239">
        <v>0</v>
      </c>
      <c r="DC19" s="239">
        <v>0</v>
      </c>
      <c r="DD19" s="239">
        <v>0</v>
      </c>
      <c r="DE19" s="239">
        <v>0</v>
      </c>
      <c r="DF19" s="239">
        <v>0</v>
      </c>
      <c r="DG19" s="239">
        <v>0</v>
      </c>
      <c r="DH19" s="239">
        <v>0</v>
      </c>
      <c r="DI19" s="239">
        <v>0</v>
      </c>
      <c r="DJ19" s="239">
        <v>-809747</v>
      </c>
      <c r="DK19" s="239">
        <v>0</v>
      </c>
      <c r="DL19" s="239">
        <v>-809747</v>
      </c>
      <c r="DM19" s="239">
        <v>0</v>
      </c>
      <c r="DN19" s="239">
        <v>0</v>
      </c>
      <c r="DO19" s="239">
        <v>0</v>
      </c>
      <c r="DP19" s="239">
        <v>0</v>
      </c>
      <c r="DQ19" s="239">
        <v>0</v>
      </c>
      <c r="DR19" s="239">
        <v>0</v>
      </c>
      <c r="DS19" s="239">
        <v>-48007</v>
      </c>
      <c r="DT19" s="239">
        <v>0</v>
      </c>
      <c r="DU19" s="239">
        <v>-48007</v>
      </c>
      <c r="DV19" s="239">
        <v>-79768</v>
      </c>
      <c r="DW19" s="239">
        <v>0</v>
      </c>
      <c r="DX19" s="239">
        <v>-79768</v>
      </c>
      <c r="DY19" s="239">
        <v>0</v>
      </c>
      <c r="DZ19" s="239">
        <v>0</v>
      </c>
      <c r="EA19" s="239">
        <v>0</v>
      </c>
      <c r="EB19" s="239">
        <v>-7929</v>
      </c>
      <c r="EC19" s="239">
        <v>0</v>
      </c>
      <c r="ED19" s="239">
        <v>-7929</v>
      </c>
      <c r="EE19" s="239">
        <v>0</v>
      </c>
      <c r="EF19" s="239">
        <v>0</v>
      </c>
      <c r="EG19" s="239">
        <v>0</v>
      </c>
      <c r="EH19" s="239">
        <v>0</v>
      </c>
      <c r="EI19" s="239">
        <v>0</v>
      </c>
      <c r="EJ19" s="239">
        <v>0</v>
      </c>
      <c r="EK19" s="239">
        <v>-5164</v>
      </c>
      <c r="EL19" s="239">
        <v>0</v>
      </c>
      <c r="EM19" s="239">
        <v>-5164</v>
      </c>
      <c r="EN19" s="239">
        <v>469</v>
      </c>
      <c r="EO19" s="239">
        <v>0</v>
      </c>
      <c r="EP19" s="239">
        <v>469</v>
      </c>
      <c r="EQ19" s="239">
        <v>-140399</v>
      </c>
      <c r="ER19" s="239">
        <v>0</v>
      </c>
      <c r="ES19" s="239">
        <v>-140399</v>
      </c>
      <c r="ET19" s="239">
        <v>0</v>
      </c>
      <c r="EU19" s="239">
        <v>0</v>
      </c>
      <c r="EV19" s="239">
        <v>0</v>
      </c>
      <c r="EW19" s="239">
        <v>0</v>
      </c>
      <c r="EX19" s="239">
        <v>0</v>
      </c>
      <c r="EY19" s="239">
        <v>0</v>
      </c>
      <c r="EZ19" s="239">
        <v>0</v>
      </c>
      <c r="FA19" s="239">
        <v>0</v>
      </c>
      <c r="FB19" s="239">
        <v>0</v>
      </c>
      <c r="FC19" s="239">
        <v>83122028</v>
      </c>
      <c r="FD19" s="239">
        <v>0</v>
      </c>
      <c r="FE19" s="239">
        <v>83122028</v>
      </c>
      <c r="FF19" s="239">
        <v>868431</v>
      </c>
      <c r="FG19" s="239">
        <v>0</v>
      </c>
      <c r="FH19" s="239">
        <v>868431</v>
      </c>
      <c r="FI19" s="239">
        <v>-3279948</v>
      </c>
      <c r="FJ19" s="239">
        <v>0</v>
      </c>
      <c r="FK19" s="239">
        <v>-3279948</v>
      </c>
      <c r="FL19" s="239">
        <v>-4690544</v>
      </c>
      <c r="FM19" s="239">
        <v>0</v>
      </c>
      <c r="FN19" s="239">
        <v>-4690544</v>
      </c>
      <c r="FO19" s="239">
        <v>-809747</v>
      </c>
      <c r="FP19" s="239">
        <v>0</v>
      </c>
      <c r="FQ19" s="239">
        <v>-809747</v>
      </c>
      <c r="FR19" s="239">
        <v>-140399</v>
      </c>
      <c r="FS19" s="239">
        <v>0</v>
      </c>
      <c r="FT19" s="239">
        <v>-140399</v>
      </c>
      <c r="FU19" s="239">
        <v>0</v>
      </c>
      <c r="FV19" s="239">
        <v>0</v>
      </c>
      <c r="FW19" s="239">
        <v>0</v>
      </c>
      <c r="FX19" s="239">
        <v>-8052207</v>
      </c>
      <c r="FY19" s="239">
        <v>0</v>
      </c>
      <c r="FZ19" s="239">
        <v>-8052207</v>
      </c>
      <c r="GA19" s="239">
        <v>75069821</v>
      </c>
      <c r="GB19" s="239">
        <v>0</v>
      </c>
      <c r="GC19" s="239">
        <v>75069821</v>
      </c>
      <c r="GD19" s="214" t="s">
        <v>1190</v>
      </c>
    </row>
    <row r="20" spans="2:186" s="214" customFormat="1" x14ac:dyDescent="0.2">
      <c r="B20" s="609" t="s">
        <v>122</v>
      </c>
      <c r="C20" s="609" t="s">
        <v>121</v>
      </c>
      <c r="D20" s="239">
        <v>0</v>
      </c>
      <c r="E20" s="239">
        <v>0</v>
      </c>
      <c r="F20" s="239">
        <v>0</v>
      </c>
      <c r="G20" s="239">
        <v>38098</v>
      </c>
      <c r="H20" s="239">
        <v>0</v>
      </c>
      <c r="I20" s="239">
        <v>38098</v>
      </c>
      <c r="J20" s="239">
        <v>0</v>
      </c>
      <c r="K20" s="239">
        <v>0</v>
      </c>
      <c r="L20" s="239">
        <v>0</v>
      </c>
      <c r="M20" s="239">
        <v>163146</v>
      </c>
      <c r="N20" s="239">
        <v>0</v>
      </c>
      <c r="O20" s="239">
        <v>163146</v>
      </c>
      <c r="P20" s="239">
        <v>201244</v>
      </c>
      <c r="Q20" s="239">
        <v>0</v>
      </c>
      <c r="R20" s="239">
        <v>201244</v>
      </c>
      <c r="S20" s="239">
        <v>-2684107</v>
      </c>
      <c r="T20" s="239">
        <v>0</v>
      </c>
      <c r="U20" s="239">
        <v>-2684107</v>
      </c>
      <c r="V20" s="239">
        <v>-14826</v>
      </c>
      <c r="W20" s="239">
        <v>0</v>
      </c>
      <c r="X20" s="239">
        <v>-14826</v>
      </c>
      <c r="Y20" s="239">
        <v>-162422</v>
      </c>
      <c r="Z20" s="239">
        <v>0</v>
      </c>
      <c r="AA20" s="239">
        <v>-162422</v>
      </c>
      <c r="AB20" s="239">
        <v>-129081</v>
      </c>
      <c r="AC20" s="239">
        <v>0</v>
      </c>
      <c r="AD20" s="239">
        <v>-129081</v>
      </c>
      <c r="AE20" s="239">
        <v>-1534</v>
      </c>
      <c r="AF20" s="239">
        <v>0</v>
      </c>
      <c r="AG20" s="239">
        <v>-1534</v>
      </c>
      <c r="AH20" s="239">
        <v>1392332</v>
      </c>
      <c r="AI20" s="239">
        <v>0</v>
      </c>
      <c r="AJ20" s="239">
        <v>1392332</v>
      </c>
      <c r="AK20" s="239">
        <v>-15482</v>
      </c>
      <c r="AL20" s="239">
        <v>0</v>
      </c>
      <c r="AM20" s="239">
        <v>-15482</v>
      </c>
      <c r="AN20" s="239">
        <v>-2889856</v>
      </c>
      <c r="AO20" s="239">
        <v>0</v>
      </c>
      <c r="AP20" s="239">
        <v>-2889856</v>
      </c>
      <c r="AQ20" s="239">
        <v>-18056</v>
      </c>
      <c r="AR20" s="239">
        <v>0</v>
      </c>
      <c r="AS20" s="239">
        <v>-18056</v>
      </c>
      <c r="AT20" s="239">
        <v>-13300</v>
      </c>
      <c r="AU20" s="239">
        <v>0</v>
      </c>
      <c r="AV20" s="239">
        <v>-13300</v>
      </c>
      <c r="AW20" s="239">
        <v>0</v>
      </c>
      <c r="AX20" s="239">
        <v>0</v>
      </c>
      <c r="AY20" s="239">
        <v>0</v>
      </c>
      <c r="AZ20" s="239">
        <v>-41304</v>
      </c>
      <c r="BA20" s="239">
        <v>0</v>
      </c>
      <c r="BB20" s="239">
        <v>-41304</v>
      </c>
      <c r="BC20" s="239">
        <v>-5843</v>
      </c>
      <c r="BD20" s="239">
        <v>0</v>
      </c>
      <c r="BE20" s="239">
        <v>-5843</v>
      </c>
      <c r="BF20" s="239">
        <v>-4438038</v>
      </c>
      <c r="BG20" s="239">
        <v>0</v>
      </c>
      <c r="BH20" s="239">
        <v>-4438038</v>
      </c>
      <c r="BI20" s="239">
        <v>-533713</v>
      </c>
      <c r="BJ20" s="239">
        <v>0</v>
      </c>
      <c r="BK20" s="239">
        <v>-533713</v>
      </c>
      <c r="BL20" s="239">
        <v>0</v>
      </c>
      <c r="BM20" s="239">
        <v>0</v>
      </c>
      <c r="BN20" s="239">
        <v>0</v>
      </c>
      <c r="BO20" s="239">
        <v>-1120938</v>
      </c>
      <c r="BP20" s="239">
        <v>0</v>
      </c>
      <c r="BQ20" s="239">
        <v>-1120938</v>
      </c>
      <c r="BR20" s="239">
        <v>-111966</v>
      </c>
      <c r="BS20" s="239">
        <v>0</v>
      </c>
      <c r="BT20" s="239">
        <v>-111966</v>
      </c>
      <c r="BU20" s="239">
        <v>-1766617</v>
      </c>
      <c r="BV20" s="239">
        <v>0</v>
      </c>
      <c r="BW20" s="239">
        <v>-1766617</v>
      </c>
      <c r="BX20" s="239">
        <v>-84736</v>
      </c>
      <c r="BY20" s="239">
        <v>0</v>
      </c>
      <c r="BZ20" s="239">
        <v>-84736</v>
      </c>
      <c r="CA20" s="239">
        <v>-802</v>
      </c>
      <c r="CB20" s="239">
        <v>0</v>
      </c>
      <c r="CC20" s="239">
        <v>-802</v>
      </c>
      <c r="CD20" s="239">
        <v>-60862</v>
      </c>
      <c r="CE20" s="239">
        <v>0</v>
      </c>
      <c r="CF20" s="239">
        <v>-60862</v>
      </c>
      <c r="CG20" s="239">
        <v>-2011</v>
      </c>
      <c r="CH20" s="239">
        <v>0</v>
      </c>
      <c r="CI20" s="239">
        <v>-2011</v>
      </c>
      <c r="CJ20" s="239">
        <v>-1625</v>
      </c>
      <c r="CK20" s="239">
        <v>0</v>
      </c>
      <c r="CL20" s="239">
        <v>-1625</v>
      </c>
      <c r="CM20" s="239">
        <v>0</v>
      </c>
      <c r="CN20" s="239">
        <v>0</v>
      </c>
      <c r="CO20" s="239">
        <v>0</v>
      </c>
      <c r="CP20" s="239">
        <v>-43207</v>
      </c>
      <c r="CQ20" s="239">
        <v>0</v>
      </c>
      <c r="CR20" s="239">
        <v>-43207</v>
      </c>
      <c r="CS20" s="239">
        <v>-1523</v>
      </c>
      <c r="CT20" s="239">
        <v>0</v>
      </c>
      <c r="CU20" s="239">
        <v>-1523</v>
      </c>
      <c r="CV20" s="239">
        <v>-13587</v>
      </c>
      <c r="CW20" s="239">
        <v>0</v>
      </c>
      <c r="CX20" s="239">
        <v>-13587</v>
      </c>
      <c r="CY20" s="239">
        <v>1967</v>
      </c>
      <c r="CZ20" s="239">
        <v>0</v>
      </c>
      <c r="DA20" s="239">
        <v>1967</v>
      </c>
      <c r="DB20" s="239">
        <v>0</v>
      </c>
      <c r="DC20" s="239">
        <v>0</v>
      </c>
      <c r="DD20" s="239">
        <v>0</v>
      </c>
      <c r="DE20" s="239">
        <v>0</v>
      </c>
      <c r="DF20" s="239">
        <v>0</v>
      </c>
      <c r="DG20" s="239">
        <v>0</v>
      </c>
      <c r="DH20" s="239">
        <v>0</v>
      </c>
      <c r="DI20" s="239">
        <v>0</v>
      </c>
      <c r="DJ20" s="239">
        <v>-206386</v>
      </c>
      <c r="DK20" s="239">
        <v>0</v>
      </c>
      <c r="DL20" s="239">
        <v>-206386</v>
      </c>
      <c r="DM20" s="239">
        <v>-49815</v>
      </c>
      <c r="DN20" s="239">
        <v>0</v>
      </c>
      <c r="DO20" s="239">
        <v>-49815</v>
      </c>
      <c r="DP20" s="239">
        <v>-4578</v>
      </c>
      <c r="DQ20" s="239">
        <v>0</v>
      </c>
      <c r="DR20" s="239">
        <v>-4578</v>
      </c>
      <c r="DS20" s="239">
        <v>-17274</v>
      </c>
      <c r="DT20" s="239">
        <v>0</v>
      </c>
      <c r="DU20" s="239">
        <v>-17274</v>
      </c>
      <c r="DV20" s="239">
        <v>-8948</v>
      </c>
      <c r="DW20" s="239">
        <v>0</v>
      </c>
      <c r="DX20" s="239">
        <v>-8948</v>
      </c>
      <c r="DY20" s="239">
        <v>0</v>
      </c>
      <c r="DZ20" s="239">
        <v>0</v>
      </c>
      <c r="EA20" s="239">
        <v>0</v>
      </c>
      <c r="EB20" s="239">
        <v>-5551</v>
      </c>
      <c r="EC20" s="239">
        <v>0</v>
      </c>
      <c r="ED20" s="239">
        <v>-5551</v>
      </c>
      <c r="EE20" s="239">
        <v>0</v>
      </c>
      <c r="EF20" s="239">
        <v>0</v>
      </c>
      <c r="EG20" s="239">
        <v>0</v>
      </c>
      <c r="EH20" s="239">
        <v>0</v>
      </c>
      <c r="EI20" s="239">
        <v>0</v>
      </c>
      <c r="EJ20" s="239">
        <v>0</v>
      </c>
      <c r="EK20" s="239">
        <v>-11580</v>
      </c>
      <c r="EL20" s="239">
        <v>0</v>
      </c>
      <c r="EM20" s="239">
        <v>-11580</v>
      </c>
      <c r="EN20" s="239">
        <v>0</v>
      </c>
      <c r="EO20" s="239">
        <v>0</v>
      </c>
      <c r="EP20" s="239">
        <v>0</v>
      </c>
      <c r="EQ20" s="239">
        <v>-97746</v>
      </c>
      <c r="ER20" s="239">
        <v>0</v>
      </c>
      <c r="ES20" s="239">
        <v>-97746</v>
      </c>
      <c r="ET20" s="239">
        <v>0</v>
      </c>
      <c r="EU20" s="239">
        <v>0</v>
      </c>
      <c r="EV20" s="239">
        <v>0</v>
      </c>
      <c r="EW20" s="239">
        <v>0</v>
      </c>
      <c r="EX20" s="239">
        <v>0</v>
      </c>
      <c r="EY20" s="239">
        <v>0</v>
      </c>
      <c r="EZ20" s="239">
        <v>0</v>
      </c>
      <c r="FA20" s="239">
        <v>0</v>
      </c>
      <c r="FB20" s="239">
        <v>0</v>
      </c>
      <c r="FC20" s="239">
        <v>57438720</v>
      </c>
      <c r="FD20" s="239">
        <v>0</v>
      </c>
      <c r="FE20" s="239">
        <v>57438720</v>
      </c>
      <c r="FF20" s="239">
        <v>201244</v>
      </c>
      <c r="FG20" s="239">
        <v>0</v>
      </c>
      <c r="FH20" s="239">
        <v>201244</v>
      </c>
      <c r="FI20" s="239">
        <v>-4438038</v>
      </c>
      <c r="FJ20" s="239">
        <v>0</v>
      </c>
      <c r="FK20" s="239">
        <v>-4438038</v>
      </c>
      <c r="FL20" s="239">
        <v>-1766617</v>
      </c>
      <c r="FM20" s="239">
        <v>0</v>
      </c>
      <c r="FN20" s="239">
        <v>-1766617</v>
      </c>
      <c r="FO20" s="239">
        <v>-206386</v>
      </c>
      <c r="FP20" s="239">
        <v>0</v>
      </c>
      <c r="FQ20" s="239">
        <v>-206386</v>
      </c>
      <c r="FR20" s="239">
        <v>-97746</v>
      </c>
      <c r="FS20" s="239">
        <v>0</v>
      </c>
      <c r="FT20" s="239">
        <v>-97746</v>
      </c>
      <c r="FU20" s="239">
        <v>0</v>
      </c>
      <c r="FV20" s="239">
        <v>0</v>
      </c>
      <c r="FW20" s="239">
        <v>0</v>
      </c>
      <c r="FX20" s="239">
        <v>-6307543</v>
      </c>
      <c r="FY20" s="239">
        <v>0</v>
      </c>
      <c r="FZ20" s="239">
        <v>-6307543</v>
      </c>
      <c r="GA20" s="239">
        <v>51131177</v>
      </c>
      <c r="GB20" s="239">
        <v>0</v>
      </c>
      <c r="GC20" s="239">
        <v>51131177</v>
      </c>
      <c r="GD20" s="214" t="s">
        <v>1190</v>
      </c>
    </row>
    <row r="21" spans="2:186" s="214" customFormat="1" x14ac:dyDescent="0.2">
      <c r="B21" s="609" t="s">
        <v>124</v>
      </c>
      <c r="C21" s="609" t="s">
        <v>123</v>
      </c>
      <c r="D21" s="239">
        <v>0</v>
      </c>
      <c r="E21" s="239">
        <v>0</v>
      </c>
      <c r="F21" s="239">
        <v>0</v>
      </c>
      <c r="G21" s="239">
        <v>64201</v>
      </c>
      <c r="H21" s="239">
        <v>0</v>
      </c>
      <c r="I21" s="239">
        <v>64201</v>
      </c>
      <c r="J21" s="239">
        <v>0</v>
      </c>
      <c r="K21" s="239">
        <v>0</v>
      </c>
      <c r="L21" s="239">
        <v>0</v>
      </c>
      <c r="M21" s="239">
        <v>44732</v>
      </c>
      <c r="N21" s="239">
        <v>-246</v>
      </c>
      <c r="O21" s="239">
        <v>44486</v>
      </c>
      <c r="P21" s="239">
        <v>108933</v>
      </c>
      <c r="Q21" s="239">
        <v>-246</v>
      </c>
      <c r="R21" s="239">
        <v>108687</v>
      </c>
      <c r="S21" s="239">
        <v>-4037991</v>
      </c>
      <c r="T21" s="239">
        <v>-99826</v>
      </c>
      <c r="U21" s="239">
        <v>-4137817</v>
      </c>
      <c r="V21" s="239">
        <v>-10049</v>
      </c>
      <c r="W21" s="239">
        <v>0</v>
      </c>
      <c r="X21" s="239">
        <v>-10049</v>
      </c>
      <c r="Y21" s="239">
        <v>-344212</v>
      </c>
      <c r="Z21" s="239">
        <v>191</v>
      </c>
      <c r="AA21" s="239">
        <v>-344021</v>
      </c>
      <c r="AB21" s="239">
        <v>-344212</v>
      </c>
      <c r="AC21" s="239">
        <v>191</v>
      </c>
      <c r="AD21" s="239">
        <v>-344021</v>
      </c>
      <c r="AE21" s="239">
        <v>-160</v>
      </c>
      <c r="AF21" s="239">
        <v>0</v>
      </c>
      <c r="AG21" s="239">
        <v>-160</v>
      </c>
      <c r="AH21" s="239">
        <v>1701639</v>
      </c>
      <c r="AI21" s="239">
        <v>158818</v>
      </c>
      <c r="AJ21" s="239">
        <v>1860457</v>
      </c>
      <c r="AK21" s="239">
        <v>-28098</v>
      </c>
      <c r="AL21" s="239">
        <v>-7229</v>
      </c>
      <c r="AM21" s="239">
        <v>-35327</v>
      </c>
      <c r="AN21" s="239">
        <v>-7312977</v>
      </c>
      <c r="AO21" s="239">
        <v>-256137</v>
      </c>
      <c r="AP21" s="239">
        <v>-7569114</v>
      </c>
      <c r="AQ21" s="239">
        <v>-165222</v>
      </c>
      <c r="AR21" s="239">
        <v>-18734</v>
      </c>
      <c r="AS21" s="239">
        <v>-183956</v>
      </c>
      <c r="AT21" s="239">
        <v>-158983</v>
      </c>
      <c r="AU21" s="239">
        <v>0</v>
      </c>
      <c r="AV21" s="239">
        <v>-158983</v>
      </c>
      <c r="AW21" s="239">
        <v>-3358</v>
      </c>
      <c r="AX21" s="239">
        <v>0</v>
      </c>
      <c r="AY21" s="239">
        <v>-3358</v>
      </c>
      <c r="AZ21" s="239">
        <v>-25287</v>
      </c>
      <c r="BA21" s="239">
        <v>0</v>
      </c>
      <c r="BB21" s="239">
        <v>-25287</v>
      </c>
      <c r="BC21" s="239">
        <v>0</v>
      </c>
      <c r="BD21" s="239">
        <v>0</v>
      </c>
      <c r="BE21" s="239">
        <v>0</v>
      </c>
      <c r="BF21" s="239">
        <v>-10374489</v>
      </c>
      <c r="BG21" s="239">
        <v>-222917</v>
      </c>
      <c r="BH21" s="239">
        <v>-10597406</v>
      </c>
      <c r="BI21" s="239">
        <v>-852</v>
      </c>
      <c r="BJ21" s="239">
        <v>0</v>
      </c>
      <c r="BK21" s="239">
        <v>-852</v>
      </c>
      <c r="BL21" s="239">
        <v>-10834</v>
      </c>
      <c r="BM21" s="239">
        <v>-18880</v>
      </c>
      <c r="BN21" s="239">
        <v>-29714</v>
      </c>
      <c r="BO21" s="239">
        <v>-2734039</v>
      </c>
      <c r="BP21" s="239">
        <v>-325164</v>
      </c>
      <c r="BQ21" s="239">
        <v>-3059203</v>
      </c>
      <c r="BR21" s="239">
        <v>324297</v>
      </c>
      <c r="BS21" s="239">
        <v>-36025</v>
      </c>
      <c r="BT21" s="239">
        <v>288272</v>
      </c>
      <c r="BU21" s="239">
        <v>-2421428</v>
      </c>
      <c r="BV21" s="239">
        <v>-380069</v>
      </c>
      <c r="BW21" s="239">
        <v>-2801497</v>
      </c>
      <c r="BX21" s="239">
        <v>-86069</v>
      </c>
      <c r="BY21" s="239">
        <v>0</v>
      </c>
      <c r="BZ21" s="239">
        <v>-86069</v>
      </c>
      <c r="CA21" s="239">
        <v>0</v>
      </c>
      <c r="CB21" s="239">
        <v>0</v>
      </c>
      <c r="CC21" s="239">
        <v>0</v>
      </c>
      <c r="CD21" s="239">
        <v>-44483</v>
      </c>
      <c r="CE21" s="239">
        <v>0</v>
      </c>
      <c r="CF21" s="239">
        <v>-44483</v>
      </c>
      <c r="CG21" s="239">
        <v>106</v>
      </c>
      <c r="CH21" s="239">
        <v>0</v>
      </c>
      <c r="CI21" s="239">
        <v>106</v>
      </c>
      <c r="CJ21" s="239">
        <v>-21426</v>
      </c>
      <c r="CK21" s="239">
        <v>0</v>
      </c>
      <c r="CL21" s="239">
        <v>-21426</v>
      </c>
      <c r="CM21" s="239">
        <v>-781</v>
      </c>
      <c r="CN21" s="239">
        <v>0</v>
      </c>
      <c r="CO21" s="239">
        <v>-781</v>
      </c>
      <c r="CP21" s="239">
        <v>-13205</v>
      </c>
      <c r="CQ21" s="239">
        <v>0</v>
      </c>
      <c r="CR21" s="239">
        <v>-13205</v>
      </c>
      <c r="CS21" s="239">
        <v>0</v>
      </c>
      <c r="CT21" s="239">
        <v>0</v>
      </c>
      <c r="CU21" s="239">
        <v>0</v>
      </c>
      <c r="CV21" s="239">
        <v>-37077</v>
      </c>
      <c r="CW21" s="239">
        <v>0</v>
      </c>
      <c r="CX21" s="239">
        <v>-37077</v>
      </c>
      <c r="CY21" s="239">
        <v>0</v>
      </c>
      <c r="CZ21" s="239">
        <v>0</v>
      </c>
      <c r="DA21" s="239">
        <v>0</v>
      </c>
      <c r="DB21" s="239">
        <v>0</v>
      </c>
      <c r="DC21" s="239">
        <v>0</v>
      </c>
      <c r="DD21" s="239">
        <v>0</v>
      </c>
      <c r="DE21" s="239">
        <v>0</v>
      </c>
      <c r="DF21" s="239">
        <v>0</v>
      </c>
      <c r="DG21" s="239">
        <v>0</v>
      </c>
      <c r="DH21" s="239">
        <v>0</v>
      </c>
      <c r="DI21" s="239">
        <v>0</v>
      </c>
      <c r="DJ21" s="239">
        <v>-202935</v>
      </c>
      <c r="DK21" s="239">
        <v>0</v>
      </c>
      <c r="DL21" s="239">
        <v>-202935</v>
      </c>
      <c r="DM21" s="239">
        <v>0</v>
      </c>
      <c r="DN21" s="239">
        <v>0</v>
      </c>
      <c r="DO21" s="239">
        <v>0</v>
      </c>
      <c r="DP21" s="239">
        <v>0</v>
      </c>
      <c r="DQ21" s="239">
        <v>0</v>
      </c>
      <c r="DR21" s="239">
        <v>0</v>
      </c>
      <c r="DS21" s="239">
        <v>-26261</v>
      </c>
      <c r="DT21" s="239">
        <v>0</v>
      </c>
      <c r="DU21" s="239">
        <v>-26261</v>
      </c>
      <c r="DV21" s="239">
        <v>-8900</v>
      </c>
      <c r="DW21" s="239">
        <v>0</v>
      </c>
      <c r="DX21" s="239">
        <v>-8900</v>
      </c>
      <c r="DY21" s="239">
        <v>0</v>
      </c>
      <c r="DZ21" s="239">
        <v>0</v>
      </c>
      <c r="EA21" s="239">
        <v>0</v>
      </c>
      <c r="EB21" s="239">
        <v>-14897</v>
      </c>
      <c r="EC21" s="239">
        <v>-1500</v>
      </c>
      <c r="ED21" s="239">
        <v>-16397</v>
      </c>
      <c r="EE21" s="239">
        <v>0</v>
      </c>
      <c r="EF21" s="239">
        <v>0</v>
      </c>
      <c r="EG21" s="239">
        <v>0</v>
      </c>
      <c r="EH21" s="239">
        <v>167</v>
      </c>
      <c r="EI21" s="239">
        <v>0</v>
      </c>
      <c r="EJ21" s="239">
        <v>167</v>
      </c>
      <c r="EK21" s="239">
        <v>0</v>
      </c>
      <c r="EL21" s="239">
        <v>0</v>
      </c>
      <c r="EM21" s="239">
        <v>0</v>
      </c>
      <c r="EN21" s="239">
        <v>14</v>
      </c>
      <c r="EO21" s="239">
        <v>0</v>
      </c>
      <c r="EP21" s="239">
        <v>14</v>
      </c>
      <c r="EQ21" s="239">
        <v>-49877</v>
      </c>
      <c r="ER21" s="239">
        <v>-1500</v>
      </c>
      <c r="ES21" s="239">
        <v>-51377</v>
      </c>
      <c r="ET21" s="239">
        <v>0</v>
      </c>
      <c r="EU21" s="239">
        <v>0</v>
      </c>
      <c r="EV21" s="239">
        <v>0</v>
      </c>
      <c r="EW21" s="239">
        <v>0</v>
      </c>
      <c r="EX21" s="239">
        <v>0</v>
      </c>
      <c r="EY21" s="239">
        <v>0</v>
      </c>
      <c r="EZ21" s="239">
        <v>0</v>
      </c>
      <c r="FA21" s="239">
        <v>0</v>
      </c>
      <c r="FB21" s="239">
        <v>0</v>
      </c>
      <c r="FC21" s="239">
        <v>70448220</v>
      </c>
      <c r="FD21" s="239">
        <v>6027895</v>
      </c>
      <c r="FE21" s="239">
        <v>76476115</v>
      </c>
      <c r="FF21" s="239">
        <v>108933</v>
      </c>
      <c r="FG21" s="239">
        <v>-246</v>
      </c>
      <c r="FH21" s="239">
        <v>108687</v>
      </c>
      <c r="FI21" s="239">
        <v>-10374489</v>
      </c>
      <c r="FJ21" s="239">
        <v>-222917</v>
      </c>
      <c r="FK21" s="239">
        <v>-10597406</v>
      </c>
      <c r="FL21" s="239">
        <v>-2421428</v>
      </c>
      <c r="FM21" s="239">
        <v>-380069</v>
      </c>
      <c r="FN21" s="239">
        <v>-2801497</v>
      </c>
      <c r="FO21" s="239">
        <v>-202935</v>
      </c>
      <c r="FP21" s="239">
        <v>0</v>
      </c>
      <c r="FQ21" s="239">
        <v>-202935</v>
      </c>
      <c r="FR21" s="239">
        <v>-49877</v>
      </c>
      <c r="FS21" s="239">
        <v>-1500</v>
      </c>
      <c r="FT21" s="239">
        <v>-51377</v>
      </c>
      <c r="FU21" s="239">
        <v>0</v>
      </c>
      <c r="FV21" s="239">
        <v>0</v>
      </c>
      <c r="FW21" s="239">
        <v>0</v>
      </c>
      <c r="FX21" s="239">
        <v>-12939796</v>
      </c>
      <c r="FY21" s="239">
        <v>-604732</v>
      </c>
      <c r="FZ21" s="239">
        <v>-13544528</v>
      </c>
      <c r="GA21" s="239">
        <v>57508424</v>
      </c>
      <c r="GB21" s="239">
        <v>5423163</v>
      </c>
      <c r="GC21" s="239">
        <v>62931587</v>
      </c>
      <c r="GD21" s="214" t="s">
        <v>747</v>
      </c>
    </row>
    <row r="22" spans="2:186" s="214" customFormat="1" x14ac:dyDescent="0.2">
      <c r="B22" s="609" t="s">
        <v>126</v>
      </c>
      <c r="C22" s="609" t="s">
        <v>125</v>
      </c>
      <c r="D22" s="239">
        <v>0</v>
      </c>
      <c r="E22" s="239">
        <v>0</v>
      </c>
      <c r="F22" s="239">
        <v>0</v>
      </c>
      <c r="G22" s="239">
        <v>11124</v>
      </c>
      <c r="H22" s="239">
        <v>0</v>
      </c>
      <c r="I22" s="239">
        <v>11124</v>
      </c>
      <c r="J22" s="239">
        <v>0</v>
      </c>
      <c r="K22" s="239">
        <v>0</v>
      </c>
      <c r="L22" s="239">
        <v>0</v>
      </c>
      <c r="M22" s="239">
        <v>34756</v>
      </c>
      <c r="N22" s="239">
        <v>0</v>
      </c>
      <c r="O22" s="239">
        <v>34756</v>
      </c>
      <c r="P22" s="239">
        <v>45880</v>
      </c>
      <c r="Q22" s="239">
        <v>0</v>
      </c>
      <c r="R22" s="239">
        <v>45880</v>
      </c>
      <c r="S22" s="239">
        <v>-3343638</v>
      </c>
      <c r="T22" s="239">
        <v>0</v>
      </c>
      <c r="U22" s="239">
        <v>-3343638</v>
      </c>
      <c r="V22" s="239">
        <v>-12689</v>
      </c>
      <c r="W22" s="239">
        <v>0</v>
      </c>
      <c r="X22" s="239">
        <v>-12689</v>
      </c>
      <c r="Y22" s="239">
        <v>-133291</v>
      </c>
      <c r="Z22" s="239">
        <v>0</v>
      </c>
      <c r="AA22" s="239">
        <v>-133291</v>
      </c>
      <c r="AB22" s="239">
        <v>-91282</v>
      </c>
      <c r="AC22" s="239">
        <v>0</v>
      </c>
      <c r="AD22" s="239">
        <v>-91282</v>
      </c>
      <c r="AE22" s="239">
        <v>769</v>
      </c>
      <c r="AF22" s="239">
        <v>0</v>
      </c>
      <c r="AG22" s="239">
        <v>769</v>
      </c>
      <c r="AH22" s="239">
        <v>1856716</v>
      </c>
      <c r="AI22" s="239">
        <v>0</v>
      </c>
      <c r="AJ22" s="239">
        <v>1856716</v>
      </c>
      <c r="AK22" s="239">
        <v>70394</v>
      </c>
      <c r="AL22" s="239">
        <v>0</v>
      </c>
      <c r="AM22" s="239">
        <v>70394</v>
      </c>
      <c r="AN22" s="239">
        <v>-5381995</v>
      </c>
      <c r="AO22" s="239">
        <v>0</v>
      </c>
      <c r="AP22" s="239">
        <v>-5381995</v>
      </c>
      <c r="AQ22" s="239">
        <v>-129996</v>
      </c>
      <c r="AR22" s="239">
        <v>0</v>
      </c>
      <c r="AS22" s="239">
        <v>-129996</v>
      </c>
      <c r="AT22" s="239">
        <v>-149756</v>
      </c>
      <c r="AU22" s="239">
        <v>0</v>
      </c>
      <c r="AV22" s="239">
        <v>-149756</v>
      </c>
      <c r="AW22" s="239">
        <v>0</v>
      </c>
      <c r="AX22" s="239">
        <v>0</v>
      </c>
      <c r="AY22" s="239">
        <v>0</v>
      </c>
      <c r="AZ22" s="239">
        <v>-42601</v>
      </c>
      <c r="BA22" s="239">
        <v>0</v>
      </c>
      <c r="BB22" s="239">
        <v>-42601</v>
      </c>
      <c r="BC22" s="239">
        <v>-3108</v>
      </c>
      <c r="BD22" s="239">
        <v>0</v>
      </c>
      <c r="BE22" s="239">
        <v>-3108</v>
      </c>
      <c r="BF22" s="239">
        <v>-7257275</v>
      </c>
      <c r="BG22" s="239">
        <v>0</v>
      </c>
      <c r="BH22" s="239">
        <v>-7257275</v>
      </c>
      <c r="BI22" s="239">
        <v>0</v>
      </c>
      <c r="BJ22" s="239">
        <v>0</v>
      </c>
      <c r="BK22" s="239">
        <v>0</v>
      </c>
      <c r="BL22" s="239">
        <v>0</v>
      </c>
      <c r="BM22" s="239">
        <v>0</v>
      </c>
      <c r="BN22" s="239">
        <v>0</v>
      </c>
      <c r="BO22" s="239">
        <v>-1855343</v>
      </c>
      <c r="BP22" s="239">
        <v>0</v>
      </c>
      <c r="BQ22" s="239">
        <v>-1855343</v>
      </c>
      <c r="BR22" s="239">
        <v>448307</v>
      </c>
      <c r="BS22" s="239">
        <v>0</v>
      </c>
      <c r="BT22" s="239">
        <v>448307</v>
      </c>
      <c r="BU22" s="239">
        <v>-1407036</v>
      </c>
      <c r="BV22" s="239">
        <v>0</v>
      </c>
      <c r="BW22" s="239">
        <v>-1407036</v>
      </c>
      <c r="BX22" s="239">
        <v>-121139</v>
      </c>
      <c r="BY22" s="239">
        <v>0</v>
      </c>
      <c r="BZ22" s="239">
        <v>-121139</v>
      </c>
      <c r="CA22" s="239">
        <v>-3228</v>
      </c>
      <c r="CB22" s="239">
        <v>0</v>
      </c>
      <c r="CC22" s="239">
        <v>-3228</v>
      </c>
      <c r="CD22" s="239">
        <v>-30666</v>
      </c>
      <c r="CE22" s="239">
        <v>0</v>
      </c>
      <c r="CF22" s="239">
        <v>-30666</v>
      </c>
      <c r="CG22" s="239">
        <v>-557</v>
      </c>
      <c r="CH22" s="239">
        <v>0</v>
      </c>
      <c r="CI22" s="239">
        <v>-557</v>
      </c>
      <c r="CJ22" s="239">
        <v>-1454</v>
      </c>
      <c r="CK22" s="239">
        <v>0</v>
      </c>
      <c r="CL22" s="239">
        <v>-1454</v>
      </c>
      <c r="CM22" s="239">
        <v>0</v>
      </c>
      <c r="CN22" s="239">
        <v>0</v>
      </c>
      <c r="CO22" s="239">
        <v>0</v>
      </c>
      <c r="CP22" s="239">
        <v>-35658</v>
      </c>
      <c r="CQ22" s="239">
        <v>0</v>
      </c>
      <c r="CR22" s="239">
        <v>-35658</v>
      </c>
      <c r="CS22" s="239">
        <v>262</v>
      </c>
      <c r="CT22" s="239">
        <v>0</v>
      </c>
      <c r="CU22" s="239">
        <v>262</v>
      </c>
      <c r="CV22" s="239">
        <v>-26943</v>
      </c>
      <c r="CW22" s="239">
        <v>0</v>
      </c>
      <c r="CX22" s="239">
        <v>-26943</v>
      </c>
      <c r="CY22" s="239">
        <v>9811</v>
      </c>
      <c r="CZ22" s="239">
        <v>0</v>
      </c>
      <c r="DA22" s="239">
        <v>9811</v>
      </c>
      <c r="DB22" s="239">
        <v>0</v>
      </c>
      <c r="DC22" s="239">
        <v>0</v>
      </c>
      <c r="DD22" s="239">
        <v>0</v>
      </c>
      <c r="DE22" s="239">
        <v>0</v>
      </c>
      <c r="DF22" s="239">
        <v>0</v>
      </c>
      <c r="DG22" s="239">
        <v>0</v>
      </c>
      <c r="DH22" s="239">
        <v>0</v>
      </c>
      <c r="DI22" s="239">
        <v>0</v>
      </c>
      <c r="DJ22" s="239">
        <v>-209572</v>
      </c>
      <c r="DK22" s="239">
        <v>0</v>
      </c>
      <c r="DL22" s="239">
        <v>-209572</v>
      </c>
      <c r="DM22" s="239">
        <v>-190311</v>
      </c>
      <c r="DN22" s="239">
        <v>0</v>
      </c>
      <c r="DO22" s="239">
        <v>-190311</v>
      </c>
      <c r="DP22" s="239">
        <v>-12985</v>
      </c>
      <c r="DQ22" s="239">
        <v>0</v>
      </c>
      <c r="DR22" s="239">
        <v>-12985</v>
      </c>
      <c r="DS22" s="239">
        <v>-25968</v>
      </c>
      <c r="DT22" s="239">
        <v>0</v>
      </c>
      <c r="DU22" s="239">
        <v>-25968</v>
      </c>
      <c r="DV22" s="239">
        <v>-1990</v>
      </c>
      <c r="DW22" s="239">
        <v>0</v>
      </c>
      <c r="DX22" s="239">
        <v>-1990</v>
      </c>
      <c r="DY22" s="239">
        <v>0</v>
      </c>
      <c r="DZ22" s="239">
        <v>0</v>
      </c>
      <c r="EA22" s="239">
        <v>0</v>
      </c>
      <c r="EB22" s="239">
        <v>3808</v>
      </c>
      <c r="EC22" s="239">
        <v>0</v>
      </c>
      <c r="ED22" s="239">
        <v>3808</v>
      </c>
      <c r="EE22" s="239">
        <v>0</v>
      </c>
      <c r="EF22" s="239">
        <v>0</v>
      </c>
      <c r="EG22" s="239">
        <v>0</v>
      </c>
      <c r="EH22" s="239">
        <v>0</v>
      </c>
      <c r="EI22" s="239">
        <v>0</v>
      </c>
      <c r="EJ22" s="239">
        <v>0</v>
      </c>
      <c r="EK22" s="239">
        <v>0</v>
      </c>
      <c r="EL22" s="239">
        <v>0</v>
      </c>
      <c r="EM22" s="239">
        <v>0</v>
      </c>
      <c r="EN22" s="239">
        <v>0</v>
      </c>
      <c r="EO22" s="239">
        <v>0</v>
      </c>
      <c r="EP22" s="239">
        <v>0</v>
      </c>
      <c r="EQ22" s="239">
        <v>-227446</v>
      </c>
      <c r="ER22" s="239">
        <v>0</v>
      </c>
      <c r="ES22" s="239">
        <v>-227446</v>
      </c>
      <c r="ET22" s="239">
        <v>-19216</v>
      </c>
      <c r="EU22" s="239">
        <v>0</v>
      </c>
      <c r="EV22" s="239">
        <v>-19216</v>
      </c>
      <c r="EW22" s="239">
        <v>0</v>
      </c>
      <c r="EX22" s="239">
        <v>0</v>
      </c>
      <c r="EY22" s="239">
        <v>0</v>
      </c>
      <c r="EZ22" s="239">
        <v>-19216</v>
      </c>
      <c r="FA22" s="239">
        <v>0</v>
      </c>
      <c r="FB22" s="239">
        <v>-19216</v>
      </c>
      <c r="FC22" s="239">
        <v>78111031</v>
      </c>
      <c r="FD22" s="239">
        <v>0</v>
      </c>
      <c r="FE22" s="239">
        <v>78111031</v>
      </c>
      <c r="FF22" s="239">
        <v>45880</v>
      </c>
      <c r="FG22" s="239">
        <v>0</v>
      </c>
      <c r="FH22" s="239">
        <v>45880</v>
      </c>
      <c r="FI22" s="239">
        <v>-7257275</v>
      </c>
      <c r="FJ22" s="239">
        <v>0</v>
      </c>
      <c r="FK22" s="239">
        <v>-7257275</v>
      </c>
      <c r="FL22" s="239">
        <v>-1407036</v>
      </c>
      <c r="FM22" s="239">
        <v>0</v>
      </c>
      <c r="FN22" s="239">
        <v>-1407036</v>
      </c>
      <c r="FO22" s="239">
        <v>-209572</v>
      </c>
      <c r="FP22" s="239">
        <v>0</v>
      </c>
      <c r="FQ22" s="239">
        <v>-209572</v>
      </c>
      <c r="FR22" s="239">
        <v>-227446</v>
      </c>
      <c r="FS22" s="239">
        <v>0</v>
      </c>
      <c r="FT22" s="239">
        <v>-227446</v>
      </c>
      <c r="FU22" s="239">
        <v>-19216</v>
      </c>
      <c r="FV22" s="239">
        <v>0</v>
      </c>
      <c r="FW22" s="239">
        <v>-19216</v>
      </c>
      <c r="FX22" s="239">
        <v>-9074665</v>
      </c>
      <c r="FY22" s="239">
        <v>0</v>
      </c>
      <c r="FZ22" s="239">
        <v>-9074665</v>
      </c>
      <c r="GA22" s="239">
        <v>69036366</v>
      </c>
      <c r="GB22" s="239">
        <v>0</v>
      </c>
      <c r="GC22" s="239">
        <v>69036366</v>
      </c>
      <c r="GD22" s="214" t="s">
        <v>747</v>
      </c>
    </row>
    <row r="23" spans="2:186" s="214" customFormat="1" x14ac:dyDescent="0.2">
      <c r="B23" s="609" t="s">
        <v>128</v>
      </c>
      <c r="C23" s="609" t="s">
        <v>127</v>
      </c>
      <c r="D23" s="239">
        <v>0</v>
      </c>
      <c r="E23" s="239">
        <v>0</v>
      </c>
      <c r="F23" s="239">
        <v>0</v>
      </c>
      <c r="G23" s="239">
        <v>20128</v>
      </c>
      <c r="H23" s="239">
        <v>0</v>
      </c>
      <c r="I23" s="239">
        <v>20128</v>
      </c>
      <c r="J23" s="239">
        <v>0</v>
      </c>
      <c r="K23" s="239">
        <v>0</v>
      </c>
      <c r="L23" s="239">
        <v>0</v>
      </c>
      <c r="M23" s="239">
        <v>2403</v>
      </c>
      <c r="N23" s="239">
        <v>0</v>
      </c>
      <c r="O23" s="239">
        <v>2403</v>
      </c>
      <c r="P23" s="239">
        <v>22531</v>
      </c>
      <c r="Q23" s="239">
        <v>0</v>
      </c>
      <c r="R23" s="239">
        <v>22531</v>
      </c>
      <c r="S23" s="239">
        <v>-4065796</v>
      </c>
      <c r="T23" s="239">
        <v>0</v>
      </c>
      <c r="U23" s="239">
        <v>-4065796</v>
      </c>
      <c r="V23" s="239">
        <v>0</v>
      </c>
      <c r="W23" s="239">
        <v>0</v>
      </c>
      <c r="X23" s="239">
        <v>0</v>
      </c>
      <c r="Y23" s="239">
        <v>-16476</v>
      </c>
      <c r="Z23" s="239">
        <v>0</v>
      </c>
      <c r="AA23" s="239">
        <v>-16476</v>
      </c>
      <c r="AB23" s="239">
        <v>-16592</v>
      </c>
      <c r="AC23" s="239">
        <v>0</v>
      </c>
      <c r="AD23" s="239">
        <v>-16592</v>
      </c>
      <c r="AE23" s="239">
        <v>0</v>
      </c>
      <c r="AF23" s="239">
        <v>0</v>
      </c>
      <c r="AG23" s="239">
        <v>0</v>
      </c>
      <c r="AH23" s="239">
        <v>1885533</v>
      </c>
      <c r="AI23" s="239">
        <v>0</v>
      </c>
      <c r="AJ23" s="239">
        <v>1885533</v>
      </c>
      <c r="AK23" s="239">
        <v>-8372</v>
      </c>
      <c r="AL23" s="239">
        <v>0</v>
      </c>
      <c r="AM23" s="239">
        <v>-8372</v>
      </c>
      <c r="AN23" s="239">
        <v>-7019576</v>
      </c>
      <c r="AO23" s="239">
        <v>0</v>
      </c>
      <c r="AP23" s="239">
        <v>-7019576</v>
      </c>
      <c r="AQ23" s="239">
        <v>-72120</v>
      </c>
      <c r="AR23" s="239">
        <v>0</v>
      </c>
      <c r="AS23" s="239">
        <v>-72120</v>
      </c>
      <c r="AT23" s="239">
        <v>-102521</v>
      </c>
      <c r="AU23" s="239">
        <v>0</v>
      </c>
      <c r="AV23" s="239">
        <v>-102521</v>
      </c>
      <c r="AW23" s="239">
        <v>0</v>
      </c>
      <c r="AX23" s="239">
        <v>0</v>
      </c>
      <c r="AY23" s="239">
        <v>0</v>
      </c>
      <c r="AZ23" s="239">
        <v>0</v>
      </c>
      <c r="BA23" s="239">
        <v>0</v>
      </c>
      <c r="BB23" s="239">
        <v>0</v>
      </c>
      <c r="BC23" s="239">
        <v>0</v>
      </c>
      <c r="BD23" s="239">
        <v>0</v>
      </c>
      <c r="BE23" s="239">
        <v>0</v>
      </c>
      <c r="BF23" s="239">
        <v>-9399328</v>
      </c>
      <c r="BG23" s="239">
        <v>0</v>
      </c>
      <c r="BH23" s="239">
        <v>-9399328</v>
      </c>
      <c r="BI23" s="239">
        <v>-64329</v>
      </c>
      <c r="BJ23" s="239">
        <v>0</v>
      </c>
      <c r="BK23" s="239">
        <v>-64329</v>
      </c>
      <c r="BL23" s="239">
        <v>-58771</v>
      </c>
      <c r="BM23" s="239">
        <v>0</v>
      </c>
      <c r="BN23" s="239">
        <v>-58771</v>
      </c>
      <c r="BO23" s="239">
        <v>-1365148</v>
      </c>
      <c r="BP23" s="239">
        <v>0</v>
      </c>
      <c r="BQ23" s="239">
        <v>-1365148</v>
      </c>
      <c r="BR23" s="239">
        <v>17110</v>
      </c>
      <c r="BS23" s="239">
        <v>0</v>
      </c>
      <c r="BT23" s="239">
        <v>17110</v>
      </c>
      <c r="BU23" s="239">
        <v>-1471138</v>
      </c>
      <c r="BV23" s="239">
        <v>0</v>
      </c>
      <c r="BW23" s="239">
        <v>-1471138</v>
      </c>
      <c r="BX23" s="239">
        <v>0</v>
      </c>
      <c r="BY23" s="239">
        <v>0</v>
      </c>
      <c r="BZ23" s="239">
        <v>0</v>
      </c>
      <c r="CA23" s="239">
        <v>0</v>
      </c>
      <c r="CB23" s="239">
        <v>0</v>
      </c>
      <c r="CC23" s="239">
        <v>0</v>
      </c>
      <c r="CD23" s="239">
        <v>0</v>
      </c>
      <c r="CE23" s="239">
        <v>0</v>
      </c>
      <c r="CF23" s="239">
        <v>0</v>
      </c>
      <c r="CG23" s="239">
        <v>0</v>
      </c>
      <c r="CH23" s="239">
        <v>0</v>
      </c>
      <c r="CI23" s="239">
        <v>0</v>
      </c>
      <c r="CJ23" s="239">
        <v>0</v>
      </c>
      <c r="CK23" s="239">
        <v>0</v>
      </c>
      <c r="CL23" s="239">
        <v>0</v>
      </c>
      <c r="CM23" s="239">
        <v>0</v>
      </c>
      <c r="CN23" s="239">
        <v>0</v>
      </c>
      <c r="CO23" s="239">
        <v>0</v>
      </c>
      <c r="CP23" s="239">
        <v>0</v>
      </c>
      <c r="CQ23" s="239">
        <v>0</v>
      </c>
      <c r="CR23" s="239">
        <v>0</v>
      </c>
      <c r="CS23" s="239">
        <v>0</v>
      </c>
      <c r="CT23" s="239">
        <v>0</v>
      </c>
      <c r="CU23" s="239">
        <v>0</v>
      </c>
      <c r="CV23" s="239">
        <v>0</v>
      </c>
      <c r="CW23" s="239">
        <v>0</v>
      </c>
      <c r="CX23" s="239">
        <v>0</v>
      </c>
      <c r="CY23" s="239">
        <v>0</v>
      </c>
      <c r="CZ23" s="239">
        <v>0</v>
      </c>
      <c r="DA23" s="239">
        <v>0</v>
      </c>
      <c r="DB23" s="239">
        <v>0</v>
      </c>
      <c r="DC23" s="239">
        <v>0</v>
      </c>
      <c r="DD23" s="239">
        <v>0</v>
      </c>
      <c r="DE23" s="239">
        <v>0</v>
      </c>
      <c r="DF23" s="239">
        <v>0</v>
      </c>
      <c r="DG23" s="239">
        <v>0</v>
      </c>
      <c r="DH23" s="239">
        <v>0</v>
      </c>
      <c r="DI23" s="239">
        <v>0</v>
      </c>
      <c r="DJ23" s="239">
        <v>0</v>
      </c>
      <c r="DK23" s="239">
        <v>0</v>
      </c>
      <c r="DL23" s="239">
        <v>0</v>
      </c>
      <c r="DM23" s="239">
        <v>0</v>
      </c>
      <c r="DN23" s="239">
        <v>0</v>
      </c>
      <c r="DO23" s="239">
        <v>0</v>
      </c>
      <c r="DP23" s="239">
        <v>0</v>
      </c>
      <c r="DQ23" s="239">
        <v>0</v>
      </c>
      <c r="DR23" s="239">
        <v>0</v>
      </c>
      <c r="DS23" s="239">
        <v>-5581</v>
      </c>
      <c r="DT23" s="239">
        <v>0</v>
      </c>
      <c r="DU23" s="239">
        <v>-5581</v>
      </c>
      <c r="DV23" s="239">
        <v>902</v>
      </c>
      <c r="DW23" s="239">
        <v>0</v>
      </c>
      <c r="DX23" s="239">
        <v>902</v>
      </c>
      <c r="DY23" s="239">
        <v>0</v>
      </c>
      <c r="DZ23" s="239">
        <v>0</v>
      </c>
      <c r="EA23" s="239">
        <v>0</v>
      </c>
      <c r="EB23" s="239">
        <v>2662</v>
      </c>
      <c r="EC23" s="239">
        <v>0</v>
      </c>
      <c r="ED23" s="239">
        <v>2662</v>
      </c>
      <c r="EE23" s="239">
        <v>0</v>
      </c>
      <c r="EF23" s="239">
        <v>0</v>
      </c>
      <c r="EG23" s="239">
        <v>0</v>
      </c>
      <c r="EH23" s="239">
        <v>0</v>
      </c>
      <c r="EI23" s="239">
        <v>0</v>
      </c>
      <c r="EJ23" s="239">
        <v>0</v>
      </c>
      <c r="EK23" s="239">
        <v>0</v>
      </c>
      <c r="EL23" s="239">
        <v>0</v>
      </c>
      <c r="EM23" s="239">
        <v>0</v>
      </c>
      <c r="EN23" s="239">
        <v>0</v>
      </c>
      <c r="EO23" s="239">
        <v>0</v>
      </c>
      <c r="EP23" s="239">
        <v>0</v>
      </c>
      <c r="EQ23" s="239">
        <v>-2017</v>
      </c>
      <c r="ER23" s="239">
        <v>0</v>
      </c>
      <c r="ES23" s="239">
        <v>-2017</v>
      </c>
      <c r="ET23" s="239">
        <v>0</v>
      </c>
      <c r="EU23" s="239">
        <v>0</v>
      </c>
      <c r="EV23" s="239">
        <v>0</v>
      </c>
      <c r="EW23" s="239">
        <v>0</v>
      </c>
      <c r="EX23" s="239">
        <v>0</v>
      </c>
      <c r="EY23" s="239">
        <v>0</v>
      </c>
      <c r="EZ23" s="239">
        <v>0</v>
      </c>
      <c r="FA23" s="239">
        <v>0</v>
      </c>
      <c r="FB23" s="239">
        <v>0</v>
      </c>
      <c r="FC23" s="239">
        <v>84112585</v>
      </c>
      <c r="FD23" s="239">
        <v>0</v>
      </c>
      <c r="FE23" s="239">
        <v>84112585</v>
      </c>
      <c r="FF23" s="239">
        <v>22531</v>
      </c>
      <c r="FG23" s="239">
        <v>0</v>
      </c>
      <c r="FH23" s="239">
        <v>22531</v>
      </c>
      <c r="FI23" s="239">
        <v>-9399328</v>
      </c>
      <c r="FJ23" s="239">
        <v>0</v>
      </c>
      <c r="FK23" s="239">
        <v>-9399328</v>
      </c>
      <c r="FL23" s="239">
        <v>-1471138</v>
      </c>
      <c r="FM23" s="239">
        <v>0</v>
      </c>
      <c r="FN23" s="239">
        <v>-1471138</v>
      </c>
      <c r="FO23" s="239">
        <v>0</v>
      </c>
      <c r="FP23" s="239">
        <v>0</v>
      </c>
      <c r="FQ23" s="239">
        <v>0</v>
      </c>
      <c r="FR23" s="239">
        <v>-2017</v>
      </c>
      <c r="FS23" s="239">
        <v>0</v>
      </c>
      <c r="FT23" s="239">
        <v>-2017</v>
      </c>
      <c r="FU23" s="239">
        <v>0</v>
      </c>
      <c r="FV23" s="239">
        <v>0</v>
      </c>
      <c r="FW23" s="239">
        <v>0</v>
      </c>
      <c r="FX23" s="239">
        <v>-10849952</v>
      </c>
      <c r="FY23" s="239">
        <v>0</v>
      </c>
      <c r="FZ23" s="239">
        <v>-10849952</v>
      </c>
      <c r="GA23" s="239">
        <v>73262633</v>
      </c>
      <c r="GB23" s="239">
        <v>0</v>
      </c>
      <c r="GC23" s="239">
        <v>73262633</v>
      </c>
      <c r="GD23" s="214" t="s">
        <v>1191</v>
      </c>
    </row>
    <row r="24" spans="2:186" s="214" customFormat="1" x14ac:dyDescent="0.2">
      <c r="B24" s="609" t="s">
        <v>130</v>
      </c>
      <c r="C24" s="609" t="s">
        <v>129</v>
      </c>
      <c r="D24" s="239">
        <v>0</v>
      </c>
      <c r="E24" s="239">
        <v>0</v>
      </c>
      <c r="F24" s="239">
        <v>0</v>
      </c>
      <c r="G24" s="239">
        <v>251344</v>
      </c>
      <c r="H24" s="239">
        <v>215</v>
      </c>
      <c r="I24" s="239">
        <v>251559</v>
      </c>
      <c r="J24" s="239">
        <v>0</v>
      </c>
      <c r="K24" s="239">
        <v>0</v>
      </c>
      <c r="L24" s="239">
        <v>0</v>
      </c>
      <c r="M24" s="239">
        <v>1415730</v>
      </c>
      <c r="N24" s="239">
        <v>11514</v>
      </c>
      <c r="O24" s="239">
        <v>1427244</v>
      </c>
      <c r="P24" s="239">
        <v>1667074</v>
      </c>
      <c r="Q24" s="239">
        <v>11729</v>
      </c>
      <c r="R24" s="239">
        <v>1678803</v>
      </c>
      <c r="S24" s="239">
        <v>-24471655</v>
      </c>
      <c r="T24" s="239">
        <v>-400435</v>
      </c>
      <c r="U24" s="239">
        <v>-24872090</v>
      </c>
      <c r="V24" s="239">
        <v>-45740</v>
      </c>
      <c r="W24" s="239">
        <v>-537</v>
      </c>
      <c r="X24" s="239">
        <v>-46277</v>
      </c>
      <c r="Y24" s="239">
        <v>-1445053</v>
      </c>
      <c r="Z24" s="239">
        <v>24872</v>
      </c>
      <c r="AA24" s="239">
        <v>-1420181</v>
      </c>
      <c r="AB24" s="239">
        <v>-1197071</v>
      </c>
      <c r="AC24" s="239">
        <v>28738</v>
      </c>
      <c r="AD24" s="239">
        <v>-1168333</v>
      </c>
      <c r="AE24" s="239">
        <v>17591</v>
      </c>
      <c r="AF24" s="239">
        <v>-4493</v>
      </c>
      <c r="AG24" s="239">
        <v>13098</v>
      </c>
      <c r="AH24" s="239">
        <v>11720644</v>
      </c>
      <c r="AI24" s="239">
        <v>397318</v>
      </c>
      <c r="AJ24" s="239">
        <v>12117962</v>
      </c>
      <c r="AK24" s="239">
        <v>82183</v>
      </c>
      <c r="AL24" s="239">
        <v>22408</v>
      </c>
      <c r="AM24" s="239">
        <v>104591</v>
      </c>
      <c r="AN24" s="239">
        <v>-30005298</v>
      </c>
      <c r="AO24" s="239">
        <v>-1036628</v>
      </c>
      <c r="AP24" s="239">
        <v>-31041926</v>
      </c>
      <c r="AQ24" s="239">
        <v>-679196</v>
      </c>
      <c r="AR24" s="239">
        <v>-25779</v>
      </c>
      <c r="AS24" s="239">
        <v>-704975</v>
      </c>
      <c r="AT24" s="239">
        <v>-131345</v>
      </c>
      <c r="AU24" s="239">
        <v>0</v>
      </c>
      <c r="AV24" s="239">
        <v>-131345</v>
      </c>
      <c r="AW24" s="239">
        <v>0</v>
      </c>
      <c r="AX24" s="239">
        <v>0</v>
      </c>
      <c r="AY24" s="239">
        <v>0</v>
      </c>
      <c r="AZ24" s="239">
        <v>0</v>
      </c>
      <c r="BA24" s="239">
        <v>0</v>
      </c>
      <c r="BB24" s="239">
        <v>0</v>
      </c>
      <c r="BC24" s="239">
        <v>0</v>
      </c>
      <c r="BD24" s="239">
        <v>0</v>
      </c>
      <c r="BE24" s="239">
        <v>0</v>
      </c>
      <c r="BF24" s="239">
        <v>-44929720</v>
      </c>
      <c r="BG24" s="239">
        <v>-1018244</v>
      </c>
      <c r="BH24" s="239">
        <v>-45947964</v>
      </c>
      <c r="BI24" s="239">
        <v>-146141</v>
      </c>
      <c r="BJ24" s="239">
        <v>0</v>
      </c>
      <c r="BK24" s="239">
        <v>-146141</v>
      </c>
      <c r="BL24" s="239">
        <v>-198255</v>
      </c>
      <c r="BM24" s="239">
        <v>-54551</v>
      </c>
      <c r="BN24" s="239">
        <v>-252806</v>
      </c>
      <c r="BO24" s="239">
        <v>-26721515</v>
      </c>
      <c r="BP24" s="239">
        <v>-908791</v>
      </c>
      <c r="BQ24" s="239">
        <v>-27630306</v>
      </c>
      <c r="BR24" s="239">
        <v>-822044</v>
      </c>
      <c r="BS24" s="239">
        <v>-13920</v>
      </c>
      <c r="BT24" s="239">
        <v>-835964</v>
      </c>
      <c r="BU24" s="239">
        <v>-27887955</v>
      </c>
      <c r="BV24" s="239">
        <v>-977262</v>
      </c>
      <c r="BW24" s="239">
        <v>-28865217</v>
      </c>
      <c r="BX24" s="239">
        <v>-45107</v>
      </c>
      <c r="BY24" s="239">
        <v>-8352</v>
      </c>
      <c r="BZ24" s="239">
        <v>-53459</v>
      </c>
      <c r="CA24" s="239">
        <v>-11893</v>
      </c>
      <c r="CB24" s="239">
        <v>0</v>
      </c>
      <c r="CC24" s="239">
        <v>-11893</v>
      </c>
      <c r="CD24" s="239">
        <v>-824079</v>
      </c>
      <c r="CE24" s="239">
        <v>-18834</v>
      </c>
      <c r="CF24" s="239">
        <v>-842913</v>
      </c>
      <c r="CG24" s="239">
        <v>-503346</v>
      </c>
      <c r="CH24" s="239">
        <v>-10172</v>
      </c>
      <c r="CI24" s="239">
        <v>-513518</v>
      </c>
      <c r="CJ24" s="239">
        <v>0</v>
      </c>
      <c r="CK24" s="239">
        <v>0</v>
      </c>
      <c r="CL24" s="239">
        <v>0</v>
      </c>
      <c r="CM24" s="239">
        <v>0</v>
      </c>
      <c r="CN24" s="239">
        <v>0</v>
      </c>
      <c r="CO24" s="239">
        <v>0</v>
      </c>
      <c r="CP24" s="239">
        <v>0</v>
      </c>
      <c r="CQ24" s="239">
        <v>0</v>
      </c>
      <c r="CR24" s="239">
        <v>0</v>
      </c>
      <c r="CS24" s="239">
        <v>0</v>
      </c>
      <c r="CT24" s="239">
        <v>0</v>
      </c>
      <c r="CU24" s="239">
        <v>0</v>
      </c>
      <c r="CV24" s="239">
        <v>0</v>
      </c>
      <c r="CW24" s="239">
        <v>0</v>
      </c>
      <c r="CX24" s="239">
        <v>0</v>
      </c>
      <c r="CY24" s="239">
        <v>0</v>
      </c>
      <c r="CZ24" s="239">
        <v>0</v>
      </c>
      <c r="DA24" s="239">
        <v>0</v>
      </c>
      <c r="DB24" s="239">
        <v>0</v>
      </c>
      <c r="DC24" s="239">
        <v>-739983</v>
      </c>
      <c r="DD24" s="239">
        <v>-739983</v>
      </c>
      <c r="DE24" s="239">
        <v>0</v>
      </c>
      <c r="DF24" s="239">
        <v>-170973</v>
      </c>
      <c r="DG24" s="239">
        <v>-170973</v>
      </c>
      <c r="DH24" s="239">
        <v>-910956</v>
      </c>
      <c r="DI24" s="239">
        <v>0</v>
      </c>
      <c r="DJ24" s="239">
        <v>-1384425</v>
      </c>
      <c r="DK24" s="239">
        <v>-948314</v>
      </c>
      <c r="DL24" s="239">
        <v>-2332739</v>
      </c>
      <c r="DM24" s="239">
        <v>-51429</v>
      </c>
      <c r="DN24" s="239">
        <v>-10052</v>
      </c>
      <c r="DO24" s="239">
        <v>-61481</v>
      </c>
      <c r="DP24" s="239">
        <v>-54763</v>
      </c>
      <c r="DQ24" s="239">
        <v>-10450</v>
      </c>
      <c r="DR24" s="239">
        <v>-65213</v>
      </c>
      <c r="DS24" s="239">
        <v>-81374</v>
      </c>
      <c r="DT24" s="239">
        <v>0</v>
      </c>
      <c r="DU24" s="239">
        <v>-81374</v>
      </c>
      <c r="DV24" s="239">
        <v>-27892</v>
      </c>
      <c r="DW24" s="239">
        <v>0</v>
      </c>
      <c r="DX24" s="239">
        <v>-27892</v>
      </c>
      <c r="DY24" s="239">
        <v>0</v>
      </c>
      <c r="DZ24" s="239">
        <v>0</v>
      </c>
      <c r="EA24" s="239">
        <v>0</v>
      </c>
      <c r="EB24" s="239">
        <v>-189878</v>
      </c>
      <c r="EC24" s="239">
        <v>-17468</v>
      </c>
      <c r="ED24" s="239">
        <v>-207346</v>
      </c>
      <c r="EE24" s="239">
        <v>0</v>
      </c>
      <c r="EF24" s="239">
        <v>0</v>
      </c>
      <c r="EG24" s="239">
        <v>0</v>
      </c>
      <c r="EH24" s="239">
        <v>0</v>
      </c>
      <c r="EI24" s="239">
        <v>0</v>
      </c>
      <c r="EJ24" s="239">
        <v>0</v>
      </c>
      <c r="EK24" s="239">
        <v>0</v>
      </c>
      <c r="EL24" s="239">
        <v>0</v>
      </c>
      <c r="EM24" s="239">
        <v>0</v>
      </c>
      <c r="EN24" s="239">
        <v>0</v>
      </c>
      <c r="EO24" s="239">
        <v>0</v>
      </c>
      <c r="EP24" s="239">
        <v>0</v>
      </c>
      <c r="EQ24" s="239">
        <v>-405336</v>
      </c>
      <c r="ER24" s="239">
        <v>-37970</v>
      </c>
      <c r="ES24" s="239">
        <v>-443306</v>
      </c>
      <c r="ET24" s="239">
        <v>-5929</v>
      </c>
      <c r="EU24" s="239">
        <v>0</v>
      </c>
      <c r="EV24" s="239">
        <v>-5929</v>
      </c>
      <c r="EW24" s="239">
        <v>-2901</v>
      </c>
      <c r="EX24" s="239">
        <v>0</v>
      </c>
      <c r="EY24" s="239">
        <v>-2901</v>
      </c>
      <c r="EZ24" s="239">
        <v>-8830</v>
      </c>
      <c r="FA24" s="239">
        <v>0</v>
      </c>
      <c r="FB24" s="239">
        <v>-8830</v>
      </c>
      <c r="FC24" s="239">
        <v>487899773</v>
      </c>
      <c r="FD24" s="239">
        <v>17442455</v>
      </c>
      <c r="FE24" s="239">
        <v>505342228</v>
      </c>
      <c r="FF24" s="239">
        <v>1667074</v>
      </c>
      <c r="FG24" s="239">
        <v>11729</v>
      </c>
      <c r="FH24" s="239">
        <v>1678803</v>
      </c>
      <c r="FI24" s="239">
        <v>-44929720</v>
      </c>
      <c r="FJ24" s="239">
        <v>-1018244</v>
      </c>
      <c r="FK24" s="239">
        <v>-45947964</v>
      </c>
      <c r="FL24" s="239">
        <v>-27887955</v>
      </c>
      <c r="FM24" s="239">
        <v>-977262</v>
      </c>
      <c r="FN24" s="239">
        <v>-28865217</v>
      </c>
      <c r="FO24" s="239">
        <v>-1384425</v>
      </c>
      <c r="FP24" s="239">
        <v>-948314</v>
      </c>
      <c r="FQ24" s="239">
        <v>-2332739</v>
      </c>
      <c r="FR24" s="239">
        <v>-405336</v>
      </c>
      <c r="FS24" s="239">
        <v>-37970</v>
      </c>
      <c r="FT24" s="239">
        <v>-443306</v>
      </c>
      <c r="FU24" s="239">
        <v>-8830</v>
      </c>
      <c r="FV24" s="239">
        <v>0</v>
      </c>
      <c r="FW24" s="239">
        <v>-8830</v>
      </c>
      <c r="FX24" s="239">
        <v>-72949192</v>
      </c>
      <c r="FY24" s="239">
        <v>-2970061</v>
      </c>
      <c r="FZ24" s="239">
        <v>-75919253</v>
      </c>
      <c r="GA24" s="239">
        <v>414950581</v>
      </c>
      <c r="GB24" s="239">
        <v>14472394</v>
      </c>
      <c r="GC24" s="239">
        <v>429422975</v>
      </c>
      <c r="GD24" s="214" t="s">
        <v>1192</v>
      </c>
    </row>
    <row r="25" spans="2:186" s="214" customFormat="1" x14ac:dyDescent="0.2">
      <c r="B25" s="609" t="s">
        <v>132</v>
      </c>
      <c r="C25" s="609" t="s">
        <v>131</v>
      </c>
      <c r="D25" s="239">
        <v>0</v>
      </c>
      <c r="E25" s="239">
        <v>0</v>
      </c>
      <c r="F25" s="239">
        <v>0</v>
      </c>
      <c r="G25" s="239">
        <v>1844</v>
      </c>
      <c r="H25" s="239">
        <v>0</v>
      </c>
      <c r="I25" s="239">
        <v>1844</v>
      </c>
      <c r="J25" s="239">
        <v>0</v>
      </c>
      <c r="K25" s="239">
        <v>0</v>
      </c>
      <c r="L25" s="239">
        <v>0</v>
      </c>
      <c r="M25" s="239">
        <v>27062</v>
      </c>
      <c r="N25" s="239">
        <v>0</v>
      </c>
      <c r="O25" s="239">
        <v>27062</v>
      </c>
      <c r="P25" s="239">
        <v>28906</v>
      </c>
      <c r="Q25" s="239">
        <v>0</v>
      </c>
      <c r="R25" s="239">
        <v>28906</v>
      </c>
      <c r="S25" s="239">
        <v>-1382779</v>
      </c>
      <c r="T25" s="239">
        <v>0</v>
      </c>
      <c r="U25" s="239">
        <v>-1382779</v>
      </c>
      <c r="V25" s="239">
        <v>-10150</v>
      </c>
      <c r="W25" s="239">
        <v>0</v>
      </c>
      <c r="X25" s="239">
        <v>-10150</v>
      </c>
      <c r="Y25" s="239">
        <v>-205648</v>
      </c>
      <c r="Z25" s="239">
        <v>0</v>
      </c>
      <c r="AA25" s="239">
        <v>-205648</v>
      </c>
      <c r="AB25" s="239">
        <v>-152866</v>
      </c>
      <c r="AC25" s="239">
        <v>0</v>
      </c>
      <c r="AD25" s="239">
        <v>-152866</v>
      </c>
      <c r="AE25" s="239">
        <v>-2092</v>
      </c>
      <c r="AF25" s="239">
        <v>0</v>
      </c>
      <c r="AG25" s="239">
        <v>-2092</v>
      </c>
      <c r="AH25" s="239">
        <v>1140861</v>
      </c>
      <c r="AI25" s="239">
        <v>0</v>
      </c>
      <c r="AJ25" s="239">
        <v>1140861</v>
      </c>
      <c r="AK25" s="239">
        <v>25954</v>
      </c>
      <c r="AL25" s="239">
        <v>0</v>
      </c>
      <c r="AM25" s="239">
        <v>25954</v>
      </c>
      <c r="AN25" s="239">
        <v>-973894</v>
      </c>
      <c r="AO25" s="239">
        <v>0</v>
      </c>
      <c r="AP25" s="239">
        <v>-973894</v>
      </c>
      <c r="AQ25" s="239">
        <v>-872</v>
      </c>
      <c r="AR25" s="239">
        <v>0</v>
      </c>
      <c r="AS25" s="239">
        <v>-872</v>
      </c>
      <c r="AT25" s="239">
        <v>-45375</v>
      </c>
      <c r="AU25" s="239">
        <v>0</v>
      </c>
      <c r="AV25" s="239">
        <v>-45375</v>
      </c>
      <c r="AW25" s="239">
        <v>0</v>
      </c>
      <c r="AX25" s="239">
        <v>0</v>
      </c>
      <c r="AY25" s="239">
        <v>0</v>
      </c>
      <c r="AZ25" s="239">
        <v>0</v>
      </c>
      <c r="BA25" s="239">
        <v>0</v>
      </c>
      <c r="BB25" s="239">
        <v>0</v>
      </c>
      <c r="BC25" s="239">
        <v>0</v>
      </c>
      <c r="BD25" s="239">
        <v>0</v>
      </c>
      <c r="BE25" s="239">
        <v>0</v>
      </c>
      <c r="BF25" s="239">
        <v>-1441753</v>
      </c>
      <c r="BG25" s="239">
        <v>0</v>
      </c>
      <c r="BH25" s="239">
        <v>-1441753</v>
      </c>
      <c r="BI25" s="239">
        <v>-5206</v>
      </c>
      <c r="BJ25" s="239">
        <v>0</v>
      </c>
      <c r="BK25" s="239">
        <v>-5206</v>
      </c>
      <c r="BL25" s="239">
        <v>5199</v>
      </c>
      <c r="BM25" s="239">
        <v>0</v>
      </c>
      <c r="BN25" s="239">
        <v>5199</v>
      </c>
      <c r="BO25" s="239">
        <v>-849447</v>
      </c>
      <c r="BP25" s="239">
        <v>0</v>
      </c>
      <c r="BQ25" s="239">
        <v>-849447</v>
      </c>
      <c r="BR25" s="239">
        <v>-13676</v>
      </c>
      <c r="BS25" s="239">
        <v>0</v>
      </c>
      <c r="BT25" s="239">
        <v>-13676</v>
      </c>
      <c r="BU25" s="239">
        <v>-863130</v>
      </c>
      <c r="BV25" s="239">
        <v>0</v>
      </c>
      <c r="BW25" s="239">
        <v>-863130</v>
      </c>
      <c r="BX25" s="239">
        <v>-51194</v>
      </c>
      <c r="BY25" s="239">
        <v>0</v>
      </c>
      <c r="BZ25" s="239">
        <v>-51194</v>
      </c>
      <c r="CA25" s="239">
        <v>-176</v>
      </c>
      <c r="CB25" s="239">
        <v>0</v>
      </c>
      <c r="CC25" s="239">
        <v>-176</v>
      </c>
      <c r="CD25" s="239">
        <v>-3531</v>
      </c>
      <c r="CE25" s="239">
        <v>0</v>
      </c>
      <c r="CF25" s="239">
        <v>-3531</v>
      </c>
      <c r="CG25" s="239">
        <v>0</v>
      </c>
      <c r="CH25" s="239">
        <v>0</v>
      </c>
      <c r="CI25" s="239">
        <v>0</v>
      </c>
      <c r="CJ25" s="239">
        <v>-4651</v>
      </c>
      <c r="CK25" s="239">
        <v>0</v>
      </c>
      <c r="CL25" s="239">
        <v>-4651</v>
      </c>
      <c r="CM25" s="239">
        <v>0</v>
      </c>
      <c r="CN25" s="239">
        <v>0</v>
      </c>
      <c r="CO25" s="239">
        <v>0</v>
      </c>
      <c r="CP25" s="239">
        <v>0</v>
      </c>
      <c r="CQ25" s="239">
        <v>0</v>
      </c>
      <c r="CR25" s="239">
        <v>0</v>
      </c>
      <c r="CS25" s="239">
        <v>0</v>
      </c>
      <c r="CT25" s="239">
        <v>0</v>
      </c>
      <c r="CU25" s="239">
        <v>0</v>
      </c>
      <c r="CV25" s="239">
        <v>0</v>
      </c>
      <c r="CW25" s="239">
        <v>0</v>
      </c>
      <c r="CX25" s="239">
        <v>0</v>
      </c>
      <c r="CY25" s="239">
        <v>0</v>
      </c>
      <c r="CZ25" s="239">
        <v>0</v>
      </c>
      <c r="DA25" s="239">
        <v>0</v>
      </c>
      <c r="DB25" s="239">
        <v>0</v>
      </c>
      <c r="DC25" s="239">
        <v>0</v>
      </c>
      <c r="DD25" s="239">
        <v>0</v>
      </c>
      <c r="DE25" s="239">
        <v>0</v>
      </c>
      <c r="DF25" s="239">
        <v>0</v>
      </c>
      <c r="DG25" s="239">
        <v>0</v>
      </c>
      <c r="DH25" s="239">
        <v>0</v>
      </c>
      <c r="DI25" s="239">
        <v>0</v>
      </c>
      <c r="DJ25" s="239">
        <v>-59552</v>
      </c>
      <c r="DK25" s="239">
        <v>0</v>
      </c>
      <c r="DL25" s="239">
        <v>-59552</v>
      </c>
      <c r="DM25" s="239">
        <v>-18228</v>
      </c>
      <c r="DN25" s="239">
        <v>0</v>
      </c>
      <c r="DO25" s="239">
        <v>-18228</v>
      </c>
      <c r="DP25" s="239">
        <v>-4623</v>
      </c>
      <c r="DQ25" s="239">
        <v>0</v>
      </c>
      <c r="DR25" s="239">
        <v>-4623</v>
      </c>
      <c r="DS25" s="239">
        <v>-994</v>
      </c>
      <c r="DT25" s="239">
        <v>0</v>
      </c>
      <c r="DU25" s="239">
        <v>-994</v>
      </c>
      <c r="DV25" s="239">
        <v>0</v>
      </c>
      <c r="DW25" s="239">
        <v>0</v>
      </c>
      <c r="DX25" s="239">
        <v>0</v>
      </c>
      <c r="DY25" s="239">
        <v>0</v>
      </c>
      <c r="DZ25" s="239">
        <v>0</v>
      </c>
      <c r="EA25" s="239">
        <v>0</v>
      </c>
      <c r="EB25" s="239">
        <v>-8463</v>
      </c>
      <c r="EC25" s="239">
        <v>0</v>
      </c>
      <c r="ED25" s="239">
        <v>-8463</v>
      </c>
      <c r="EE25" s="239">
        <v>0</v>
      </c>
      <c r="EF25" s="239">
        <v>0</v>
      </c>
      <c r="EG25" s="239">
        <v>0</v>
      </c>
      <c r="EH25" s="239">
        <v>0</v>
      </c>
      <c r="EI25" s="239">
        <v>0</v>
      </c>
      <c r="EJ25" s="239">
        <v>0</v>
      </c>
      <c r="EK25" s="239">
        <v>-1164</v>
      </c>
      <c r="EL25" s="239">
        <v>0</v>
      </c>
      <c r="EM25" s="239">
        <v>-1164</v>
      </c>
      <c r="EN25" s="239">
        <v>0</v>
      </c>
      <c r="EO25" s="239">
        <v>0</v>
      </c>
      <c r="EP25" s="239">
        <v>0</v>
      </c>
      <c r="EQ25" s="239">
        <v>-33472</v>
      </c>
      <c r="ER25" s="239">
        <v>0</v>
      </c>
      <c r="ES25" s="239">
        <v>-33472</v>
      </c>
      <c r="ET25" s="239">
        <v>0</v>
      </c>
      <c r="EU25" s="239">
        <v>0</v>
      </c>
      <c r="EV25" s="239">
        <v>0</v>
      </c>
      <c r="EW25" s="239">
        <v>0</v>
      </c>
      <c r="EX25" s="239">
        <v>0</v>
      </c>
      <c r="EY25" s="239">
        <v>0</v>
      </c>
      <c r="EZ25" s="239">
        <v>0</v>
      </c>
      <c r="FA25" s="239">
        <v>0</v>
      </c>
      <c r="FB25" s="239">
        <v>0</v>
      </c>
      <c r="FC25" s="239">
        <v>45966966</v>
      </c>
      <c r="FD25" s="239">
        <v>0</v>
      </c>
      <c r="FE25" s="239">
        <v>45966966</v>
      </c>
      <c r="FF25" s="239">
        <v>28906</v>
      </c>
      <c r="FG25" s="239">
        <v>0</v>
      </c>
      <c r="FH25" s="239">
        <v>28906</v>
      </c>
      <c r="FI25" s="239">
        <v>-1441753</v>
      </c>
      <c r="FJ25" s="239">
        <v>0</v>
      </c>
      <c r="FK25" s="239">
        <v>-1441753</v>
      </c>
      <c r="FL25" s="239">
        <v>-863130</v>
      </c>
      <c r="FM25" s="239">
        <v>0</v>
      </c>
      <c r="FN25" s="239">
        <v>-863130</v>
      </c>
      <c r="FO25" s="239">
        <v>-59552</v>
      </c>
      <c r="FP25" s="239">
        <v>0</v>
      </c>
      <c r="FQ25" s="239">
        <v>-59552</v>
      </c>
      <c r="FR25" s="239">
        <v>-33472</v>
      </c>
      <c r="FS25" s="239">
        <v>0</v>
      </c>
      <c r="FT25" s="239">
        <v>-33472</v>
      </c>
      <c r="FU25" s="239">
        <v>0</v>
      </c>
      <c r="FV25" s="239">
        <v>0</v>
      </c>
      <c r="FW25" s="239">
        <v>0</v>
      </c>
      <c r="FX25" s="239">
        <v>-2369001</v>
      </c>
      <c r="FY25" s="239">
        <v>0</v>
      </c>
      <c r="FZ25" s="239">
        <v>-2369001</v>
      </c>
      <c r="GA25" s="239">
        <v>43597965</v>
      </c>
      <c r="GB25" s="239">
        <v>0</v>
      </c>
      <c r="GC25" s="239">
        <v>43597965</v>
      </c>
      <c r="GD25" s="214" t="s">
        <v>1190</v>
      </c>
    </row>
    <row r="26" spans="2:186" s="214" customFormat="1" x14ac:dyDescent="0.2">
      <c r="B26" s="609" t="s">
        <v>134</v>
      </c>
      <c r="C26" s="609" t="s">
        <v>133</v>
      </c>
      <c r="D26" s="239">
        <v>0</v>
      </c>
      <c r="E26" s="239">
        <v>0</v>
      </c>
      <c r="F26" s="239">
        <v>0</v>
      </c>
      <c r="G26" s="239">
        <v>0</v>
      </c>
      <c r="H26" s="239">
        <v>0</v>
      </c>
      <c r="I26" s="239">
        <v>0</v>
      </c>
      <c r="J26" s="239">
        <v>0</v>
      </c>
      <c r="K26" s="239">
        <v>0</v>
      </c>
      <c r="L26" s="239">
        <v>0</v>
      </c>
      <c r="M26" s="239">
        <v>93380</v>
      </c>
      <c r="N26" s="239">
        <v>0</v>
      </c>
      <c r="O26" s="239">
        <v>93380</v>
      </c>
      <c r="P26" s="239">
        <v>93380</v>
      </c>
      <c r="Q26" s="239">
        <v>0</v>
      </c>
      <c r="R26" s="239">
        <v>93380</v>
      </c>
      <c r="S26" s="239">
        <v>-5584229</v>
      </c>
      <c r="T26" s="239">
        <v>0</v>
      </c>
      <c r="U26" s="239">
        <v>-5584229</v>
      </c>
      <c r="V26" s="239">
        <v>-16495</v>
      </c>
      <c r="W26" s="239">
        <v>0</v>
      </c>
      <c r="X26" s="239">
        <v>-16495</v>
      </c>
      <c r="Y26" s="239">
        <v>-146370</v>
      </c>
      <c r="Z26" s="239">
        <v>0</v>
      </c>
      <c r="AA26" s="239">
        <v>-146370</v>
      </c>
      <c r="AB26" s="239">
        <v>-124020</v>
      </c>
      <c r="AC26" s="239">
        <v>0</v>
      </c>
      <c r="AD26" s="239">
        <v>-124020</v>
      </c>
      <c r="AE26" s="239">
        <v>-328</v>
      </c>
      <c r="AF26" s="239">
        <v>0</v>
      </c>
      <c r="AG26" s="239">
        <v>-328</v>
      </c>
      <c r="AH26" s="239">
        <v>1378013</v>
      </c>
      <c r="AI26" s="239">
        <v>0</v>
      </c>
      <c r="AJ26" s="239">
        <v>1378013</v>
      </c>
      <c r="AK26" s="239">
        <v>65661</v>
      </c>
      <c r="AL26" s="239">
        <v>0</v>
      </c>
      <c r="AM26" s="239">
        <v>65661</v>
      </c>
      <c r="AN26" s="239">
        <v>-4792298</v>
      </c>
      <c r="AO26" s="239">
        <v>0</v>
      </c>
      <c r="AP26" s="239">
        <v>-4792298</v>
      </c>
      <c r="AQ26" s="239">
        <v>-181158</v>
      </c>
      <c r="AR26" s="239">
        <v>0</v>
      </c>
      <c r="AS26" s="239">
        <v>-181158</v>
      </c>
      <c r="AT26" s="239">
        <v>-79814</v>
      </c>
      <c r="AU26" s="239">
        <v>0</v>
      </c>
      <c r="AV26" s="239">
        <v>-79814</v>
      </c>
      <c r="AW26" s="239">
        <v>0</v>
      </c>
      <c r="AX26" s="239">
        <v>0</v>
      </c>
      <c r="AY26" s="239">
        <v>0</v>
      </c>
      <c r="AZ26" s="239">
        <v>-2348</v>
      </c>
      <c r="BA26" s="239">
        <v>0</v>
      </c>
      <c r="BB26" s="239">
        <v>-2348</v>
      </c>
      <c r="BC26" s="239">
        <v>0</v>
      </c>
      <c r="BD26" s="239">
        <v>0</v>
      </c>
      <c r="BE26" s="239">
        <v>0</v>
      </c>
      <c r="BF26" s="239">
        <v>-9342543</v>
      </c>
      <c r="BG26" s="239">
        <v>0</v>
      </c>
      <c r="BH26" s="239">
        <v>-9342543</v>
      </c>
      <c r="BI26" s="239">
        <v>-85010</v>
      </c>
      <c r="BJ26" s="239">
        <v>0</v>
      </c>
      <c r="BK26" s="239">
        <v>-85010</v>
      </c>
      <c r="BL26" s="239">
        <v>-16122</v>
      </c>
      <c r="BM26" s="239">
        <v>0</v>
      </c>
      <c r="BN26" s="239">
        <v>-16122</v>
      </c>
      <c r="BO26" s="239">
        <v>-2619257</v>
      </c>
      <c r="BP26" s="239">
        <v>0</v>
      </c>
      <c r="BQ26" s="239">
        <v>-2619257</v>
      </c>
      <c r="BR26" s="239">
        <v>-217908</v>
      </c>
      <c r="BS26" s="239">
        <v>0</v>
      </c>
      <c r="BT26" s="239">
        <v>-217908</v>
      </c>
      <c r="BU26" s="239">
        <v>-2938297</v>
      </c>
      <c r="BV26" s="239">
        <v>0</v>
      </c>
      <c r="BW26" s="239">
        <v>-2938297</v>
      </c>
      <c r="BX26" s="239">
        <v>-29080</v>
      </c>
      <c r="BY26" s="239">
        <v>0</v>
      </c>
      <c r="BZ26" s="239">
        <v>-29080</v>
      </c>
      <c r="CA26" s="239">
        <v>0</v>
      </c>
      <c r="CB26" s="239">
        <v>0</v>
      </c>
      <c r="CC26" s="239">
        <v>0</v>
      </c>
      <c r="CD26" s="239">
        <v>-536</v>
      </c>
      <c r="CE26" s="239">
        <v>0</v>
      </c>
      <c r="CF26" s="239">
        <v>-536</v>
      </c>
      <c r="CG26" s="239">
        <v>0</v>
      </c>
      <c r="CH26" s="239">
        <v>0</v>
      </c>
      <c r="CI26" s="239">
        <v>0</v>
      </c>
      <c r="CJ26" s="239">
        <v>0</v>
      </c>
      <c r="CK26" s="239">
        <v>0</v>
      </c>
      <c r="CL26" s="239">
        <v>0</v>
      </c>
      <c r="CM26" s="239">
        <v>0</v>
      </c>
      <c r="CN26" s="239">
        <v>0</v>
      </c>
      <c r="CO26" s="239">
        <v>0</v>
      </c>
      <c r="CP26" s="239">
        <v>-837</v>
      </c>
      <c r="CQ26" s="239">
        <v>0</v>
      </c>
      <c r="CR26" s="239">
        <v>-837</v>
      </c>
      <c r="CS26" s="239">
        <v>0</v>
      </c>
      <c r="CT26" s="239">
        <v>0</v>
      </c>
      <c r="CU26" s="239">
        <v>0</v>
      </c>
      <c r="CV26" s="239">
        <v>0</v>
      </c>
      <c r="CW26" s="239">
        <v>0</v>
      </c>
      <c r="CX26" s="239">
        <v>0</v>
      </c>
      <c r="CY26" s="239">
        <v>0</v>
      </c>
      <c r="CZ26" s="239">
        <v>0</v>
      </c>
      <c r="DA26" s="239">
        <v>0</v>
      </c>
      <c r="DB26" s="239">
        <v>-57668</v>
      </c>
      <c r="DC26" s="239">
        <v>0</v>
      </c>
      <c r="DD26" s="239">
        <v>-57668</v>
      </c>
      <c r="DE26" s="239">
        <v>0</v>
      </c>
      <c r="DF26" s="239">
        <v>0</v>
      </c>
      <c r="DG26" s="239">
        <v>0</v>
      </c>
      <c r="DH26" s="239">
        <v>0</v>
      </c>
      <c r="DI26" s="239">
        <v>0</v>
      </c>
      <c r="DJ26" s="239">
        <v>-88121</v>
      </c>
      <c r="DK26" s="239">
        <v>0</v>
      </c>
      <c r="DL26" s="239">
        <v>-88121</v>
      </c>
      <c r="DM26" s="239">
        <v>-211765</v>
      </c>
      <c r="DN26" s="239">
        <v>0</v>
      </c>
      <c r="DO26" s="239">
        <v>-211765</v>
      </c>
      <c r="DP26" s="239">
        <v>0</v>
      </c>
      <c r="DQ26" s="239">
        <v>0</v>
      </c>
      <c r="DR26" s="239">
        <v>0</v>
      </c>
      <c r="DS26" s="239">
        <v>-52422</v>
      </c>
      <c r="DT26" s="239">
        <v>0</v>
      </c>
      <c r="DU26" s="239">
        <v>-52422</v>
      </c>
      <c r="DV26" s="239">
        <v>-10975</v>
      </c>
      <c r="DW26" s="239">
        <v>0</v>
      </c>
      <c r="DX26" s="239">
        <v>-10975</v>
      </c>
      <c r="DY26" s="239">
        <v>0</v>
      </c>
      <c r="DZ26" s="239">
        <v>0</v>
      </c>
      <c r="EA26" s="239">
        <v>0</v>
      </c>
      <c r="EB26" s="239">
        <v>4271</v>
      </c>
      <c r="EC26" s="239">
        <v>0</v>
      </c>
      <c r="ED26" s="239">
        <v>4271</v>
      </c>
      <c r="EE26" s="239">
        <v>0</v>
      </c>
      <c r="EF26" s="239">
        <v>0</v>
      </c>
      <c r="EG26" s="239">
        <v>0</v>
      </c>
      <c r="EH26" s="239">
        <v>0</v>
      </c>
      <c r="EI26" s="239">
        <v>0</v>
      </c>
      <c r="EJ26" s="239">
        <v>0</v>
      </c>
      <c r="EK26" s="239">
        <v>0</v>
      </c>
      <c r="EL26" s="239">
        <v>0</v>
      </c>
      <c r="EM26" s="239">
        <v>0</v>
      </c>
      <c r="EN26" s="239">
        <v>0</v>
      </c>
      <c r="EO26" s="239">
        <v>0</v>
      </c>
      <c r="EP26" s="239">
        <v>0</v>
      </c>
      <c r="EQ26" s="239">
        <v>-270891</v>
      </c>
      <c r="ER26" s="239">
        <v>0</v>
      </c>
      <c r="ES26" s="239">
        <v>-270891</v>
      </c>
      <c r="ET26" s="239">
        <v>0</v>
      </c>
      <c r="EU26" s="239">
        <v>0</v>
      </c>
      <c r="EV26" s="239">
        <v>0</v>
      </c>
      <c r="EW26" s="239">
        <v>0</v>
      </c>
      <c r="EX26" s="239">
        <v>0</v>
      </c>
      <c r="EY26" s="239">
        <v>0</v>
      </c>
      <c r="EZ26" s="239">
        <v>0</v>
      </c>
      <c r="FA26" s="239">
        <v>0</v>
      </c>
      <c r="FB26" s="239">
        <v>0</v>
      </c>
      <c r="FC26" s="239">
        <v>61237865</v>
      </c>
      <c r="FD26" s="239">
        <v>0</v>
      </c>
      <c r="FE26" s="239">
        <v>61237865</v>
      </c>
      <c r="FF26" s="239">
        <v>93380</v>
      </c>
      <c r="FG26" s="239">
        <v>0</v>
      </c>
      <c r="FH26" s="239">
        <v>93380</v>
      </c>
      <c r="FI26" s="239">
        <v>-9342543</v>
      </c>
      <c r="FJ26" s="239">
        <v>0</v>
      </c>
      <c r="FK26" s="239">
        <v>-9342543</v>
      </c>
      <c r="FL26" s="239">
        <v>-2938297</v>
      </c>
      <c r="FM26" s="239">
        <v>0</v>
      </c>
      <c r="FN26" s="239">
        <v>-2938297</v>
      </c>
      <c r="FO26" s="239">
        <v>-88121</v>
      </c>
      <c r="FP26" s="239">
        <v>0</v>
      </c>
      <c r="FQ26" s="239">
        <v>-88121</v>
      </c>
      <c r="FR26" s="239">
        <v>-270891</v>
      </c>
      <c r="FS26" s="239">
        <v>0</v>
      </c>
      <c r="FT26" s="239">
        <v>-270891</v>
      </c>
      <c r="FU26" s="239">
        <v>0</v>
      </c>
      <c r="FV26" s="239">
        <v>0</v>
      </c>
      <c r="FW26" s="239">
        <v>0</v>
      </c>
      <c r="FX26" s="239">
        <v>-12546472</v>
      </c>
      <c r="FY26" s="239">
        <v>0</v>
      </c>
      <c r="FZ26" s="239">
        <v>-12546472</v>
      </c>
      <c r="GA26" s="239">
        <v>48691393</v>
      </c>
      <c r="GB26" s="239">
        <v>0</v>
      </c>
      <c r="GC26" s="239">
        <v>48691393</v>
      </c>
      <c r="GD26" s="214" t="s">
        <v>747</v>
      </c>
    </row>
    <row r="27" spans="2:186" s="214" customFormat="1" x14ac:dyDescent="0.2">
      <c r="B27" s="609" t="s">
        <v>136</v>
      </c>
      <c r="C27" s="609" t="s">
        <v>135</v>
      </c>
      <c r="D27" s="239">
        <v>0</v>
      </c>
      <c r="E27" s="239">
        <v>0</v>
      </c>
      <c r="F27" s="239">
        <v>0</v>
      </c>
      <c r="G27" s="239">
        <v>-38152</v>
      </c>
      <c r="H27" s="239">
        <v>0</v>
      </c>
      <c r="I27" s="239">
        <v>-38152</v>
      </c>
      <c r="J27" s="239">
        <v>0</v>
      </c>
      <c r="K27" s="239">
        <v>0</v>
      </c>
      <c r="L27" s="239">
        <v>0</v>
      </c>
      <c r="M27" s="239">
        <v>-195720</v>
      </c>
      <c r="N27" s="239">
        <v>0</v>
      </c>
      <c r="O27" s="239">
        <v>-195720</v>
      </c>
      <c r="P27" s="239">
        <v>-233872</v>
      </c>
      <c r="Q27" s="239">
        <v>0</v>
      </c>
      <c r="R27" s="239">
        <v>-233872</v>
      </c>
      <c r="S27" s="239">
        <v>-6336705</v>
      </c>
      <c r="T27" s="239">
        <v>0</v>
      </c>
      <c r="U27" s="239">
        <v>-6336705</v>
      </c>
      <c r="V27" s="239">
        <v>-3452</v>
      </c>
      <c r="W27" s="239">
        <v>0</v>
      </c>
      <c r="X27" s="239">
        <v>-3452</v>
      </c>
      <c r="Y27" s="239">
        <v>-114542</v>
      </c>
      <c r="Z27" s="239">
        <v>0</v>
      </c>
      <c r="AA27" s="239">
        <v>-114542</v>
      </c>
      <c r="AB27" s="239">
        <v>-113828</v>
      </c>
      <c r="AC27" s="239">
        <v>0</v>
      </c>
      <c r="AD27" s="239">
        <v>-113828</v>
      </c>
      <c r="AE27" s="239">
        <v>-714</v>
      </c>
      <c r="AF27" s="239">
        <v>0</v>
      </c>
      <c r="AG27" s="239">
        <v>-714</v>
      </c>
      <c r="AH27" s="239">
        <v>1376051</v>
      </c>
      <c r="AI27" s="239">
        <v>0</v>
      </c>
      <c r="AJ27" s="239">
        <v>1376051</v>
      </c>
      <c r="AK27" s="239">
        <v>12113</v>
      </c>
      <c r="AL27" s="239">
        <v>0</v>
      </c>
      <c r="AM27" s="239">
        <v>12113</v>
      </c>
      <c r="AN27" s="239">
        <v>-2679729</v>
      </c>
      <c r="AO27" s="239">
        <v>0</v>
      </c>
      <c r="AP27" s="239">
        <v>-2679729</v>
      </c>
      <c r="AQ27" s="239">
        <v>-36752</v>
      </c>
      <c r="AR27" s="239">
        <v>0</v>
      </c>
      <c r="AS27" s="239">
        <v>-36752</v>
      </c>
      <c r="AT27" s="239">
        <v>0</v>
      </c>
      <c r="AU27" s="239">
        <v>0</v>
      </c>
      <c r="AV27" s="239">
        <v>0</v>
      </c>
      <c r="AW27" s="239">
        <v>0</v>
      </c>
      <c r="AX27" s="239">
        <v>0</v>
      </c>
      <c r="AY27" s="239">
        <v>0</v>
      </c>
      <c r="AZ27" s="239">
        <v>0</v>
      </c>
      <c r="BA27" s="239">
        <v>0</v>
      </c>
      <c r="BB27" s="239">
        <v>0</v>
      </c>
      <c r="BC27" s="239">
        <v>0</v>
      </c>
      <c r="BD27" s="239">
        <v>0</v>
      </c>
      <c r="BE27" s="239">
        <v>0</v>
      </c>
      <c r="BF27" s="239">
        <v>-7779564</v>
      </c>
      <c r="BG27" s="239">
        <v>0</v>
      </c>
      <c r="BH27" s="239">
        <v>-7779564</v>
      </c>
      <c r="BI27" s="239">
        <v>0</v>
      </c>
      <c r="BJ27" s="239">
        <v>0</v>
      </c>
      <c r="BK27" s="239">
        <v>0</v>
      </c>
      <c r="BL27" s="239">
        <v>-11032</v>
      </c>
      <c r="BM27" s="239">
        <v>0</v>
      </c>
      <c r="BN27" s="239">
        <v>-11032</v>
      </c>
      <c r="BO27" s="239">
        <v>-1957958</v>
      </c>
      <c r="BP27" s="239">
        <v>0</v>
      </c>
      <c r="BQ27" s="239">
        <v>-1957958</v>
      </c>
      <c r="BR27" s="239">
        <v>-427124</v>
      </c>
      <c r="BS27" s="239">
        <v>0</v>
      </c>
      <c r="BT27" s="239">
        <v>-427124</v>
      </c>
      <c r="BU27" s="239">
        <v>-2396114</v>
      </c>
      <c r="BV27" s="239">
        <v>0</v>
      </c>
      <c r="BW27" s="239">
        <v>-2396114</v>
      </c>
      <c r="BX27" s="239">
        <v>-4001</v>
      </c>
      <c r="BY27" s="239">
        <v>0</v>
      </c>
      <c r="BZ27" s="239">
        <v>-4001</v>
      </c>
      <c r="CA27" s="239">
        <v>655</v>
      </c>
      <c r="CB27" s="239">
        <v>0</v>
      </c>
      <c r="CC27" s="239">
        <v>655</v>
      </c>
      <c r="CD27" s="239">
        <v>-25458</v>
      </c>
      <c r="CE27" s="239">
        <v>0</v>
      </c>
      <c r="CF27" s="239">
        <v>-25458</v>
      </c>
      <c r="CG27" s="239">
        <v>0</v>
      </c>
      <c r="CH27" s="239">
        <v>0</v>
      </c>
      <c r="CI27" s="239">
        <v>0</v>
      </c>
      <c r="CJ27" s="239">
        <v>0</v>
      </c>
      <c r="CK27" s="239">
        <v>0</v>
      </c>
      <c r="CL27" s="239">
        <v>0</v>
      </c>
      <c r="CM27" s="239">
        <v>0</v>
      </c>
      <c r="CN27" s="239">
        <v>0</v>
      </c>
      <c r="CO27" s="239">
        <v>0</v>
      </c>
      <c r="CP27" s="239">
        <v>0</v>
      </c>
      <c r="CQ27" s="239">
        <v>0</v>
      </c>
      <c r="CR27" s="239">
        <v>0</v>
      </c>
      <c r="CS27" s="239">
        <v>0</v>
      </c>
      <c r="CT27" s="239">
        <v>0</v>
      </c>
      <c r="CU27" s="239">
        <v>0</v>
      </c>
      <c r="CV27" s="239">
        <v>0</v>
      </c>
      <c r="CW27" s="239">
        <v>0</v>
      </c>
      <c r="CX27" s="239">
        <v>0</v>
      </c>
      <c r="CY27" s="239">
        <v>0</v>
      </c>
      <c r="CZ27" s="239">
        <v>0</v>
      </c>
      <c r="DA27" s="239">
        <v>0</v>
      </c>
      <c r="DB27" s="239">
        <v>-28344</v>
      </c>
      <c r="DC27" s="239">
        <v>0</v>
      </c>
      <c r="DD27" s="239">
        <v>-28344</v>
      </c>
      <c r="DE27" s="239">
        <v>0</v>
      </c>
      <c r="DF27" s="239">
        <v>0</v>
      </c>
      <c r="DG27" s="239">
        <v>0</v>
      </c>
      <c r="DH27" s="239">
        <v>0</v>
      </c>
      <c r="DI27" s="239">
        <v>-28344</v>
      </c>
      <c r="DJ27" s="239">
        <v>-57148</v>
      </c>
      <c r="DK27" s="239">
        <v>0</v>
      </c>
      <c r="DL27" s="239">
        <v>-57148</v>
      </c>
      <c r="DM27" s="239">
        <v>0</v>
      </c>
      <c r="DN27" s="239">
        <v>0</v>
      </c>
      <c r="DO27" s="239">
        <v>0</v>
      </c>
      <c r="DP27" s="239">
        <v>0</v>
      </c>
      <c r="DQ27" s="239">
        <v>0</v>
      </c>
      <c r="DR27" s="239">
        <v>0</v>
      </c>
      <c r="DS27" s="239">
        <v>-103214</v>
      </c>
      <c r="DT27" s="239">
        <v>0</v>
      </c>
      <c r="DU27" s="239">
        <v>-103214</v>
      </c>
      <c r="DV27" s="239">
        <v>-2434</v>
      </c>
      <c r="DW27" s="239">
        <v>0</v>
      </c>
      <c r="DX27" s="239">
        <v>-2434</v>
      </c>
      <c r="DY27" s="239">
        <v>0</v>
      </c>
      <c r="DZ27" s="239">
        <v>0</v>
      </c>
      <c r="EA27" s="239">
        <v>0</v>
      </c>
      <c r="EB27" s="239">
        <v>4671</v>
      </c>
      <c r="EC27" s="239">
        <v>0</v>
      </c>
      <c r="ED27" s="239">
        <v>4671</v>
      </c>
      <c r="EE27" s="239">
        <v>0</v>
      </c>
      <c r="EF27" s="239">
        <v>0</v>
      </c>
      <c r="EG27" s="239">
        <v>0</v>
      </c>
      <c r="EH27" s="239">
        <v>0</v>
      </c>
      <c r="EI27" s="239">
        <v>0</v>
      </c>
      <c r="EJ27" s="239">
        <v>0</v>
      </c>
      <c r="EK27" s="239">
        <v>-2662</v>
      </c>
      <c r="EL27" s="239">
        <v>0</v>
      </c>
      <c r="EM27" s="239">
        <v>-2662</v>
      </c>
      <c r="EN27" s="239">
        <v>117</v>
      </c>
      <c r="EO27" s="239">
        <v>0</v>
      </c>
      <c r="EP27" s="239">
        <v>117</v>
      </c>
      <c r="EQ27" s="239">
        <v>-103522</v>
      </c>
      <c r="ER27" s="239">
        <v>0</v>
      </c>
      <c r="ES27" s="239">
        <v>-103522</v>
      </c>
      <c r="ET27" s="239">
        <v>-3214</v>
      </c>
      <c r="EU27" s="239">
        <v>0</v>
      </c>
      <c r="EV27" s="239">
        <v>-3214</v>
      </c>
      <c r="EW27" s="239">
        <v>0</v>
      </c>
      <c r="EX27" s="239">
        <v>0</v>
      </c>
      <c r="EY27" s="239">
        <v>0</v>
      </c>
      <c r="EZ27" s="239">
        <v>-3214</v>
      </c>
      <c r="FA27" s="239">
        <v>0</v>
      </c>
      <c r="FB27" s="239">
        <v>-3214</v>
      </c>
      <c r="FC27" s="239">
        <v>64215496</v>
      </c>
      <c r="FD27" s="239">
        <v>0</v>
      </c>
      <c r="FE27" s="239">
        <v>64215496</v>
      </c>
      <c r="FF27" s="239">
        <v>-233872</v>
      </c>
      <c r="FG27" s="239">
        <v>0</v>
      </c>
      <c r="FH27" s="239">
        <v>-233872</v>
      </c>
      <c r="FI27" s="239">
        <v>-7779564</v>
      </c>
      <c r="FJ27" s="239">
        <v>0</v>
      </c>
      <c r="FK27" s="239">
        <v>-7779564</v>
      </c>
      <c r="FL27" s="239">
        <v>-2396114</v>
      </c>
      <c r="FM27" s="239">
        <v>0</v>
      </c>
      <c r="FN27" s="239">
        <v>-2396114</v>
      </c>
      <c r="FO27" s="239">
        <v>-57148</v>
      </c>
      <c r="FP27" s="239">
        <v>0</v>
      </c>
      <c r="FQ27" s="239">
        <v>-57148</v>
      </c>
      <c r="FR27" s="239">
        <v>-103522</v>
      </c>
      <c r="FS27" s="239">
        <v>0</v>
      </c>
      <c r="FT27" s="239">
        <v>-103522</v>
      </c>
      <c r="FU27" s="239">
        <v>-3214</v>
      </c>
      <c r="FV27" s="239">
        <v>0</v>
      </c>
      <c r="FW27" s="239">
        <v>-3214</v>
      </c>
      <c r="FX27" s="239">
        <v>-10573434</v>
      </c>
      <c r="FY27" s="239">
        <v>0</v>
      </c>
      <c r="FZ27" s="239">
        <v>-10573434</v>
      </c>
      <c r="GA27" s="239">
        <v>53642062</v>
      </c>
      <c r="GB27" s="239">
        <v>0</v>
      </c>
      <c r="GC27" s="239">
        <v>53642062</v>
      </c>
      <c r="GD27" s="214" t="s">
        <v>747</v>
      </c>
    </row>
    <row r="28" spans="2:186" s="214" customFormat="1" x14ac:dyDescent="0.2">
      <c r="B28" s="609" t="s">
        <v>138</v>
      </c>
      <c r="C28" s="609" t="s">
        <v>137</v>
      </c>
      <c r="D28" s="239">
        <v>0</v>
      </c>
      <c r="E28" s="239">
        <v>0</v>
      </c>
      <c r="F28" s="239">
        <v>0</v>
      </c>
      <c r="G28" s="239">
        <v>521149</v>
      </c>
      <c r="H28" s="239">
        <v>0</v>
      </c>
      <c r="I28" s="239">
        <v>521149</v>
      </c>
      <c r="J28" s="239">
        <v>0</v>
      </c>
      <c r="K28" s="239">
        <v>0</v>
      </c>
      <c r="L28" s="239">
        <v>0</v>
      </c>
      <c r="M28" s="239">
        <v>-2100</v>
      </c>
      <c r="N28" s="239">
        <v>0</v>
      </c>
      <c r="O28" s="239">
        <v>-2100</v>
      </c>
      <c r="P28" s="239">
        <v>519049</v>
      </c>
      <c r="Q28" s="239">
        <v>0</v>
      </c>
      <c r="R28" s="239">
        <v>519049</v>
      </c>
      <c r="S28" s="239">
        <v>-1433287</v>
      </c>
      <c r="T28" s="239">
        <v>0</v>
      </c>
      <c r="U28" s="239">
        <v>-1433287</v>
      </c>
      <c r="V28" s="239">
        <v>0</v>
      </c>
      <c r="W28" s="239">
        <v>0</v>
      </c>
      <c r="X28" s="239">
        <v>0</v>
      </c>
      <c r="Y28" s="239">
        <v>-66481</v>
      </c>
      <c r="Z28" s="239">
        <v>0</v>
      </c>
      <c r="AA28" s="239">
        <v>-66481</v>
      </c>
      <c r="AB28" s="239">
        <v>-51500</v>
      </c>
      <c r="AC28" s="239">
        <v>0</v>
      </c>
      <c r="AD28" s="239">
        <v>-51500</v>
      </c>
      <c r="AE28" s="239">
        <v>0</v>
      </c>
      <c r="AF28" s="239">
        <v>0</v>
      </c>
      <c r="AG28" s="239">
        <v>0</v>
      </c>
      <c r="AH28" s="239">
        <v>653214</v>
      </c>
      <c r="AI28" s="239">
        <v>0</v>
      </c>
      <c r="AJ28" s="239">
        <v>653214</v>
      </c>
      <c r="AK28" s="239">
        <v>-7302</v>
      </c>
      <c r="AL28" s="239">
        <v>0</v>
      </c>
      <c r="AM28" s="239">
        <v>-7302</v>
      </c>
      <c r="AN28" s="239">
        <v>-558437</v>
      </c>
      <c r="AO28" s="239">
        <v>0</v>
      </c>
      <c r="AP28" s="239">
        <v>-558437</v>
      </c>
      <c r="AQ28" s="239">
        <v>8295</v>
      </c>
      <c r="AR28" s="239">
        <v>0</v>
      </c>
      <c r="AS28" s="239">
        <v>8295</v>
      </c>
      <c r="AT28" s="239">
        <v>0</v>
      </c>
      <c r="AU28" s="239">
        <v>0</v>
      </c>
      <c r="AV28" s="239">
        <v>0</v>
      </c>
      <c r="AW28" s="239">
        <v>0</v>
      </c>
      <c r="AX28" s="239">
        <v>0</v>
      </c>
      <c r="AY28" s="239">
        <v>0</v>
      </c>
      <c r="AZ28" s="239">
        <v>-8941</v>
      </c>
      <c r="BA28" s="239">
        <v>0</v>
      </c>
      <c r="BB28" s="239">
        <v>-8941</v>
      </c>
      <c r="BC28" s="239">
        <v>0</v>
      </c>
      <c r="BD28" s="239">
        <v>0</v>
      </c>
      <c r="BE28" s="239">
        <v>0</v>
      </c>
      <c r="BF28" s="239">
        <v>-1412939</v>
      </c>
      <c r="BG28" s="239">
        <v>0</v>
      </c>
      <c r="BH28" s="239">
        <v>-1412939</v>
      </c>
      <c r="BI28" s="239">
        <v>-79044</v>
      </c>
      <c r="BJ28" s="239">
        <v>0</v>
      </c>
      <c r="BK28" s="239">
        <v>-79044</v>
      </c>
      <c r="BL28" s="239">
        <v>26</v>
      </c>
      <c r="BM28" s="239">
        <v>0</v>
      </c>
      <c r="BN28" s="239">
        <v>26</v>
      </c>
      <c r="BO28" s="239">
        <v>-337437</v>
      </c>
      <c r="BP28" s="239">
        <v>0</v>
      </c>
      <c r="BQ28" s="239">
        <v>-337437</v>
      </c>
      <c r="BR28" s="239">
        <v>-20641</v>
      </c>
      <c r="BS28" s="239">
        <v>0</v>
      </c>
      <c r="BT28" s="239">
        <v>-20641</v>
      </c>
      <c r="BU28" s="239">
        <v>-437096</v>
      </c>
      <c r="BV28" s="239">
        <v>0</v>
      </c>
      <c r="BW28" s="239">
        <v>-437096</v>
      </c>
      <c r="BX28" s="239">
        <v>0</v>
      </c>
      <c r="BY28" s="239">
        <v>0</v>
      </c>
      <c r="BZ28" s="239">
        <v>0</v>
      </c>
      <c r="CA28" s="239">
        <v>0</v>
      </c>
      <c r="CB28" s="239">
        <v>0</v>
      </c>
      <c r="CC28" s="239">
        <v>0</v>
      </c>
      <c r="CD28" s="239">
        <v>-14807</v>
      </c>
      <c r="CE28" s="239">
        <v>0</v>
      </c>
      <c r="CF28" s="239">
        <v>-14807</v>
      </c>
      <c r="CG28" s="239">
        <v>-3024</v>
      </c>
      <c r="CH28" s="239">
        <v>0</v>
      </c>
      <c r="CI28" s="239">
        <v>-3024</v>
      </c>
      <c r="CJ28" s="239">
        <v>0</v>
      </c>
      <c r="CK28" s="239">
        <v>0</v>
      </c>
      <c r="CL28" s="239">
        <v>0</v>
      </c>
      <c r="CM28" s="239">
        <v>0</v>
      </c>
      <c r="CN28" s="239">
        <v>0</v>
      </c>
      <c r="CO28" s="239">
        <v>0</v>
      </c>
      <c r="CP28" s="239">
        <v>0</v>
      </c>
      <c r="CQ28" s="239">
        <v>0</v>
      </c>
      <c r="CR28" s="239">
        <v>0</v>
      </c>
      <c r="CS28" s="239">
        <v>0</v>
      </c>
      <c r="CT28" s="239">
        <v>0</v>
      </c>
      <c r="CU28" s="239">
        <v>0</v>
      </c>
      <c r="CV28" s="239">
        <v>0</v>
      </c>
      <c r="CW28" s="239">
        <v>0</v>
      </c>
      <c r="CX28" s="239">
        <v>0</v>
      </c>
      <c r="CY28" s="239">
        <v>0</v>
      </c>
      <c r="CZ28" s="239">
        <v>0</v>
      </c>
      <c r="DA28" s="239">
        <v>0</v>
      </c>
      <c r="DB28" s="239">
        <v>0</v>
      </c>
      <c r="DC28" s="239">
        <v>0</v>
      </c>
      <c r="DD28" s="239">
        <v>0</v>
      </c>
      <c r="DE28" s="239">
        <v>0</v>
      </c>
      <c r="DF28" s="239">
        <v>0</v>
      </c>
      <c r="DG28" s="239">
        <v>0</v>
      </c>
      <c r="DH28" s="239">
        <v>0</v>
      </c>
      <c r="DI28" s="239">
        <v>0</v>
      </c>
      <c r="DJ28" s="239">
        <v>-17831</v>
      </c>
      <c r="DK28" s="239">
        <v>0</v>
      </c>
      <c r="DL28" s="239">
        <v>-17831</v>
      </c>
      <c r="DM28" s="239">
        <v>-2761</v>
      </c>
      <c r="DN28" s="239">
        <v>0</v>
      </c>
      <c r="DO28" s="239">
        <v>-2761</v>
      </c>
      <c r="DP28" s="239">
        <v>0</v>
      </c>
      <c r="DQ28" s="239">
        <v>0</v>
      </c>
      <c r="DR28" s="239">
        <v>0</v>
      </c>
      <c r="DS28" s="239">
        <v>0</v>
      </c>
      <c r="DT28" s="239">
        <v>0</v>
      </c>
      <c r="DU28" s="239">
        <v>0</v>
      </c>
      <c r="DV28" s="239">
        <v>0</v>
      </c>
      <c r="DW28" s="239">
        <v>0</v>
      </c>
      <c r="DX28" s="239">
        <v>0</v>
      </c>
      <c r="DY28" s="239">
        <v>0</v>
      </c>
      <c r="DZ28" s="239">
        <v>0</v>
      </c>
      <c r="EA28" s="239">
        <v>0</v>
      </c>
      <c r="EB28" s="239">
        <v>-11236</v>
      </c>
      <c r="EC28" s="239">
        <v>0</v>
      </c>
      <c r="ED28" s="239">
        <v>-11236</v>
      </c>
      <c r="EE28" s="239">
        <v>0</v>
      </c>
      <c r="EF28" s="239">
        <v>0</v>
      </c>
      <c r="EG28" s="239">
        <v>0</v>
      </c>
      <c r="EH28" s="239">
        <v>0</v>
      </c>
      <c r="EI28" s="239">
        <v>0</v>
      </c>
      <c r="EJ28" s="239">
        <v>0</v>
      </c>
      <c r="EK28" s="239">
        <v>0</v>
      </c>
      <c r="EL28" s="239">
        <v>0</v>
      </c>
      <c r="EM28" s="239">
        <v>0</v>
      </c>
      <c r="EN28" s="239">
        <v>0</v>
      </c>
      <c r="EO28" s="239">
        <v>0</v>
      </c>
      <c r="EP28" s="239">
        <v>0</v>
      </c>
      <c r="EQ28" s="239">
        <v>-13997</v>
      </c>
      <c r="ER28" s="239">
        <v>0</v>
      </c>
      <c r="ES28" s="239">
        <v>-13997</v>
      </c>
      <c r="ET28" s="239">
        <v>0</v>
      </c>
      <c r="EU28" s="239">
        <v>0</v>
      </c>
      <c r="EV28" s="239">
        <v>0</v>
      </c>
      <c r="EW28" s="239">
        <v>0</v>
      </c>
      <c r="EX28" s="239">
        <v>0</v>
      </c>
      <c r="EY28" s="239">
        <v>0</v>
      </c>
      <c r="EZ28" s="239">
        <v>0</v>
      </c>
      <c r="FA28" s="239">
        <v>0</v>
      </c>
      <c r="FB28" s="239">
        <v>0</v>
      </c>
      <c r="FC28" s="239">
        <v>27632887</v>
      </c>
      <c r="FD28" s="239">
        <v>0</v>
      </c>
      <c r="FE28" s="239">
        <v>27632887</v>
      </c>
      <c r="FF28" s="239">
        <v>519049</v>
      </c>
      <c r="FG28" s="239">
        <v>0</v>
      </c>
      <c r="FH28" s="239">
        <v>519049</v>
      </c>
      <c r="FI28" s="239">
        <v>-1412939</v>
      </c>
      <c r="FJ28" s="239">
        <v>0</v>
      </c>
      <c r="FK28" s="239">
        <v>-1412939</v>
      </c>
      <c r="FL28" s="239">
        <v>-437096</v>
      </c>
      <c r="FM28" s="239">
        <v>0</v>
      </c>
      <c r="FN28" s="239">
        <v>-437096</v>
      </c>
      <c r="FO28" s="239">
        <v>-17831</v>
      </c>
      <c r="FP28" s="239">
        <v>0</v>
      </c>
      <c r="FQ28" s="239">
        <v>-17831</v>
      </c>
      <c r="FR28" s="239">
        <v>-13997</v>
      </c>
      <c r="FS28" s="239">
        <v>0</v>
      </c>
      <c r="FT28" s="239">
        <v>-13997</v>
      </c>
      <c r="FU28" s="239">
        <v>0</v>
      </c>
      <c r="FV28" s="239">
        <v>0</v>
      </c>
      <c r="FW28" s="239">
        <v>0</v>
      </c>
      <c r="FX28" s="239">
        <v>-1362814</v>
      </c>
      <c r="FY28" s="239">
        <v>0</v>
      </c>
      <c r="FZ28" s="239">
        <v>-1362814</v>
      </c>
      <c r="GA28" s="239">
        <v>26270073</v>
      </c>
      <c r="GB28" s="239">
        <v>0</v>
      </c>
      <c r="GC28" s="239">
        <v>26270073</v>
      </c>
      <c r="GD28" s="214" t="s">
        <v>1190</v>
      </c>
    </row>
    <row r="29" spans="2:186" s="214" customFormat="1" x14ac:dyDescent="0.2">
      <c r="B29" s="609" t="s">
        <v>140</v>
      </c>
      <c r="C29" s="609" t="s">
        <v>139</v>
      </c>
      <c r="D29" s="239">
        <v>0</v>
      </c>
      <c r="E29" s="239">
        <v>0</v>
      </c>
      <c r="F29" s="239">
        <v>0</v>
      </c>
      <c r="G29" s="239">
        <v>148906</v>
      </c>
      <c r="H29" s="239">
        <v>0</v>
      </c>
      <c r="I29" s="239">
        <v>148906</v>
      </c>
      <c r="J29" s="239">
        <v>0</v>
      </c>
      <c r="K29" s="239">
        <v>0</v>
      </c>
      <c r="L29" s="239">
        <v>0</v>
      </c>
      <c r="M29" s="239">
        <v>69915</v>
      </c>
      <c r="N29" s="239">
        <v>0</v>
      </c>
      <c r="O29" s="239">
        <v>69915</v>
      </c>
      <c r="P29" s="239">
        <v>218821</v>
      </c>
      <c r="Q29" s="239">
        <v>0</v>
      </c>
      <c r="R29" s="239">
        <v>218821</v>
      </c>
      <c r="S29" s="239">
        <v>-8175656</v>
      </c>
      <c r="T29" s="239">
        <v>0</v>
      </c>
      <c r="U29" s="239">
        <v>-8175656</v>
      </c>
      <c r="V29" s="239">
        <v>0</v>
      </c>
      <c r="W29" s="239">
        <v>0</v>
      </c>
      <c r="X29" s="239">
        <v>0</v>
      </c>
      <c r="Y29" s="239">
        <v>-163142</v>
      </c>
      <c r="Z29" s="239">
        <v>0</v>
      </c>
      <c r="AA29" s="239">
        <v>-163142</v>
      </c>
      <c r="AB29" s="239">
        <v>0</v>
      </c>
      <c r="AC29" s="239">
        <v>0</v>
      </c>
      <c r="AD29" s="239">
        <v>0</v>
      </c>
      <c r="AE29" s="239">
        <v>0</v>
      </c>
      <c r="AF29" s="239">
        <v>0</v>
      </c>
      <c r="AG29" s="239">
        <v>0</v>
      </c>
      <c r="AH29" s="239">
        <v>2481457</v>
      </c>
      <c r="AI29" s="239">
        <v>0</v>
      </c>
      <c r="AJ29" s="239">
        <v>2481457</v>
      </c>
      <c r="AK29" s="239">
        <v>-61111</v>
      </c>
      <c r="AL29" s="239">
        <v>0</v>
      </c>
      <c r="AM29" s="239">
        <v>-61111</v>
      </c>
      <c r="AN29" s="239">
        <v>-6704946</v>
      </c>
      <c r="AO29" s="239">
        <v>0</v>
      </c>
      <c r="AP29" s="239">
        <v>-6704946</v>
      </c>
      <c r="AQ29" s="239">
        <v>-335228</v>
      </c>
      <c r="AR29" s="239">
        <v>0</v>
      </c>
      <c r="AS29" s="239">
        <v>-335228</v>
      </c>
      <c r="AT29" s="239">
        <v>-104575</v>
      </c>
      <c r="AU29" s="239">
        <v>0</v>
      </c>
      <c r="AV29" s="239">
        <v>-104575</v>
      </c>
      <c r="AW29" s="239">
        <v>0</v>
      </c>
      <c r="AX29" s="239">
        <v>0</v>
      </c>
      <c r="AY29" s="239">
        <v>0</v>
      </c>
      <c r="AZ29" s="239">
        <v>0</v>
      </c>
      <c r="BA29" s="239">
        <v>0</v>
      </c>
      <c r="BB29" s="239">
        <v>0</v>
      </c>
      <c r="BC29" s="239">
        <v>0</v>
      </c>
      <c r="BD29" s="239">
        <v>0</v>
      </c>
      <c r="BE29" s="239">
        <v>0</v>
      </c>
      <c r="BF29" s="239">
        <v>-13063201</v>
      </c>
      <c r="BG29" s="239">
        <v>0</v>
      </c>
      <c r="BH29" s="239">
        <v>-13063201</v>
      </c>
      <c r="BI29" s="239">
        <v>-68188</v>
      </c>
      <c r="BJ29" s="239">
        <v>0</v>
      </c>
      <c r="BK29" s="239">
        <v>-68188</v>
      </c>
      <c r="BL29" s="239">
        <v>977</v>
      </c>
      <c r="BM29" s="239">
        <v>0</v>
      </c>
      <c r="BN29" s="239">
        <v>977</v>
      </c>
      <c r="BO29" s="239">
        <v>-4145942</v>
      </c>
      <c r="BP29" s="239">
        <v>0</v>
      </c>
      <c r="BQ29" s="239">
        <v>-4145942</v>
      </c>
      <c r="BR29" s="239">
        <v>-9909</v>
      </c>
      <c r="BS29" s="239">
        <v>0</v>
      </c>
      <c r="BT29" s="239">
        <v>-9909</v>
      </c>
      <c r="BU29" s="239">
        <v>-4223062</v>
      </c>
      <c r="BV29" s="239">
        <v>0</v>
      </c>
      <c r="BW29" s="239">
        <v>-4223062</v>
      </c>
      <c r="BX29" s="239">
        <v>-659031</v>
      </c>
      <c r="BY29" s="239">
        <v>0</v>
      </c>
      <c r="BZ29" s="239">
        <v>-659031</v>
      </c>
      <c r="CA29" s="239">
        <v>-8944</v>
      </c>
      <c r="CB29" s="239">
        <v>0</v>
      </c>
      <c r="CC29" s="239">
        <v>-8944</v>
      </c>
      <c r="CD29" s="239">
        <v>-291727</v>
      </c>
      <c r="CE29" s="239">
        <v>0</v>
      </c>
      <c r="CF29" s="239">
        <v>-291727</v>
      </c>
      <c r="CG29" s="239">
        <v>4054</v>
      </c>
      <c r="CH29" s="239">
        <v>0</v>
      </c>
      <c r="CI29" s="239">
        <v>4054</v>
      </c>
      <c r="CJ29" s="239">
        <v>-4477</v>
      </c>
      <c r="CK29" s="239">
        <v>0</v>
      </c>
      <c r="CL29" s="239">
        <v>-4477</v>
      </c>
      <c r="CM29" s="239">
        <v>0</v>
      </c>
      <c r="CN29" s="239">
        <v>0</v>
      </c>
      <c r="CO29" s="239">
        <v>0</v>
      </c>
      <c r="CP29" s="239">
        <v>0</v>
      </c>
      <c r="CQ29" s="239">
        <v>0</v>
      </c>
      <c r="CR29" s="239">
        <v>0</v>
      </c>
      <c r="CS29" s="239">
        <v>0</v>
      </c>
      <c r="CT29" s="239">
        <v>0</v>
      </c>
      <c r="CU29" s="239">
        <v>0</v>
      </c>
      <c r="CV29" s="239">
        <v>0</v>
      </c>
      <c r="CW29" s="239">
        <v>0</v>
      </c>
      <c r="CX29" s="239">
        <v>0</v>
      </c>
      <c r="CY29" s="239">
        <v>0</v>
      </c>
      <c r="CZ29" s="239">
        <v>0</v>
      </c>
      <c r="DA29" s="239">
        <v>0</v>
      </c>
      <c r="DB29" s="239">
        <v>0</v>
      </c>
      <c r="DC29" s="239">
        <v>0</v>
      </c>
      <c r="DD29" s="239">
        <v>0</v>
      </c>
      <c r="DE29" s="239">
        <v>0</v>
      </c>
      <c r="DF29" s="239">
        <v>0</v>
      </c>
      <c r="DG29" s="239">
        <v>0</v>
      </c>
      <c r="DH29" s="239">
        <v>0</v>
      </c>
      <c r="DI29" s="239">
        <v>0</v>
      </c>
      <c r="DJ29" s="239">
        <v>-960125</v>
      </c>
      <c r="DK29" s="239">
        <v>0</v>
      </c>
      <c r="DL29" s="239">
        <v>-960125</v>
      </c>
      <c r="DM29" s="239">
        <v>-13903</v>
      </c>
      <c r="DN29" s="239">
        <v>0</v>
      </c>
      <c r="DO29" s="239">
        <v>-13903</v>
      </c>
      <c r="DP29" s="239">
        <v>0</v>
      </c>
      <c r="DQ29" s="239">
        <v>0</v>
      </c>
      <c r="DR29" s="239">
        <v>0</v>
      </c>
      <c r="DS29" s="239">
        <v>-86422</v>
      </c>
      <c r="DT29" s="239">
        <v>0</v>
      </c>
      <c r="DU29" s="239">
        <v>-86422</v>
      </c>
      <c r="DV29" s="239">
        <v>-7850</v>
      </c>
      <c r="DW29" s="239">
        <v>0</v>
      </c>
      <c r="DX29" s="239">
        <v>-7850</v>
      </c>
      <c r="DY29" s="239">
        <v>0</v>
      </c>
      <c r="DZ29" s="239">
        <v>0</v>
      </c>
      <c r="EA29" s="239">
        <v>0</v>
      </c>
      <c r="EB29" s="239">
        <v>16555</v>
      </c>
      <c r="EC29" s="239">
        <v>0</v>
      </c>
      <c r="ED29" s="239">
        <v>16555</v>
      </c>
      <c r="EE29" s="239">
        <v>0</v>
      </c>
      <c r="EF29" s="239">
        <v>0</v>
      </c>
      <c r="EG29" s="239">
        <v>0</v>
      </c>
      <c r="EH29" s="239">
        <v>0</v>
      </c>
      <c r="EI29" s="239">
        <v>0</v>
      </c>
      <c r="EJ29" s="239">
        <v>0</v>
      </c>
      <c r="EK29" s="239">
        <v>0</v>
      </c>
      <c r="EL29" s="239">
        <v>0</v>
      </c>
      <c r="EM29" s="239">
        <v>0</v>
      </c>
      <c r="EN29" s="239">
        <v>0</v>
      </c>
      <c r="EO29" s="239">
        <v>0</v>
      </c>
      <c r="EP29" s="239">
        <v>0</v>
      </c>
      <c r="EQ29" s="239">
        <v>-91620</v>
      </c>
      <c r="ER29" s="239">
        <v>0</v>
      </c>
      <c r="ES29" s="239">
        <v>-91620</v>
      </c>
      <c r="ET29" s="239">
        <v>-7647</v>
      </c>
      <c r="EU29" s="239">
        <v>0</v>
      </c>
      <c r="EV29" s="239">
        <v>-7647</v>
      </c>
      <c r="EW29" s="239">
        <v>-9958</v>
      </c>
      <c r="EX29" s="239">
        <v>0</v>
      </c>
      <c r="EY29" s="239">
        <v>-9958</v>
      </c>
      <c r="EZ29" s="239">
        <v>-17605</v>
      </c>
      <c r="FA29" s="239">
        <v>0</v>
      </c>
      <c r="FB29" s="239">
        <v>-17605</v>
      </c>
      <c r="FC29" s="239">
        <v>107326641</v>
      </c>
      <c r="FD29" s="239">
        <v>0</v>
      </c>
      <c r="FE29" s="239">
        <v>107326641</v>
      </c>
      <c r="FF29" s="239">
        <v>218821</v>
      </c>
      <c r="FG29" s="239">
        <v>0</v>
      </c>
      <c r="FH29" s="239">
        <v>218821</v>
      </c>
      <c r="FI29" s="239">
        <v>-13063201</v>
      </c>
      <c r="FJ29" s="239">
        <v>0</v>
      </c>
      <c r="FK29" s="239">
        <v>-13063201</v>
      </c>
      <c r="FL29" s="239">
        <v>-4223062</v>
      </c>
      <c r="FM29" s="239">
        <v>0</v>
      </c>
      <c r="FN29" s="239">
        <v>-4223062</v>
      </c>
      <c r="FO29" s="239">
        <v>-960125</v>
      </c>
      <c r="FP29" s="239">
        <v>0</v>
      </c>
      <c r="FQ29" s="239">
        <v>-960125</v>
      </c>
      <c r="FR29" s="239">
        <v>-91620</v>
      </c>
      <c r="FS29" s="239">
        <v>0</v>
      </c>
      <c r="FT29" s="239">
        <v>-91620</v>
      </c>
      <c r="FU29" s="239">
        <v>-17605</v>
      </c>
      <c r="FV29" s="239">
        <v>0</v>
      </c>
      <c r="FW29" s="239">
        <v>-17605</v>
      </c>
      <c r="FX29" s="239">
        <v>-18136792</v>
      </c>
      <c r="FY29" s="239">
        <v>0</v>
      </c>
      <c r="FZ29" s="239">
        <v>-18136792</v>
      </c>
      <c r="GA29" s="239">
        <v>89189849</v>
      </c>
      <c r="GB29" s="239">
        <v>0</v>
      </c>
      <c r="GC29" s="239">
        <v>89189849</v>
      </c>
      <c r="GD29" s="214" t="s">
        <v>1192</v>
      </c>
    </row>
    <row r="30" spans="2:186" s="214" customFormat="1" x14ac:dyDescent="0.2">
      <c r="B30" s="609" t="s">
        <v>142</v>
      </c>
      <c r="C30" s="609" t="s">
        <v>141</v>
      </c>
      <c r="D30" s="239">
        <v>0</v>
      </c>
      <c r="E30" s="239">
        <v>0</v>
      </c>
      <c r="F30" s="239">
        <v>0</v>
      </c>
      <c r="G30" s="239">
        <v>-2480</v>
      </c>
      <c r="H30" s="239">
        <v>0</v>
      </c>
      <c r="I30" s="239">
        <v>-2480</v>
      </c>
      <c r="J30" s="239">
        <v>0</v>
      </c>
      <c r="K30" s="239">
        <v>0</v>
      </c>
      <c r="L30" s="239">
        <v>0</v>
      </c>
      <c r="M30" s="239">
        <v>125066</v>
      </c>
      <c r="N30" s="239">
        <v>0</v>
      </c>
      <c r="O30" s="239">
        <v>125066</v>
      </c>
      <c r="P30" s="239">
        <v>122586</v>
      </c>
      <c r="Q30" s="239">
        <v>0</v>
      </c>
      <c r="R30" s="239">
        <v>122586</v>
      </c>
      <c r="S30" s="239">
        <v>-1631040</v>
      </c>
      <c r="T30" s="239">
        <v>0</v>
      </c>
      <c r="U30" s="239">
        <v>-1631040</v>
      </c>
      <c r="V30" s="239">
        <v>-919</v>
      </c>
      <c r="W30" s="239">
        <v>0</v>
      </c>
      <c r="X30" s="239">
        <v>-919</v>
      </c>
      <c r="Y30" s="239">
        <v>-91078</v>
      </c>
      <c r="Z30" s="239">
        <v>0</v>
      </c>
      <c r="AA30" s="239">
        <v>-91078</v>
      </c>
      <c r="AB30" s="239">
        <v>0</v>
      </c>
      <c r="AC30" s="239">
        <v>0</v>
      </c>
      <c r="AD30" s="239">
        <v>0</v>
      </c>
      <c r="AE30" s="239">
        <v>0</v>
      </c>
      <c r="AF30" s="239">
        <v>0</v>
      </c>
      <c r="AG30" s="239">
        <v>0</v>
      </c>
      <c r="AH30" s="239">
        <v>541243</v>
      </c>
      <c r="AI30" s="239">
        <v>0</v>
      </c>
      <c r="AJ30" s="239">
        <v>541243</v>
      </c>
      <c r="AK30" s="239">
        <v>7595</v>
      </c>
      <c r="AL30" s="239">
        <v>0</v>
      </c>
      <c r="AM30" s="239">
        <v>7595</v>
      </c>
      <c r="AN30" s="239">
        <v>-1475101</v>
      </c>
      <c r="AO30" s="239">
        <v>0</v>
      </c>
      <c r="AP30" s="239">
        <v>-1475101</v>
      </c>
      <c r="AQ30" s="239">
        <v>-17714</v>
      </c>
      <c r="AR30" s="239">
        <v>0</v>
      </c>
      <c r="AS30" s="239">
        <v>-17714</v>
      </c>
      <c r="AT30" s="239">
        <v>-61827</v>
      </c>
      <c r="AU30" s="239">
        <v>0</v>
      </c>
      <c r="AV30" s="239">
        <v>-61827</v>
      </c>
      <c r="AW30" s="239">
        <v>0</v>
      </c>
      <c r="AX30" s="239">
        <v>0</v>
      </c>
      <c r="AY30" s="239">
        <v>0</v>
      </c>
      <c r="AZ30" s="239">
        <v>-20138</v>
      </c>
      <c r="BA30" s="239">
        <v>0</v>
      </c>
      <c r="BB30" s="239">
        <v>-20138</v>
      </c>
      <c r="BC30" s="239">
        <v>-19</v>
      </c>
      <c r="BD30" s="239">
        <v>0</v>
      </c>
      <c r="BE30" s="239">
        <v>-19</v>
      </c>
      <c r="BF30" s="239">
        <v>-2748079</v>
      </c>
      <c r="BG30" s="239">
        <v>0</v>
      </c>
      <c r="BH30" s="239">
        <v>-2748079</v>
      </c>
      <c r="BI30" s="239">
        <v>0</v>
      </c>
      <c r="BJ30" s="239">
        <v>0</v>
      </c>
      <c r="BK30" s="239">
        <v>0</v>
      </c>
      <c r="BL30" s="239">
        <v>0</v>
      </c>
      <c r="BM30" s="239">
        <v>0</v>
      </c>
      <c r="BN30" s="239">
        <v>0</v>
      </c>
      <c r="BO30" s="239">
        <v>-1120958</v>
      </c>
      <c r="BP30" s="239">
        <v>0</v>
      </c>
      <c r="BQ30" s="239">
        <v>-1120958</v>
      </c>
      <c r="BR30" s="239">
        <v>-185348</v>
      </c>
      <c r="BS30" s="239">
        <v>0</v>
      </c>
      <c r="BT30" s="239">
        <v>-185348</v>
      </c>
      <c r="BU30" s="239">
        <v>-1306306</v>
      </c>
      <c r="BV30" s="239">
        <v>0</v>
      </c>
      <c r="BW30" s="239">
        <v>-1306306</v>
      </c>
      <c r="BX30" s="239">
        <v>-46011</v>
      </c>
      <c r="BY30" s="239">
        <v>0</v>
      </c>
      <c r="BZ30" s="239">
        <v>-46011</v>
      </c>
      <c r="CA30" s="239">
        <v>-93</v>
      </c>
      <c r="CB30" s="239">
        <v>0</v>
      </c>
      <c r="CC30" s="239">
        <v>-93</v>
      </c>
      <c r="CD30" s="239">
        <v>-22991</v>
      </c>
      <c r="CE30" s="239">
        <v>0</v>
      </c>
      <c r="CF30" s="239">
        <v>-22991</v>
      </c>
      <c r="CG30" s="239">
        <v>0</v>
      </c>
      <c r="CH30" s="239">
        <v>0</v>
      </c>
      <c r="CI30" s="239">
        <v>0</v>
      </c>
      <c r="CJ30" s="239">
        <v>-11593</v>
      </c>
      <c r="CK30" s="239">
        <v>0</v>
      </c>
      <c r="CL30" s="239">
        <v>-11593</v>
      </c>
      <c r="CM30" s="239">
        <v>0</v>
      </c>
      <c r="CN30" s="239">
        <v>0</v>
      </c>
      <c r="CO30" s="239">
        <v>0</v>
      </c>
      <c r="CP30" s="239">
        <v>-1443</v>
      </c>
      <c r="CQ30" s="239">
        <v>0</v>
      </c>
      <c r="CR30" s="239">
        <v>-1443</v>
      </c>
      <c r="CS30" s="239">
        <v>-14</v>
      </c>
      <c r="CT30" s="239">
        <v>0</v>
      </c>
      <c r="CU30" s="239">
        <v>-14</v>
      </c>
      <c r="CV30" s="239">
        <v>0</v>
      </c>
      <c r="CW30" s="239">
        <v>0</v>
      </c>
      <c r="CX30" s="239">
        <v>0</v>
      </c>
      <c r="CY30" s="239">
        <v>0</v>
      </c>
      <c r="CZ30" s="239">
        <v>0</v>
      </c>
      <c r="DA30" s="239">
        <v>0</v>
      </c>
      <c r="DB30" s="239">
        <v>0</v>
      </c>
      <c r="DC30" s="239">
        <v>0</v>
      </c>
      <c r="DD30" s="239">
        <v>0</v>
      </c>
      <c r="DE30" s="239">
        <v>0</v>
      </c>
      <c r="DF30" s="239">
        <v>0</v>
      </c>
      <c r="DG30" s="239">
        <v>0</v>
      </c>
      <c r="DH30" s="239">
        <v>0</v>
      </c>
      <c r="DI30" s="239">
        <v>0</v>
      </c>
      <c r="DJ30" s="239">
        <v>-82145</v>
      </c>
      <c r="DK30" s="239">
        <v>0</v>
      </c>
      <c r="DL30" s="239">
        <v>-82145</v>
      </c>
      <c r="DM30" s="239">
        <v>0</v>
      </c>
      <c r="DN30" s="239">
        <v>0</v>
      </c>
      <c r="DO30" s="239">
        <v>0</v>
      </c>
      <c r="DP30" s="239">
        <v>0</v>
      </c>
      <c r="DQ30" s="239">
        <v>0</v>
      </c>
      <c r="DR30" s="239">
        <v>0</v>
      </c>
      <c r="DS30" s="239">
        <v>-10007</v>
      </c>
      <c r="DT30" s="239">
        <v>0</v>
      </c>
      <c r="DU30" s="239">
        <v>-10007</v>
      </c>
      <c r="DV30" s="239">
        <v>-30</v>
      </c>
      <c r="DW30" s="239">
        <v>0</v>
      </c>
      <c r="DX30" s="239">
        <v>-30</v>
      </c>
      <c r="DY30" s="239">
        <v>0</v>
      </c>
      <c r="DZ30" s="239">
        <v>0</v>
      </c>
      <c r="EA30" s="239">
        <v>0</v>
      </c>
      <c r="EB30" s="239">
        <v>3507</v>
      </c>
      <c r="EC30" s="239">
        <v>0</v>
      </c>
      <c r="ED30" s="239">
        <v>3507</v>
      </c>
      <c r="EE30" s="239">
        <v>0</v>
      </c>
      <c r="EF30" s="239">
        <v>0</v>
      </c>
      <c r="EG30" s="239">
        <v>0</v>
      </c>
      <c r="EH30" s="239">
        <v>262</v>
      </c>
      <c r="EI30" s="239">
        <v>0</v>
      </c>
      <c r="EJ30" s="239">
        <v>262</v>
      </c>
      <c r="EK30" s="239">
        <v>0</v>
      </c>
      <c r="EL30" s="239">
        <v>0</v>
      </c>
      <c r="EM30" s="239">
        <v>0</v>
      </c>
      <c r="EN30" s="239">
        <v>0</v>
      </c>
      <c r="EO30" s="239">
        <v>0</v>
      </c>
      <c r="EP30" s="239">
        <v>0</v>
      </c>
      <c r="EQ30" s="239">
        <v>-6268</v>
      </c>
      <c r="ER30" s="239">
        <v>0</v>
      </c>
      <c r="ES30" s="239">
        <v>-6268</v>
      </c>
      <c r="ET30" s="239">
        <v>0</v>
      </c>
      <c r="EU30" s="239">
        <v>0</v>
      </c>
      <c r="EV30" s="239">
        <v>0</v>
      </c>
      <c r="EW30" s="239">
        <v>0</v>
      </c>
      <c r="EX30" s="239">
        <v>0</v>
      </c>
      <c r="EY30" s="239">
        <v>0</v>
      </c>
      <c r="EZ30" s="239">
        <v>0</v>
      </c>
      <c r="FA30" s="239">
        <v>0</v>
      </c>
      <c r="FB30" s="239">
        <v>0</v>
      </c>
      <c r="FC30" s="239">
        <v>24550889</v>
      </c>
      <c r="FD30" s="239">
        <v>0</v>
      </c>
      <c r="FE30" s="239">
        <v>24550889</v>
      </c>
      <c r="FF30" s="239">
        <v>122586</v>
      </c>
      <c r="FG30" s="239">
        <v>0</v>
      </c>
      <c r="FH30" s="239">
        <v>122586</v>
      </c>
      <c r="FI30" s="239">
        <v>-2748079</v>
      </c>
      <c r="FJ30" s="239">
        <v>0</v>
      </c>
      <c r="FK30" s="239">
        <v>-2748079</v>
      </c>
      <c r="FL30" s="239">
        <v>-1306306</v>
      </c>
      <c r="FM30" s="239">
        <v>0</v>
      </c>
      <c r="FN30" s="239">
        <v>-1306306</v>
      </c>
      <c r="FO30" s="239">
        <v>-82145</v>
      </c>
      <c r="FP30" s="239">
        <v>0</v>
      </c>
      <c r="FQ30" s="239">
        <v>-82145</v>
      </c>
      <c r="FR30" s="239">
        <v>-6268</v>
      </c>
      <c r="FS30" s="239">
        <v>0</v>
      </c>
      <c r="FT30" s="239">
        <v>-6268</v>
      </c>
      <c r="FU30" s="239">
        <v>0</v>
      </c>
      <c r="FV30" s="239">
        <v>0</v>
      </c>
      <c r="FW30" s="239">
        <v>0</v>
      </c>
      <c r="FX30" s="239">
        <v>-4020212</v>
      </c>
      <c r="FY30" s="239">
        <v>0</v>
      </c>
      <c r="FZ30" s="239">
        <v>-4020212</v>
      </c>
      <c r="GA30" s="239">
        <v>20530677</v>
      </c>
      <c r="GB30" s="239">
        <v>0</v>
      </c>
      <c r="GC30" s="239">
        <v>20530677</v>
      </c>
      <c r="GD30" s="214" t="s">
        <v>1190</v>
      </c>
    </row>
    <row r="31" spans="2:186" s="214" customFormat="1" x14ac:dyDescent="0.2">
      <c r="B31" s="609" t="s">
        <v>144</v>
      </c>
      <c r="C31" s="609" t="s">
        <v>143</v>
      </c>
      <c r="D31" s="239">
        <v>0</v>
      </c>
      <c r="E31" s="239">
        <v>0</v>
      </c>
      <c r="F31" s="239">
        <v>0</v>
      </c>
      <c r="G31" s="239">
        <v>25136</v>
      </c>
      <c r="H31" s="239">
        <v>0</v>
      </c>
      <c r="I31" s="239">
        <v>25136</v>
      </c>
      <c r="J31" s="239">
        <v>0</v>
      </c>
      <c r="K31" s="239">
        <v>0</v>
      </c>
      <c r="L31" s="239">
        <v>0</v>
      </c>
      <c r="M31" s="239">
        <v>18295</v>
      </c>
      <c r="N31" s="239">
        <v>0</v>
      </c>
      <c r="O31" s="239">
        <v>18295</v>
      </c>
      <c r="P31" s="239">
        <v>43431</v>
      </c>
      <c r="Q31" s="239">
        <v>0</v>
      </c>
      <c r="R31" s="239">
        <v>43431</v>
      </c>
      <c r="S31" s="239">
        <v>-4656147</v>
      </c>
      <c r="T31" s="239">
        <v>0</v>
      </c>
      <c r="U31" s="239">
        <v>-4656147</v>
      </c>
      <c r="V31" s="239">
        <v>-8533</v>
      </c>
      <c r="W31" s="239">
        <v>0</v>
      </c>
      <c r="X31" s="239">
        <v>-8533</v>
      </c>
      <c r="Y31" s="239">
        <v>-209230</v>
      </c>
      <c r="Z31" s="239">
        <v>0</v>
      </c>
      <c r="AA31" s="239">
        <v>-209230</v>
      </c>
      <c r="AB31" s="239">
        <v>-135513</v>
      </c>
      <c r="AC31" s="239">
        <v>0</v>
      </c>
      <c r="AD31" s="239">
        <v>-135513</v>
      </c>
      <c r="AE31" s="239">
        <v>-2328</v>
      </c>
      <c r="AF31" s="239">
        <v>0</v>
      </c>
      <c r="AG31" s="239">
        <v>-2328</v>
      </c>
      <c r="AH31" s="239">
        <v>1841234</v>
      </c>
      <c r="AI31" s="239">
        <v>0</v>
      </c>
      <c r="AJ31" s="239">
        <v>1841234</v>
      </c>
      <c r="AK31" s="239">
        <v>-43001</v>
      </c>
      <c r="AL31" s="239">
        <v>0</v>
      </c>
      <c r="AM31" s="239">
        <v>-43001</v>
      </c>
      <c r="AN31" s="239">
        <v>-5820377</v>
      </c>
      <c r="AO31" s="239">
        <v>0</v>
      </c>
      <c r="AP31" s="239">
        <v>-5820377</v>
      </c>
      <c r="AQ31" s="239">
        <v>-74006</v>
      </c>
      <c r="AR31" s="239">
        <v>0</v>
      </c>
      <c r="AS31" s="239">
        <v>-74006</v>
      </c>
      <c r="AT31" s="239">
        <v>-115304</v>
      </c>
      <c r="AU31" s="239">
        <v>0</v>
      </c>
      <c r="AV31" s="239">
        <v>-115304</v>
      </c>
      <c r="AW31" s="239">
        <v>0</v>
      </c>
      <c r="AX31" s="239">
        <v>0</v>
      </c>
      <c r="AY31" s="239">
        <v>0</v>
      </c>
      <c r="AZ31" s="239">
        <v>0</v>
      </c>
      <c r="BA31" s="239">
        <v>0</v>
      </c>
      <c r="BB31" s="239">
        <v>0</v>
      </c>
      <c r="BC31" s="239">
        <v>0</v>
      </c>
      <c r="BD31" s="239">
        <v>0</v>
      </c>
      <c r="BE31" s="239">
        <v>0</v>
      </c>
      <c r="BF31" s="239">
        <v>-9076831</v>
      </c>
      <c r="BG31" s="239">
        <v>0</v>
      </c>
      <c r="BH31" s="239">
        <v>-9076831</v>
      </c>
      <c r="BI31" s="239">
        <v>0</v>
      </c>
      <c r="BJ31" s="239">
        <v>0</v>
      </c>
      <c r="BK31" s="239">
        <v>0</v>
      </c>
      <c r="BL31" s="239">
        <v>269</v>
      </c>
      <c r="BM31" s="239">
        <v>0</v>
      </c>
      <c r="BN31" s="239">
        <v>269</v>
      </c>
      <c r="BO31" s="239">
        <v>-1814279</v>
      </c>
      <c r="BP31" s="239">
        <v>0</v>
      </c>
      <c r="BQ31" s="239">
        <v>-1814279</v>
      </c>
      <c r="BR31" s="239">
        <v>39288</v>
      </c>
      <c r="BS31" s="239">
        <v>0</v>
      </c>
      <c r="BT31" s="239">
        <v>39288</v>
      </c>
      <c r="BU31" s="239">
        <v>-1774722</v>
      </c>
      <c r="BV31" s="239">
        <v>0</v>
      </c>
      <c r="BW31" s="239">
        <v>-1774722</v>
      </c>
      <c r="BX31" s="239">
        <v>-78970</v>
      </c>
      <c r="BY31" s="239">
        <v>0</v>
      </c>
      <c r="BZ31" s="239">
        <v>-78970</v>
      </c>
      <c r="CA31" s="239">
        <v>-150</v>
      </c>
      <c r="CB31" s="239">
        <v>0</v>
      </c>
      <c r="CC31" s="239">
        <v>-150</v>
      </c>
      <c r="CD31" s="239">
        <v>-20586</v>
      </c>
      <c r="CE31" s="239">
        <v>0</v>
      </c>
      <c r="CF31" s="239">
        <v>-20586</v>
      </c>
      <c r="CG31" s="239">
        <v>0</v>
      </c>
      <c r="CH31" s="239">
        <v>0</v>
      </c>
      <c r="CI31" s="239">
        <v>0</v>
      </c>
      <c r="CJ31" s="239">
        <v>-4000</v>
      </c>
      <c r="CK31" s="239">
        <v>0</v>
      </c>
      <c r="CL31" s="239">
        <v>-4000</v>
      </c>
      <c r="CM31" s="239">
        <v>0</v>
      </c>
      <c r="CN31" s="239">
        <v>0</v>
      </c>
      <c r="CO31" s="239">
        <v>0</v>
      </c>
      <c r="CP31" s="239">
        <v>0</v>
      </c>
      <c r="CQ31" s="239">
        <v>0</v>
      </c>
      <c r="CR31" s="239">
        <v>0</v>
      </c>
      <c r="CS31" s="239">
        <v>0</v>
      </c>
      <c r="CT31" s="239">
        <v>0</v>
      </c>
      <c r="CU31" s="239">
        <v>0</v>
      </c>
      <c r="CV31" s="239">
        <v>0</v>
      </c>
      <c r="CW31" s="239">
        <v>0</v>
      </c>
      <c r="CX31" s="239">
        <v>0</v>
      </c>
      <c r="CY31" s="239">
        <v>0</v>
      </c>
      <c r="CZ31" s="239">
        <v>0</v>
      </c>
      <c r="DA31" s="239">
        <v>0</v>
      </c>
      <c r="DB31" s="239">
        <v>0</v>
      </c>
      <c r="DC31" s="239">
        <v>0</v>
      </c>
      <c r="DD31" s="239">
        <v>0</v>
      </c>
      <c r="DE31" s="239">
        <v>0</v>
      </c>
      <c r="DF31" s="239">
        <v>0</v>
      </c>
      <c r="DG31" s="239">
        <v>0</v>
      </c>
      <c r="DH31" s="239">
        <v>0</v>
      </c>
      <c r="DI31" s="239">
        <v>0</v>
      </c>
      <c r="DJ31" s="239">
        <v>-103706</v>
      </c>
      <c r="DK31" s="239">
        <v>0</v>
      </c>
      <c r="DL31" s="239">
        <v>-103706</v>
      </c>
      <c r="DM31" s="239">
        <v>-5219</v>
      </c>
      <c r="DN31" s="239">
        <v>0</v>
      </c>
      <c r="DO31" s="239">
        <v>-5219</v>
      </c>
      <c r="DP31" s="239">
        <v>-438</v>
      </c>
      <c r="DQ31" s="239">
        <v>0</v>
      </c>
      <c r="DR31" s="239">
        <v>-438</v>
      </c>
      <c r="DS31" s="239">
        <v>-62235</v>
      </c>
      <c r="DT31" s="239">
        <v>0</v>
      </c>
      <c r="DU31" s="239">
        <v>-62235</v>
      </c>
      <c r="DV31" s="239">
        <v>2322</v>
      </c>
      <c r="DW31" s="239">
        <v>0</v>
      </c>
      <c r="DX31" s="239">
        <v>2322</v>
      </c>
      <c r="DY31" s="239">
        <v>0</v>
      </c>
      <c r="DZ31" s="239">
        <v>0</v>
      </c>
      <c r="EA31" s="239">
        <v>0</v>
      </c>
      <c r="EB31" s="239">
        <v>23066</v>
      </c>
      <c r="EC31" s="239">
        <v>0</v>
      </c>
      <c r="ED31" s="239">
        <v>23066</v>
      </c>
      <c r="EE31" s="239">
        <v>0</v>
      </c>
      <c r="EF31" s="239">
        <v>0</v>
      </c>
      <c r="EG31" s="239">
        <v>0</v>
      </c>
      <c r="EH31" s="239">
        <v>0</v>
      </c>
      <c r="EI31" s="239">
        <v>0</v>
      </c>
      <c r="EJ31" s="239">
        <v>0</v>
      </c>
      <c r="EK31" s="239">
        <v>-844</v>
      </c>
      <c r="EL31" s="239">
        <v>0</v>
      </c>
      <c r="EM31" s="239">
        <v>-844</v>
      </c>
      <c r="EN31" s="239">
        <v>0</v>
      </c>
      <c r="EO31" s="239">
        <v>0</v>
      </c>
      <c r="EP31" s="239">
        <v>0</v>
      </c>
      <c r="EQ31" s="239">
        <v>-43348</v>
      </c>
      <c r="ER31" s="239">
        <v>0</v>
      </c>
      <c r="ES31" s="239">
        <v>-43348</v>
      </c>
      <c r="ET31" s="239">
        <v>0</v>
      </c>
      <c r="EU31" s="239">
        <v>0</v>
      </c>
      <c r="EV31" s="239">
        <v>0</v>
      </c>
      <c r="EW31" s="239">
        <v>0</v>
      </c>
      <c r="EX31" s="239">
        <v>0</v>
      </c>
      <c r="EY31" s="239">
        <v>0</v>
      </c>
      <c r="EZ31" s="239">
        <v>0</v>
      </c>
      <c r="FA31" s="239">
        <v>0</v>
      </c>
      <c r="FB31" s="239">
        <v>0</v>
      </c>
      <c r="FC31" s="239">
        <v>78764017.890000001</v>
      </c>
      <c r="FD31" s="239">
        <v>0</v>
      </c>
      <c r="FE31" s="239">
        <v>78764017.890000001</v>
      </c>
      <c r="FF31" s="239">
        <v>43431</v>
      </c>
      <c r="FG31" s="239">
        <v>0</v>
      </c>
      <c r="FH31" s="239">
        <v>43431</v>
      </c>
      <c r="FI31" s="239">
        <v>-9076831</v>
      </c>
      <c r="FJ31" s="239">
        <v>0</v>
      </c>
      <c r="FK31" s="239">
        <v>-9076831</v>
      </c>
      <c r="FL31" s="239">
        <v>-1774722</v>
      </c>
      <c r="FM31" s="239">
        <v>0</v>
      </c>
      <c r="FN31" s="239">
        <v>-1774722</v>
      </c>
      <c r="FO31" s="239">
        <v>-103706</v>
      </c>
      <c r="FP31" s="239">
        <v>0</v>
      </c>
      <c r="FQ31" s="239">
        <v>-103706</v>
      </c>
      <c r="FR31" s="239">
        <v>-43348</v>
      </c>
      <c r="FS31" s="239">
        <v>0</v>
      </c>
      <c r="FT31" s="239">
        <v>-43348</v>
      </c>
      <c r="FU31" s="239">
        <v>0</v>
      </c>
      <c r="FV31" s="239">
        <v>0</v>
      </c>
      <c r="FW31" s="239">
        <v>0</v>
      </c>
      <c r="FX31" s="239">
        <v>-10955176</v>
      </c>
      <c r="FY31" s="239">
        <v>0</v>
      </c>
      <c r="FZ31" s="239">
        <v>-10955176</v>
      </c>
      <c r="GA31" s="239">
        <v>67808841.890000001</v>
      </c>
      <c r="GB31" s="239">
        <v>0</v>
      </c>
      <c r="GC31" s="239">
        <v>67808841.890000001</v>
      </c>
      <c r="GD31" s="214" t="s">
        <v>747</v>
      </c>
    </row>
    <row r="32" spans="2:186" s="214" customFormat="1" x14ac:dyDescent="0.2">
      <c r="B32" s="609" t="s">
        <v>146</v>
      </c>
      <c r="C32" s="609" t="s">
        <v>145</v>
      </c>
      <c r="D32" s="239">
        <v>0</v>
      </c>
      <c r="E32" s="239">
        <v>0</v>
      </c>
      <c r="F32" s="239">
        <v>0</v>
      </c>
      <c r="G32" s="239">
        <v>-176522.53</v>
      </c>
      <c r="H32" s="239">
        <v>0</v>
      </c>
      <c r="I32" s="239">
        <v>-176522.53</v>
      </c>
      <c r="J32" s="239">
        <v>0</v>
      </c>
      <c r="K32" s="239">
        <v>0</v>
      </c>
      <c r="L32" s="239">
        <v>0</v>
      </c>
      <c r="M32" s="239">
        <v>41557.51</v>
      </c>
      <c r="N32" s="239">
        <v>0</v>
      </c>
      <c r="O32" s="239">
        <v>41557.51</v>
      </c>
      <c r="P32" s="239">
        <v>-134965</v>
      </c>
      <c r="Q32" s="239">
        <v>0</v>
      </c>
      <c r="R32" s="239">
        <v>-134965</v>
      </c>
      <c r="S32" s="239">
        <v>-855910</v>
      </c>
      <c r="T32" s="239">
        <v>0</v>
      </c>
      <c r="U32" s="239">
        <v>-855910</v>
      </c>
      <c r="V32" s="239">
        <v>-7720</v>
      </c>
      <c r="W32" s="239">
        <v>0</v>
      </c>
      <c r="X32" s="239">
        <v>-7720</v>
      </c>
      <c r="Y32" s="239">
        <v>-96475.94</v>
      </c>
      <c r="Z32" s="239">
        <v>0</v>
      </c>
      <c r="AA32" s="239">
        <v>-96475.94</v>
      </c>
      <c r="AB32" s="239">
        <v>-96476</v>
      </c>
      <c r="AC32" s="239">
        <v>0</v>
      </c>
      <c r="AD32" s="239">
        <v>-96476</v>
      </c>
      <c r="AE32" s="239">
        <v>0</v>
      </c>
      <c r="AF32" s="239">
        <v>0</v>
      </c>
      <c r="AG32" s="239">
        <v>0</v>
      </c>
      <c r="AH32" s="239">
        <v>1943633</v>
      </c>
      <c r="AI32" s="239">
        <v>0</v>
      </c>
      <c r="AJ32" s="239">
        <v>1943633</v>
      </c>
      <c r="AK32" s="239">
        <v>-15224</v>
      </c>
      <c r="AL32" s="239">
        <v>0</v>
      </c>
      <c r="AM32" s="239">
        <v>-15224</v>
      </c>
      <c r="AN32" s="239">
        <v>-2244640</v>
      </c>
      <c r="AO32" s="239">
        <v>0</v>
      </c>
      <c r="AP32" s="239">
        <v>-2244640</v>
      </c>
      <c r="AQ32" s="239">
        <v>16247</v>
      </c>
      <c r="AR32" s="239">
        <v>0</v>
      </c>
      <c r="AS32" s="239">
        <v>16247</v>
      </c>
      <c r="AT32" s="239">
        <v>-3539</v>
      </c>
      <c r="AU32" s="239">
        <v>0</v>
      </c>
      <c r="AV32" s="239">
        <v>-3539</v>
      </c>
      <c r="AW32" s="239">
        <v>0</v>
      </c>
      <c r="AX32" s="239">
        <v>0</v>
      </c>
      <c r="AY32" s="239">
        <v>0</v>
      </c>
      <c r="AZ32" s="239">
        <v>0</v>
      </c>
      <c r="BA32" s="239">
        <v>0</v>
      </c>
      <c r="BB32" s="239">
        <v>0</v>
      </c>
      <c r="BC32" s="239">
        <v>0</v>
      </c>
      <c r="BD32" s="239">
        <v>0</v>
      </c>
      <c r="BE32" s="239">
        <v>0</v>
      </c>
      <c r="BF32" s="239">
        <v>-1255909</v>
      </c>
      <c r="BG32" s="239">
        <v>0</v>
      </c>
      <c r="BH32" s="239">
        <v>-1255909</v>
      </c>
      <c r="BI32" s="239">
        <v>-52368</v>
      </c>
      <c r="BJ32" s="239">
        <v>0</v>
      </c>
      <c r="BK32" s="239">
        <v>-52368</v>
      </c>
      <c r="BL32" s="239">
        <v>-13644</v>
      </c>
      <c r="BM32" s="239">
        <v>0</v>
      </c>
      <c r="BN32" s="239">
        <v>-13644</v>
      </c>
      <c r="BO32" s="239">
        <v>-4217239</v>
      </c>
      <c r="BP32" s="239">
        <v>0</v>
      </c>
      <c r="BQ32" s="239">
        <v>-4217239</v>
      </c>
      <c r="BR32" s="239">
        <v>1019766</v>
      </c>
      <c r="BS32" s="239">
        <v>0</v>
      </c>
      <c r="BT32" s="239">
        <v>1019766</v>
      </c>
      <c r="BU32" s="239">
        <v>-3263485</v>
      </c>
      <c r="BV32" s="239">
        <v>0</v>
      </c>
      <c r="BW32" s="239">
        <v>-3263485</v>
      </c>
      <c r="BX32" s="239">
        <v>-68516</v>
      </c>
      <c r="BY32" s="239">
        <v>0</v>
      </c>
      <c r="BZ32" s="239">
        <v>-68516</v>
      </c>
      <c r="CA32" s="239">
        <v>-1636</v>
      </c>
      <c r="CB32" s="239">
        <v>0</v>
      </c>
      <c r="CC32" s="239">
        <v>-1636</v>
      </c>
      <c r="CD32" s="239">
        <v>-55039</v>
      </c>
      <c r="CE32" s="239">
        <v>0</v>
      </c>
      <c r="CF32" s="239">
        <v>-55039</v>
      </c>
      <c r="CG32" s="239">
        <v>540</v>
      </c>
      <c r="CH32" s="239">
        <v>0</v>
      </c>
      <c r="CI32" s="239">
        <v>540</v>
      </c>
      <c r="CJ32" s="239">
        <v>0</v>
      </c>
      <c r="CK32" s="239">
        <v>0</v>
      </c>
      <c r="CL32" s="239">
        <v>0</v>
      </c>
      <c r="CM32" s="239">
        <v>0</v>
      </c>
      <c r="CN32" s="239">
        <v>0</v>
      </c>
      <c r="CO32" s="239">
        <v>0</v>
      </c>
      <c r="CP32" s="239">
        <v>0</v>
      </c>
      <c r="CQ32" s="239">
        <v>0</v>
      </c>
      <c r="CR32" s="239">
        <v>0</v>
      </c>
      <c r="CS32" s="239">
        <v>0</v>
      </c>
      <c r="CT32" s="239">
        <v>0</v>
      </c>
      <c r="CU32" s="239">
        <v>0</v>
      </c>
      <c r="CV32" s="239">
        <v>0</v>
      </c>
      <c r="CW32" s="239">
        <v>0</v>
      </c>
      <c r="CX32" s="239">
        <v>0</v>
      </c>
      <c r="CY32" s="239">
        <v>0</v>
      </c>
      <c r="CZ32" s="239">
        <v>0</v>
      </c>
      <c r="DA32" s="239">
        <v>0</v>
      </c>
      <c r="DB32" s="239">
        <v>0</v>
      </c>
      <c r="DC32" s="239">
        <v>0</v>
      </c>
      <c r="DD32" s="239">
        <v>0</v>
      </c>
      <c r="DE32" s="239">
        <v>0</v>
      </c>
      <c r="DF32" s="239">
        <v>0</v>
      </c>
      <c r="DG32" s="239">
        <v>0</v>
      </c>
      <c r="DH32" s="239">
        <v>0</v>
      </c>
      <c r="DI32" s="239">
        <v>0</v>
      </c>
      <c r="DJ32" s="239">
        <v>-124651</v>
      </c>
      <c r="DK32" s="239">
        <v>0</v>
      </c>
      <c r="DL32" s="239">
        <v>-124651</v>
      </c>
      <c r="DM32" s="239">
        <v>0</v>
      </c>
      <c r="DN32" s="239">
        <v>0</v>
      </c>
      <c r="DO32" s="239">
        <v>0</v>
      </c>
      <c r="DP32" s="239">
        <v>0</v>
      </c>
      <c r="DQ32" s="239">
        <v>0</v>
      </c>
      <c r="DR32" s="239">
        <v>0</v>
      </c>
      <c r="DS32" s="239">
        <v>-5626</v>
      </c>
      <c r="DT32" s="239">
        <v>0</v>
      </c>
      <c r="DU32" s="239">
        <v>-5626</v>
      </c>
      <c r="DV32" s="239">
        <v>3900</v>
      </c>
      <c r="DW32" s="239">
        <v>0</v>
      </c>
      <c r="DX32" s="239">
        <v>3900</v>
      </c>
      <c r="DY32" s="239">
        <v>0</v>
      </c>
      <c r="DZ32" s="239">
        <v>0</v>
      </c>
      <c r="EA32" s="239">
        <v>0</v>
      </c>
      <c r="EB32" s="239">
        <v>-2114</v>
      </c>
      <c r="EC32" s="239">
        <v>0</v>
      </c>
      <c r="ED32" s="239">
        <v>-2114</v>
      </c>
      <c r="EE32" s="239">
        <v>0</v>
      </c>
      <c r="EF32" s="239">
        <v>0</v>
      </c>
      <c r="EG32" s="239">
        <v>0</v>
      </c>
      <c r="EH32" s="239">
        <v>0</v>
      </c>
      <c r="EI32" s="239">
        <v>0</v>
      </c>
      <c r="EJ32" s="239">
        <v>0</v>
      </c>
      <c r="EK32" s="239">
        <v>0</v>
      </c>
      <c r="EL32" s="239">
        <v>0</v>
      </c>
      <c r="EM32" s="239">
        <v>0</v>
      </c>
      <c r="EN32" s="239">
        <v>0</v>
      </c>
      <c r="EO32" s="239">
        <v>0</v>
      </c>
      <c r="EP32" s="239">
        <v>0</v>
      </c>
      <c r="EQ32" s="239">
        <v>-3840</v>
      </c>
      <c r="ER32" s="239">
        <v>0</v>
      </c>
      <c r="ES32" s="239">
        <v>-3840</v>
      </c>
      <c r="ET32" s="239">
        <v>0</v>
      </c>
      <c r="EU32" s="239">
        <v>0</v>
      </c>
      <c r="EV32" s="239">
        <v>0</v>
      </c>
      <c r="EW32" s="239">
        <v>0</v>
      </c>
      <c r="EX32" s="239">
        <v>0</v>
      </c>
      <c r="EY32" s="239">
        <v>0</v>
      </c>
      <c r="EZ32" s="239">
        <v>0</v>
      </c>
      <c r="FA32" s="239">
        <v>0</v>
      </c>
      <c r="FB32" s="239">
        <v>0</v>
      </c>
      <c r="FC32" s="239">
        <v>75304186</v>
      </c>
      <c r="FD32" s="239">
        <v>0</v>
      </c>
      <c r="FE32" s="239">
        <v>75304186</v>
      </c>
      <c r="FF32" s="239">
        <v>-134965</v>
      </c>
      <c r="FG32" s="239">
        <v>0</v>
      </c>
      <c r="FH32" s="239">
        <v>-134965</v>
      </c>
      <c r="FI32" s="239">
        <v>-1255909</v>
      </c>
      <c r="FJ32" s="239">
        <v>0</v>
      </c>
      <c r="FK32" s="239">
        <v>-1255909</v>
      </c>
      <c r="FL32" s="239">
        <v>-3263485</v>
      </c>
      <c r="FM32" s="239">
        <v>0</v>
      </c>
      <c r="FN32" s="239">
        <v>-3263485</v>
      </c>
      <c r="FO32" s="239">
        <v>-124651</v>
      </c>
      <c r="FP32" s="239">
        <v>0</v>
      </c>
      <c r="FQ32" s="239">
        <v>-124651</v>
      </c>
      <c r="FR32" s="239">
        <v>-3840</v>
      </c>
      <c r="FS32" s="239">
        <v>0</v>
      </c>
      <c r="FT32" s="239">
        <v>-3840</v>
      </c>
      <c r="FU32" s="239">
        <v>0</v>
      </c>
      <c r="FV32" s="239">
        <v>0</v>
      </c>
      <c r="FW32" s="239">
        <v>0</v>
      </c>
      <c r="FX32" s="239">
        <v>-4782850</v>
      </c>
      <c r="FY32" s="239">
        <v>0</v>
      </c>
      <c r="FZ32" s="239">
        <v>-4782850</v>
      </c>
      <c r="GA32" s="239">
        <v>70521336</v>
      </c>
      <c r="GB32" s="239">
        <v>0</v>
      </c>
      <c r="GC32" s="239">
        <v>70521336</v>
      </c>
      <c r="GD32" s="214" t="s">
        <v>747</v>
      </c>
    </row>
    <row r="33" spans="1:186" s="214" customFormat="1" x14ac:dyDescent="0.2">
      <c r="B33" s="609" t="s">
        <v>148</v>
      </c>
      <c r="C33" s="609" t="s">
        <v>147</v>
      </c>
      <c r="D33" s="239">
        <v>0</v>
      </c>
      <c r="E33" s="239">
        <v>0</v>
      </c>
      <c r="F33" s="239">
        <v>0</v>
      </c>
      <c r="G33" s="239">
        <v>95210</v>
      </c>
      <c r="H33" s="239">
        <v>0</v>
      </c>
      <c r="I33" s="239">
        <v>95210</v>
      </c>
      <c r="J33" s="239">
        <v>0</v>
      </c>
      <c r="K33" s="239">
        <v>0</v>
      </c>
      <c r="L33" s="239">
        <v>0</v>
      </c>
      <c r="M33" s="239">
        <v>251996</v>
      </c>
      <c r="N33" s="239">
        <v>0</v>
      </c>
      <c r="O33" s="239">
        <v>251996</v>
      </c>
      <c r="P33" s="239">
        <v>347206</v>
      </c>
      <c r="Q33" s="239">
        <v>0</v>
      </c>
      <c r="R33" s="239">
        <v>347206</v>
      </c>
      <c r="S33" s="239">
        <v>-16087584</v>
      </c>
      <c r="T33" s="239">
        <v>0</v>
      </c>
      <c r="U33" s="239">
        <v>-16087584</v>
      </c>
      <c r="V33" s="239">
        <v>-74476</v>
      </c>
      <c r="W33" s="239">
        <v>0</v>
      </c>
      <c r="X33" s="239">
        <v>-74476</v>
      </c>
      <c r="Y33" s="239">
        <v>-418476</v>
      </c>
      <c r="Z33" s="239">
        <v>0</v>
      </c>
      <c r="AA33" s="239">
        <v>-418476</v>
      </c>
      <c r="AB33" s="239">
        <v>0</v>
      </c>
      <c r="AC33" s="239">
        <v>0</v>
      </c>
      <c r="AD33" s="239">
        <v>0</v>
      </c>
      <c r="AE33" s="239">
        <v>-2712</v>
      </c>
      <c r="AF33" s="239">
        <v>0</v>
      </c>
      <c r="AG33" s="239">
        <v>-2712</v>
      </c>
      <c r="AH33" s="239">
        <v>4088002</v>
      </c>
      <c r="AI33" s="239">
        <v>0</v>
      </c>
      <c r="AJ33" s="239">
        <v>4088002</v>
      </c>
      <c r="AK33" s="239">
        <v>-29097</v>
      </c>
      <c r="AL33" s="239">
        <v>0</v>
      </c>
      <c r="AM33" s="239">
        <v>-29097</v>
      </c>
      <c r="AN33" s="239">
        <v>-14195844</v>
      </c>
      <c r="AO33" s="239">
        <v>0</v>
      </c>
      <c r="AP33" s="239">
        <v>-14195844</v>
      </c>
      <c r="AQ33" s="239">
        <v>-202082</v>
      </c>
      <c r="AR33" s="239">
        <v>0</v>
      </c>
      <c r="AS33" s="239">
        <v>-202082</v>
      </c>
      <c r="AT33" s="239">
        <v>-174159</v>
      </c>
      <c r="AU33" s="239">
        <v>0</v>
      </c>
      <c r="AV33" s="239">
        <v>-174159</v>
      </c>
      <c r="AW33" s="239">
        <v>225</v>
      </c>
      <c r="AX33" s="239">
        <v>0</v>
      </c>
      <c r="AY33" s="239">
        <v>225</v>
      </c>
      <c r="AZ33" s="239">
        <v>-8020</v>
      </c>
      <c r="BA33" s="239">
        <v>0</v>
      </c>
      <c r="BB33" s="239">
        <v>-8020</v>
      </c>
      <c r="BC33" s="239">
        <v>0</v>
      </c>
      <c r="BD33" s="239">
        <v>0</v>
      </c>
      <c r="BE33" s="239">
        <v>0</v>
      </c>
      <c r="BF33" s="239">
        <v>-27027035</v>
      </c>
      <c r="BG33" s="239">
        <v>0</v>
      </c>
      <c r="BH33" s="239">
        <v>-27027035</v>
      </c>
      <c r="BI33" s="239">
        <v>-346445</v>
      </c>
      <c r="BJ33" s="239">
        <v>0</v>
      </c>
      <c r="BK33" s="239">
        <v>-346445</v>
      </c>
      <c r="BL33" s="239">
        <v>4487</v>
      </c>
      <c r="BM33" s="239">
        <v>0</v>
      </c>
      <c r="BN33" s="239">
        <v>4487</v>
      </c>
      <c r="BO33" s="239">
        <v>-8587023</v>
      </c>
      <c r="BP33" s="239">
        <v>0</v>
      </c>
      <c r="BQ33" s="239">
        <v>-8587023</v>
      </c>
      <c r="BR33" s="239">
        <v>21848</v>
      </c>
      <c r="BS33" s="239">
        <v>0</v>
      </c>
      <c r="BT33" s="239">
        <v>21848</v>
      </c>
      <c r="BU33" s="239">
        <v>-8907133</v>
      </c>
      <c r="BV33" s="239">
        <v>0</v>
      </c>
      <c r="BW33" s="239">
        <v>-8907133</v>
      </c>
      <c r="BX33" s="239">
        <v>-8141</v>
      </c>
      <c r="BY33" s="239">
        <v>0</v>
      </c>
      <c r="BZ33" s="239">
        <v>-8141</v>
      </c>
      <c r="CA33" s="239">
        <v>0</v>
      </c>
      <c r="CB33" s="239">
        <v>0</v>
      </c>
      <c r="CC33" s="239">
        <v>0</v>
      </c>
      <c r="CD33" s="239">
        <v>-349134</v>
      </c>
      <c r="CE33" s="239">
        <v>0</v>
      </c>
      <c r="CF33" s="239">
        <v>-349134</v>
      </c>
      <c r="CG33" s="239">
        <v>-28209</v>
      </c>
      <c r="CH33" s="239">
        <v>0</v>
      </c>
      <c r="CI33" s="239">
        <v>-28209</v>
      </c>
      <c r="CJ33" s="239">
        <v>0</v>
      </c>
      <c r="CK33" s="239">
        <v>0</v>
      </c>
      <c r="CL33" s="239">
        <v>0</v>
      </c>
      <c r="CM33" s="239">
        <v>0</v>
      </c>
      <c r="CN33" s="239">
        <v>0</v>
      </c>
      <c r="CO33" s="239">
        <v>0</v>
      </c>
      <c r="CP33" s="239">
        <v>0</v>
      </c>
      <c r="CQ33" s="239">
        <v>0</v>
      </c>
      <c r="CR33" s="239">
        <v>0</v>
      </c>
      <c r="CS33" s="239">
        <v>0</v>
      </c>
      <c r="CT33" s="239">
        <v>0</v>
      </c>
      <c r="CU33" s="239">
        <v>0</v>
      </c>
      <c r="CV33" s="239">
        <v>-6718</v>
      </c>
      <c r="CW33" s="239">
        <v>0</v>
      </c>
      <c r="CX33" s="239">
        <v>-6718</v>
      </c>
      <c r="CY33" s="239">
        <v>0</v>
      </c>
      <c r="CZ33" s="239">
        <v>0</v>
      </c>
      <c r="DA33" s="239">
        <v>0</v>
      </c>
      <c r="DB33" s="239">
        <v>0</v>
      </c>
      <c r="DC33" s="239">
        <v>0</v>
      </c>
      <c r="DD33" s="239">
        <v>0</v>
      </c>
      <c r="DE33" s="239">
        <v>0</v>
      </c>
      <c r="DF33" s="239">
        <v>0</v>
      </c>
      <c r="DG33" s="239">
        <v>0</v>
      </c>
      <c r="DH33" s="239">
        <v>0</v>
      </c>
      <c r="DI33" s="239">
        <v>0</v>
      </c>
      <c r="DJ33" s="239">
        <v>-392202</v>
      </c>
      <c r="DK33" s="239">
        <v>0</v>
      </c>
      <c r="DL33" s="239">
        <v>-392202</v>
      </c>
      <c r="DM33" s="239">
        <v>-65321</v>
      </c>
      <c r="DN33" s="239">
        <v>0</v>
      </c>
      <c r="DO33" s="239">
        <v>-65321</v>
      </c>
      <c r="DP33" s="239">
        <v>-13989</v>
      </c>
      <c r="DQ33" s="239">
        <v>0</v>
      </c>
      <c r="DR33" s="239">
        <v>-13989</v>
      </c>
      <c r="DS33" s="239">
        <v>-29965</v>
      </c>
      <c r="DT33" s="239">
        <v>0</v>
      </c>
      <c r="DU33" s="239">
        <v>-29965</v>
      </c>
      <c r="DV33" s="239">
        <v>-5237</v>
      </c>
      <c r="DW33" s="239">
        <v>0</v>
      </c>
      <c r="DX33" s="239">
        <v>-5237</v>
      </c>
      <c r="DY33" s="239">
        <v>0</v>
      </c>
      <c r="DZ33" s="239">
        <v>0</v>
      </c>
      <c r="EA33" s="239">
        <v>0</v>
      </c>
      <c r="EB33" s="239">
        <v>-40265</v>
      </c>
      <c r="EC33" s="239">
        <v>0</v>
      </c>
      <c r="ED33" s="239">
        <v>-40265</v>
      </c>
      <c r="EE33" s="239">
        <v>-204053</v>
      </c>
      <c r="EF33" s="239">
        <v>0</v>
      </c>
      <c r="EG33" s="239">
        <v>-204053</v>
      </c>
      <c r="EH33" s="239">
        <v>-3249</v>
      </c>
      <c r="EI33" s="239">
        <v>0</v>
      </c>
      <c r="EJ33" s="239">
        <v>-3249</v>
      </c>
      <c r="EK33" s="239">
        <v>-20734</v>
      </c>
      <c r="EL33" s="239">
        <v>0</v>
      </c>
      <c r="EM33" s="239">
        <v>-20734</v>
      </c>
      <c r="EN33" s="239">
        <v>0</v>
      </c>
      <c r="EO33" s="239">
        <v>0</v>
      </c>
      <c r="EP33" s="239">
        <v>0</v>
      </c>
      <c r="EQ33" s="239">
        <v>-382813</v>
      </c>
      <c r="ER33" s="239">
        <v>0</v>
      </c>
      <c r="ES33" s="239">
        <v>-382813</v>
      </c>
      <c r="ET33" s="239">
        <v>0</v>
      </c>
      <c r="EU33" s="239">
        <v>0</v>
      </c>
      <c r="EV33" s="239">
        <v>0</v>
      </c>
      <c r="EW33" s="239">
        <v>0</v>
      </c>
      <c r="EX33" s="239">
        <v>0</v>
      </c>
      <c r="EY33" s="239">
        <v>0</v>
      </c>
      <c r="EZ33" s="239">
        <v>0</v>
      </c>
      <c r="FA33" s="239">
        <v>0</v>
      </c>
      <c r="FB33" s="239">
        <v>0</v>
      </c>
      <c r="FC33" s="239">
        <v>180245352</v>
      </c>
      <c r="FD33" s="239">
        <v>0</v>
      </c>
      <c r="FE33" s="239">
        <v>180245352</v>
      </c>
      <c r="FF33" s="239">
        <v>347206</v>
      </c>
      <c r="FG33" s="239">
        <v>0</v>
      </c>
      <c r="FH33" s="239">
        <v>347206</v>
      </c>
      <c r="FI33" s="239">
        <v>-27027035</v>
      </c>
      <c r="FJ33" s="239">
        <v>0</v>
      </c>
      <c r="FK33" s="239">
        <v>-27027035</v>
      </c>
      <c r="FL33" s="239">
        <v>-8907133</v>
      </c>
      <c r="FM33" s="239">
        <v>0</v>
      </c>
      <c r="FN33" s="239">
        <v>-8907133</v>
      </c>
      <c r="FO33" s="239">
        <v>-392202</v>
      </c>
      <c r="FP33" s="239">
        <v>0</v>
      </c>
      <c r="FQ33" s="239">
        <v>-392202</v>
      </c>
      <c r="FR33" s="239">
        <v>-382813</v>
      </c>
      <c r="FS33" s="239">
        <v>0</v>
      </c>
      <c r="FT33" s="239">
        <v>-382813</v>
      </c>
      <c r="FU33" s="239">
        <v>0</v>
      </c>
      <c r="FV33" s="239">
        <v>0</v>
      </c>
      <c r="FW33" s="239">
        <v>0</v>
      </c>
      <c r="FX33" s="239">
        <v>-36361977</v>
      </c>
      <c r="FY33" s="239">
        <v>0</v>
      </c>
      <c r="FZ33" s="239">
        <v>-36361977</v>
      </c>
      <c r="GA33" s="239">
        <v>143883375</v>
      </c>
      <c r="GB33" s="239">
        <v>0</v>
      </c>
      <c r="GC33" s="239">
        <v>143883375</v>
      </c>
      <c r="GD33" s="214" t="s">
        <v>1192</v>
      </c>
    </row>
    <row r="34" spans="1:186" s="214" customFormat="1" x14ac:dyDescent="0.2">
      <c r="B34" s="609" t="s">
        <v>150</v>
      </c>
      <c r="C34" s="609" t="s">
        <v>149</v>
      </c>
      <c r="D34" s="239">
        <v>0</v>
      </c>
      <c r="E34" s="239">
        <v>0</v>
      </c>
      <c r="F34" s="239">
        <v>0</v>
      </c>
      <c r="G34" s="239">
        <v>9445</v>
      </c>
      <c r="H34" s="239">
        <v>0</v>
      </c>
      <c r="I34" s="239">
        <v>9445</v>
      </c>
      <c r="J34" s="239">
        <v>0</v>
      </c>
      <c r="K34" s="239">
        <v>0</v>
      </c>
      <c r="L34" s="239">
        <v>0</v>
      </c>
      <c r="M34" s="239">
        <v>69035</v>
      </c>
      <c r="N34" s="239">
        <v>0</v>
      </c>
      <c r="O34" s="239">
        <v>69035</v>
      </c>
      <c r="P34" s="239">
        <v>78480</v>
      </c>
      <c r="Q34" s="239">
        <v>0</v>
      </c>
      <c r="R34" s="239">
        <v>78480</v>
      </c>
      <c r="S34" s="239">
        <v>-3411778</v>
      </c>
      <c r="T34" s="239">
        <v>0</v>
      </c>
      <c r="U34" s="239">
        <v>-3411778</v>
      </c>
      <c r="V34" s="239">
        <v>0</v>
      </c>
      <c r="W34" s="239">
        <v>0</v>
      </c>
      <c r="X34" s="239">
        <v>0</v>
      </c>
      <c r="Y34" s="239">
        <v>-73730</v>
      </c>
      <c r="Z34" s="239">
        <v>0</v>
      </c>
      <c r="AA34" s="239">
        <v>-73730</v>
      </c>
      <c r="AB34" s="239">
        <v>-62403</v>
      </c>
      <c r="AC34" s="239">
        <v>0</v>
      </c>
      <c r="AD34" s="239">
        <v>-62403</v>
      </c>
      <c r="AE34" s="239">
        <v>0</v>
      </c>
      <c r="AF34" s="239">
        <v>0</v>
      </c>
      <c r="AG34" s="239">
        <v>0</v>
      </c>
      <c r="AH34" s="239">
        <v>1124696</v>
      </c>
      <c r="AI34" s="239">
        <v>0</v>
      </c>
      <c r="AJ34" s="239">
        <v>1124696</v>
      </c>
      <c r="AK34" s="239">
        <v>-31616</v>
      </c>
      <c r="AL34" s="239">
        <v>0</v>
      </c>
      <c r="AM34" s="239">
        <v>-31616</v>
      </c>
      <c r="AN34" s="239">
        <v>-2859196</v>
      </c>
      <c r="AO34" s="239">
        <v>0</v>
      </c>
      <c r="AP34" s="239">
        <v>-2859196</v>
      </c>
      <c r="AQ34" s="239">
        <v>-15016</v>
      </c>
      <c r="AR34" s="239">
        <v>0</v>
      </c>
      <c r="AS34" s="239">
        <v>-15016</v>
      </c>
      <c r="AT34" s="239">
        <v>-109748</v>
      </c>
      <c r="AU34" s="239">
        <v>0</v>
      </c>
      <c r="AV34" s="239">
        <v>-109748</v>
      </c>
      <c r="AW34" s="239">
        <v>0</v>
      </c>
      <c r="AX34" s="239">
        <v>0</v>
      </c>
      <c r="AY34" s="239">
        <v>0</v>
      </c>
      <c r="AZ34" s="239">
        <v>-18375</v>
      </c>
      <c r="BA34" s="239">
        <v>0</v>
      </c>
      <c r="BB34" s="239">
        <v>-18375</v>
      </c>
      <c r="BC34" s="239">
        <v>27</v>
      </c>
      <c r="BD34" s="239">
        <v>0</v>
      </c>
      <c r="BE34" s="239">
        <v>27</v>
      </c>
      <c r="BF34" s="239">
        <v>-5394736</v>
      </c>
      <c r="BG34" s="239">
        <v>0</v>
      </c>
      <c r="BH34" s="239">
        <v>-5394736</v>
      </c>
      <c r="BI34" s="239">
        <v>-29498</v>
      </c>
      <c r="BJ34" s="239">
        <v>0</v>
      </c>
      <c r="BK34" s="239">
        <v>-29498</v>
      </c>
      <c r="BL34" s="239">
        <v>0</v>
      </c>
      <c r="BM34" s="239">
        <v>0</v>
      </c>
      <c r="BN34" s="239">
        <v>0</v>
      </c>
      <c r="BO34" s="239">
        <v>-1493667</v>
      </c>
      <c r="BP34" s="239">
        <v>0</v>
      </c>
      <c r="BQ34" s="239">
        <v>-1493667</v>
      </c>
      <c r="BR34" s="239">
        <v>7816</v>
      </c>
      <c r="BS34" s="239">
        <v>0</v>
      </c>
      <c r="BT34" s="239">
        <v>7816</v>
      </c>
      <c r="BU34" s="239">
        <v>-1515349</v>
      </c>
      <c r="BV34" s="239">
        <v>0</v>
      </c>
      <c r="BW34" s="239">
        <v>-1515349</v>
      </c>
      <c r="BX34" s="239">
        <v>-63676</v>
      </c>
      <c r="BY34" s="239">
        <v>0</v>
      </c>
      <c r="BZ34" s="239">
        <v>-63676</v>
      </c>
      <c r="CA34" s="239">
        <v>194</v>
      </c>
      <c r="CB34" s="239">
        <v>0</v>
      </c>
      <c r="CC34" s="239">
        <v>194</v>
      </c>
      <c r="CD34" s="239">
        <v>-202172</v>
      </c>
      <c r="CE34" s="239">
        <v>0</v>
      </c>
      <c r="CF34" s="239">
        <v>-202172</v>
      </c>
      <c r="CG34" s="239">
        <v>5171</v>
      </c>
      <c r="CH34" s="239">
        <v>0</v>
      </c>
      <c r="CI34" s="239">
        <v>5171</v>
      </c>
      <c r="CJ34" s="239">
        <v>-644</v>
      </c>
      <c r="CK34" s="239">
        <v>0</v>
      </c>
      <c r="CL34" s="239">
        <v>-644</v>
      </c>
      <c r="CM34" s="239">
        <v>0</v>
      </c>
      <c r="CN34" s="239">
        <v>0</v>
      </c>
      <c r="CO34" s="239">
        <v>0</v>
      </c>
      <c r="CP34" s="239">
        <v>-3080</v>
      </c>
      <c r="CQ34" s="239">
        <v>0</v>
      </c>
      <c r="CR34" s="239">
        <v>-3080</v>
      </c>
      <c r="CS34" s="239">
        <v>0</v>
      </c>
      <c r="CT34" s="239">
        <v>0</v>
      </c>
      <c r="CU34" s="239">
        <v>0</v>
      </c>
      <c r="CV34" s="239">
        <v>0</v>
      </c>
      <c r="CW34" s="239">
        <v>0</v>
      </c>
      <c r="CX34" s="239">
        <v>0</v>
      </c>
      <c r="CY34" s="239">
        <v>0</v>
      </c>
      <c r="CZ34" s="239">
        <v>0</v>
      </c>
      <c r="DA34" s="239">
        <v>0</v>
      </c>
      <c r="DB34" s="239">
        <v>-14662</v>
      </c>
      <c r="DC34" s="239">
        <v>0</v>
      </c>
      <c r="DD34" s="239">
        <v>-14662</v>
      </c>
      <c r="DE34" s="239">
        <v>0</v>
      </c>
      <c r="DF34" s="239">
        <v>0</v>
      </c>
      <c r="DG34" s="239">
        <v>0</v>
      </c>
      <c r="DH34" s="239">
        <v>0</v>
      </c>
      <c r="DI34" s="239">
        <v>0</v>
      </c>
      <c r="DJ34" s="239">
        <v>-278869</v>
      </c>
      <c r="DK34" s="239">
        <v>0</v>
      </c>
      <c r="DL34" s="239">
        <v>-278869</v>
      </c>
      <c r="DM34" s="239">
        <v>-9155</v>
      </c>
      <c r="DN34" s="239">
        <v>0</v>
      </c>
      <c r="DO34" s="239">
        <v>-9155</v>
      </c>
      <c r="DP34" s="239">
        <v>165</v>
      </c>
      <c r="DQ34" s="239">
        <v>0</v>
      </c>
      <c r="DR34" s="239">
        <v>165</v>
      </c>
      <c r="DS34" s="239">
        <v>-26194</v>
      </c>
      <c r="DT34" s="239">
        <v>0</v>
      </c>
      <c r="DU34" s="239">
        <v>-26194</v>
      </c>
      <c r="DV34" s="239">
        <v>0</v>
      </c>
      <c r="DW34" s="239">
        <v>0</v>
      </c>
      <c r="DX34" s="239">
        <v>0</v>
      </c>
      <c r="DY34" s="239">
        <v>0</v>
      </c>
      <c r="DZ34" s="239">
        <v>0</v>
      </c>
      <c r="EA34" s="239">
        <v>0</v>
      </c>
      <c r="EB34" s="239">
        <v>-4639</v>
      </c>
      <c r="EC34" s="239">
        <v>0</v>
      </c>
      <c r="ED34" s="239">
        <v>-4639</v>
      </c>
      <c r="EE34" s="239">
        <v>0</v>
      </c>
      <c r="EF34" s="239">
        <v>0</v>
      </c>
      <c r="EG34" s="239">
        <v>0</v>
      </c>
      <c r="EH34" s="239">
        <v>0</v>
      </c>
      <c r="EI34" s="239">
        <v>0</v>
      </c>
      <c r="EJ34" s="239">
        <v>0</v>
      </c>
      <c r="EK34" s="239">
        <v>-4455</v>
      </c>
      <c r="EL34" s="239">
        <v>0</v>
      </c>
      <c r="EM34" s="239">
        <v>-4455</v>
      </c>
      <c r="EN34" s="239">
        <v>37</v>
      </c>
      <c r="EO34" s="239">
        <v>0</v>
      </c>
      <c r="EP34" s="239">
        <v>37</v>
      </c>
      <c r="EQ34" s="239">
        <v>-44241</v>
      </c>
      <c r="ER34" s="239">
        <v>0</v>
      </c>
      <c r="ES34" s="239">
        <v>-44241</v>
      </c>
      <c r="ET34" s="239">
        <v>0</v>
      </c>
      <c r="EU34" s="239">
        <v>0</v>
      </c>
      <c r="EV34" s="239">
        <v>0</v>
      </c>
      <c r="EW34" s="239">
        <v>0</v>
      </c>
      <c r="EX34" s="239">
        <v>0</v>
      </c>
      <c r="EY34" s="239">
        <v>0</v>
      </c>
      <c r="EZ34" s="239">
        <v>0</v>
      </c>
      <c r="FA34" s="239">
        <v>0</v>
      </c>
      <c r="FB34" s="239">
        <v>0</v>
      </c>
      <c r="FC34" s="239">
        <v>49667669</v>
      </c>
      <c r="FD34" s="239">
        <v>0</v>
      </c>
      <c r="FE34" s="239">
        <v>49667669</v>
      </c>
      <c r="FF34" s="239">
        <v>78480</v>
      </c>
      <c r="FG34" s="239">
        <v>0</v>
      </c>
      <c r="FH34" s="239">
        <v>78480</v>
      </c>
      <c r="FI34" s="239">
        <v>-5394736</v>
      </c>
      <c r="FJ34" s="239">
        <v>0</v>
      </c>
      <c r="FK34" s="239">
        <v>-5394736</v>
      </c>
      <c r="FL34" s="239">
        <v>-1515349</v>
      </c>
      <c r="FM34" s="239">
        <v>0</v>
      </c>
      <c r="FN34" s="239">
        <v>-1515349</v>
      </c>
      <c r="FO34" s="239">
        <v>-278869</v>
      </c>
      <c r="FP34" s="239">
        <v>0</v>
      </c>
      <c r="FQ34" s="239">
        <v>-278869</v>
      </c>
      <c r="FR34" s="239">
        <v>-44241</v>
      </c>
      <c r="FS34" s="239">
        <v>0</v>
      </c>
      <c r="FT34" s="239">
        <v>-44241</v>
      </c>
      <c r="FU34" s="239">
        <v>0</v>
      </c>
      <c r="FV34" s="239">
        <v>0</v>
      </c>
      <c r="FW34" s="239">
        <v>0</v>
      </c>
      <c r="FX34" s="239">
        <v>-7154715</v>
      </c>
      <c r="FY34" s="239">
        <v>0</v>
      </c>
      <c r="FZ34" s="239">
        <v>-7154715</v>
      </c>
      <c r="GA34" s="239">
        <v>42512954</v>
      </c>
      <c r="GB34" s="239">
        <v>0</v>
      </c>
      <c r="GC34" s="239">
        <v>42512954</v>
      </c>
      <c r="GD34" s="214" t="s">
        <v>1190</v>
      </c>
    </row>
    <row r="35" spans="1:186" s="214" customFormat="1" x14ac:dyDescent="0.2">
      <c r="B35" s="609" t="s">
        <v>152</v>
      </c>
      <c r="C35" s="609" t="s">
        <v>151</v>
      </c>
      <c r="D35" s="239">
        <v>0</v>
      </c>
      <c r="E35" s="239">
        <v>0</v>
      </c>
      <c r="F35" s="239">
        <v>0</v>
      </c>
      <c r="G35" s="239">
        <v>120419</v>
      </c>
      <c r="H35" s="239">
        <v>0</v>
      </c>
      <c r="I35" s="239">
        <v>120419</v>
      </c>
      <c r="J35" s="239">
        <v>0</v>
      </c>
      <c r="K35" s="239">
        <v>0</v>
      </c>
      <c r="L35" s="239">
        <v>0</v>
      </c>
      <c r="M35" s="239">
        <v>14280</v>
      </c>
      <c r="N35" s="239">
        <v>0</v>
      </c>
      <c r="O35" s="239">
        <v>14280</v>
      </c>
      <c r="P35" s="239">
        <v>134699</v>
      </c>
      <c r="Q35" s="239">
        <v>0</v>
      </c>
      <c r="R35" s="239">
        <v>134699</v>
      </c>
      <c r="S35" s="239">
        <v>-3048698</v>
      </c>
      <c r="T35" s="239">
        <v>0</v>
      </c>
      <c r="U35" s="239">
        <v>-3048698</v>
      </c>
      <c r="V35" s="239">
        <v>-202</v>
      </c>
      <c r="W35" s="239">
        <v>0</v>
      </c>
      <c r="X35" s="239">
        <v>-202</v>
      </c>
      <c r="Y35" s="239">
        <v>-72623</v>
      </c>
      <c r="Z35" s="239">
        <v>0</v>
      </c>
      <c r="AA35" s="239">
        <v>-72623</v>
      </c>
      <c r="AB35" s="239">
        <v>-72623</v>
      </c>
      <c r="AC35" s="239">
        <v>0</v>
      </c>
      <c r="AD35" s="239">
        <v>-72623</v>
      </c>
      <c r="AE35" s="239">
        <v>0</v>
      </c>
      <c r="AF35" s="239">
        <v>0</v>
      </c>
      <c r="AG35" s="239">
        <v>0</v>
      </c>
      <c r="AH35" s="239">
        <v>779124</v>
      </c>
      <c r="AI35" s="239">
        <v>0</v>
      </c>
      <c r="AJ35" s="239">
        <v>779124</v>
      </c>
      <c r="AK35" s="239">
        <v>-31459</v>
      </c>
      <c r="AL35" s="239">
        <v>0</v>
      </c>
      <c r="AM35" s="239">
        <v>-31459</v>
      </c>
      <c r="AN35" s="239">
        <v>-2146206</v>
      </c>
      <c r="AO35" s="239">
        <v>0</v>
      </c>
      <c r="AP35" s="239">
        <v>-2146206</v>
      </c>
      <c r="AQ35" s="239">
        <v>15723</v>
      </c>
      <c r="AR35" s="239">
        <v>0</v>
      </c>
      <c r="AS35" s="239">
        <v>15723</v>
      </c>
      <c r="AT35" s="239">
        <v>-38281</v>
      </c>
      <c r="AU35" s="239">
        <v>0</v>
      </c>
      <c r="AV35" s="239">
        <v>-38281</v>
      </c>
      <c r="AW35" s="239">
        <v>0</v>
      </c>
      <c r="AX35" s="239">
        <v>0</v>
      </c>
      <c r="AY35" s="239">
        <v>0</v>
      </c>
      <c r="AZ35" s="239">
        <v>-77400</v>
      </c>
      <c r="BA35" s="239">
        <v>0</v>
      </c>
      <c r="BB35" s="239">
        <v>-77400</v>
      </c>
      <c r="BC35" s="239">
        <v>1186</v>
      </c>
      <c r="BD35" s="239">
        <v>0</v>
      </c>
      <c r="BE35" s="239">
        <v>1186</v>
      </c>
      <c r="BF35" s="239">
        <v>-4618634</v>
      </c>
      <c r="BG35" s="239">
        <v>0</v>
      </c>
      <c r="BH35" s="239">
        <v>-4618634</v>
      </c>
      <c r="BI35" s="239">
        <v>0</v>
      </c>
      <c r="BJ35" s="239">
        <v>0</v>
      </c>
      <c r="BK35" s="239">
        <v>0</v>
      </c>
      <c r="BL35" s="239">
        <v>2193</v>
      </c>
      <c r="BM35" s="239">
        <v>0</v>
      </c>
      <c r="BN35" s="239">
        <v>2193</v>
      </c>
      <c r="BO35" s="239">
        <v>-734766</v>
      </c>
      <c r="BP35" s="239">
        <v>0</v>
      </c>
      <c r="BQ35" s="239">
        <v>-734766</v>
      </c>
      <c r="BR35" s="239">
        <v>-80683</v>
      </c>
      <c r="BS35" s="239">
        <v>0</v>
      </c>
      <c r="BT35" s="239">
        <v>-80683</v>
      </c>
      <c r="BU35" s="239">
        <v>-813256</v>
      </c>
      <c r="BV35" s="239">
        <v>0</v>
      </c>
      <c r="BW35" s="239">
        <v>-813256</v>
      </c>
      <c r="BX35" s="239">
        <v>-46510</v>
      </c>
      <c r="BY35" s="239">
        <v>0</v>
      </c>
      <c r="BZ35" s="239">
        <v>-46510</v>
      </c>
      <c r="CA35" s="239">
        <v>-1681</v>
      </c>
      <c r="CB35" s="239">
        <v>0</v>
      </c>
      <c r="CC35" s="239">
        <v>-1681</v>
      </c>
      <c r="CD35" s="239">
        <v>-227626</v>
      </c>
      <c r="CE35" s="239">
        <v>0</v>
      </c>
      <c r="CF35" s="239">
        <v>-227626</v>
      </c>
      <c r="CG35" s="239">
        <v>-1924</v>
      </c>
      <c r="CH35" s="239">
        <v>0</v>
      </c>
      <c r="CI35" s="239">
        <v>-1924</v>
      </c>
      <c r="CJ35" s="239">
        <v>-2423</v>
      </c>
      <c r="CK35" s="239">
        <v>0</v>
      </c>
      <c r="CL35" s="239">
        <v>-2423</v>
      </c>
      <c r="CM35" s="239">
        <v>0</v>
      </c>
      <c r="CN35" s="239">
        <v>0</v>
      </c>
      <c r="CO35" s="239">
        <v>0</v>
      </c>
      <c r="CP35" s="239">
        <v>-8968</v>
      </c>
      <c r="CQ35" s="239">
        <v>0</v>
      </c>
      <c r="CR35" s="239">
        <v>-8968</v>
      </c>
      <c r="CS35" s="239">
        <v>105</v>
      </c>
      <c r="CT35" s="239">
        <v>0</v>
      </c>
      <c r="CU35" s="239">
        <v>105</v>
      </c>
      <c r="CV35" s="239">
        <v>-1529</v>
      </c>
      <c r="CW35" s="239">
        <v>0</v>
      </c>
      <c r="CX35" s="239">
        <v>-1529</v>
      </c>
      <c r="CY35" s="239">
        <v>-2000</v>
      </c>
      <c r="CZ35" s="239">
        <v>0</v>
      </c>
      <c r="DA35" s="239">
        <v>-2000</v>
      </c>
      <c r="DB35" s="239">
        <v>-3082</v>
      </c>
      <c r="DC35" s="239">
        <v>0</v>
      </c>
      <c r="DD35" s="239">
        <v>-3082</v>
      </c>
      <c r="DE35" s="239">
        <v>0</v>
      </c>
      <c r="DF35" s="239">
        <v>0</v>
      </c>
      <c r="DG35" s="239">
        <v>0</v>
      </c>
      <c r="DH35" s="239">
        <v>0</v>
      </c>
      <c r="DI35" s="239">
        <v>0</v>
      </c>
      <c r="DJ35" s="239">
        <v>-295638</v>
      </c>
      <c r="DK35" s="239">
        <v>0</v>
      </c>
      <c r="DL35" s="239">
        <v>-295638</v>
      </c>
      <c r="DM35" s="239">
        <v>0</v>
      </c>
      <c r="DN35" s="239">
        <v>0</v>
      </c>
      <c r="DO35" s="239">
        <v>0</v>
      </c>
      <c r="DP35" s="239">
        <v>0</v>
      </c>
      <c r="DQ35" s="239">
        <v>0</v>
      </c>
      <c r="DR35" s="239">
        <v>0</v>
      </c>
      <c r="DS35" s="239">
        <v>-15198</v>
      </c>
      <c r="DT35" s="239">
        <v>0</v>
      </c>
      <c r="DU35" s="239">
        <v>-15198</v>
      </c>
      <c r="DV35" s="239">
        <v>-2751</v>
      </c>
      <c r="DW35" s="239">
        <v>0</v>
      </c>
      <c r="DX35" s="239">
        <v>-2751</v>
      </c>
      <c r="DY35" s="239">
        <v>0</v>
      </c>
      <c r="DZ35" s="239">
        <v>0</v>
      </c>
      <c r="EA35" s="239">
        <v>0</v>
      </c>
      <c r="EB35" s="239">
        <v>8028</v>
      </c>
      <c r="EC35" s="239">
        <v>0</v>
      </c>
      <c r="ED35" s="239">
        <v>8028</v>
      </c>
      <c r="EE35" s="239">
        <v>0</v>
      </c>
      <c r="EF35" s="239">
        <v>0</v>
      </c>
      <c r="EG35" s="239">
        <v>0</v>
      </c>
      <c r="EH35" s="239">
        <v>0</v>
      </c>
      <c r="EI35" s="239">
        <v>0</v>
      </c>
      <c r="EJ35" s="239">
        <v>0</v>
      </c>
      <c r="EK35" s="239">
        <v>-15199</v>
      </c>
      <c r="EL35" s="239">
        <v>0</v>
      </c>
      <c r="EM35" s="239">
        <v>-15199</v>
      </c>
      <c r="EN35" s="239">
        <v>434</v>
      </c>
      <c r="EO35" s="239">
        <v>0</v>
      </c>
      <c r="EP35" s="239">
        <v>434</v>
      </c>
      <c r="EQ35" s="239">
        <v>-24686</v>
      </c>
      <c r="ER35" s="239">
        <v>0</v>
      </c>
      <c r="ES35" s="239">
        <v>-24686</v>
      </c>
      <c r="ET35" s="239">
        <v>-14829</v>
      </c>
      <c r="EU35" s="239">
        <v>0</v>
      </c>
      <c r="EV35" s="239">
        <v>-14829</v>
      </c>
      <c r="EW35" s="239">
        <v>-10894</v>
      </c>
      <c r="EX35" s="239">
        <v>0</v>
      </c>
      <c r="EY35" s="239">
        <v>-10894</v>
      </c>
      <c r="EZ35" s="239">
        <v>-25723</v>
      </c>
      <c r="FA35" s="239">
        <v>0</v>
      </c>
      <c r="FB35" s="239">
        <v>-25723</v>
      </c>
      <c r="FC35" s="239">
        <v>35827679</v>
      </c>
      <c r="FD35" s="239">
        <v>0</v>
      </c>
      <c r="FE35" s="239">
        <v>35827679</v>
      </c>
      <c r="FF35" s="239">
        <v>134699</v>
      </c>
      <c r="FG35" s="239">
        <v>0</v>
      </c>
      <c r="FH35" s="239">
        <v>134699</v>
      </c>
      <c r="FI35" s="239">
        <v>-4618634</v>
      </c>
      <c r="FJ35" s="239">
        <v>0</v>
      </c>
      <c r="FK35" s="239">
        <v>-4618634</v>
      </c>
      <c r="FL35" s="239">
        <v>-813256</v>
      </c>
      <c r="FM35" s="239">
        <v>0</v>
      </c>
      <c r="FN35" s="239">
        <v>-813256</v>
      </c>
      <c r="FO35" s="239">
        <v>-295638</v>
      </c>
      <c r="FP35" s="239">
        <v>0</v>
      </c>
      <c r="FQ35" s="239">
        <v>-295638</v>
      </c>
      <c r="FR35" s="239">
        <v>-24686</v>
      </c>
      <c r="FS35" s="239">
        <v>0</v>
      </c>
      <c r="FT35" s="239">
        <v>-24686</v>
      </c>
      <c r="FU35" s="239">
        <v>-25723</v>
      </c>
      <c r="FV35" s="239">
        <v>0</v>
      </c>
      <c r="FW35" s="239">
        <v>-25723</v>
      </c>
      <c r="FX35" s="239">
        <v>-5643238</v>
      </c>
      <c r="FY35" s="239">
        <v>0</v>
      </c>
      <c r="FZ35" s="239">
        <v>-5643238</v>
      </c>
      <c r="GA35" s="239">
        <v>30184441</v>
      </c>
      <c r="GB35" s="239">
        <v>0</v>
      </c>
      <c r="GC35" s="239">
        <v>30184441</v>
      </c>
      <c r="GD35" s="214" t="s">
        <v>1190</v>
      </c>
    </row>
    <row r="36" spans="1:186" s="214" customFormat="1" x14ac:dyDescent="0.2">
      <c r="B36" s="609" t="s">
        <v>154</v>
      </c>
      <c r="C36" s="609" t="s">
        <v>153</v>
      </c>
      <c r="D36" s="239">
        <v>0</v>
      </c>
      <c r="E36" s="239">
        <v>0</v>
      </c>
      <c r="F36" s="239">
        <v>0</v>
      </c>
      <c r="G36" s="239">
        <v>114499</v>
      </c>
      <c r="H36" s="239">
        <v>0</v>
      </c>
      <c r="I36" s="239">
        <v>114499</v>
      </c>
      <c r="J36" s="239">
        <v>0</v>
      </c>
      <c r="K36" s="239">
        <v>0</v>
      </c>
      <c r="L36" s="239">
        <v>0</v>
      </c>
      <c r="M36" s="239">
        <v>18153</v>
      </c>
      <c r="N36" s="239">
        <v>0</v>
      </c>
      <c r="O36" s="239">
        <v>18153</v>
      </c>
      <c r="P36" s="239">
        <v>132652</v>
      </c>
      <c r="Q36" s="239">
        <v>0</v>
      </c>
      <c r="R36" s="239">
        <v>132652</v>
      </c>
      <c r="S36" s="239">
        <v>-4714358</v>
      </c>
      <c r="T36" s="239">
        <v>0</v>
      </c>
      <c r="U36" s="239">
        <v>-4714358</v>
      </c>
      <c r="V36" s="239">
        <v>-4621</v>
      </c>
      <c r="W36" s="239">
        <v>0</v>
      </c>
      <c r="X36" s="239">
        <v>-4621</v>
      </c>
      <c r="Y36" s="239">
        <v>-197596</v>
      </c>
      <c r="Z36" s="239">
        <v>0</v>
      </c>
      <c r="AA36" s="239">
        <v>-197596</v>
      </c>
      <c r="AB36" s="239">
        <v>-162243</v>
      </c>
      <c r="AC36" s="239">
        <v>0</v>
      </c>
      <c r="AD36" s="239">
        <v>-162243</v>
      </c>
      <c r="AE36" s="239">
        <v>-861</v>
      </c>
      <c r="AF36" s="239">
        <v>0</v>
      </c>
      <c r="AG36" s="239">
        <v>-861</v>
      </c>
      <c r="AH36" s="239">
        <v>2982252</v>
      </c>
      <c r="AI36" s="239">
        <v>0</v>
      </c>
      <c r="AJ36" s="239">
        <v>2982252</v>
      </c>
      <c r="AK36" s="239">
        <v>-12092</v>
      </c>
      <c r="AL36" s="239">
        <v>0</v>
      </c>
      <c r="AM36" s="239">
        <v>-12092</v>
      </c>
      <c r="AN36" s="239">
        <v>-7780334</v>
      </c>
      <c r="AO36" s="239">
        <v>0</v>
      </c>
      <c r="AP36" s="239">
        <v>-7780334</v>
      </c>
      <c r="AQ36" s="239">
        <v>-157089</v>
      </c>
      <c r="AR36" s="239">
        <v>0</v>
      </c>
      <c r="AS36" s="239">
        <v>-157089</v>
      </c>
      <c r="AT36" s="239">
        <v>-39661</v>
      </c>
      <c r="AU36" s="239">
        <v>0</v>
      </c>
      <c r="AV36" s="239">
        <v>-39661</v>
      </c>
      <c r="AW36" s="239">
        <v>-2809</v>
      </c>
      <c r="AX36" s="239">
        <v>0</v>
      </c>
      <c r="AY36" s="239">
        <v>-2809</v>
      </c>
      <c r="AZ36" s="239">
        <v>0</v>
      </c>
      <c r="BA36" s="239">
        <v>0</v>
      </c>
      <c r="BB36" s="239">
        <v>0</v>
      </c>
      <c r="BC36" s="239">
        <v>0</v>
      </c>
      <c r="BD36" s="239">
        <v>0</v>
      </c>
      <c r="BE36" s="239">
        <v>0</v>
      </c>
      <c r="BF36" s="239">
        <v>-9921687</v>
      </c>
      <c r="BG36" s="239">
        <v>0</v>
      </c>
      <c r="BH36" s="239">
        <v>-9921687</v>
      </c>
      <c r="BI36" s="239">
        <v>-51119</v>
      </c>
      <c r="BJ36" s="239">
        <v>0</v>
      </c>
      <c r="BK36" s="239">
        <v>-51119</v>
      </c>
      <c r="BL36" s="239">
        <v>-16712</v>
      </c>
      <c r="BM36" s="239">
        <v>0</v>
      </c>
      <c r="BN36" s="239">
        <v>-16712</v>
      </c>
      <c r="BO36" s="239">
        <v>-2856992</v>
      </c>
      <c r="BP36" s="239">
        <v>0</v>
      </c>
      <c r="BQ36" s="239">
        <v>-2856992</v>
      </c>
      <c r="BR36" s="239">
        <v>349017</v>
      </c>
      <c r="BS36" s="239">
        <v>0</v>
      </c>
      <c r="BT36" s="239">
        <v>349017</v>
      </c>
      <c r="BU36" s="239">
        <v>-2575806</v>
      </c>
      <c r="BV36" s="239">
        <v>0</v>
      </c>
      <c r="BW36" s="239">
        <v>-2575806</v>
      </c>
      <c r="BX36" s="239">
        <v>-397988</v>
      </c>
      <c r="BY36" s="239">
        <v>0</v>
      </c>
      <c r="BZ36" s="239">
        <v>-397988</v>
      </c>
      <c r="CA36" s="239">
        <v>1118</v>
      </c>
      <c r="CB36" s="239">
        <v>0</v>
      </c>
      <c r="CC36" s="239">
        <v>1118</v>
      </c>
      <c r="CD36" s="239">
        <v>-22154</v>
      </c>
      <c r="CE36" s="239">
        <v>0</v>
      </c>
      <c r="CF36" s="239">
        <v>-22154</v>
      </c>
      <c r="CG36" s="239">
        <v>0</v>
      </c>
      <c r="CH36" s="239">
        <v>0</v>
      </c>
      <c r="CI36" s="239">
        <v>0</v>
      </c>
      <c r="CJ36" s="239">
        <v>-2286</v>
      </c>
      <c r="CK36" s="239">
        <v>0</v>
      </c>
      <c r="CL36" s="239">
        <v>-2286</v>
      </c>
      <c r="CM36" s="239">
        <v>0</v>
      </c>
      <c r="CN36" s="239">
        <v>0</v>
      </c>
      <c r="CO36" s="239">
        <v>0</v>
      </c>
      <c r="CP36" s="239">
        <v>0</v>
      </c>
      <c r="CQ36" s="239">
        <v>0</v>
      </c>
      <c r="CR36" s="239">
        <v>0</v>
      </c>
      <c r="CS36" s="239">
        <v>0</v>
      </c>
      <c r="CT36" s="239">
        <v>0</v>
      </c>
      <c r="CU36" s="239">
        <v>0</v>
      </c>
      <c r="CV36" s="239">
        <v>0</v>
      </c>
      <c r="CW36" s="239">
        <v>0</v>
      </c>
      <c r="CX36" s="239">
        <v>0</v>
      </c>
      <c r="CY36" s="239">
        <v>0</v>
      </c>
      <c r="CZ36" s="239">
        <v>0</v>
      </c>
      <c r="DA36" s="239">
        <v>0</v>
      </c>
      <c r="DB36" s="239">
        <v>-1497</v>
      </c>
      <c r="DC36" s="239">
        <v>0</v>
      </c>
      <c r="DD36" s="239">
        <v>-1497</v>
      </c>
      <c r="DE36" s="239">
        <v>-961</v>
      </c>
      <c r="DF36" s="239">
        <v>0</v>
      </c>
      <c r="DG36" s="239">
        <v>-961</v>
      </c>
      <c r="DH36" s="239">
        <v>0</v>
      </c>
      <c r="DI36" s="239">
        <v>0</v>
      </c>
      <c r="DJ36" s="239">
        <v>-423768</v>
      </c>
      <c r="DK36" s="239">
        <v>0</v>
      </c>
      <c r="DL36" s="239">
        <v>-423768</v>
      </c>
      <c r="DM36" s="239">
        <v>-190606</v>
      </c>
      <c r="DN36" s="239">
        <v>0</v>
      </c>
      <c r="DO36" s="239">
        <v>-190606</v>
      </c>
      <c r="DP36" s="239">
        <v>0</v>
      </c>
      <c r="DQ36" s="239">
        <v>0</v>
      </c>
      <c r="DR36" s="239">
        <v>0</v>
      </c>
      <c r="DS36" s="239">
        <v>-19520</v>
      </c>
      <c r="DT36" s="239">
        <v>0</v>
      </c>
      <c r="DU36" s="239">
        <v>-19520</v>
      </c>
      <c r="DV36" s="239">
        <v>-19363</v>
      </c>
      <c r="DW36" s="239">
        <v>0</v>
      </c>
      <c r="DX36" s="239">
        <v>-19363</v>
      </c>
      <c r="DY36" s="239">
        <v>0</v>
      </c>
      <c r="DZ36" s="239">
        <v>0</v>
      </c>
      <c r="EA36" s="239">
        <v>0</v>
      </c>
      <c r="EB36" s="239">
        <v>-41901</v>
      </c>
      <c r="EC36" s="239">
        <v>0</v>
      </c>
      <c r="ED36" s="239">
        <v>-41901</v>
      </c>
      <c r="EE36" s="239">
        <v>0</v>
      </c>
      <c r="EF36" s="239">
        <v>0</v>
      </c>
      <c r="EG36" s="239">
        <v>0</v>
      </c>
      <c r="EH36" s="239">
        <v>0</v>
      </c>
      <c r="EI36" s="239">
        <v>0</v>
      </c>
      <c r="EJ36" s="239">
        <v>0</v>
      </c>
      <c r="EK36" s="239">
        <v>-480</v>
      </c>
      <c r="EL36" s="239">
        <v>0</v>
      </c>
      <c r="EM36" s="239">
        <v>-480</v>
      </c>
      <c r="EN36" s="239">
        <v>304</v>
      </c>
      <c r="EO36" s="239">
        <v>0</v>
      </c>
      <c r="EP36" s="239">
        <v>304</v>
      </c>
      <c r="EQ36" s="239">
        <v>-271566</v>
      </c>
      <c r="ER36" s="239">
        <v>0</v>
      </c>
      <c r="ES36" s="239">
        <v>-271566</v>
      </c>
      <c r="ET36" s="239">
        <v>0</v>
      </c>
      <c r="EU36" s="239">
        <v>0</v>
      </c>
      <c r="EV36" s="239">
        <v>0</v>
      </c>
      <c r="EW36" s="239">
        <v>0</v>
      </c>
      <c r="EX36" s="239">
        <v>0</v>
      </c>
      <c r="EY36" s="239">
        <v>0</v>
      </c>
      <c r="EZ36" s="239">
        <v>0</v>
      </c>
      <c r="FA36" s="239">
        <v>0</v>
      </c>
      <c r="FB36" s="239">
        <v>0</v>
      </c>
      <c r="FC36" s="239">
        <v>136821699</v>
      </c>
      <c r="FD36" s="239">
        <v>0</v>
      </c>
      <c r="FE36" s="239">
        <v>136821699</v>
      </c>
      <c r="FF36" s="239">
        <v>132652</v>
      </c>
      <c r="FG36" s="239">
        <v>0</v>
      </c>
      <c r="FH36" s="239">
        <v>132652</v>
      </c>
      <c r="FI36" s="239">
        <v>-9921687</v>
      </c>
      <c r="FJ36" s="239">
        <v>0</v>
      </c>
      <c r="FK36" s="239">
        <v>-9921687</v>
      </c>
      <c r="FL36" s="239">
        <v>-2575806</v>
      </c>
      <c r="FM36" s="239">
        <v>0</v>
      </c>
      <c r="FN36" s="239">
        <v>-2575806</v>
      </c>
      <c r="FO36" s="239">
        <v>-423768</v>
      </c>
      <c r="FP36" s="239">
        <v>0</v>
      </c>
      <c r="FQ36" s="239">
        <v>-423768</v>
      </c>
      <c r="FR36" s="239">
        <v>-271566</v>
      </c>
      <c r="FS36" s="239">
        <v>0</v>
      </c>
      <c r="FT36" s="239">
        <v>-271566</v>
      </c>
      <c r="FU36" s="239">
        <v>0</v>
      </c>
      <c r="FV36" s="239">
        <v>0</v>
      </c>
      <c r="FW36" s="239">
        <v>0</v>
      </c>
      <c r="FX36" s="239">
        <v>-13060175</v>
      </c>
      <c r="FY36" s="239">
        <v>0</v>
      </c>
      <c r="FZ36" s="239">
        <v>-13060175</v>
      </c>
      <c r="GA36" s="239">
        <v>123761524</v>
      </c>
      <c r="GB36" s="239">
        <v>0</v>
      </c>
      <c r="GC36" s="239">
        <v>123761524</v>
      </c>
      <c r="GD36" s="214" t="s">
        <v>1191</v>
      </c>
    </row>
    <row r="37" spans="1:186" s="214" customFormat="1" x14ac:dyDescent="0.2">
      <c r="B37" s="609" t="s">
        <v>156</v>
      </c>
      <c r="C37" s="609" t="s">
        <v>155</v>
      </c>
      <c r="D37" s="239">
        <v>0</v>
      </c>
      <c r="E37" s="239">
        <v>0</v>
      </c>
      <c r="F37" s="239">
        <v>0</v>
      </c>
      <c r="G37" s="239">
        <v>0</v>
      </c>
      <c r="H37" s="239">
        <v>0</v>
      </c>
      <c r="I37" s="239">
        <v>0</v>
      </c>
      <c r="J37" s="239">
        <v>0</v>
      </c>
      <c r="K37" s="239">
        <v>0</v>
      </c>
      <c r="L37" s="239">
        <v>0</v>
      </c>
      <c r="M37" s="239">
        <v>-31816</v>
      </c>
      <c r="N37" s="239">
        <v>0</v>
      </c>
      <c r="O37" s="239">
        <v>-31816</v>
      </c>
      <c r="P37" s="239">
        <v>-31816</v>
      </c>
      <c r="Q37" s="239">
        <v>0</v>
      </c>
      <c r="R37" s="239">
        <v>-31816</v>
      </c>
      <c r="S37" s="239">
        <v>-1262848</v>
      </c>
      <c r="T37" s="239">
        <v>0</v>
      </c>
      <c r="U37" s="239">
        <v>-1262848</v>
      </c>
      <c r="V37" s="239">
        <v>0</v>
      </c>
      <c r="W37" s="239">
        <v>0</v>
      </c>
      <c r="X37" s="239">
        <v>0</v>
      </c>
      <c r="Y37" s="239">
        <v>-64718</v>
      </c>
      <c r="Z37" s="239">
        <v>0</v>
      </c>
      <c r="AA37" s="239">
        <v>-64718</v>
      </c>
      <c r="AB37" s="239">
        <v>-49813</v>
      </c>
      <c r="AC37" s="239">
        <v>0</v>
      </c>
      <c r="AD37" s="239">
        <v>-49813</v>
      </c>
      <c r="AE37" s="239">
        <v>0</v>
      </c>
      <c r="AF37" s="239">
        <v>0</v>
      </c>
      <c r="AG37" s="239">
        <v>0</v>
      </c>
      <c r="AH37" s="239">
        <v>852926</v>
      </c>
      <c r="AI37" s="239">
        <v>0</v>
      </c>
      <c r="AJ37" s="239">
        <v>852926</v>
      </c>
      <c r="AK37" s="239">
        <v>-11773</v>
      </c>
      <c r="AL37" s="239">
        <v>0</v>
      </c>
      <c r="AM37" s="239">
        <v>-11773</v>
      </c>
      <c r="AN37" s="239">
        <v>-2283236</v>
      </c>
      <c r="AO37" s="239">
        <v>0</v>
      </c>
      <c r="AP37" s="239">
        <v>-2283236</v>
      </c>
      <c r="AQ37" s="239">
        <v>-37658</v>
      </c>
      <c r="AR37" s="239">
        <v>0</v>
      </c>
      <c r="AS37" s="239">
        <v>-37658</v>
      </c>
      <c r="AT37" s="239">
        <v>-51489</v>
      </c>
      <c r="AU37" s="239">
        <v>0</v>
      </c>
      <c r="AV37" s="239">
        <v>-51489</v>
      </c>
      <c r="AW37" s="239">
        <v>0</v>
      </c>
      <c r="AX37" s="239">
        <v>0</v>
      </c>
      <c r="AY37" s="239">
        <v>0</v>
      </c>
      <c r="AZ37" s="239">
        <v>-1129</v>
      </c>
      <c r="BA37" s="239">
        <v>0</v>
      </c>
      <c r="BB37" s="239">
        <v>-1129</v>
      </c>
      <c r="BC37" s="239">
        <v>0</v>
      </c>
      <c r="BD37" s="239">
        <v>0</v>
      </c>
      <c r="BE37" s="239">
        <v>0</v>
      </c>
      <c r="BF37" s="239">
        <v>-2859925</v>
      </c>
      <c r="BG37" s="239">
        <v>0</v>
      </c>
      <c r="BH37" s="239">
        <v>-2859925</v>
      </c>
      <c r="BI37" s="239">
        <v>0</v>
      </c>
      <c r="BJ37" s="239">
        <v>0</v>
      </c>
      <c r="BK37" s="239">
        <v>0</v>
      </c>
      <c r="BL37" s="239">
        <v>-3783</v>
      </c>
      <c r="BM37" s="239">
        <v>0</v>
      </c>
      <c r="BN37" s="239">
        <v>-3783</v>
      </c>
      <c r="BO37" s="239">
        <v>-1352475</v>
      </c>
      <c r="BP37" s="239">
        <v>0</v>
      </c>
      <c r="BQ37" s="239">
        <v>-1352475</v>
      </c>
      <c r="BR37" s="239">
        <v>-61721</v>
      </c>
      <c r="BS37" s="239">
        <v>0</v>
      </c>
      <c r="BT37" s="239">
        <v>-61721</v>
      </c>
      <c r="BU37" s="239">
        <v>-1417979</v>
      </c>
      <c r="BV37" s="239">
        <v>0</v>
      </c>
      <c r="BW37" s="239">
        <v>-1417979</v>
      </c>
      <c r="BX37" s="239">
        <v>-58742</v>
      </c>
      <c r="BY37" s="239">
        <v>0</v>
      </c>
      <c r="BZ37" s="239">
        <v>-58742</v>
      </c>
      <c r="CA37" s="239">
        <v>616</v>
      </c>
      <c r="CB37" s="239">
        <v>0</v>
      </c>
      <c r="CC37" s="239">
        <v>616</v>
      </c>
      <c r="CD37" s="239">
        <v>-54241</v>
      </c>
      <c r="CE37" s="239">
        <v>0</v>
      </c>
      <c r="CF37" s="239">
        <v>-54241</v>
      </c>
      <c r="CG37" s="239">
        <v>-3412</v>
      </c>
      <c r="CH37" s="239">
        <v>0</v>
      </c>
      <c r="CI37" s="239">
        <v>-3412</v>
      </c>
      <c r="CJ37" s="239">
        <v>-5504</v>
      </c>
      <c r="CK37" s="239">
        <v>0</v>
      </c>
      <c r="CL37" s="239">
        <v>-5504</v>
      </c>
      <c r="CM37" s="239">
        <v>0</v>
      </c>
      <c r="CN37" s="239">
        <v>0</v>
      </c>
      <c r="CO37" s="239">
        <v>0</v>
      </c>
      <c r="CP37" s="239">
        <v>-3989</v>
      </c>
      <c r="CQ37" s="239">
        <v>0</v>
      </c>
      <c r="CR37" s="239">
        <v>-3989</v>
      </c>
      <c r="CS37" s="239">
        <v>0</v>
      </c>
      <c r="CT37" s="239">
        <v>0</v>
      </c>
      <c r="CU37" s="239">
        <v>0</v>
      </c>
      <c r="CV37" s="239">
        <v>-9931</v>
      </c>
      <c r="CW37" s="239">
        <v>0</v>
      </c>
      <c r="CX37" s="239">
        <v>-9931</v>
      </c>
      <c r="CY37" s="239">
        <v>0</v>
      </c>
      <c r="CZ37" s="239">
        <v>0</v>
      </c>
      <c r="DA37" s="239">
        <v>0</v>
      </c>
      <c r="DB37" s="239">
        <v>-22956</v>
      </c>
      <c r="DC37" s="239">
        <v>0</v>
      </c>
      <c r="DD37" s="239">
        <v>-22956</v>
      </c>
      <c r="DE37" s="239">
        <v>0</v>
      </c>
      <c r="DF37" s="239">
        <v>0</v>
      </c>
      <c r="DG37" s="239">
        <v>0</v>
      </c>
      <c r="DH37" s="239">
        <v>0</v>
      </c>
      <c r="DI37" s="239">
        <v>0</v>
      </c>
      <c r="DJ37" s="239">
        <v>-158159</v>
      </c>
      <c r="DK37" s="239">
        <v>0</v>
      </c>
      <c r="DL37" s="239">
        <v>-158159</v>
      </c>
      <c r="DM37" s="239">
        <v>0</v>
      </c>
      <c r="DN37" s="239">
        <v>0</v>
      </c>
      <c r="DO37" s="239">
        <v>0</v>
      </c>
      <c r="DP37" s="239">
        <v>0</v>
      </c>
      <c r="DQ37" s="239">
        <v>0</v>
      </c>
      <c r="DR37" s="239">
        <v>0</v>
      </c>
      <c r="DS37" s="239">
        <v>0</v>
      </c>
      <c r="DT37" s="239">
        <v>0</v>
      </c>
      <c r="DU37" s="239">
        <v>0</v>
      </c>
      <c r="DV37" s="239">
        <v>0</v>
      </c>
      <c r="DW37" s="239">
        <v>0</v>
      </c>
      <c r="DX37" s="239">
        <v>0</v>
      </c>
      <c r="DY37" s="239">
        <v>0</v>
      </c>
      <c r="DZ37" s="239">
        <v>0</v>
      </c>
      <c r="EA37" s="239">
        <v>0</v>
      </c>
      <c r="EB37" s="239">
        <v>-7303</v>
      </c>
      <c r="EC37" s="239">
        <v>0</v>
      </c>
      <c r="ED37" s="239">
        <v>-7303</v>
      </c>
      <c r="EE37" s="239">
        <v>0</v>
      </c>
      <c r="EF37" s="239">
        <v>0</v>
      </c>
      <c r="EG37" s="239">
        <v>0</v>
      </c>
      <c r="EH37" s="239">
        <v>0</v>
      </c>
      <c r="EI37" s="239">
        <v>0</v>
      </c>
      <c r="EJ37" s="239">
        <v>0</v>
      </c>
      <c r="EK37" s="239">
        <v>-1816</v>
      </c>
      <c r="EL37" s="239">
        <v>0</v>
      </c>
      <c r="EM37" s="239">
        <v>-1816</v>
      </c>
      <c r="EN37" s="239">
        <v>0</v>
      </c>
      <c r="EO37" s="239">
        <v>0</v>
      </c>
      <c r="EP37" s="239">
        <v>0</v>
      </c>
      <c r="EQ37" s="239">
        <v>-9119</v>
      </c>
      <c r="ER37" s="239">
        <v>0</v>
      </c>
      <c r="ES37" s="239">
        <v>-9119</v>
      </c>
      <c r="ET37" s="239">
        <v>-4792</v>
      </c>
      <c r="EU37" s="239">
        <v>0</v>
      </c>
      <c r="EV37" s="239">
        <v>-4792</v>
      </c>
      <c r="EW37" s="239">
        <v>0</v>
      </c>
      <c r="EX37" s="239">
        <v>0</v>
      </c>
      <c r="EY37" s="239">
        <v>0</v>
      </c>
      <c r="EZ37" s="239">
        <v>-4792</v>
      </c>
      <c r="FA37" s="239">
        <v>0</v>
      </c>
      <c r="FB37" s="239">
        <v>-4792</v>
      </c>
      <c r="FC37" s="239">
        <v>36201727</v>
      </c>
      <c r="FD37" s="239">
        <v>0</v>
      </c>
      <c r="FE37" s="239">
        <v>36201727</v>
      </c>
      <c r="FF37" s="239">
        <v>-31816</v>
      </c>
      <c r="FG37" s="239">
        <v>0</v>
      </c>
      <c r="FH37" s="239">
        <v>-31816</v>
      </c>
      <c r="FI37" s="239">
        <v>-2859925</v>
      </c>
      <c r="FJ37" s="239">
        <v>0</v>
      </c>
      <c r="FK37" s="239">
        <v>-2859925</v>
      </c>
      <c r="FL37" s="239">
        <v>-1417979</v>
      </c>
      <c r="FM37" s="239">
        <v>0</v>
      </c>
      <c r="FN37" s="239">
        <v>-1417979</v>
      </c>
      <c r="FO37" s="239">
        <v>-158159</v>
      </c>
      <c r="FP37" s="239">
        <v>0</v>
      </c>
      <c r="FQ37" s="239">
        <v>-158159</v>
      </c>
      <c r="FR37" s="239">
        <v>-9119</v>
      </c>
      <c r="FS37" s="239">
        <v>0</v>
      </c>
      <c r="FT37" s="239">
        <v>-9119</v>
      </c>
      <c r="FU37" s="239">
        <v>-4792</v>
      </c>
      <c r="FV37" s="239">
        <v>0</v>
      </c>
      <c r="FW37" s="239">
        <v>-4792</v>
      </c>
      <c r="FX37" s="239">
        <v>-4481790</v>
      </c>
      <c r="FY37" s="239">
        <v>0</v>
      </c>
      <c r="FZ37" s="239">
        <v>-4481790</v>
      </c>
      <c r="GA37" s="239">
        <v>31719937</v>
      </c>
      <c r="GB37" s="239">
        <v>0</v>
      </c>
      <c r="GC37" s="239">
        <v>31719937</v>
      </c>
      <c r="GD37" s="214" t="s">
        <v>1190</v>
      </c>
    </row>
    <row r="38" spans="1:186" s="214" customFormat="1" x14ac:dyDescent="0.2">
      <c r="B38" s="609" t="s">
        <v>158</v>
      </c>
      <c r="C38" s="609" t="s">
        <v>157</v>
      </c>
      <c r="D38" s="239">
        <v>0</v>
      </c>
      <c r="E38" s="239">
        <v>0</v>
      </c>
      <c r="F38" s="239">
        <v>0</v>
      </c>
      <c r="G38" s="239">
        <v>129493</v>
      </c>
      <c r="H38" s="239">
        <v>0</v>
      </c>
      <c r="I38" s="239">
        <v>129493</v>
      </c>
      <c r="J38" s="239">
        <v>0</v>
      </c>
      <c r="K38" s="239">
        <v>0</v>
      </c>
      <c r="L38" s="239">
        <v>0</v>
      </c>
      <c r="M38" s="239">
        <v>57725</v>
      </c>
      <c r="N38" s="239">
        <v>0</v>
      </c>
      <c r="O38" s="239">
        <v>57725</v>
      </c>
      <c r="P38" s="239">
        <v>187218</v>
      </c>
      <c r="Q38" s="239">
        <v>0</v>
      </c>
      <c r="R38" s="239">
        <v>187218</v>
      </c>
      <c r="S38" s="239">
        <v>-6790825</v>
      </c>
      <c r="T38" s="239">
        <v>0</v>
      </c>
      <c r="U38" s="239">
        <v>-6790825</v>
      </c>
      <c r="V38" s="239">
        <v>-32006</v>
      </c>
      <c r="W38" s="239">
        <v>0</v>
      </c>
      <c r="X38" s="239">
        <v>-32006</v>
      </c>
      <c r="Y38" s="239">
        <v>-349845</v>
      </c>
      <c r="Z38" s="239">
        <v>0</v>
      </c>
      <c r="AA38" s="239">
        <v>-349845</v>
      </c>
      <c r="AB38" s="239">
        <v>-249534</v>
      </c>
      <c r="AC38" s="239">
        <v>0</v>
      </c>
      <c r="AD38" s="239">
        <v>-249534</v>
      </c>
      <c r="AE38" s="239">
        <v>-2467</v>
      </c>
      <c r="AF38" s="239">
        <v>0</v>
      </c>
      <c r="AG38" s="239">
        <v>-2467</v>
      </c>
      <c r="AH38" s="239">
        <v>2906089</v>
      </c>
      <c r="AI38" s="239">
        <v>0</v>
      </c>
      <c r="AJ38" s="239">
        <v>2906089</v>
      </c>
      <c r="AK38" s="239">
        <v>94775</v>
      </c>
      <c r="AL38" s="239">
        <v>0</v>
      </c>
      <c r="AM38" s="239">
        <v>94775</v>
      </c>
      <c r="AN38" s="239">
        <v>-8820862</v>
      </c>
      <c r="AO38" s="239">
        <v>0</v>
      </c>
      <c r="AP38" s="239">
        <v>-8820862</v>
      </c>
      <c r="AQ38" s="239">
        <v>-45381</v>
      </c>
      <c r="AR38" s="239">
        <v>0</v>
      </c>
      <c r="AS38" s="239">
        <v>-45381</v>
      </c>
      <c r="AT38" s="239">
        <v>-51976</v>
      </c>
      <c r="AU38" s="239">
        <v>0</v>
      </c>
      <c r="AV38" s="239">
        <v>-51976</v>
      </c>
      <c r="AW38" s="239">
        <v>-1602</v>
      </c>
      <c r="AX38" s="239">
        <v>0</v>
      </c>
      <c r="AY38" s="239">
        <v>-1602</v>
      </c>
      <c r="AZ38" s="239">
        <v>0</v>
      </c>
      <c r="BA38" s="239">
        <v>0</v>
      </c>
      <c r="BB38" s="239">
        <v>0</v>
      </c>
      <c r="BC38" s="239">
        <v>0</v>
      </c>
      <c r="BD38" s="239">
        <v>0</v>
      </c>
      <c r="BE38" s="239">
        <v>0</v>
      </c>
      <c r="BF38" s="239">
        <v>-13059627</v>
      </c>
      <c r="BG38" s="239">
        <v>0</v>
      </c>
      <c r="BH38" s="239">
        <v>-13059627</v>
      </c>
      <c r="BI38" s="239">
        <v>-93295</v>
      </c>
      <c r="BJ38" s="239">
        <v>0</v>
      </c>
      <c r="BK38" s="239">
        <v>-93295</v>
      </c>
      <c r="BL38" s="239">
        <v>22244</v>
      </c>
      <c r="BM38" s="239">
        <v>0</v>
      </c>
      <c r="BN38" s="239">
        <v>22244</v>
      </c>
      <c r="BO38" s="239">
        <v>-2763952</v>
      </c>
      <c r="BP38" s="239">
        <v>0</v>
      </c>
      <c r="BQ38" s="239">
        <v>-2763952</v>
      </c>
      <c r="BR38" s="239">
        <v>51654</v>
      </c>
      <c r="BS38" s="239">
        <v>0</v>
      </c>
      <c r="BT38" s="239">
        <v>51654</v>
      </c>
      <c r="BU38" s="239">
        <v>-2783349</v>
      </c>
      <c r="BV38" s="239">
        <v>0</v>
      </c>
      <c r="BW38" s="239">
        <v>-2783349</v>
      </c>
      <c r="BX38" s="239">
        <v>-64472</v>
      </c>
      <c r="BY38" s="239">
        <v>0</v>
      </c>
      <c r="BZ38" s="239">
        <v>-64472</v>
      </c>
      <c r="CA38" s="239">
        <v>-1864</v>
      </c>
      <c r="CB38" s="239">
        <v>0</v>
      </c>
      <c r="CC38" s="239">
        <v>-1864</v>
      </c>
      <c r="CD38" s="239">
        <v>-27626</v>
      </c>
      <c r="CE38" s="239">
        <v>0</v>
      </c>
      <c r="CF38" s="239">
        <v>-27626</v>
      </c>
      <c r="CG38" s="239">
        <v>558</v>
      </c>
      <c r="CH38" s="239">
        <v>0</v>
      </c>
      <c r="CI38" s="239">
        <v>558</v>
      </c>
      <c r="CJ38" s="239">
        <v>-11433</v>
      </c>
      <c r="CK38" s="239">
        <v>0</v>
      </c>
      <c r="CL38" s="239">
        <v>-11433</v>
      </c>
      <c r="CM38" s="239">
        <v>48</v>
      </c>
      <c r="CN38" s="239">
        <v>0</v>
      </c>
      <c r="CO38" s="239">
        <v>48</v>
      </c>
      <c r="CP38" s="239">
        <v>0</v>
      </c>
      <c r="CQ38" s="239">
        <v>0</v>
      </c>
      <c r="CR38" s="239">
        <v>0</v>
      </c>
      <c r="CS38" s="239">
        <v>0</v>
      </c>
      <c r="CT38" s="239">
        <v>0</v>
      </c>
      <c r="CU38" s="239">
        <v>0</v>
      </c>
      <c r="CV38" s="239">
        <v>0</v>
      </c>
      <c r="CW38" s="239">
        <v>0</v>
      </c>
      <c r="CX38" s="239">
        <v>0</v>
      </c>
      <c r="CY38" s="239">
        <v>0</v>
      </c>
      <c r="CZ38" s="239">
        <v>0</v>
      </c>
      <c r="DA38" s="239">
        <v>0</v>
      </c>
      <c r="DB38" s="239">
        <v>0</v>
      </c>
      <c r="DC38" s="239">
        <v>0</v>
      </c>
      <c r="DD38" s="239">
        <v>0</v>
      </c>
      <c r="DE38" s="239">
        <v>2623</v>
      </c>
      <c r="DF38" s="239">
        <v>0</v>
      </c>
      <c r="DG38" s="239">
        <v>2623</v>
      </c>
      <c r="DH38" s="239">
        <v>0</v>
      </c>
      <c r="DI38" s="239">
        <v>0</v>
      </c>
      <c r="DJ38" s="239">
        <v>-102166</v>
      </c>
      <c r="DK38" s="239">
        <v>0</v>
      </c>
      <c r="DL38" s="239">
        <v>-102166</v>
      </c>
      <c r="DM38" s="239">
        <v>-23166</v>
      </c>
      <c r="DN38" s="239">
        <v>0</v>
      </c>
      <c r="DO38" s="239">
        <v>-23166</v>
      </c>
      <c r="DP38" s="239">
        <v>59669</v>
      </c>
      <c r="DQ38" s="239">
        <v>0</v>
      </c>
      <c r="DR38" s="239">
        <v>59669</v>
      </c>
      <c r="DS38" s="239">
        <v>-157893</v>
      </c>
      <c r="DT38" s="239">
        <v>0</v>
      </c>
      <c r="DU38" s="239">
        <v>-157893</v>
      </c>
      <c r="DV38" s="239">
        <v>-24860</v>
      </c>
      <c r="DW38" s="239">
        <v>0</v>
      </c>
      <c r="DX38" s="239">
        <v>-24860</v>
      </c>
      <c r="DY38" s="239">
        <v>0</v>
      </c>
      <c r="DZ38" s="239">
        <v>0</v>
      </c>
      <c r="EA38" s="239">
        <v>0</v>
      </c>
      <c r="EB38" s="239">
        <v>19367</v>
      </c>
      <c r="EC38" s="239">
        <v>0</v>
      </c>
      <c r="ED38" s="239">
        <v>19367</v>
      </c>
      <c r="EE38" s="239">
        <v>0</v>
      </c>
      <c r="EF38" s="239">
        <v>0</v>
      </c>
      <c r="EG38" s="239">
        <v>0</v>
      </c>
      <c r="EH38" s="239">
        <v>758</v>
      </c>
      <c r="EI38" s="239">
        <v>0</v>
      </c>
      <c r="EJ38" s="239">
        <v>758</v>
      </c>
      <c r="EK38" s="239">
        <v>-6446</v>
      </c>
      <c r="EL38" s="239">
        <v>0</v>
      </c>
      <c r="EM38" s="239">
        <v>-6446</v>
      </c>
      <c r="EN38" s="239">
        <v>230</v>
      </c>
      <c r="EO38" s="239">
        <v>0</v>
      </c>
      <c r="EP38" s="239">
        <v>230</v>
      </c>
      <c r="EQ38" s="239">
        <v>-132341</v>
      </c>
      <c r="ER38" s="239">
        <v>0</v>
      </c>
      <c r="ES38" s="239">
        <v>-132341</v>
      </c>
      <c r="ET38" s="239">
        <v>0</v>
      </c>
      <c r="EU38" s="239">
        <v>0</v>
      </c>
      <c r="EV38" s="239">
        <v>0</v>
      </c>
      <c r="EW38" s="239">
        <v>0</v>
      </c>
      <c r="EX38" s="239">
        <v>0</v>
      </c>
      <c r="EY38" s="239">
        <v>0</v>
      </c>
      <c r="EZ38" s="239">
        <v>0</v>
      </c>
      <c r="FA38" s="239">
        <v>0</v>
      </c>
      <c r="FB38" s="239">
        <v>0</v>
      </c>
      <c r="FC38" s="239">
        <v>126187613</v>
      </c>
      <c r="FD38" s="239">
        <v>0</v>
      </c>
      <c r="FE38" s="239">
        <v>126187613</v>
      </c>
      <c r="FF38" s="239">
        <v>187218</v>
      </c>
      <c r="FG38" s="239">
        <v>0</v>
      </c>
      <c r="FH38" s="239">
        <v>187218</v>
      </c>
      <c r="FI38" s="239">
        <v>-13059627</v>
      </c>
      <c r="FJ38" s="239">
        <v>0</v>
      </c>
      <c r="FK38" s="239">
        <v>-13059627</v>
      </c>
      <c r="FL38" s="239">
        <v>-2783349</v>
      </c>
      <c r="FM38" s="239">
        <v>0</v>
      </c>
      <c r="FN38" s="239">
        <v>-2783349</v>
      </c>
      <c r="FO38" s="239">
        <v>-102166</v>
      </c>
      <c r="FP38" s="239">
        <v>0</v>
      </c>
      <c r="FQ38" s="239">
        <v>-102166</v>
      </c>
      <c r="FR38" s="239">
        <v>-132341</v>
      </c>
      <c r="FS38" s="239">
        <v>0</v>
      </c>
      <c r="FT38" s="239">
        <v>-132341</v>
      </c>
      <c r="FU38" s="239">
        <v>0</v>
      </c>
      <c r="FV38" s="239">
        <v>0</v>
      </c>
      <c r="FW38" s="239">
        <v>0</v>
      </c>
      <c r="FX38" s="239">
        <v>-15890265</v>
      </c>
      <c r="FY38" s="239">
        <v>0</v>
      </c>
      <c r="FZ38" s="239">
        <v>-15890265</v>
      </c>
      <c r="GA38" s="239">
        <v>110297348</v>
      </c>
      <c r="GB38" s="239">
        <v>0</v>
      </c>
      <c r="GC38" s="239">
        <v>110297348</v>
      </c>
      <c r="GD38" s="214" t="s">
        <v>747</v>
      </c>
    </row>
    <row r="39" spans="1:186" s="214" customFormat="1" x14ac:dyDescent="0.2">
      <c r="B39" s="609" t="s">
        <v>160</v>
      </c>
      <c r="C39" s="609" t="s">
        <v>159</v>
      </c>
      <c r="D39" s="239">
        <v>0</v>
      </c>
      <c r="E39" s="239">
        <v>0</v>
      </c>
      <c r="F39" s="239">
        <v>0</v>
      </c>
      <c r="G39" s="239">
        <v>6447425</v>
      </c>
      <c r="H39" s="239">
        <v>25570</v>
      </c>
      <c r="I39" s="239">
        <v>6472995</v>
      </c>
      <c r="J39" s="239">
        <v>0</v>
      </c>
      <c r="K39" s="239">
        <v>0</v>
      </c>
      <c r="L39" s="239">
        <v>0</v>
      </c>
      <c r="M39" s="239">
        <v>72810</v>
      </c>
      <c r="N39" s="239">
        <v>0</v>
      </c>
      <c r="O39" s="239">
        <v>72810</v>
      </c>
      <c r="P39" s="239">
        <v>6520235</v>
      </c>
      <c r="Q39" s="239">
        <v>25570</v>
      </c>
      <c r="R39" s="239">
        <v>6545805</v>
      </c>
      <c r="S39" s="239">
        <v>-8944394</v>
      </c>
      <c r="T39" s="239">
        <v>-111619</v>
      </c>
      <c r="U39" s="239">
        <v>-9056013</v>
      </c>
      <c r="V39" s="239">
        <v>-54446</v>
      </c>
      <c r="W39" s="239">
        <v>0</v>
      </c>
      <c r="X39" s="239">
        <v>-54446</v>
      </c>
      <c r="Y39" s="239">
        <v>-441735</v>
      </c>
      <c r="Z39" s="239">
        <v>3150</v>
      </c>
      <c r="AA39" s="239">
        <v>-438585</v>
      </c>
      <c r="AB39" s="239">
        <v>-383967</v>
      </c>
      <c r="AC39" s="239">
        <v>1481</v>
      </c>
      <c r="AD39" s="239">
        <v>-382486</v>
      </c>
      <c r="AE39" s="239">
        <v>-3524</v>
      </c>
      <c r="AF39" s="239">
        <v>0</v>
      </c>
      <c r="AG39" s="239">
        <v>-3524</v>
      </c>
      <c r="AH39" s="239">
        <v>5367908</v>
      </c>
      <c r="AI39" s="239">
        <v>726575</v>
      </c>
      <c r="AJ39" s="239">
        <v>6094483</v>
      </c>
      <c r="AK39" s="239">
        <v>-20317</v>
      </c>
      <c r="AL39" s="239">
        <v>-40733</v>
      </c>
      <c r="AM39" s="239">
        <v>-61050</v>
      </c>
      <c r="AN39" s="239">
        <v>-17578346</v>
      </c>
      <c r="AO39" s="239">
        <v>-319032</v>
      </c>
      <c r="AP39" s="239">
        <v>-17897378</v>
      </c>
      <c r="AQ39" s="239">
        <v>-281844</v>
      </c>
      <c r="AR39" s="239">
        <v>32058</v>
      </c>
      <c r="AS39" s="239">
        <v>-249786</v>
      </c>
      <c r="AT39" s="239">
        <v>-125151</v>
      </c>
      <c r="AU39" s="239">
        <v>0</v>
      </c>
      <c r="AV39" s="239">
        <v>-125151</v>
      </c>
      <c r="AW39" s="239">
        <v>2169</v>
      </c>
      <c r="AX39" s="239">
        <v>0</v>
      </c>
      <c r="AY39" s="239">
        <v>2169</v>
      </c>
      <c r="AZ39" s="239">
        <v>0</v>
      </c>
      <c r="BA39" s="239">
        <v>0</v>
      </c>
      <c r="BB39" s="239">
        <v>0</v>
      </c>
      <c r="BC39" s="239">
        <v>0</v>
      </c>
      <c r="BD39" s="239">
        <v>0</v>
      </c>
      <c r="BE39" s="239">
        <v>0</v>
      </c>
      <c r="BF39" s="239">
        <v>-22021710</v>
      </c>
      <c r="BG39" s="239">
        <v>290399</v>
      </c>
      <c r="BH39" s="239">
        <v>-21731311</v>
      </c>
      <c r="BI39" s="239">
        <v>-371630</v>
      </c>
      <c r="BJ39" s="239">
        <v>-2558</v>
      </c>
      <c r="BK39" s="239">
        <v>-374188</v>
      </c>
      <c r="BL39" s="239">
        <v>315180</v>
      </c>
      <c r="BM39" s="239">
        <v>-195</v>
      </c>
      <c r="BN39" s="239">
        <v>314985</v>
      </c>
      <c r="BO39" s="239">
        <v>-9747861</v>
      </c>
      <c r="BP39" s="239">
        <v>-455340</v>
      </c>
      <c r="BQ39" s="239">
        <v>-10203201</v>
      </c>
      <c r="BR39" s="239">
        <v>402950</v>
      </c>
      <c r="BS39" s="239">
        <v>55353</v>
      </c>
      <c r="BT39" s="239">
        <v>458303</v>
      </c>
      <c r="BU39" s="239">
        <v>-9401361</v>
      </c>
      <c r="BV39" s="239">
        <v>-402740</v>
      </c>
      <c r="BW39" s="239">
        <v>-9804101</v>
      </c>
      <c r="BX39" s="239">
        <v>-276729</v>
      </c>
      <c r="BY39" s="239">
        <v>0</v>
      </c>
      <c r="BZ39" s="239">
        <v>-276729</v>
      </c>
      <c r="CA39" s="239">
        <v>-10578</v>
      </c>
      <c r="CB39" s="239">
        <v>0</v>
      </c>
      <c r="CC39" s="239">
        <v>-10578</v>
      </c>
      <c r="CD39" s="239">
        <v>-257894</v>
      </c>
      <c r="CE39" s="239">
        <v>-4235</v>
      </c>
      <c r="CF39" s="239">
        <v>-262129</v>
      </c>
      <c r="CG39" s="239">
        <v>-11318</v>
      </c>
      <c r="CH39" s="239">
        <v>0</v>
      </c>
      <c r="CI39" s="239">
        <v>-11318</v>
      </c>
      <c r="CJ39" s="239">
        <v>-2057</v>
      </c>
      <c r="CK39" s="239">
        <v>0</v>
      </c>
      <c r="CL39" s="239">
        <v>-2057</v>
      </c>
      <c r="CM39" s="239">
        <v>0</v>
      </c>
      <c r="CN39" s="239">
        <v>0</v>
      </c>
      <c r="CO39" s="239">
        <v>0</v>
      </c>
      <c r="CP39" s="239">
        <v>0</v>
      </c>
      <c r="CQ39" s="239">
        <v>0</v>
      </c>
      <c r="CR39" s="239">
        <v>0</v>
      </c>
      <c r="CS39" s="239">
        <v>0</v>
      </c>
      <c r="CT39" s="239">
        <v>0</v>
      </c>
      <c r="CU39" s="239">
        <v>0</v>
      </c>
      <c r="CV39" s="239">
        <v>0</v>
      </c>
      <c r="CW39" s="239">
        <v>0</v>
      </c>
      <c r="CX39" s="239">
        <v>0</v>
      </c>
      <c r="CY39" s="239">
        <v>0</v>
      </c>
      <c r="CZ39" s="239">
        <v>0</v>
      </c>
      <c r="DA39" s="239">
        <v>0</v>
      </c>
      <c r="DB39" s="239">
        <v>0</v>
      </c>
      <c r="DC39" s="239">
        <v>-1106102</v>
      </c>
      <c r="DD39" s="239">
        <v>-1106102</v>
      </c>
      <c r="DE39" s="239">
        <v>0</v>
      </c>
      <c r="DF39" s="239">
        <v>-100801</v>
      </c>
      <c r="DG39" s="239">
        <v>-100801</v>
      </c>
      <c r="DH39" s="239">
        <v>-1206903</v>
      </c>
      <c r="DI39" s="239">
        <v>0</v>
      </c>
      <c r="DJ39" s="239">
        <v>-558576</v>
      </c>
      <c r="DK39" s="239">
        <v>-1211138</v>
      </c>
      <c r="DL39" s="239">
        <v>-1769714</v>
      </c>
      <c r="DM39" s="239">
        <v>0</v>
      </c>
      <c r="DN39" s="239">
        <v>0</v>
      </c>
      <c r="DO39" s="239">
        <v>0</v>
      </c>
      <c r="DP39" s="239">
        <v>0</v>
      </c>
      <c r="DQ39" s="239">
        <v>0</v>
      </c>
      <c r="DR39" s="239">
        <v>0</v>
      </c>
      <c r="DS39" s="239">
        <v>-96906</v>
      </c>
      <c r="DT39" s="239">
        <v>0</v>
      </c>
      <c r="DU39" s="239">
        <v>-96906</v>
      </c>
      <c r="DV39" s="239">
        <v>-27203</v>
      </c>
      <c r="DW39" s="239">
        <v>0</v>
      </c>
      <c r="DX39" s="239">
        <v>-27203</v>
      </c>
      <c r="DY39" s="239">
        <v>0</v>
      </c>
      <c r="DZ39" s="239">
        <v>0</v>
      </c>
      <c r="EA39" s="239">
        <v>0</v>
      </c>
      <c r="EB39" s="239">
        <v>-78338</v>
      </c>
      <c r="EC39" s="239">
        <v>942</v>
      </c>
      <c r="ED39" s="239">
        <v>-77396</v>
      </c>
      <c r="EE39" s="239">
        <v>0</v>
      </c>
      <c r="EF39" s="239">
        <v>0</v>
      </c>
      <c r="EG39" s="239">
        <v>0</v>
      </c>
      <c r="EH39" s="239">
        <v>0</v>
      </c>
      <c r="EI39" s="239">
        <v>0</v>
      </c>
      <c r="EJ39" s="239">
        <v>0</v>
      </c>
      <c r="EK39" s="239">
        <v>-12543</v>
      </c>
      <c r="EL39" s="239">
        <v>0</v>
      </c>
      <c r="EM39" s="239">
        <v>-12543</v>
      </c>
      <c r="EN39" s="239">
        <v>91</v>
      </c>
      <c r="EO39" s="239">
        <v>243</v>
      </c>
      <c r="EP39" s="239">
        <v>334</v>
      </c>
      <c r="EQ39" s="239">
        <v>-214899</v>
      </c>
      <c r="ER39" s="239">
        <v>1185</v>
      </c>
      <c r="ES39" s="239">
        <v>-213714</v>
      </c>
      <c r="ET39" s="239">
        <v>0</v>
      </c>
      <c r="EU39" s="239">
        <v>0</v>
      </c>
      <c r="EV39" s="239">
        <v>0</v>
      </c>
      <c r="EW39" s="239">
        <v>-502</v>
      </c>
      <c r="EX39" s="239">
        <v>0</v>
      </c>
      <c r="EY39" s="239">
        <v>-502</v>
      </c>
      <c r="EZ39" s="239">
        <v>-502</v>
      </c>
      <c r="FA39" s="239">
        <v>0</v>
      </c>
      <c r="FB39" s="239">
        <v>-502</v>
      </c>
      <c r="FC39" s="239">
        <v>220118396</v>
      </c>
      <c r="FD39" s="239">
        <v>26660904</v>
      </c>
      <c r="FE39" s="239">
        <v>246779300</v>
      </c>
      <c r="FF39" s="239">
        <v>6520235</v>
      </c>
      <c r="FG39" s="239">
        <v>25570</v>
      </c>
      <c r="FH39" s="239">
        <v>6545805</v>
      </c>
      <c r="FI39" s="239">
        <v>-22021710</v>
      </c>
      <c r="FJ39" s="239">
        <v>290399</v>
      </c>
      <c r="FK39" s="239">
        <v>-21731311</v>
      </c>
      <c r="FL39" s="239">
        <v>-9401361</v>
      </c>
      <c r="FM39" s="239">
        <v>-402740</v>
      </c>
      <c r="FN39" s="239">
        <v>-9804101</v>
      </c>
      <c r="FO39" s="239">
        <v>-558576</v>
      </c>
      <c r="FP39" s="239">
        <v>-1211138</v>
      </c>
      <c r="FQ39" s="239">
        <v>-1769714</v>
      </c>
      <c r="FR39" s="239">
        <v>-214899</v>
      </c>
      <c r="FS39" s="239">
        <v>1185</v>
      </c>
      <c r="FT39" s="239">
        <v>-213714</v>
      </c>
      <c r="FU39" s="239">
        <v>-502</v>
      </c>
      <c r="FV39" s="239">
        <v>0</v>
      </c>
      <c r="FW39" s="239">
        <v>-502</v>
      </c>
      <c r="FX39" s="239">
        <v>-25676813</v>
      </c>
      <c r="FY39" s="239">
        <v>-1296724</v>
      </c>
      <c r="FZ39" s="239">
        <v>-26973537</v>
      </c>
      <c r="GA39" s="239">
        <v>194441583</v>
      </c>
      <c r="GB39" s="239">
        <v>25364180</v>
      </c>
      <c r="GC39" s="239">
        <v>219805763</v>
      </c>
      <c r="GD39" s="214" t="s">
        <v>747</v>
      </c>
    </row>
    <row r="40" spans="1:186" s="214" customFormat="1" x14ac:dyDescent="0.2">
      <c r="B40" s="609" t="s">
        <v>162</v>
      </c>
      <c r="C40" s="609" t="s">
        <v>161</v>
      </c>
      <c r="D40" s="239">
        <v>0</v>
      </c>
      <c r="E40" s="239">
        <v>0</v>
      </c>
      <c r="F40" s="239">
        <v>0</v>
      </c>
      <c r="G40" s="239">
        <v>45224</v>
      </c>
      <c r="H40" s="239">
        <v>0</v>
      </c>
      <c r="I40" s="239">
        <v>45224</v>
      </c>
      <c r="J40" s="239">
        <v>0</v>
      </c>
      <c r="K40" s="239">
        <v>0</v>
      </c>
      <c r="L40" s="239">
        <v>0</v>
      </c>
      <c r="M40" s="239">
        <v>27249</v>
      </c>
      <c r="N40" s="239">
        <v>0</v>
      </c>
      <c r="O40" s="239">
        <v>27249</v>
      </c>
      <c r="P40" s="239">
        <v>72473</v>
      </c>
      <c r="Q40" s="239">
        <v>0</v>
      </c>
      <c r="R40" s="239">
        <v>72473</v>
      </c>
      <c r="S40" s="239">
        <v>-2798168</v>
      </c>
      <c r="T40" s="239">
        <v>0</v>
      </c>
      <c r="U40" s="239">
        <v>-2798168</v>
      </c>
      <c r="V40" s="239">
        <v>-5374</v>
      </c>
      <c r="W40" s="239">
        <v>0</v>
      </c>
      <c r="X40" s="239">
        <v>-5374</v>
      </c>
      <c r="Y40" s="239">
        <v>-67930</v>
      </c>
      <c r="Z40" s="239">
        <v>0</v>
      </c>
      <c r="AA40" s="239">
        <v>-67930</v>
      </c>
      <c r="AB40" s="239">
        <v>-67930</v>
      </c>
      <c r="AC40" s="239">
        <v>0</v>
      </c>
      <c r="AD40" s="239">
        <v>-67930</v>
      </c>
      <c r="AE40" s="239">
        <v>0</v>
      </c>
      <c r="AF40" s="239">
        <v>0</v>
      </c>
      <c r="AG40" s="239">
        <v>0</v>
      </c>
      <c r="AH40" s="239">
        <v>784524</v>
      </c>
      <c r="AI40" s="239">
        <v>0</v>
      </c>
      <c r="AJ40" s="239">
        <v>784524</v>
      </c>
      <c r="AK40" s="239">
        <v>-17024</v>
      </c>
      <c r="AL40" s="239">
        <v>0</v>
      </c>
      <c r="AM40" s="239">
        <v>-17024</v>
      </c>
      <c r="AN40" s="239">
        <v>-1570741</v>
      </c>
      <c r="AO40" s="239">
        <v>0</v>
      </c>
      <c r="AP40" s="239">
        <v>-1570741</v>
      </c>
      <c r="AQ40" s="239">
        <v>-20455</v>
      </c>
      <c r="AR40" s="239">
        <v>0</v>
      </c>
      <c r="AS40" s="239">
        <v>-20455</v>
      </c>
      <c r="AT40" s="239">
        <v>-33528</v>
      </c>
      <c r="AU40" s="239">
        <v>0</v>
      </c>
      <c r="AV40" s="239">
        <v>-33528</v>
      </c>
      <c r="AW40" s="239">
        <v>0</v>
      </c>
      <c r="AX40" s="239">
        <v>0</v>
      </c>
      <c r="AY40" s="239">
        <v>0</v>
      </c>
      <c r="AZ40" s="239">
        <v>-54574</v>
      </c>
      <c r="BA40" s="239">
        <v>0</v>
      </c>
      <c r="BB40" s="239">
        <v>-54574</v>
      </c>
      <c r="BC40" s="239">
        <v>370</v>
      </c>
      <c r="BD40" s="239">
        <v>0</v>
      </c>
      <c r="BE40" s="239">
        <v>370</v>
      </c>
      <c r="BF40" s="239">
        <v>-3777526</v>
      </c>
      <c r="BG40" s="239">
        <v>0</v>
      </c>
      <c r="BH40" s="239">
        <v>-3777526</v>
      </c>
      <c r="BI40" s="239">
        <v>-7089</v>
      </c>
      <c r="BJ40" s="239">
        <v>0</v>
      </c>
      <c r="BK40" s="239">
        <v>-7089</v>
      </c>
      <c r="BL40" s="239">
        <v>0</v>
      </c>
      <c r="BM40" s="239">
        <v>0</v>
      </c>
      <c r="BN40" s="239">
        <v>0</v>
      </c>
      <c r="BO40" s="239">
        <v>-725375</v>
      </c>
      <c r="BP40" s="239">
        <v>0</v>
      </c>
      <c r="BQ40" s="239">
        <v>-725375</v>
      </c>
      <c r="BR40" s="239">
        <v>24424</v>
      </c>
      <c r="BS40" s="239">
        <v>0</v>
      </c>
      <c r="BT40" s="239">
        <v>24424</v>
      </c>
      <c r="BU40" s="239">
        <v>-708040</v>
      </c>
      <c r="BV40" s="239">
        <v>0</v>
      </c>
      <c r="BW40" s="239">
        <v>-708040</v>
      </c>
      <c r="BX40" s="239">
        <v>-21174</v>
      </c>
      <c r="BY40" s="239">
        <v>0</v>
      </c>
      <c r="BZ40" s="239">
        <v>-21174</v>
      </c>
      <c r="CA40" s="239">
        <v>-731</v>
      </c>
      <c r="CB40" s="239">
        <v>0</v>
      </c>
      <c r="CC40" s="239">
        <v>-731</v>
      </c>
      <c r="CD40" s="239">
        <v>-59319</v>
      </c>
      <c r="CE40" s="239">
        <v>0</v>
      </c>
      <c r="CF40" s="239">
        <v>-59319</v>
      </c>
      <c r="CG40" s="239">
        <v>422</v>
      </c>
      <c r="CH40" s="239">
        <v>0</v>
      </c>
      <c r="CI40" s="239">
        <v>422</v>
      </c>
      <c r="CJ40" s="239">
        <v>0</v>
      </c>
      <c r="CK40" s="239">
        <v>0</v>
      </c>
      <c r="CL40" s="239">
        <v>0</v>
      </c>
      <c r="CM40" s="239">
        <v>0</v>
      </c>
      <c r="CN40" s="239">
        <v>0</v>
      </c>
      <c r="CO40" s="239">
        <v>0</v>
      </c>
      <c r="CP40" s="239">
        <v>-54574</v>
      </c>
      <c r="CQ40" s="239">
        <v>0</v>
      </c>
      <c r="CR40" s="239">
        <v>-54574</v>
      </c>
      <c r="CS40" s="239">
        <v>370</v>
      </c>
      <c r="CT40" s="239">
        <v>0</v>
      </c>
      <c r="CU40" s="239">
        <v>370</v>
      </c>
      <c r="CV40" s="239">
        <v>-9740</v>
      </c>
      <c r="CW40" s="239">
        <v>0</v>
      </c>
      <c r="CX40" s="239">
        <v>-9740</v>
      </c>
      <c r="CY40" s="239">
        <v>27</v>
      </c>
      <c r="CZ40" s="239">
        <v>0</v>
      </c>
      <c r="DA40" s="239">
        <v>27</v>
      </c>
      <c r="DB40" s="239">
        <v>-17989</v>
      </c>
      <c r="DC40" s="239">
        <v>0</v>
      </c>
      <c r="DD40" s="239">
        <v>-17989</v>
      </c>
      <c r="DE40" s="239">
        <v>-892</v>
      </c>
      <c r="DF40" s="239">
        <v>0</v>
      </c>
      <c r="DG40" s="239">
        <v>-892</v>
      </c>
      <c r="DH40" s="239">
        <v>0</v>
      </c>
      <c r="DI40" s="239">
        <v>0</v>
      </c>
      <c r="DJ40" s="239">
        <v>-163600</v>
      </c>
      <c r="DK40" s="239">
        <v>0</v>
      </c>
      <c r="DL40" s="239">
        <v>-163600</v>
      </c>
      <c r="DM40" s="239">
        <v>0</v>
      </c>
      <c r="DN40" s="239">
        <v>0</v>
      </c>
      <c r="DO40" s="239">
        <v>0</v>
      </c>
      <c r="DP40" s="239">
        <v>242</v>
      </c>
      <c r="DQ40" s="239">
        <v>0</v>
      </c>
      <c r="DR40" s="239">
        <v>242</v>
      </c>
      <c r="DS40" s="239">
        <v>0</v>
      </c>
      <c r="DT40" s="239">
        <v>0</v>
      </c>
      <c r="DU40" s="239">
        <v>0</v>
      </c>
      <c r="DV40" s="239">
        <v>0</v>
      </c>
      <c r="DW40" s="239">
        <v>0</v>
      </c>
      <c r="DX40" s="239">
        <v>0</v>
      </c>
      <c r="DY40" s="239">
        <v>0</v>
      </c>
      <c r="DZ40" s="239">
        <v>0</v>
      </c>
      <c r="EA40" s="239">
        <v>0</v>
      </c>
      <c r="EB40" s="239">
        <v>4987</v>
      </c>
      <c r="EC40" s="239">
        <v>0</v>
      </c>
      <c r="ED40" s="239">
        <v>4987</v>
      </c>
      <c r="EE40" s="239">
        <v>0</v>
      </c>
      <c r="EF40" s="239">
        <v>0</v>
      </c>
      <c r="EG40" s="239">
        <v>0</v>
      </c>
      <c r="EH40" s="239">
        <v>0</v>
      </c>
      <c r="EI40" s="239">
        <v>0</v>
      </c>
      <c r="EJ40" s="239">
        <v>0</v>
      </c>
      <c r="EK40" s="239">
        <v>-2690</v>
      </c>
      <c r="EL40" s="239">
        <v>0</v>
      </c>
      <c r="EM40" s="239">
        <v>-2690</v>
      </c>
      <c r="EN40" s="239">
        <v>0</v>
      </c>
      <c r="EO40" s="239">
        <v>0</v>
      </c>
      <c r="EP40" s="239">
        <v>0</v>
      </c>
      <c r="EQ40" s="239">
        <v>2539</v>
      </c>
      <c r="ER40" s="239">
        <v>0</v>
      </c>
      <c r="ES40" s="239">
        <v>2539</v>
      </c>
      <c r="ET40" s="239">
        <v>-3059</v>
      </c>
      <c r="EU40" s="239">
        <v>0</v>
      </c>
      <c r="EV40" s="239">
        <v>-3059</v>
      </c>
      <c r="EW40" s="239">
        <v>0</v>
      </c>
      <c r="EX40" s="239">
        <v>0</v>
      </c>
      <c r="EY40" s="239">
        <v>0</v>
      </c>
      <c r="EZ40" s="239">
        <v>-3059</v>
      </c>
      <c r="FA40" s="239">
        <v>0</v>
      </c>
      <c r="FB40" s="239">
        <v>-3059</v>
      </c>
      <c r="FC40" s="239">
        <v>34929329</v>
      </c>
      <c r="FD40" s="239">
        <v>0</v>
      </c>
      <c r="FE40" s="239">
        <v>34929329</v>
      </c>
      <c r="FF40" s="239">
        <v>72473</v>
      </c>
      <c r="FG40" s="239">
        <v>0</v>
      </c>
      <c r="FH40" s="239">
        <v>72473</v>
      </c>
      <c r="FI40" s="239">
        <v>-3777526</v>
      </c>
      <c r="FJ40" s="239">
        <v>0</v>
      </c>
      <c r="FK40" s="239">
        <v>-3777526</v>
      </c>
      <c r="FL40" s="239">
        <v>-708040</v>
      </c>
      <c r="FM40" s="239">
        <v>0</v>
      </c>
      <c r="FN40" s="239">
        <v>-708040</v>
      </c>
      <c r="FO40" s="239">
        <v>-163600</v>
      </c>
      <c r="FP40" s="239">
        <v>0</v>
      </c>
      <c r="FQ40" s="239">
        <v>-163600</v>
      </c>
      <c r="FR40" s="239">
        <v>2539</v>
      </c>
      <c r="FS40" s="239">
        <v>0</v>
      </c>
      <c r="FT40" s="239">
        <v>2539</v>
      </c>
      <c r="FU40" s="239">
        <v>-3059</v>
      </c>
      <c r="FV40" s="239">
        <v>0</v>
      </c>
      <c r="FW40" s="239">
        <v>-3059</v>
      </c>
      <c r="FX40" s="239">
        <v>-4577213</v>
      </c>
      <c r="FY40" s="239">
        <v>0</v>
      </c>
      <c r="FZ40" s="239">
        <v>-4577213</v>
      </c>
      <c r="GA40" s="239">
        <v>30352116</v>
      </c>
      <c r="GB40" s="239">
        <v>0</v>
      </c>
      <c r="GC40" s="239">
        <v>30352116</v>
      </c>
      <c r="GD40" s="214" t="s">
        <v>1190</v>
      </c>
    </row>
    <row r="41" spans="1:186" s="214" customFormat="1" x14ac:dyDescent="0.2">
      <c r="B41" s="609" t="s">
        <v>164</v>
      </c>
      <c r="C41" s="609" t="s">
        <v>163</v>
      </c>
      <c r="D41" s="239">
        <v>0</v>
      </c>
      <c r="E41" s="239">
        <v>0</v>
      </c>
      <c r="F41" s="239">
        <v>0</v>
      </c>
      <c r="G41" s="239">
        <v>8932</v>
      </c>
      <c r="H41" s="239">
        <v>0</v>
      </c>
      <c r="I41" s="239">
        <v>8932</v>
      </c>
      <c r="J41" s="239">
        <v>0</v>
      </c>
      <c r="K41" s="239">
        <v>0</v>
      </c>
      <c r="L41" s="239">
        <v>0</v>
      </c>
      <c r="M41" s="239">
        <v>16901</v>
      </c>
      <c r="N41" s="239">
        <v>0</v>
      </c>
      <c r="O41" s="239">
        <v>16901</v>
      </c>
      <c r="P41" s="239">
        <v>25833</v>
      </c>
      <c r="Q41" s="239">
        <v>0</v>
      </c>
      <c r="R41" s="239">
        <v>25833</v>
      </c>
      <c r="S41" s="239">
        <v>-4658165</v>
      </c>
      <c r="T41" s="239">
        <v>0</v>
      </c>
      <c r="U41" s="239">
        <v>-4658165</v>
      </c>
      <c r="V41" s="239">
        <v>0</v>
      </c>
      <c r="W41" s="239">
        <v>0</v>
      </c>
      <c r="X41" s="239">
        <v>0</v>
      </c>
      <c r="Y41" s="239">
        <v>-253197</v>
      </c>
      <c r="Z41" s="239">
        <v>0</v>
      </c>
      <c r="AA41" s="239">
        <v>-253197</v>
      </c>
      <c r="AB41" s="239">
        <v>-181553</v>
      </c>
      <c r="AC41" s="239">
        <v>0</v>
      </c>
      <c r="AD41" s="239">
        <v>-181553</v>
      </c>
      <c r="AE41" s="239">
        <v>0</v>
      </c>
      <c r="AF41" s="239">
        <v>0</v>
      </c>
      <c r="AG41" s="239">
        <v>0</v>
      </c>
      <c r="AH41" s="239">
        <v>2214562</v>
      </c>
      <c r="AI41" s="239">
        <v>0</v>
      </c>
      <c r="AJ41" s="239">
        <v>2214562</v>
      </c>
      <c r="AK41" s="239">
        <v>-24164</v>
      </c>
      <c r="AL41" s="239">
        <v>0</v>
      </c>
      <c r="AM41" s="239">
        <v>-24164</v>
      </c>
      <c r="AN41" s="239">
        <v>-8995052</v>
      </c>
      <c r="AO41" s="239">
        <v>0</v>
      </c>
      <c r="AP41" s="239">
        <v>-8995052</v>
      </c>
      <c r="AQ41" s="239">
        <v>-39543</v>
      </c>
      <c r="AR41" s="239">
        <v>0</v>
      </c>
      <c r="AS41" s="239">
        <v>-39543</v>
      </c>
      <c r="AT41" s="239">
        <v>-186654</v>
      </c>
      <c r="AU41" s="239">
        <v>0</v>
      </c>
      <c r="AV41" s="239">
        <v>-186654</v>
      </c>
      <c r="AW41" s="239">
        <v>-3727</v>
      </c>
      <c r="AX41" s="239">
        <v>0</v>
      </c>
      <c r="AY41" s="239">
        <v>-3727</v>
      </c>
      <c r="AZ41" s="239">
        <v>0</v>
      </c>
      <c r="BA41" s="239">
        <v>0</v>
      </c>
      <c r="BB41" s="239">
        <v>0</v>
      </c>
      <c r="BC41" s="239">
        <v>0</v>
      </c>
      <c r="BD41" s="239">
        <v>0</v>
      </c>
      <c r="BE41" s="239">
        <v>0</v>
      </c>
      <c r="BF41" s="239">
        <v>-11945940</v>
      </c>
      <c r="BG41" s="239">
        <v>0</v>
      </c>
      <c r="BH41" s="239">
        <v>-11945940</v>
      </c>
      <c r="BI41" s="239">
        <v>-2416</v>
      </c>
      <c r="BJ41" s="239">
        <v>0</v>
      </c>
      <c r="BK41" s="239">
        <v>-2416</v>
      </c>
      <c r="BL41" s="239">
        <v>-470</v>
      </c>
      <c r="BM41" s="239">
        <v>0</v>
      </c>
      <c r="BN41" s="239">
        <v>-470</v>
      </c>
      <c r="BO41" s="239">
        <v>-2807493</v>
      </c>
      <c r="BP41" s="239">
        <v>0</v>
      </c>
      <c r="BQ41" s="239">
        <v>-2807493</v>
      </c>
      <c r="BR41" s="239">
        <v>117446</v>
      </c>
      <c r="BS41" s="239">
        <v>0</v>
      </c>
      <c r="BT41" s="239">
        <v>117446</v>
      </c>
      <c r="BU41" s="239">
        <v>-2692933</v>
      </c>
      <c r="BV41" s="239">
        <v>0</v>
      </c>
      <c r="BW41" s="239">
        <v>-2692933</v>
      </c>
      <c r="BX41" s="239">
        <v>-211201</v>
      </c>
      <c r="BY41" s="239">
        <v>0</v>
      </c>
      <c r="BZ41" s="239">
        <v>-211201</v>
      </c>
      <c r="CA41" s="239">
        <v>2262</v>
      </c>
      <c r="CB41" s="239">
        <v>0</v>
      </c>
      <c r="CC41" s="239">
        <v>2262</v>
      </c>
      <c r="CD41" s="239">
        <v>-303101</v>
      </c>
      <c r="CE41" s="239">
        <v>0</v>
      </c>
      <c r="CF41" s="239">
        <v>-303101</v>
      </c>
      <c r="CG41" s="239">
        <v>-7200</v>
      </c>
      <c r="CH41" s="239">
        <v>0</v>
      </c>
      <c r="CI41" s="239">
        <v>-7200</v>
      </c>
      <c r="CJ41" s="239">
        <v>-46664</v>
      </c>
      <c r="CK41" s="239">
        <v>0</v>
      </c>
      <c r="CL41" s="239">
        <v>-46664</v>
      </c>
      <c r="CM41" s="239">
        <v>-932</v>
      </c>
      <c r="CN41" s="239">
        <v>0</v>
      </c>
      <c r="CO41" s="239">
        <v>-932</v>
      </c>
      <c r="CP41" s="239">
        <v>0</v>
      </c>
      <c r="CQ41" s="239">
        <v>0</v>
      </c>
      <c r="CR41" s="239">
        <v>0</v>
      </c>
      <c r="CS41" s="239">
        <v>0</v>
      </c>
      <c r="CT41" s="239">
        <v>0</v>
      </c>
      <c r="CU41" s="239">
        <v>0</v>
      </c>
      <c r="CV41" s="239">
        <v>0</v>
      </c>
      <c r="CW41" s="239">
        <v>0</v>
      </c>
      <c r="CX41" s="239">
        <v>0</v>
      </c>
      <c r="CY41" s="239">
        <v>0</v>
      </c>
      <c r="CZ41" s="239">
        <v>0</v>
      </c>
      <c r="DA41" s="239">
        <v>0</v>
      </c>
      <c r="DB41" s="239">
        <v>0</v>
      </c>
      <c r="DC41" s="239">
        <v>0</v>
      </c>
      <c r="DD41" s="239">
        <v>0</v>
      </c>
      <c r="DE41" s="239">
        <v>0</v>
      </c>
      <c r="DF41" s="239">
        <v>0</v>
      </c>
      <c r="DG41" s="239">
        <v>0</v>
      </c>
      <c r="DH41" s="239">
        <v>0</v>
      </c>
      <c r="DI41" s="239">
        <v>0</v>
      </c>
      <c r="DJ41" s="239">
        <v>-566836</v>
      </c>
      <c r="DK41" s="239">
        <v>0</v>
      </c>
      <c r="DL41" s="239">
        <v>-566836</v>
      </c>
      <c r="DM41" s="239">
        <v>0</v>
      </c>
      <c r="DN41" s="239">
        <v>0</v>
      </c>
      <c r="DO41" s="239">
        <v>0</v>
      </c>
      <c r="DP41" s="239">
        <v>0</v>
      </c>
      <c r="DQ41" s="239">
        <v>0</v>
      </c>
      <c r="DR41" s="239">
        <v>0</v>
      </c>
      <c r="DS41" s="239">
        <v>-52302</v>
      </c>
      <c r="DT41" s="239">
        <v>0</v>
      </c>
      <c r="DU41" s="239">
        <v>-52302</v>
      </c>
      <c r="DV41" s="239">
        <v>-27744</v>
      </c>
      <c r="DW41" s="239">
        <v>0</v>
      </c>
      <c r="DX41" s="239">
        <v>-27744</v>
      </c>
      <c r="DY41" s="239">
        <v>0</v>
      </c>
      <c r="DZ41" s="239">
        <v>0</v>
      </c>
      <c r="EA41" s="239">
        <v>0</v>
      </c>
      <c r="EB41" s="239">
        <v>1466</v>
      </c>
      <c r="EC41" s="239">
        <v>0</v>
      </c>
      <c r="ED41" s="239">
        <v>1466</v>
      </c>
      <c r="EE41" s="239">
        <v>0</v>
      </c>
      <c r="EF41" s="239">
        <v>0</v>
      </c>
      <c r="EG41" s="239">
        <v>0</v>
      </c>
      <c r="EH41" s="239">
        <v>0</v>
      </c>
      <c r="EI41" s="239">
        <v>0</v>
      </c>
      <c r="EJ41" s="239">
        <v>0</v>
      </c>
      <c r="EK41" s="239">
        <v>0</v>
      </c>
      <c r="EL41" s="239">
        <v>0</v>
      </c>
      <c r="EM41" s="239">
        <v>0</v>
      </c>
      <c r="EN41" s="239">
        <v>2289</v>
      </c>
      <c r="EO41" s="239">
        <v>0</v>
      </c>
      <c r="EP41" s="239">
        <v>2289</v>
      </c>
      <c r="EQ41" s="239">
        <v>-76291</v>
      </c>
      <c r="ER41" s="239">
        <v>0</v>
      </c>
      <c r="ES41" s="239">
        <v>-76291</v>
      </c>
      <c r="ET41" s="239">
        <v>0</v>
      </c>
      <c r="EU41" s="239">
        <v>0</v>
      </c>
      <c r="EV41" s="239">
        <v>0</v>
      </c>
      <c r="EW41" s="239">
        <v>0</v>
      </c>
      <c r="EX41" s="239">
        <v>0</v>
      </c>
      <c r="EY41" s="239">
        <v>0</v>
      </c>
      <c r="EZ41" s="239">
        <v>0</v>
      </c>
      <c r="FA41" s="239">
        <v>0</v>
      </c>
      <c r="FB41" s="239">
        <v>0</v>
      </c>
      <c r="FC41" s="239">
        <v>101337218</v>
      </c>
      <c r="FD41" s="239">
        <v>0</v>
      </c>
      <c r="FE41" s="239">
        <v>101337218</v>
      </c>
      <c r="FF41" s="239">
        <v>25833</v>
      </c>
      <c r="FG41" s="239">
        <v>0</v>
      </c>
      <c r="FH41" s="239">
        <v>25833</v>
      </c>
      <c r="FI41" s="239">
        <v>-11945940</v>
      </c>
      <c r="FJ41" s="239">
        <v>0</v>
      </c>
      <c r="FK41" s="239">
        <v>-11945940</v>
      </c>
      <c r="FL41" s="239">
        <v>-2692933</v>
      </c>
      <c r="FM41" s="239">
        <v>0</v>
      </c>
      <c r="FN41" s="239">
        <v>-2692933</v>
      </c>
      <c r="FO41" s="239">
        <v>-566836</v>
      </c>
      <c r="FP41" s="239">
        <v>0</v>
      </c>
      <c r="FQ41" s="239">
        <v>-566836</v>
      </c>
      <c r="FR41" s="239">
        <v>-76291</v>
      </c>
      <c r="FS41" s="239">
        <v>0</v>
      </c>
      <c r="FT41" s="239">
        <v>-76291</v>
      </c>
      <c r="FU41" s="239">
        <v>0</v>
      </c>
      <c r="FV41" s="239">
        <v>0</v>
      </c>
      <c r="FW41" s="239">
        <v>0</v>
      </c>
      <c r="FX41" s="239">
        <v>-15256167</v>
      </c>
      <c r="FY41" s="239">
        <v>0</v>
      </c>
      <c r="FZ41" s="239">
        <v>-15256167</v>
      </c>
      <c r="GA41" s="239">
        <v>86081051</v>
      </c>
      <c r="GB41" s="239">
        <v>0</v>
      </c>
      <c r="GC41" s="239">
        <v>86081051</v>
      </c>
      <c r="GD41" s="214" t="s">
        <v>1191</v>
      </c>
    </row>
    <row r="42" spans="1:186" s="214" customFormat="1" x14ac:dyDescent="0.2">
      <c r="B42" s="609" t="s">
        <v>166</v>
      </c>
      <c r="C42" s="609" t="s">
        <v>165</v>
      </c>
      <c r="D42" s="239">
        <v>0</v>
      </c>
      <c r="E42" s="239">
        <v>0</v>
      </c>
      <c r="F42" s="239">
        <v>0</v>
      </c>
      <c r="G42" s="239">
        <v>114335</v>
      </c>
      <c r="H42" s="239">
        <v>0</v>
      </c>
      <c r="I42" s="239">
        <v>114335</v>
      </c>
      <c r="J42" s="239">
        <v>0</v>
      </c>
      <c r="K42" s="239">
        <v>0</v>
      </c>
      <c r="L42" s="239">
        <v>0</v>
      </c>
      <c r="M42" s="239">
        <v>322329</v>
      </c>
      <c r="N42" s="239">
        <v>0</v>
      </c>
      <c r="O42" s="239">
        <v>322329</v>
      </c>
      <c r="P42" s="239">
        <v>436664</v>
      </c>
      <c r="Q42" s="239">
        <v>0</v>
      </c>
      <c r="R42" s="239">
        <v>436664</v>
      </c>
      <c r="S42" s="239">
        <v>-2285649</v>
      </c>
      <c r="T42" s="239">
        <v>0</v>
      </c>
      <c r="U42" s="239">
        <v>-2285649</v>
      </c>
      <c r="V42" s="239">
        <v>0</v>
      </c>
      <c r="W42" s="239">
        <v>0</v>
      </c>
      <c r="X42" s="239">
        <v>0</v>
      </c>
      <c r="Y42" s="239">
        <v>-157857</v>
      </c>
      <c r="Z42" s="239">
        <v>0</v>
      </c>
      <c r="AA42" s="239">
        <v>-157857</v>
      </c>
      <c r="AB42" s="239">
        <v>-126519</v>
      </c>
      <c r="AC42" s="239">
        <v>0</v>
      </c>
      <c r="AD42" s="239">
        <v>-126519</v>
      </c>
      <c r="AE42" s="239">
        <v>0</v>
      </c>
      <c r="AF42" s="239">
        <v>0</v>
      </c>
      <c r="AG42" s="239">
        <v>0</v>
      </c>
      <c r="AH42" s="239">
        <v>720338</v>
      </c>
      <c r="AI42" s="239">
        <v>0</v>
      </c>
      <c r="AJ42" s="239">
        <v>720338</v>
      </c>
      <c r="AK42" s="239">
        <v>-13033</v>
      </c>
      <c r="AL42" s="239">
        <v>0</v>
      </c>
      <c r="AM42" s="239">
        <v>-13033</v>
      </c>
      <c r="AN42" s="239">
        <v>-2161426</v>
      </c>
      <c r="AO42" s="239">
        <v>0</v>
      </c>
      <c r="AP42" s="239">
        <v>-2161426</v>
      </c>
      <c r="AQ42" s="239">
        <v>-2425</v>
      </c>
      <c r="AR42" s="239">
        <v>0</v>
      </c>
      <c r="AS42" s="239">
        <v>-2425</v>
      </c>
      <c r="AT42" s="239">
        <v>-15984</v>
      </c>
      <c r="AU42" s="239">
        <v>0</v>
      </c>
      <c r="AV42" s="239">
        <v>-15984</v>
      </c>
      <c r="AW42" s="239">
        <v>0</v>
      </c>
      <c r="AX42" s="239">
        <v>0</v>
      </c>
      <c r="AY42" s="239">
        <v>0</v>
      </c>
      <c r="AZ42" s="239">
        <v>-1673</v>
      </c>
      <c r="BA42" s="239">
        <v>0</v>
      </c>
      <c r="BB42" s="239">
        <v>-1673</v>
      </c>
      <c r="BC42" s="239">
        <v>0</v>
      </c>
      <c r="BD42" s="239">
        <v>0</v>
      </c>
      <c r="BE42" s="239">
        <v>0</v>
      </c>
      <c r="BF42" s="239">
        <v>-3917709</v>
      </c>
      <c r="BG42" s="239">
        <v>0</v>
      </c>
      <c r="BH42" s="239">
        <v>-3917709</v>
      </c>
      <c r="BI42" s="239">
        <v>-109710</v>
      </c>
      <c r="BJ42" s="239">
        <v>0</v>
      </c>
      <c r="BK42" s="239">
        <v>-109710</v>
      </c>
      <c r="BL42" s="239">
        <v>-4450</v>
      </c>
      <c r="BM42" s="239">
        <v>0</v>
      </c>
      <c r="BN42" s="239">
        <v>-4450</v>
      </c>
      <c r="BO42" s="239">
        <v>-1092009</v>
      </c>
      <c r="BP42" s="239">
        <v>0</v>
      </c>
      <c r="BQ42" s="239">
        <v>-1092009</v>
      </c>
      <c r="BR42" s="239">
        <v>-60817</v>
      </c>
      <c r="BS42" s="239">
        <v>0</v>
      </c>
      <c r="BT42" s="239">
        <v>-60817</v>
      </c>
      <c r="BU42" s="239">
        <v>-1266986</v>
      </c>
      <c r="BV42" s="239">
        <v>0</v>
      </c>
      <c r="BW42" s="239">
        <v>-1266986</v>
      </c>
      <c r="BX42" s="239">
        <v>-33883</v>
      </c>
      <c r="BY42" s="239">
        <v>0</v>
      </c>
      <c r="BZ42" s="239">
        <v>-33883</v>
      </c>
      <c r="CA42" s="239">
        <v>-222</v>
      </c>
      <c r="CB42" s="239">
        <v>0</v>
      </c>
      <c r="CC42" s="239">
        <v>-222</v>
      </c>
      <c r="CD42" s="239">
        <v>-56585</v>
      </c>
      <c r="CE42" s="239">
        <v>0</v>
      </c>
      <c r="CF42" s="239">
        <v>-56585</v>
      </c>
      <c r="CG42" s="239">
        <v>0</v>
      </c>
      <c r="CH42" s="239">
        <v>0</v>
      </c>
      <c r="CI42" s="239">
        <v>0</v>
      </c>
      <c r="CJ42" s="239">
        <v>-258</v>
      </c>
      <c r="CK42" s="239">
        <v>0</v>
      </c>
      <c r="CL42" s="239">
        <v>-258</v>
      </c>
      <c r="CM42" s="239">
        <v>0</v>
      </c>
      <c r="CN42" s="239">
        <v>0</v>
      </c>
      <c r="CO42" s="239">
        <v>0</v>
      </c>
      <c r="CP42" s="239">
        <v>-994</v>
      </c>
      <c r="CQ42" s="239">
        <v>0</v>
      </c>
      <c r="CR42" s="239">
        <v>-994</v>
      </c>
      <c r="CS42" s="239">
        <v>0</v>
      </c>
      <c r="CT42" s="239">
        <v>0</v>
      </c>
      <c r="CU42" s="239">
        <v>0</v>
      </c>
      <c r="CV42" s="239">
        <v>0</v>
      </c>
      <c r="CW42" s="239">
        <v>0</v>
      </c>
      <c r="CX42" s="239">
        <v>0</v>
      </c>
      <c r="CY42" s="239">
        <v>0</v>
      </c>
      <c r="CZ42" s="239">
        <v>0</v>
      </c>
      <c r="DA42" s="239">
        <v>0</v>
      </c>
      <c r="DB42" s="239">
        <v>0</v>
      </c>
      <c r="DC42" s="239">
        <v>0</v>
      </c>
      <c r="DD42" s="239">
        <v>0</v>
      </c>
      <c r="DE42" s="239">
        <v>0</v>
      </c>
      <c r="DF42" s="239">
        <v>0</v>
      </c>
      <c r="DG42" s="239">
        <v>0</v>
      </c>
      <c r="DH42" s="239">
        <v>0</v>
      </c>
      <c r="DI42" s="239">
        <v>0</v>
      </c>
      <c r="DJ42" s="239">
        <v>-91942</v>
      </c>
      <c r="DK42" s="239">
        <v>0</v>
      </c>
      <c r="DL42" s="239">
        <v>-91942</v>
      </c>
      <c r="DM42" s="239">
        <v>-2138</v>
      </c>
      <c r="DN42" s="239">
        <v>0</v>
      </c>
      <c r="DO42" s="239">
        <v>-2138</v>
      </c>
      <c r="DP42" s="239">
        <v>10803</v>
      </c>
      <c r="DQ42" s="239">
        <v>0</v>
      </c>
      <c r="DR42" s="239">
        <v>10803</v>
      </c>
      <c r="DS42" s="239">
        <v>-16354</v>
      </c>
      <c r="DT42" s="239">
        <v>0</v>
      </c>
      <c r="DU42" s="239">
        <v>-16354</v>
      </c>
      <c r="DV42" s="239">
        <v>-9759</v>
      </c>
      <c r="DW42" s="239">
        <v>0</v>
      </c>
      <c r="DX42" s="239">
        <v>-9759</v>
      </c>
      <c r="DY42" s="239">
        <v>0</v>
      </c>
      <c r="DZ42" s="239">
        <v>0</v>
      </c>
      <c r="EA42" s="239">
        <v>0</v>
      </c>
      <c r="EB42" s="239">
        <v>-837</v>
      </c>
      <c r="EC42" s="239">
        <v>0</v>
      </c>
      <c r="ED42" s="239">
        <v>-837</v>
      </c>
      <c r="EE42" s="239">
        <v>0</v>
      </c>
      <c r="EF42" s="239">
        <v>0</v>
      </c>
      <c r="EG42" s="239">
        <v>0</v>
      </c>
      <c r="EH42" s="239">
        <v>0</v>
      </c>
      <c r="EI42" s="239">
        <v>0</v>
      </c>
      <c r="EJ42" s="239">
        <v>0</v>
      </c>
      <c r="EK42" s="239">
        <v>-5160</v>
      </c>
      <c r="EL42" s="239">
        <v>0</v>
      </c>
      <c r="EM42" s="239">
        <v>-5160</v>
      </c>
      <c r="EN42" s="239">
        <v>169</v>
      </c>
      <c r="EO42" s="239">
        <v>0</v>
      </c>
      <c r="EP42" s="239">
        <v>169</v>
      </c>
      <c r="EQ42" s="239">
        <v>-23276</v>
      </c>
      <c r="ER42" s="239">
        <v>0</v>
      </c>
      <c r="ES42" s="239">
        <v>-23276</v>
      </c>
      <c r="ET42" s="239">
        <v>0</v>
      </c>
      <c r="EU42" s="239">
        <v>0</v>
      </c>
      <c r="EV42" s="239">
        <v>0</v>
      </c>
      <c r="EW42" s="239">
        <v>0</v>
      </c>
      <c r="EX42" s="239">
        <v>0</v>
      </c>
      <c r="EY42" s="239">
        <v>0</v>
      </c>
      <c r="EZ42" s="239">
        <v>0</v>
      </c>
      <c r="FA42" s="239">
        <v>0</v>
      </c>
      <c r="FB42" s="239">
        <v>0</v>
      </c>
      <c r="FC42" s="239">
        <v>32756882</v>
      </c>
      <c r="FD42" s="239">
        <v>0</v>
      </c>
      <c r="FE42" s="239">
        <v>32756882</v>
      </c>
      <c r="FF42" s="239">
        <v>436664</v>
      </c>
      <c r="FG42" s="239">
        <v>0</v>
      </c>
      <c r="FH42" s="239">
        <v>436664</v>
      </c>
      <c r="FI42" s="239">
        <v>-3917709</v>
      </c>
      <c r="FJ42" s="239">
        <v>0</v>
      </c>
      <c r="FK42" s="239">
        <v>-3917709</v>
      </c>
      <c r="FL42" s="239">
        <v>-1266986</v>
      </c>
      <c r="FM42" s="239">
        <v>0</v>
      </c>
      <c r="FN42" s="239">
        <v>-1266986</v>
      </c>
      <c r="FO42" s="239">
        <v>-91942</v>
      </c>
      <c r="FP42" s="239">
        <v>0</v>
      </c>
      <c r="FQ42" s="239">
        <v>-91942</v>
      </c>
      <c r="FR42" s="239">
        <v>-23276</v>
      </c>
      <c r="FS42" s="239">
        <v>0</v>
      </c>
      <c r="FT42" s="239">
        <v>-23276</v>
      </c>
      <c r="FU42" s="239">
        <v>0</v>
      </c>
      <c r="FV42" s="239">
        <v>0</v>
      </c>
      <c r="FW42" s="239">
        <v>0</v>
      </c>
      <c r="FX42" s="239">
        <v>-4863249</v>
      </c>
      <c r="FY42" s="239">
        <v>0</v>
      </c>
      <c r="FZ42" s="239">
        <v>-4863249</v>
      </c>
      <c r="GA42" s="239">
        <v>27893633</v>
      </c>
      <c r="GB42" s="239">
        <v>0</v>
      </c>
      <c r="GC42" s="239">
        <v>27893633</v>
      </c>
      <c r="GD42" s="214" t="s">
        <v>1190</v>
      </c>
    </row>
    <row r="43" spans="1:186" s="214" customFormat="1" x14ac:dyDescent="0.2">
      <c r="B43" s="609" t="s">
        <v>168</v>
      </c>
      <c r="C43" s="609" t="s">
        <v>167</v>
      </c>
      <c r="D43" s="239">
        <v>0</v>
      </c>
      <c r="E43" s="239">
        <v>0</v>
      </c>
      <c r="F43" s="239">
        <v>0</v>
      </c>
      <c r="G43" s="239">
        <v>2673183</v>
      </c>
      <c r="H43" s="239">
        <v>0</v>
      </c>
      <c r="I43" s="239">
        <v>2673183</v>
      </c>
      <c r="J43" s="239">
        <v>0</v>
      </c>
      <c r="K43" s="239">
        <v>0</v>
      </c>
      <c r="L43" s="239">
        <v>0</v>
      </c>
      <c r="M43" s="239">
        <v>133043</v>
      </c>
      <c r="N43" s="239">
        <v>0</v>
      </c>
      <c r="O43" s="239">
        <v>133043</v>
      </c>
      <c r="P43" s="239">
        <v>2806226</v>
      </c>
      <c r="Q43" s="239">
        <v>0</v>
      </c>
      <c r="R43" s="239">
        <v>2806226</v>
      </c>
      <c r="S43" s="239">
        <v>-1498079</v>
      </c>
      <c r="T43" s="239">
        <v>0</v>
      </c>
      <c r="U43" s="239">
        <v>-1498079</v>
      </c>
      <c r="V43" s="239">
        <v>0</v>
      </c>
      <c r="W43" s="239">
        <v>0</v>
      </c>
      <c r="X43" s="239">
        <v>0</v>
      </c>
      <c r="Y43" s="239">
        <v>-108963</v>
      </c>
      <c r="Z43" s="239">
        <v>0</v>
      </c>
      <c r="AA43" s="239">
        <v>-108963</v>
      </c>
      <c r="AB43" s="239">
        <v>-75817</v>
      </c>
      <c r="AC43" s="239">
        <v>0</v>
      </c>
      <c r="AD43" s="239">
        <v>-75817</v>
      </c>
      <c r="AE43" s="239">
        <v>0</v>
      </c>
      <c r="AF43" s="239">
        <v>0</v>
      </c>
      <c r="AG43" s="239">
        <v>0</v>
      </c>
      <c r="AH43" s="239">
        <v>1142126</v>
      </c>
      <c r="AI43" s="239">
        <v>0</v>
      </c>
      <c r="AJ43" s="239">
        <v>1142126</v>
      </c>
      <c r="AK43" s="239">
        <v>-97193</v>
      </c>
      <c r="AL43" s="239">
        <v>0</v>
      </c>
      <c r="AM43" s="239">
        <v>-97193</v>
      </c>
      <c r="AN43" s="239">
        <v>-2152909</v>
      </c>
      <c r="AO43" s="239">
        <v>0</v>
      </c>
      <c r="AP43" s="239">
        <v>-2152909</v>
      </c>
      <c r="AQ43" s="239">
        <v>197135</v>
      </c>
      <c r="AR43" s="239">
        <v>0</v>
      </c>
      <c r="AS43" s="239">
        <v>197135</v>
      </c>
      <c r="AT43" s="239">
        <v>-74411</v>
      </c>
      <c r="AU43" s="239">
        <v>0</v>
      </c>
      <c r="AV43" s="239">
        <v>-74411</v>
      </c>
      <c r="AW43" s="239">
        <v>0</v>
      </c>
      <c r="AX43" s="239">
        <v>0</v>
      </c>
      <c r="AY43" s="239">
        <v>0</v>
      </c>
      <c r="AZ43" s="239">
        <v>0</v>
      </c>
      <c r="BA43" s="239">
        <v>0</v>
      </c>
      <c r="BB43" s="239">
        <v>0</v>
      </c>
      <c r="BC43" s="239">
        <v>0</v>
      </c>
      <c r="BD43" s="239">
        <v>0</v>
      </c>
      <c r="BE43" s="239">
        <v>0</v>
      </c>
      <c r="BF43" s="239">
        <v>-2592294</v>
      </c>
      <c r="BG43" s="239">
        <v>0</v>
      </c>
      <c r="BH43" s="239">
        <v>-2592294</v>
      </c>
      <c r="BI43" s="239">
        <v>-125665</v>
      </c>
      <c r="BJ43" s="239">
        <v>0</v>
      </c>
      <c r="BK43" s="239">
        <v>-125665</v>
      </c>
      <c r="BL43" s="239">
        <v>26602</v>
      </c>
      <c r="BM43" s="239">
        <v>0</v>
      </c>
      <c r="BN43" s="239">
        <v>26602</v>
      </c>
      <c r="BO43" s="239">
        <v>-417904</v>
      </c>
      <c r="BP43" s="239">
        <v>0</v>
      </c>
      <c r="BQ43" s="239">
        <v>-417904</v>
      </c>
      <c r="BR43" s="239">
        <v>88339</v>
      </c>
      <c r="BS43" s="239">
        <v>0</v>
      </c>
      <c r="BT43" s="239">
        <v>88339</v>
      </c>
      <c r="BU43" s="239">
        <v>-428628</v>
      </c>
      <c r="BV43" s="239">
        <v>0</v>
      </c>
      <c r="BW43" s="239">
        <v>-428628</v>
      </c>
      <c r="BX43" s="239">
        <v>-57937</v>
      </c>
      <c r="BY43" s="239">
        <v>0</v>
      </c>
      <c r="BZ43" s="239">
        <v>-57937</v>
      </c>
      <c r="CA43" s="239">
        <v>0</v>
      </c>
      <c r="CB43" s="239">
        <v>0</v>
      </c>
      <c r="CC43" s="239">
        <v>0</v>
      </c>
      <c r="CD43" s="239">
        <v>-7892</v>
      </c>
      <c r="CE43" s="239">
        <v>0</v>
      </c>
      <c r="CF43" s="239">
        <v>-7892</v>
      </c>
      <c r="CG43" s="239">
        <v>-2337</v>
      </c>
      <c r="CH43" s="239">
        <v>0</v>
      </c>
      <c r="CI43" s="239">
        <v>-2337</v>
      </c>
      <c r="CJ43" s="239">
        <v>-16165</v>
      </c>
      <c r="CK43" s="239">
        <v>0</v>
      </c>
      <c r="CL43" s="239">
        <v>-16165</v>
      </c>
      <c r="CM43" s="239">
        <v>0</v>
      </c>
      <c r="CN43" s="239">
        <v>0</v>
      </c>
      <c r="CO43" s="239">
        <v>0</v>
      </c>
      <c r="CP43" s="239">
        <v>0</v>
      </c>
      <c r="CQ43" s="239">
        <v>0</v>
      </c>
      <c r="CR43" s="239">
        <v>0</v>
      </c>
      <c r="CS43" s="239">
        <v>0</v>
      </c>
      <c r="CT43" s="239">
        <v>0</v>
      </c>
      <c r="CU43" s="239">
        <v>0</v>
      </c>
      <c r="CV43" s="239">
        <v>0</v>
      </c>
      <c r="CW43" s="239">
        <v>0</v>
      </c>
      <c r="CX43" s="239">
        <v>0</v>
      </c>
      <c r="CY43" s="239">
        <v>0</v>
      </c>
      <c r="CZ43" s="239">
        <v>0</v>
      </c>
      <c r="DA43" s="239">
        <v>0</v>
      </c>
      <c r="DB43" s="239">
        <v>0</v>
      </c>
      <c r="DC43" s="239">
        <v>0</v>
      </c>
      <c r="DD43" s="239">
        <v>0</v>
      </c>
      <c r="DE43" s="239">
        <v>-834</v>
      </c>
      <c r="DF43" s="239">
        <v>0</v>
      </c>
      <c r="DG43" s="239">
        <v>-834</v>
      </c>
      <c r="DH43" s="239">
        <v>0</v>
      </c>
      <c r="DI43" s="239">
        <v>0</v>
      </c>
      <c r="DJ43" s="239">
        <v>-85165</v>
      </c>
      <c r="DK43" s="239">
        <v>0</v>
      </c>
      <c r="DL43" s="239">
        <v>-85165</v>
      </c>
      <c r="DM43" s="239">
        <v>-334</v>
      </c>
      <c r="DN43" s="239">
        <v>0</v>
      </c>
      <c r="DO43" s="239">
        <v>-334</v>
      </c>
      <c r="DP43" s="239">
        <v>0</v>
      </c>
      <c r="DQ43" s="239">
        <v>0</v>
      </c>
      <c r="DR43" s="239">
        <v>0</v>
      </c>
      <c r="DS43" s="239">
        <v>-12780</v>
      </c>
      <c r="DT43" s="239">
        <v>0</v>
      </c>
      <c r="DU43" s="239">
        <v>-12780</v>
      </c>
      <c r="DV43" s="239">
        <v>404</v>
      </c>
      <c r="DW43" s="239">
        <v>0</v>
      </c>
      <c r="DX43" s="239">
        <v>404</v>
      </c>
      <c r="DY43" s="239">
        <v>0</v>
      </c>
      <c r="DZ43" s="239">
        <v>0</v>
      </c>
      <c r="EA43" s="239">
        <v>0</v>
      </c>
      <c r="EB43" s="239">
        <v>3337</v>
      </c>
      <c r="EC43" s="239">
        <v>0</v>
      </c>
      <c r="ED43" s="239">
        <v>3337</v>
      </c>
      <c r="EE43" s="239">
        <v>0</v>
      </c>
      <c r="EF43" s="239">
        <v>0</v>
      </c>
      <c r="EG43" s="239">
        <v>0</v>
      </c>
      <c r="EH43" s="239">
        <v>0</v>
      </c>
      <c r="EI43" s="239">
        <v>0</v>
      </c>
      <c r="EJ43" s="239">
        <v>0</v>
      </c>
      <c r="EK43" s="239">
        <v>0</v>
      </c>
      <c r="EL43" s="239">
        <v>0</v>
      </c>
      <c r="EM43" s="239">
        <v>0</v>
      </c>
      <c r="EN43" s="239">
        <v>-834</v>
      </c>
      <c r="EO43" s="239">
        <v>0</v>
      </c>
      <c r="EP43" s="239">
        <v>-834</v>
      </c>
      <c r="EQ43" s="239">
        <v>-10207</v>
      </c>
      <c r="ER43" s="239">
        <v>0</v>
      </c>
      <c r="ES43" s="239">
        <v>-10207</v>
      </c>
      <c r="ET43" s="239">
        <v>0</v>
      </c>
      <c r="EU43" s="239">
        <v>0</v>
      </c>
      <c r="EV43" s="239">
        <v>0</v>
      </c>
      <c r="EW43" s="239">
        <v>1880</v>
      </c>
      <c r="EX43" s="239">
        <v>0</v>
      </c>
      <c r="EY43" s="239">
        <v>1880</v>
      </c>
      <c r="EZ43" s="239">
        <v>1880</v>
      </c>
      <c r="FA43" s="239">
        <v>0</v>
      </c>
      <c r="FB43" s="239">
        <v>1880</v>
      </c>
      <c r="FC43" s="239">
        <v>40438938</v>
      </c>
      <c r="FD43" s="239">
        <v>0</v>
      </c>
      <c r="FE43" s="239">
        <v>40438938</v>
      </c>
      <c r="FF43" s="239">
        <v>2806226</v>
      </c>
      <c r="FG43" s="239">
        <v>0</v>
      </c>
      <c r="FH43" s="239">
        <v>2806226</v>
      </c>
      <c r="FI43" s="239">
        <v>-2592294</v>
      </c>
      <c r="FJ43" s="239">
        <v>0</v>
      </c>
      <c r="FK43" s="239">
        <v>-2592294</v>
      </c>
      <c r="FL43" s="239">
        <v>-428628</v>
      </c>
      <c r="FM43" s="239">
        <v>0</v>
      </c>
      <c r="FN43" s="239">
        <v>-428628</v>
      </c>
      <c r="FO43" s="239">
        <v>-85165</v>
      </c>
      <c r="FP43" s="239">
        <v>0</v>
      </c>
      <c r="FQ43" s="239">
        <v>-85165</v>
      </c>
      <c r="FR43" s="239">
        <v>-10207</v>
      </c>
      <c r="FS43" s="239">
        <v>0</v>
      </c>
      <c r="FT43" s="239">
        <v>-10207</v>
      </c>
      <c r="FU43" s="239">
        <v>1880</v>
      </c>
      <c r="FV43" s="239">
        <v>0</v>
      </c>
      <c r="FW43" s="239">
        <v>1880</v>
      </c>
      <c r="FX43" s="239">
        <v>-308188</v>
      </c>
      <c r="FY43" s="239">
        <v>0</v>
      </c>
      <c r="FZ43" s="239">
        <v>-308188</v>
      </c>
      <c r="GA43" s="239">
        <v>40130750</v>
      </c>
      <c r="GB43" s="239">
        <v>0</v>
      </c>
      <c r="GC43" s="239">
        <v>40130750</v>
      </c>
      <c r="GD43" s="214" t="s">
        <v>1190</v>
      </c>
    </row>
    <row r="44" spans="1:186" s="214" customFormat="1" x14ac:dyDescent="0.2">
      <c r="A44" s="215" t="s">
        <v>1211</v>
      </c>
      <c r="B44" s="609" t="s">
        <v>170</v>
      </c>
      <c r="C44" s="609" t="s">
        <v>169</v>
      </c>
      <c r="D44" s="239">
        <v>0</v>
      </c>
      <c r="E44" s="239">
        <v>0</v>
      </c>
      <c r="F44" s="239">
        <v>0</v>
      </c>
      <c r="G44" s="239">
        <v>11</v>
      </c>
      <c r="H44" s="239">
        <v>0</v>
      </c>
      <c r="I44" s="239">
        <v>11</v>
      </c>
      <c r="J44" s="239">
        <v>0</v>
      </c>
      <c r="K44" s="239">
        <v>0</v>
      </c>
      <c r="L44" s="239">
        <v>0</v>
      </c>
      <c r="M44" s="239">
        <v>-9166</v>
      </c>
      <c r="N44" s="239">
        <v>0</v>
      </c>
      <c r="O44" s="239">
        <v>-9166</v>
      </c>
      <c r="P44" s="239">
        <v>-9155</v>
      </c>
      <c r="Q44" s="239">
        <v>0</v>
      </c>
      <c r="R44" s="239">
        <v>-9155</v>
      </c>
      <c r="S44" s="239">
        <v>-1744139</v>
      </c>
      <c r="T44" s="239">
        <v>-4297</v>
      </c>
      <c r="U44" s="239">
        <v>-1748436</v>
      </c>
      <c r="V44" s="239">
        <v>0</v>
      </c>
      <c r="W44" s="239">
        <v>0</v>
      </c>
      <c r="X44" s="239">
        <v>0</v>
      </c>
      <c r="Y44" s="239">
        <v>-117537</v>
      </c>
      <c r="Z44" s="239">
        <v>-360</v>
      </c>
      <c r="AA44" s="239">
        <v>-117897</v>
      </c>
      <c r="AB44" s="239">
        <v>0</v>
      </c>
      <c r="AC44" s="239">
        <v>0</v>
      </c>
      <c r="AD44" s="239">
        <v>0</v>
      </c>
      <c r="AE44" s="239">
        <v>0</v>
      </c>
      <c r="AF44" s="239">
        <v>0</v>
      </c>
      <c r="AG44" s="239">
        <v>0</v>
      </c>
      <c r="AH44" s="239">
        <v>628905</v>
      </c>
      <c r="AI44" s="239">
        <v>19720</v>
      </c>
      <c r="AJ44" s="239">
        <v>648625</v>
      </c>
      <c r="AK44" s="239">
        <v>-19776</v>
      </c>
      <c r="AL44" s="239">
        <v>-524</v>
      </c>
      <c r="AM44" s="239">
        <v>-20300</v>
      </c>
      <c r="AN44" s="239">
        <v>-1156170</v>
      </c>
      <c r="AO44" s="239">
        <v>0</v>
      </c>
      <c r="AP44" s="239">
        <v>-1156170</v>
      </c>
      <c r="AQ44" s="239">
        <v>-13020</v>
      </c>
      <c r="AR44" s="239">
        <v>0</v>
      </c>
      <c r="AS44" s="239">
        <v>-13020</v>
      </c>
      <c r="AT44" s="239">
        <v>0</v>
      </c>
      <c r="AU44" s="239">
        <v>0</v>
      </c>
      <c r="AV44" s="239">
        <v>0</v>
      </c>
      <c r="AW44" s="239">
        <v>0</v>
      </c>
      <c r="AX44" s="239">
        <v>0</v>
      </c>
      <c r="AY44" s="239">
        <v>0</v>
      </c>
      <c r="AZ44" s="239">
        <v>-1970</v>
      </c>
      <c r="BA44" s="239">
        <v>0</v>
      </c>
      <c r="BB44" s="239">
        <v>-1970</v>
      </c>
      <c r="BC44" s="239">
        <v>0</v>
      </c>
      <c r="BD44" s="239">
        <v>0</v>
      </c>
      <c r="BE44" s="239">
        <v>0</v>
      </c>
      <c r="BF44" s="239">
        <v>-2423707</v>
      </c>
      <c r="BG44" s="239">
        <v>14539</v>
      </c>
      <c r="BH44" s="239">
        <v>-2409168</v>
      </c>
      <c r="BI44" s="239">
        <v>-980</v>
      </c>
      <c r="BJ44" s="239">
        <v>0</v>
      </c>
      <c r="BK44" s="239">
        <v>-980</v>
      </c>
      <c r="BL44" s="239">
        <v>1780</v>
      </c>
      <c r="BM44" s="239">
        <v>0</v>
      </c>
      <c r="BN44" s="239">
        <v>1780</v>
      </c>
      <c r="BO44" s="239">
        <v>-666414</v>
      </c>
      <c r="BP44" s="239">
        <v>-162448</v>
      </c>
      <c r="BQ44" s="239">
        <v>-828862</v>
      </c>
      <c r="BR44" s="239">
        <v>-207323</v>
      </c>
      <c r="BS44" s="239">
        <v>21175</v>
      </c>
      <c r="BT44" s="239">
        <v>-186148</v>
      </c>
      <c r="BU44" s="239">
        <v>-872937</v>
      </c>
      <c r="BV44" s="239">
        <v>-141273</v>
      </c>
      <c r="BW44" s="239">
        <v>-1014210</v>
      </c>
      <c r="BX44" s="239">
        <v>-70763</v>
      </c>
      <c r="BY44" s="239">
        <v>0</v>
      </c>
      <c r="BZ44" s="239">
        <v>-70763</v>
      </c>
      <c r="CA44" s="239">
        <v>18448</v>
      </c>
      <c r="CB44" s="239">
        <v>0</v>
      </c>
      <c r="CC44" s="239">
        <v>18448</v>
      </c>
      <c r="CD44" s="239">
        <v>-12802</v>
      </c>
      <c r="CE44" s="239">
        <v>0</v>
      </c>
      <c r="CF44" s="239">
        <v>-12802</v>
      </c>
      <c r="CG44" s="239">
        <v>0</v>
      </c>
      <c r="CH44" s="239">
        <v>0</v>
      </c>
      <c r="CI44" s="239">
        <v>0</v>
      </c>
      <c r="CJ44" s="239">
        <v>0</v>
      </c>
      <c r="CK44" s="239">
        <v>0</v>
      </c>
      <c r="CL44" s="239">
        <v>0</v>
      </c>
      <c r="CM44" s="239">
        <v>0</v>
      </c>
      <c r="CN44" s="239">
        <v>0</v>
      </c>
      <c r="CO44" s="239">
        <v>0</v>
      </c>
      <c r="CP44" s="239">
        <v>-1969</v>
      </c>
      <c r="CQ44" s="239">
        <v>0</v>
      </c>
      <c r="CR44" s="239">
        <v>-1969</v>
      </c>
      <c r="CS44" s="239">
        <v>0</v>
      </c>
      <c r="CT44" s="239">
        <v>0</v>
      </c>
      <c r="CU44" s="239">
        <v>0</v>
      </c>
      <c r="CV44" s="239">
        <v>0</v>
      </c>
      <c r="CW44" s="239">
        <v>0</v>
      </c>
      <c r="CX44" s="239">
        <v>0</v>
      </c>
      <c r="CY44" s="239">
        <v>0</v>
      </c>
      <c r="CZ44" s="239">
        <v>0</v>
      </c>
      <c r="DA44" s="239">
        <v>0</v>
      </c>
      <c r="DB44" s="239">
        <v>0</v>
      </c>
      <c r="DC44" s="239">
        <v>-71230</v>
      </c>
      <c r="DD44" s="239">
        <v>-71230</v>
      </c>
      <c r="DE44" s="239">
        <v>0</v>
      </c>
      <c r="DF44" s="239">
        <v>0</v>
      </c>
      <c r="DG44" s="239">
        <v>0</v>
      </c>
      <c r="DH44" s="239">
        <v>-71230</v>
      </c>
      <c r="DI44" s="239">
        <v>0</v>
      </c>
      <c r="DJ44" s="239">
        <v>-67086</v>
      </c>
      <c r="DK44" s="239">
        <v>-71230</v>
      </c>
      <c r="DL44" s="239">
        <v>-138316</v>
      </c>
      <c r="DM44" s="239">
        <v>0</v>
      </c>
      <c r="DN44" s="239">
        <v>0</v>
      </c>
      <c r="DO44" s="239">
        <v>0</v>
      </c>
      <c r="DP44" s="239">
        <v>0</v>
      </c>
      <c r="DQ44" s="239">
        <v>0</v>
      </c>
      <c r="DR44" s="239">
        <v>0</v>
      </c>
      <c r="DS44" s="239">
        <v>0</v>
      </c>
      <c r="DT44" s="239">
        <v>0</v>
      </c>
      <c r="DU44" s="239">
        <v>0</v>
      </c>
      <c r="DV44" s="239">
        <v>0</v>
      </c>
      <c r="DW44" s="239">
        <v>0</v>
      </c>
      <c r="DX44" s="239">
        <v>0</v>
      </c>
      <c r="DY44" s="239">
        <v>0</v>
      </c>
      <c r="DZ44" s="239">
        <v>0</v>
      </c>
      <c r="EA44" s="239">
        <v>0</v>
      </c>
      <c r="EB44" s="239">
        <v>-13131</v>
      </c>
      <c r="EC44" s="239">
        <v>0</v>
      </c>
      <c r="ED44" s="239">
        <v>-13131</v>
      </c>
      <c r="EE44" s="239">
        <v>0</v>
      </c>
      <c r="EF44" s="239">
        <v>0</v>
      </c>
      <c r="EG44" s="239">
        <v>0</v>
      </c>
      <c r="EH44" s="239">
        <v>0</v>
      </c>
      <c r="EI44" s="239">
        <v>0</v>
      </c>
      <c r="EJ44" s="239">
        <v>0</v>
      </c>
      <c r="EK44" s="239">
        <v>0</v>
      </c>
      <c r="EL44" s="239">
        <v>0</v>
      </c>
      <c r="EM44" s="239">
        <v>0</v>
      </c>
      <c r="EN44" s="239">
        <v>0</v>
      </c>
      <c r="EO44" s="239">
        <v>0</v>
      </c>
      <c r="EP44" s="239">
        <v>0</v>
      </c>
      <c r="EQ44" s="239">
        <v>-13131</v>
      </c>
      <c r="ER44" s="239">
        <v>0</v>
      </c>
      <c r="ES44" s="239">
        <v>-13131</v>
      </c>
      <c r="ET44" s="239">
        <v>0</v>
      </c>
      <c r="EU44" s="239">
        <v>0</v>
      </c>
      <c r="EV44" s="239">
        <v>0</v>
      </c>
      <c r="EW44" s="239">
        <v>0</v>
      </c>
      <c r="EX44" s="239">
        <v>0</v>
      </c>
      <c r="EY44" s="239">
        <v>0</v>
      </c>
      <c r="EZ44" s="239">
        <v>0</v>
      </c>
      <c r="FA44" s="239">
        <v>0</v>
      </c>
      <c r="FB44" s="239">
        <v>0</v>
      </c>
      <c r="FC44" s="239">
        <v>27472285</v>
      </c>
      <c r="FD44" s="239">
        <v>755850</v>
      </c>
      <c r="FE44" s="239">
        <v>28228135</v>
      </c>
      <c r="FF44" s="239">
        <v>-9155</v>
      </c>
      <c r="FG44" s="239">
        <v>0</v>
      </c>
      <c r="FH44" s="239">
        <v>-9155</v>
      </c>
      <c r="FI44" s="239">
        <v>-2423707</v>
      </c>
      <c r="FJ44" s="239">
        <v>14539</v>
      </c>
      <c r="FK44" s="239">
        <v>-2409168</v>
      </c>
      <c r="FL44" s="239">
        <v>-872937</v>
      </c>
      <c r="FM44" s="239">
        <v>-141273</v>
      </c>
      <c r="FN44" s="239">
        <v>-1014210</v>
      </c>
      <c r="FO44" s="239">
        <v>-67086</v>
      </c>
      <c r="FP44" s="239">
        <v>-71230</v>
      </c>
      <c r="FQ44" s="239">
        <v>-138316</v>
      </c>
      <c r="FR44" s="239">
        <v>-13131</v>
      </c>
      <c r="FS44" s="239">
        <v>0</v>
      </c>
      <c r="FT44" s="239">
        <v>-13131</v>
      </c>
      <c r="FU44" s="239">
        <v>0</v>
      </c>
      <c r="FV44" s="239">
        <v>0</v>
      </c>
      <c r="FW44" s="239">
        <v>0</v>
      </c>
      <c r="FX44" s="239">
        <v>-3386016</v>
      </c>
      <c r="FY44" s="239">
        <v>-197964</v>
      </c>
      <c r="FZ44" s="239">
        <v>-3583980</v>
      </c>
      <c r="GA44" s="239">
        <v>24086269</v>
      </c>
      <c r="GB44" s="239">
        <v>557886</v>
      </c>
      <c r="GC44" s="239">
        <v>24644155</v>
      </c>
      <c r="GD44" s="214" t="s">
        <v>1190</v>
      </c>
    </row>
    <row r="45" spans="1:186" s="214" customFormat="1" x14ac:dyDescent="0.2">
      <c r="B45" s="609" t="s">
        <v>172</v>
      </c>
      <c r="C45" s="609" t="s">
        <v>171</v>
      </c>
      <c r="D45" s="239">
        <v>0</v>
      </c>
      <c r="E45" s="239">
        <v>0</v>
      </c>
      <c r="F45" s="239">
        <v>0</v>
      </c>
      <c r="G45" s="239">
        <v>5289</v>
      </c>
      <c r="H45" s="239">
        <v>0</v>
      </c>
      <c r="I45" s="239">
        <v>5289</v>
      </c>
      <c r="J45" s="239">
        <v>0</v>
      </c>
      <c r="K45" s="239">
        <v>0</v>
      </c>
      <c r="L45" s="239">
        <v>0</v>
      </c>
      <c r="M45" s="239">
        <v>8733</v>
      </c>
      <c r="N45" s="239">
        <v>0</v>
      </c>
      <c r="O45" s="239">
        <v>8733</v>
      </c>
      <c r="P45" s="239">
        <v>14022</v>
      </c>
      <c r="Q45" s="239">
        <v>0</v>
      </c>
      <c r="R45" s="239">
        <v>14022</v>
      </c>
      <c r="S45" s="239">
        <v>-2852118</v>
      </c>
      <c r="T45" s="239">
        <v>0</v>
      </c>
      <c r="U45" s="239">
        <v>-2852118</v>
      </c>
      <c r="V45" s="239">
        <v>-7286</v>
      </c>
      <c r="W45" s="239">
        <v>0</v>
      </c>
      <c r="X45" s="239">
        <v>-7286</v>
      </c>
      <c r="Y45" s="239">
        <v>-74055</v>
      </c>
      <c r="Z45" s="239">
        <v>0</v>
      </c>
      <c r="AA45" s="239">
        <v>-74055</v>
      </c>
      <c r="AB45" s="239">
        <v>-63110</v>
      </c>
      <c r="AC45" s="239">
        <v>0</v>
      </c>
      <c r="AD45" s="239">
        <v>-63110</v>
      </c>
      <c r="AE45" s="239">
        <v>-535</v>
      </c>
      <c r="AF45" s="239">
        <v>0</v>
      </c>
      <c r="AG45" s="239">
        <v>-535</v>
      </c>
      <c r="AH45" s="239">
        <v>801395</v>
      </c>
      <c r="AI45" s="239">
        <v>0</v>
      </c>
      <c r="AJ45" s="239">
        <v>801395</v>
      </c>
      <c r="AK45" s="239">
        <v>40066</v>
      </c>
      <c r="AL45" s="239">
        <v>0</v>
      </c>
      <c r="AM45" s="239">
        <v>40066</v>
      </c>
      <c r="AN45" s="239">
        <v>-2252272</v>
      </c>
      <c r="AO45" s="239">
        <v>0</v>
      </c>
      <c r="AP45" s="239">
        <v>-2252272</v>
      </c>
      <c r="AQ45" s="239">
        <v>9096</v>
      </c>
      <c r="AR45" s="239">
        <v>0</v>
      </c>
      <c r="AS45" s="239">
        <v>9096</v>
      </c>
      <c r="AT45" s="239">
        <v>-27872</v>
      </c>
      <c r="AU45" s="239">
        <v>0</v>
      </c>
      <c r="AV45" s="239">
        <v>-27872</v>
      </c>
      <c r="AW45" s="239">
        <v>0</v>
      </c>
      <c r="AX45" s="239">
        <v>0</v>
      </c>
      <c r="AY45" s="239">
        <v>0</v>
      </c>
      <c r="AZ45" s="239">
        <v>-2970</v>
      </c>
      <c r="BA45" s="239">
        <v>0</v>
      </c>
      <c r="BB45" s="239">
        <v>-2970</v>
      </c>
      <c r="BC45" s="239">
        <v>0</v>
      </c>
      <c r="BD45" s="239">
        <v>0</v>
      </c>
      <c r="BE45" s="239">
        <v>0</v>
      </c>
      <c r="BF45" s="239">
        <v>-4358730</v>
      </c>
      <c r="BG45" s="239">
        <v>0</v>
      </c>
      <c r="BH45" s="239">
        <v>-4358730</v>
      </c>
      <c r="BI45" s="239">
        <v>0</v>
      </c>
      <c r="BJ45" s="239">
        <v>0</v>
      </c>
      <c r="BK45" s="239">
        <v>0</v>
      </c>
      <c r="BL45" s="239">
        <v>0</v>
      </c>
      <c r="BM45" s="239">
        <v>0</v>
      </c>
      <c r="BN45" s="239">
        <v>0</v>
      </c>
      <c r="BO45" s="239">
        <v>-1288641</v>
      </c>
      <c r="BP45" s="239">
        <v>0</v>
      </c>
      <c r="BQ45" s="239">
        <v>-1288641</v>
      </c>
      <c r="BR45" s="239">
        <v>-103028</v>
      </c>
      <c r="BS45" s="239">
        <v>0</v>
      </c>
      <c r="BT45" s="239">
        <v>-103028</v>
      </c>
      <c r="BU45" s="239">
        <v>-1391669</v>
      </c>
      <c r="BV45" s="239">
        <v>0</v>
      </c>
      <c r="BW45" s="239">
        <v>-1391669</v>
      </c>
      <c r="BX45" s="239">
        <v>-91530</v>
      </c>
      <c r="BY45" s="239">
        <v>0</v>
      </c>
      <c r="BZ45" s="239">
        <v>-91530</v>
      </c>
      <c r="CA45" s="239">
        <v>-4718</v>
      </c>
      <c r="CB45" s="239">
        <v>0</v>
      </c>
      <c r="CC45" s="239">
        <v>-4718</v>
      </c>
      <c r="CD45" s="239">
        <v>-102551</v>
      </c>
      <c r="CE45" s="239">
        <v>0</v>
      </c>
      <c r="CF45" s="239">
        <v>-102551</v>
      </c>
      <c r="CG45" s="239">
        <v>-13318</v>
      </c>
      <c r="CH45" s="239">
        <v>0</v>
      </c>
      <c r="CI45" s="239">
        <v>-13318</v>
      </c>
      <c r="CJ45" s="239">
        <v>0</v>
      </c>
      <c r="CK45" s="239">
        <v>0</v>
      </c>
      <c r="CL45" s="239">
        <v>0</v>
      </c>
      <c r="CM45" s="239">
        <v>0</v>
      </c>
      <c r="CN45" s="239">
        <v>0</v>
      </c>
      <c r="CO45" s="239">
        <v>0</v>
      </c>
      <c r="CP45" s="239">
        <v>0</v>
      </c>
      <c r="CQ45" s="239">
        <v>0</v>
      </c>
      <c r="CR45" s="239">
        <v>0</v>
      </c>
      <c r="CS45" s="239">
        <v>0</v>
      </c>
      <c r="CT45" s="239">
        <v>0</v>
      </c>
      <c r="CU45" s="239">
        <v>0</v>
      </c>
      <c r="CV45" s="239">
        <v>0</v>
      </c>
      <c r="CW45" s="239">
        <v>0</v>
      </c>
      <c r="CX45" s="239">
        <v>0</v>
      </c>
      <c r="CY45" s="239">
        <v>0</v>
      </c>
      <c r="CZ45" s="239">
        <v>0</v>
      </c>
      <c r="DA45" s="239">
        <v>0</v>
      </c>
      <c r="DB45" s="239">
        <v>-102773</v>
      </c>
      <c r="DC45" s="239">
        <v>0</v>
      </c>
      <c r="DD45" s="239">
        <v>-102773</v>
      </c>
      <c r="DE45" s="239">
        <v>-13463</v>
      </c>
      <c r="DF45" s="239">
        <v>0</v>
      </c>
      <c r="DG45" s="239">
        <v>-13463</v>
      </c>
      <c r="DH45" s="239">
        <v>0</v>
      </c>
      <c r="DI45" s="239">
        <v>0</v>
      </c>
      <c r="DJ45" s="239">
        <v>-328353</v>
      </c>
      <c r="DK45" s="239">
        <v>0</v>
      </c>
      <c r="DL45" s="239">
        <v>-328353</v>
      </c>
      <c r="DM45" s="239">
        <v>0</v>
      </c>
      <c r="DN45" s="239">
        <v>0</v>
      </c>
      <c r="DO45" s="239">
        <v>0</v>
      </c>
      <c r="DP45" s="239">
        <v>0</v>
      </c>
      <c r="DQ45" s="239">
        <v>0</v>
      </c>
      <c r="DR45" s="239">
        <v>0</v>
      </c>
      <c r="DS45" s="239">
        <v>-7211</v>
      </c>
      <c r="DT45" s="239">
        <v>0</v>
      </c>
      <c r="DU45" s="239">
        <v>-7211</v>
      </c>
      <c r="DV45" s="239">
        <v>-3269</v>
      </c>
      <c r="DW45" s="239">
        <v>0</v>
      </c>
      <c r="DX45" s="239">
        <v>-3269</v>
      </c>
      <c r="DY45" s="239">
        <v>0</v>
      </c>
      <c r="DZ45" s="239">
        <v>0</v>
      </c>
      <c r="EA45" s="239">
        <v>0</v>
      </c>
      <c r="EB45" s="239">
        <v>650</v>
      </c>
      <c r="EC45" s="239">
        <v>0</v>
      </c>
      <c r="ED45" s="239">
        <v>650</v>
      </c>
      <c r="EE45" s="239">
        <v>-30155</v>
      </c>
      <c r="EF45" s="239">
        <v>0</v>
      </c>
      <c r="EG45" s="239">
        <v>-30155</v>
      </c>
      <c r="EH45" s="239">
        <v>-13629</v>
      </c>
      <c r="EI45" s="239">
        <v>0</v>
      </c>
      <c r="EJ45" s="239">
        <v>-13629</v>
      </c>
      <c r="EK45" s="239">
        <v>0</v>
      </c>
      <c r="EL45" s="239">
        <v>0</v>
      </c>
      <c r="EM45" s="239">
        <v>0</v>
      </c>
      <c r="EN45" s="239">
        <v>0</v>
      </c>
      <c r="EO45" s="239">
        <v>0</v>
      </c>
      <c r="EP45" s="239">
        <v>0</v>
      </c>
      <c r="EQ45" s="239">
        <v>-53614</v>
      </c>
      <c r="ER45" s="239">
        <v>0</v>
      </c>
      <c r="ES45" s="239">
        <v>-53614</v>
      </c>
      <c r="ET45" s="239">
        <v>0</v>
      </c>
      <c r="EU45" s="239">
        <v>0</v>
      </c>
      <c r="EV45" s="239">
        <v>0</v>
      </c>
      <c r="EW45" s="239">
        <v>0</v>
      </c>
      <c r="EX45" s="239">
        <v>0</v>
      </c>
      <c r="EY45" s="239">
        <v>0</v>
      </c>
      <c r="EZ45" s="239">
        <v>0</v>
      </c>
      <c r="FA45" s="239">
        <v>0</v>
      </c>
      <c r="FB45" s="239">
        <v>0</v>
      </c>
      <c r="FC45" s="239">
        <v>36085955</v>
      </c>
      <c r="FD45" s="239">
        <v>0</v>
      </c>
      <c r="FE45" s="239">
        <v>36085955</v>
      </c>
      <c r="FF45" s="239">
        <v>14022</v>
      </c>
      <c r="FG45" s="239">
        <v>0</v>
      </c>
      <c r="FH45" s="239">
        <v>14022</v>
      </c>
      <c r="FI45" s="239">
        <v>-4358730</v>
      </c>
      <c r="FJ45" s="239">
        <v>0</v>
      </c>
      <c r="FK45" s="239">
        <v>-4358730</v>
      </c>
      <c r="FL45" s="239">
        <v>-1391669</v>
      </c>
      <c r="FM45" s="239">
        <v>0</v>
      </c>
      <c r="FN45" s="239">
        <v>-1391669</v>
      </c>
      <c r="FO45" s="239">
        <v>-328353</v>
      </c>
      <c r="FP45" s="239">
        <v>0</v>
      </c>
      <c r="FQ45" s="239">
        <v>-328353</v>
      </c>
      <c r="FR45" s="239">
        <v>-53614</v>
      </c>
      <c r="FS45" s="239">
        <v>0</v>
      </c>
      <c r="FT45" s="239">
        <v>-53614</v>
      </c>
      <c r="FU45" s="239">
        <v>0</v>
      </c>
      <c r="FV45" s="239">
        <v>0</v>
      </c>
      <c r="FW45" s="239">
        <v>0</v>
      </c>
      <c r="FX45" s="239">
        <v>-6118344</v>
      </c>
      <c r="FY45" s="239">
        <v>0</v>
      </c>
      <c r="FZ45" s="239">
        <v>-6118344</v>
      </c>
      <c r="GA45" s="239">
        <v>29967611</v>
      </c>
      <c r="GB45" s="239">
        <v>0</v>
      </c>
      <c r="GC45" s="239">
        <v>29967611</v>
      </c>
      <c r="GD45" s="214" t="s">
        <v>1190</v>
      </c>
    </row>
    <row r="46" spans="1:186" s="214" customFormat="1" x14ac:dyDescent="0.2">
      <c r="B46" s="609" t="s">
        <v>174</v>
      </c>
      <c r="C46" s="609" t="s">
        <v>173</v>
      </c>
      <c r="D46" s="239">
        <v>0</v>
      </c>
      <c r="E46" s="239">
        <v>0</v>
      </c>
      <c r="F46" s="239">
        <v>0</v>
      </c>
      <c r="G46" s="239">
        <v>78672</v>
      </c>
      <c r="H46" s="239">
        <v>0</v>
      </c>
      <c r="I46" s="239">
        <v>78672</v>
      </c>
      <c r="J46" s="239">
        <v>0</v>
      </c>
      <c r="K46" s="239">
        <v>0</v>
      </c>
      <c r="L46" s="239">
        <v>0</v>
      </c>
      <c r="M46" s="239">
        <v>-212023</v>
      </c>
      <c r="N46" s="239">
        <v>0</v>
      </c>
      <c r="O46" s="239">
        <v>-212023</v>
      </c>
      <c r="P46" s="239">
        <v>-133351</v>
      </c>
      <c r="Q46" s="239">
        <v>0</v>
      </c>
      <c r="R46" s="239">
        <v>-133351</v>
      </c>
      <c r="S46" s="239">
        <v>-5107077</v>
      </c>
      <c r="T46" s="239">
        <v>0</v>
      </c>
      <c r="U46" s="239">
        <v>-5107077</v>
      </c>
      <c r="V46" s="239">
        <v>-9653</v>
      </c>
      <c r="W46" s="239">
        <v>0</v>
      </c>
      <c r="X46" s="239">
        <v>-9653</v>
      </c>
      <c r="Y46" s="239">
        <v>-180606</v>
      </c>
      <c r="Z46" s="239">
        <v>0</v>
      </c>
      <c r="AA46" s="239">
        <v>-180606</v>
      </c>
      <c r="AB46" s="239">
        <v>-150544</v>
      </c>
      <c r="AC46" s="239">
        <v>0</v>
      </c>
      <c r="AD46" s="239">
        <v>-150544</v>
      </c>
      <c r="AE46" s="239">
        <v>-1567</v>
      </c>
      <c r="AF46" s="239">
        <v>0</v>
      </c>
      <c r="AG46" s="239">
        <v>-1567</v>
      </c>
      <c r="AH46" s="239">
        <v>1344237</v>
      </c>
      <c r="AI46" s="239">
        <v>0</v>
      </c>
      <c r="AJ46" s="239">
        <v>1344237</v>
      </c>
      <c r="AK46" s="239">
        <v>-19141</v>
      </c>
      <c r="AL46" s="239">
        <v>0</v>
      </c>
      <c r="AM46" s="239">
        <v>-19141</v>
      </c>
      <c r="AN46" s="239">
        <v>-2402558</v>
      </c>
      <c r="AO46" s="239">
        <v>0</v>
      </c>
      <c r="AP46" s="239">
        <v>-2402558</v>
      </c>
      <c r="AQ46" s="239">
        <v>-95721</v>
      </c>
      <c r="AR46" s="239">
        <v>0</v>
      </c>
      <c r="AS46" s="239">
        <v>-95721</v>
      </c>
      <c r="AT46" s="239">
        <v>-113744</v>
      </c>
      <c r="AU46" s="239">
        <v>0</v>
      </c>
      <c r="AV46" s="239">
        <v>-113744</v>
      </c>
      <c r="AW46" s="239">
        <v>-27710</v>
      </c>
      <c r="AX46" s="239">
        <v>0</v>
      </c>
      <c r="AY46" s="239">
        <v>-27710</v>
      </c>
      <c r="AZ46" s="239">
        <v>-1566</v>
      </c>
      <c r="BA46" s="239">
        <v>0</v>
      </c>
      <c r="BB46" s="239">
        <v>-1566</v>
      </c>
      <c r="BC46" s="239">
        <v>0</v>
      </c>
      <c r="BD46" s="239">
        <v>0</v>
      </c>
      <c r="BE46" s="239">
        <v>0</v>
      </c>
      <c r="BF46" s="239">
        <v>-6603886</v>
      </c>
      <c r="BG46" s="239">
        <v>0</v>
      </c>
      <c r="BH46" s="239">
        <v>-6603886</v>
      </c>
      <c r="BI46" s="239">
        <v>0</v>
      </c>
      <c r="BJ46" s="239">
        <v>0</v>
      </c>
      <c r="BK46" s="239">
        <v>0</v>
      </c>
      <c r="BL46" s="239">
        <v>-24095</v>
      </c>
      <c r="BM46" s="239">
        <v>0</v>
      </c>
      <c r="BN46" s="239">
        <v>-24095</v>
      </c>
      <c r="BO46" s="239">
        <v>-1759192</v>
      </c>
      <c r="BP46" s="239">
        <v>0</v>
      </c>
      <c r="BQ46" s="239">
        <v>-1759192</v>
      </c>
      <c r="BR46" s="239">
        <v>164660</v>
      </c>
      <c r="BS46" s="239">
        <v>0</v>
      </c>
      <c r="BT46" s="239">
        <v>164660</v>
      </c>
      <c r="BU46" s="239">
        <v>-1618627</v>
      </c>
      <c r="BV46" s="239">
        <v>0</v>
      </c>
      <c r="BW46" s="239">
        <v>-1618627</v>
      </c>
      <c r="BX46" s="239">
        <v>-335806</v>
      </c>
      <c r="BY46" s="239">
        <v>0</v>
      </c>
      <c r="BZ46" s="239">
        <v>-335806</v>
      </c>
      <c r="CA46" s="239">
        <v>2819</v>
      </c>
      <c r="CB46" s="239">
        <v>0</v>
      </c>
      <c r="CC46" s="239">
        <v>2819</v>
      </c>
      <c r="CD46" s="239">
        <v>-68054</v>
      </c>
      <c r="CE46" s="239">
        <v>0</v>
      </c>
      <c r="CF46" s="239">
        <v>-68054</v>
      </c>
      <c r="CG46" s="239">
        <v>-7037</v>
      </c>
      <c r="CH46" s="239">
        <v>0</v>
      </c>
      <c r="CI46" s="239">
        <v>-7037</v>
      </c>
      <c r="CJ46" s="239">
        <v>-28436</v>
      </c>
      <c r="CK46" s="239">
        <v>0</v>
      </c>
      <c r="CL46" s="239">
        <v>-28436</v>
      </c>
      <c r="CM46" s="239">
        <v>-6927</v>
      </c>
      <c r="CN46" s="239">
        <v>0</v>
      </c>
      <c r="CO46" s="239">
        <v>-6927</v>
      </c>
      <c r="CP46" s="239">
        <v>-1566</v>
      </c>
      <c r="CQ46" s="239">
        <v>0</v>
      </c>
      <c r="CR46" s="239">
        <v>-1566</v>
      </c>
      <c r="CS46" s="239">
        <v>0</v>
      </c>
      <c r="CT46" s="239">
        <v>0</v>
      </c>
      <c r="CU46" s="239">
        <v>0</v>
      </c>
      <c r="CV46" s="239">
        <v>0</v>
      </c>
      <c r="CW46" s="239">
        <v>0</v>
      </c>
      <c r="CX46" s="239">
        <v>0</v>
      </c>
      <c r="CY46" s="239">
        <v>0</v>
      </c>
      <c r="CZ46" s="239">
        <v>0</v>
      </c>
      <c r="DA46" s="239">
        <v>0</v>
      </c>
      <c r="DB46" s="239">
        <v>0</v>
      </c>
      <c r="DC46" s="239">
        <v>0</v>
      </c>
      <c r="DD46" s="239">
        <v>0</v>
      </c>
      <c r="DE46" s="239">
        <v>-8861</v>
      </c>
      <c r="DF46" s="239">
        <v>0</v>
      </c>
      <c r="DG46" s="239">
        <v>-8861</v>
      </c>
      <c r="DH46" s="239">
        <v>0</v>
      </c>
      <c r="DI46" s="239">
        <v>0</v>
      </c>
      <c r="DJ46" s="239">
        <v>-453868</v>
      </c>
      <c r="DK46" s="239">
        <v>0</v>
      </c>
      <c r="DL46" s="239">
        <v>-453868</v>
      </c>
      <c r="DM46" s="239">
        <v>-22567</v>
      </c>
      <c r="DN46" s="239">
        <v>0</v>
      </c>
      <c r="DO46" s="239">
        <v>-22567</v>
      </c>
      <c r="DP46" s="239">
        <v>0</v>
      </c>
      <c r="DQ46" s="239">
        <v>0</v>
      </c>
      <c r="DR46" s="239">
        <v>0</v>
      </c>
      <c r="DS46" s="239">
        <v>0</v>
      </c>
      <c r="DT46" s="239">
        <v>0</v>
      </c>
      <c r="DU46" s="239">
        <v>0</v>
      </c>
      <c r="DV46" s="239">
        <v>0</v>
      </c>
      <c r="DW46" s="239">
        <v>0</v>
      </c>
      <c r="DX46" s="239">
        <v>0</v>
      </c>
      <c r="DY46" s="239">
        <v>0</v>
      </c>
      <c r="DZ46" s="239">
        <v>0</v>
      </c>
      <c r="EA46" s="239">
        <v>0</v>
      </c>
      <c r="EB46" s="239">
        <v>17113</v>
      </c>
      <c r="EC46" s="239">
        <v>0</v>
      </c>
      <c r="ED46" s="239">
        <v>17113</v>
      </c>
      <c r="EE46" s="239">
        <v>-98161</v>
      </c>
      <c r="EF46" s="239">
        <v>0</v>
      </c>
      <c r="EG46" s="239">
        <v>-98161</v>
      </c>
      <c r="EH46" s="239">
        <v>-91532</v>
      </c>
      <c r="EI46" s="239">
        <v>0</v>
      </c>
      <c r="EJ46" s="239">
        <v>-91532</v>
      </c>
      <c r="EK46" s="239">
        <v>-10040</v>
      </c>
      <c r="EL46" s="239">
        <v>0</v>
      </c>
      <c r="EM46" s="239">
        <v>-10040</v>
      </c>
      <c r="EN46" s="239">
        <v>331</v>
      </c>
      <c r="EO46" s="239">
        <v>0</v>
      </c>
      <c r="EP46" s="239">
        <v>331</v>
      </c>
      <c r="EQ46" s="239">
        <v>-204856</v>
      </c>
      <c r="ER46" s="239">
        <v>0</v>
      </c>
      <c r="ES46" s="239">
        <v>-204856</v>
      </c>
      <c r="ET46" s="239">
        <v>0</v>
      </c>
      <c r="EU46" s="239">
        <v>0</v>
      </c>
      <c r="EV46" s="239">
        <v>0</v>
      </c>
      <c r="EW46" s="239">
        <v>0</v>
      </c>
      <c r="EX46" s="239">
        <v>0</v>
      </c>
      <c r="EY46" s="239">
        <v>0</v>
      </c>
      <c r="EZ46" s="239">
        <v>0</v>
      </c>
      <c r="FA46" s="239">
        <v>0</v>
      </c>
      <c r="FB46" s="239">
        <v>0</v>
      </c>
      <c r="FC46" s="239">
        <v>61007224</v>
      </c>
      <c r="FD46" s="239">
        <v>0</v>
      </c>
      <c r="FE46" s="239">
        <v>61007224</v>
      </c>
      <c r="FF46" s="239">
        <v>-133351</v>
      </c>
      <c r="FG46" s="239">
        <v>0</v>
      </c>
      <c r="FH46" s="239">
        <v>-133351</v>
      </c>
      <c r="FI46" s="239">
        <v>-6603886</v>
      </c>
      <c r="FJ46" s="239">
        <v>0</v>
      </c>
      <c r="FK46" s="239">
        <v>-6603886</v>
      </c>
      <c r="FL46" s="239">
        <v>-1618627</v>
      </c>
      <c r="FM46" s="239">
        <v>0</v>
      </c>
      <c r="FN46" s="239">
        <v>-1618627</v>
      </c>
      <c r="FO46" s="239">
        <v>-453868</v>
      </c>
      <c r="FP46" s="239">
        <v>0</v>
      </c>
      <c r="FQ46" s="239">
        <v>-453868</v>
      </c>
      <c r="FR46" s="239">
        <v>-204856</v>
      </c>
      <c r="FS46" s="239">
        <v>0</v>
      </c>
      <c r="FT46" s="239">
        <v>-204856</v>
      </c>
      <c r="FU46" s="239">
        <v>0</v>
      </c>
      <c r="FV46" s="239">
        <v>0</v>
      </c>
      <c r="FW46" s="239">
        <v>0</v>
      </c>
      <c r="FX46" s="239">
        <v>-9014588</v>
      </c>
      <c r="FY46" s="239">
        <v>0</v>
      </c>
      <c r="FZ46" s="239">
        <v>-9014588</v>
      </c>
      <c r="GA46" s="239">
        <v>51992636</v>
      </c>
      <c r="GB46" s="239">
        <v>0</v>
      </c>
      <c r="GC46" s="239">
        <v>51992636</v>
      </c>
      <c r="GD46" s="214" t="s">
        <v>1192</v>
      </c>
    </row>
    <row r="47" spans="1:186" s="214" customFormat="1" x14ac:dyDescent="0.2">
      <c r="B47" s="609" t="s">
        <v>176</v>
      </c>
      <c r="C47" s="609" t="s">
        <v>175</v>
      </c>
      <c r="D47" s="239">
        <v>0</v>
      </c>
      <c r="E47" s="239">
        <v>0</v>
      </c>
      <c r="F47" s="239">
        <v>0</v>
      </c>
      <c r="G47" s="239">
        <v>428209</v>
      </c>
      <c r="H47" s="239">
        <v>0</v>
      </c>
      <c r="I47" s="239">
        <v>428209</v>
      </c>
      <c r="J47" s="239">
        <v>0</v>
      </c>
      <c r="K47" s="239">
        <v>0</v>
      </c>
      <c r="L47" s="239">
        <v>0</v>
      </c>
      <c r="M47" s="239">
        <v>73464</v>
      </c>
      <c r="N47" s="239">
        <v>0</v>
      </c>
      <c r="O47" s="239">
        <v>73464</v>
      </c>
      <c r="P47" s="239">
        <v>501673</v>
      </c>
      <c r="Q47" s="239">
        <v>0</v>
      </c>
      <c r="R47" s="239">
        <v>501673</v>
      </c>
      <c r="S47" s="239">
        <v>-7207499</v>
      </c>
      <c r="T47" s="239">
        <v>0</v>
      </c>
      <c r="U47" s="239">
        <v>-7207499</v>
      </c>
      <c r="V47" s="239">
        <v>0</v>
      </c>
      <c r="W47" s="239">
        <v>0</v>
      </c>
      <c r="X47" s="239">
        <v>0</v>
      </c>
      <c r="Y47" s="239">
        <v>-455737</v>
      </c>
      <c r="Z47" s="239">
        <v>0</v>
      </c>
      <c r="AA47" s="239">
        <v>-455737</v>
      </c>
      <c r="AB47" s="239">
        <v>-302744</v>
      </c>
      <c r="AC47" s="239">
        <v>0</v>
      </c>
      <c r="AD47" s="239">
        <v>-302744</v>
      </c>
      <c r="AE47" s="239">
        <v>0</v>
      </c>
      <c r="AF47" s="239">
        <v>0</v>
      </c>
      <c r="AG47" s="239">
        <v>0</v>
      </c>
      <c r="AH47" s="239">
        <v>1576761</v>
      </c>
      <c r="AI47" s="239">
        <v>0</v>
      </c>
      <c r="AJ47" s="239">
        <v>1576761</v>
      </c>
      <c r="AK47" s="239">
        <v>-44317</v>
      </c>
      <c r="AL47" s="239">
        <v>0</v>
      </c>
      <c r="AM47" s="239">
        <v>-44317</v>
      </c>
      <c r="AN47" s="239">
        <v>-3934104</v>
      </c>
      <c r="AO47" s="239">
        <v>0</v>
      </c>
      <c r="AP47" s="239">
        <v>-3934104</v>
      </c>
      <c r="AQ47" s="239">
        <v>13909</v>
      </c>
      <c r="AR47" s="239">
        <v>0</v>
      </c>
      <c r="AS47" s="239">
        <v>13909</v>
      </c>
      <c r="AT47" s="239">
        <v>-183484</v>
      </c>
      <c r="AU47" s="239">
        <v>0</v>
      </c>
      <c r="AV47" s="239">
        <v>-183484</v>
      </c>
      <c r="AW47" s="239">
        <v>-2525</v>
      </c>
      <c r="AX47" s="239">
        <v>0</v>
      </c>
      <c r="AY47" s="239">
        <v>-2525</v>
      </c>
      <c r="AZ47" s="239">
        <v>-9709</v>
      </c>
      <c r="BA47" s="239">
        <v>0</v>
      </c>
      <c r="BB47" s="239">
        <v>-9709</v>
      </c>
      <c r="BC47" s="239">
        <v>0</v>
      </c>
      <c r="BD47" s="239">
        <v>0</v>
      </c>
      <c r="BE47" s="239">
        <v>0</v>
      </c>
      <c r="BF47" s="239">
        <v>-10246705</v>
      </c>
      <c r="BG47" s="239">
        <v>0</v>
      </c>
      <c r="BH47" s="239">
        <v>-10246705</v>
      </c>
      <c r="BI47" s="239">
        <v>0</v>
      </c>
      <c r="BJ47" s="239">
        <v>0</v>
      </c>
      <c r="BK47" s="239">
        <v>0</v>
      </c>
      <c r="BL47" s="239">
        <v>440</v>
      </c>
      <c r="BM47" s="239">
        <v>0</v>
      </c>
      <c r="BN47" s="239">
        <v>440</v>
      </c>
      <c r="BO47" s="239">
        <v>-2942637</v>
      </c>
      <c r="BP47" s="239">
        <v>0</v>
      </c>
      <c r="BQ47" s="239">
        <v>-2942637</v>
      </c>
      <c r="BR47" s="239">
        <v>-427087</v>
      </c>
      <c r="BS47" s="239">
        <v>0</v>
      </c>
      <c r="BT47" s="239">
        <v>-427087</v>
      </c>
      <c r="BU47" s="239">
        <v>-3369284</v>
      </c>
      <c r="BV47" s="239">
        <v>0</v>
      </c>
      <c r="BW47" s="239">
        <v>-3369284</v>
      </c>
      <c r="BX47" s="239">
        <v>-196906</v>
      </c>
      <c r="BY47" s="239">
        <v>0</v>
      </c>
      <c r="BZ47" s="239">
        <v>-196906</v>
      </c>
      <c r="CA47" s="239">
        <v>8400</v>
      </c>
      <c r="CB47" s="239">
        <v>0</v>
      </c>
      <c r="CC47" s="239">
        <v>8400</v>
      </c>
      <c r="CD47" s="239">
        <v>-217243</v>
      </c>
      <c r="CE47" s="239">
        <v>0</v>
      </c>
      <c r="CF47" s="239">
        <v>-217243</v>
      </c>
      <c r="CG47" s="239">
        <v>6292</v>
      </c>
      <c r="CH47" s="239">
        <v>0</v>
      </c>
      <c r="CI47" s="239">
        <v>6292</v>
      </c>
      <c r="CJ47" s="239">
        <v>0</v>
      </c>
      <c r="CK47" s="239">
        <v>0</v>
      </c>
      <c r="CL47" s="239">
        <v>0</v>
      </c>
      <c r="CM47" s="239">
        <v>0</v>
      </c>
      <c r="CN47" s="239">
        <v>0</v>
      </c>
      <c r="CO47" s="239">
        <v>0</v>
      </c>
      <c r="CP47" s="239">
        <v>-4123</v>
      </c>
      <c r="CQ47" s="239">
        <v>0</v>
      </c>
      <c r="CR47" s="239">
        <v>-4123</v>
      </c>
      <c r="CS47" s="239">
        <v>0</v>
      </c>
      <c r="CT47" s="239">
        <v>0</v>
      </c>
      <c r="CU47" s="239">
        <v>0</v>
      </c>
      <c r="CV47" s="239">
        <v>0</v>
      </c>
      <c r="CW47" s="239">
        <v>0</v>
      </c>
      <c r="CX47" s="239">
        <v>0</v>
      </c>
      <c r="CY47" s="239">
        <v>0</v>
      </c>
      <c r="CZ47" s="239">
        <v>0</v>
      </c>
      <c r="DA47" s="239">
        <v>0</v>
      </c>
      <c r="DB47" s="239">
        <v>-5400</v>
      </c>
      <c r="DC47" s="239">
        <v>0</v>
      </c>
      <c r="DD47" s="239">
        <v>-5400</v>
      </c>
      <c r="DE47" s="239">
        <v>-1551</v>
      </c>
      <c r="DF47" s="239">
        <v>0</v>
      </c>
      <c r="DG47" s="239">
        <v>-1551</v>
      </c>
      <c r="DH47" s="239">
        <v>0</v>
      </c>
      <c r="DI47" s="239">
        <v>0</v>
      </c>
      <c r="DJ47" s="239">
        <v>-410531</v>
      </c>
      <c r="DK47" s="239">
        <v>0</v>
      </c>
      <c r="DL47" s="239">
        <v>-410531</v>
      </c>
      <c r="DM47" s="239">
        <v>0</v>
      </c>
      <c r="DN47" s="239">
        <v>0</v>
      </c>
      <c r="DO47" s="239">
        <v>0</v>
      </c>
      <c r="DP47" s="239">
        <v>0</v>
      </c>
      <c r="DQ47" s="239">
        <v>0</v>
      </c>
      <c r="DR47" s="239">
        <v>0</v>
      </c>
      <c r="DS47" s="239">
        <v>-21069</v>
      </c>
      <c r="DT47" s="239">
        <v>0</v>
      </c>
      <c r="DU47" s="239">
        <v>-21069</v>
      </c>
      <c r="DV47" s="239">
        <v>-15241</v>
      </c>
      <c r="DW47" s="239">
        <v>0</v>
      </c>
      <c r="DX47" s="239">
        <v>-15241</v>
      </c>
      <c r="DY47" s="239">
        <v>0</v>
      </c>
      <c r="DZ47" s="239">
        <v>0</v>
      </c>
      <c r="EA47" s="239">
        <v>0</v>
      </c>
      <c r="EB47" s="239">
        <v>-3161</v>
      </c>
      <c r="EC47" s="239">
        <v>0</v>
      </c>
      <c r="ED47" s="239">
        <v>-3161</v>
      </c>
      <c r="EE47" s="239">
        <v>-179750</v>
      </c>
      <c r="EF47" s="239">
        <v>0</v>
      </c>
      <c r="EG47" s="239">
        <v>-179750</v>
      </c>
      <c r="EH47" s="239">
        <v>-138392</v>
      </c>
      <c r="EI47" s="239">
        <v>0</v>
      </c>
      <c r="EJ47" s="239">
        <v>-138392</v>
      </c>
      <c r="EK47" s="239">
        <v>-12854</v>
      </c>
      <c r="EL47" s="239">
        <v>0</v>
      </c>
      <c r="EM47" s="239">
        <v>-12854</v>
      </c>
      <c r="EN47" s="239">
        <v>90</v>
      </c>
      <c r="EO47" s="239">
        <v>0</v>
      </c>
      <c r="EP47" s="239">
        <v>90</v>
      </c>
      <c r="EQ47" s="239">
        <v>-370377</v>
      </c>
      <c r="ER47" s="239">
        <v>0</v>
      </c>
      <c r="ES47" s="239">
        <v>-370377</v>
      </c>
      <c r="ET47" s="239">
        <v>0</v>
      </c>
      <c r="EU47" s="239">
        <v>0</v>
      </c>
      <c r="EV47" s="239">
        <v>0</v>
      </c>
      <c r="EW47" s="239">
        <v>0</v>
      </c>
      <c r="EX47" s="239">
        <v>0</v>
      </c>
      <c r="EY47" s="239">
        <v>0</v>
      </c>
      <c r="EZ47" s="239">
        <v>0</v>
      </c>
      <c r="FA47" s="239">
        <v>0</v>
      </c>
      <c r="FB47" s="239">
        <v>0</v>
      </c>
      <c r="FC47" s="239">
        <v>73326455</v>
      </c>
      <c r="FD47" s="239">
        <v>0</v>
      </c>
      <c r="FE47" s="239">
        <v>73326455</v>
      </c>
      <c r="FF47" s="239">
        <v>501673</v>
      </c>
      <c r="FG47" s="239">
        <v>0</v>
      </c>
      <c r="FH47" s="239">
        <v>501673</v>
      </c>
      <c r="FI47" s="239">
        <v>-10246705</v>
      </c>
      <c r="FJ47" s="239">
        <v>0</v>
      </c>
      <c r="FK47" s="239">
        <v>-10246705</v>
      </c>
      <c r="FL47" s="239">
        <v>-3369284</v>
      </c>
      <c r="FM47" s="239">
        <v>0</v>
      </c>
      <c r="FN47" s="239">
        <v>-3369284</v>
      </c>
      <c r="FO47" s="239">
        <v>-410531</v>
      </c>
      <c r="FP47" s="239">
        <v>0</v>
      </c>
      <c r="FQ47" s="239">
        <v>-410531</v>
      </c>
      <c r="FR47" s="239">
        <v>-370377</v>
      </c>
      <c r="FS47" s="239">
        <v>0</v>
      </c>
      <c r="FT47" s="239">
        <v>-370377</v>
      </c>
      <c r="FU47" s="239">
        <v>0</v>
      </c>
      <c r="FV47" s="239">
        <v>0</v>
      </c>
      <c r="FW47" s="239">
        <v>0</v>
      </c>
      <c r="FX47" s="239">
        <v>-13895224</v>
      </c>
      <c r="FY47" s="239">
        <v>0</v>
      </c>
      <c r="FZ47" s="239">
        <v>-13895224</v>
      </c>
      <c r="GA47" s="239">
        <v>59431231</v>
      </c>
      <c r="GB47" s="239">
        <v>0</v>
      </c>
      <c r="GC47" s="239">
        <v>59431231</v>
      </c>
      <c r="GD47" s="214" t="s">
        <v>1192</v>
      </c>
    </row>
    <row r="48" spans="1:186" s="214" customFormat="1" x14ac:dyDescent="0.2">
      <c r="B48" s="609" t="s">
        <v>178</v>
      </c>
      <c r="C48" s="609" t="s">
        <v>177</v>
      </c>
      <c r="D48" s="239">
        <v>0</v>
      </c>
      <c r="E48" s="239">
        <v>0</v>
      </c>
      <c r="F48" s="239">
        <v>0</v>
      </c>
      <c r="G48" s="239">
        <v>400747</v>
      </c>
      <c r="H48" s="239">
        <v>0</v>
      </c>
      <c r="I48" s="239">
        <v>400747</v>
      </c>
      <c r="J48" s="239">
        <v>0</v>
      </c>
      <c r="K48" s="239">
        <v>0</v>
      </c>
      <c r="L48" s="239">
        <v>0</v>
      </c>
      <c r="M48" s="239">
        <v>82160</v>
      </c>
      <c r="N48" s="239">
        <v>0</v>
      </c>
      <c r="O48" s="239">
        <v>82160</v>
      </c>
      <c r="P48" s="239">
        <v>482907</v>
      </c>
      <c r="Q48" s="239">
        <v>0</v>
      </c>
      <c r="R48" s="239">
        <v>482907</v>
      </c>
      <c r="S48" s="239">
        <v>-1490547</v>
      </c>
      <c r="T48" s="239">
        <v>0</v>
      </c>
      <c r="U48" s="239">
        <v>-1490547</v>
      </c>
      <c r="V48" s="239">
        <v>-4129.28</v>
      </c>
      <c r="W48" s="239">
        <v>0</v>
      </c>
      <c r="X48" s="239">
        <v>-4129.28</v>
      </c>
      <c r="Y48" s="239">
        <v>-40475</v>
      </c>
      <c r="Z48" s="239">
        <v>0</v>
      </c>
      <c r="AA48" s="239">
        <v>-40475</v>
      </c>
      <c r="AB48" s="239">
        <v>-40475</v>
      </c>
      <c r="AC48" s="239">
        <v>0</v>
      </c>
      <c r="AD48" s="239">
        <v>-40475</v>
      </c>
      <c r="AE48" s="239">
        <v>2840</v>
      </c>
      <c r="AF48" s="239">
        <v>0</v>
      </c>
      <c r="AG48" s="239">
        <v>2840</v>
      </c>
      <c r="AH48" s="239">
        <v>3181221</v>
      </c>
      <c r="AI48" s="239">
        <v>0</v>
      </c>
      <c r="AJ48" s="239">
        <v>3181221</v>
      </c>
      <c r="AK48" s="239">
        <v>-1859</v>
      </c>
      <c r="AL48" s="239">
        <v>0</v>
      </c>
      <c r="AM48" s="239">
        <v>-1859</v>
      </c>
      <c r="AN48" s="239">
        <v>-22625896</v>
      </c>
      <c r="AO48" s="239">
        <v>0</v>
      </c>
      <c r="AP48" s="239">
        <v>-22625896</v>
      </c>
      <c r="AQ48" s="239">
        <v>-184030</v>
      </c>
      <c r="AR48" s="239">
        <v>0</v>
      </c>
      <c r="AS48" s="239">
        <v>-184030</v>
      </c>
      <c r="AT48" s="239">
        <v>-15188</v>
      </c>
      <c r="AU48" s="239">
        <v>0</v>
      </c>
      <c r="AV48" s="239">
        <v>-15188</v>
      </c>
      <c r="AW48" s="239">
        <v>0</v>
      </c>
      <c r="AX48" s="239">
        <v>0</v>
      </c>
      <c r="AY48" s="239">
        <v>0</v>
      </c>
      <c r="AZ48" s="239">
        <v>0</v>
      </c>
      <c r="BA48" s="239">
        <v>0</v>
      </c>
      <c r="BB48" s="239">
        <v>0</v>
      </c>
      <c r="BC48" s="239">
        <v>0</v>
      </c>
      <c r="BD48" s="239">
        <v>0</v>
      </c>
      <c r="BE48" s="239">
        <v>0</v>
      </c>
      <c r="BF48" s="239">
        <v>-21176774</v>
      </c>
      <c r="BG48" s="239">
        <v>0</v>
      </c>
      <c r="BH48" s="239">
        <v>-21176774</v>
      </c>
      <c r="BI48" s="239">
        <v>-3622</v>
      </c>
      <c r="BJ48" s="239">
        <v>0</v>
      </c>
      <c r="BK48" s="239">
        <v>-3622</v>
      </c>
      <c r="BL48" s="239">
        <v>-7378</v>
      </c>
      <c r="BM48" s="239">
        <v>0</v>
      </c>
      <c r="BN48" s="239">
        <v>-7378</v>
      </c>
      <c r="BO48" s="239">
        <v>-2108692</v>
      </c>
      <c r="BP48" s="239">
        <v>0</v>
      </c>
      <c r="BQ48" s="239">
        <v>-2108692</v>
      </c>
      <c r="BR48" s="239">
        <v>245460</v>
      </c>
      <c r="BS48" s="239">
        <v>0</v>
      </c>
      <c r="BT48" s="239">
        <v>245460</v>
      </c>
      <c r="BU48" s="239">
        <v>-1874232</v>
      </c>
      <c r="BV48" s="239">
        <v>0</v>
      </c>
      <c r="BW48" s="239">
        <v>-1874232</v>
      </c>
      <c r="BX48" s="239">
        <v>-146048</v>
      </c>
      <c r="BY48" s="239">
        <v>0</v>
      </c>
      <c r="BZ48" s="239">
        <v>-146048</v>
      </c>
      <c r="CA48" s="239">
        <v>5373</v>
      </c>
      <c r="CB48" s="239">
        <v>0</v>
      </c>
      <c r="CC48" s="239">
        <v>5373</v>
      </c>
      <c r="CD48" s="239">
        <v>-1143</v>
      </c>
      <c r="CE48" s="239">
        <v>0</v>
      </c>
      <c r="CF48" s="239">
        <v>-1143</v>
      </c>
      <c r="CG48" s="239">
        <v>0</v>
      </c>
      <c r="CH48" s="239">
        <v>0</v>
      </c>
      <c r="CI48" s="239">
        <v>0</v>
      </c>
      <c r="CJ48" s="239">
        <v>0</v>
      </c>
      <c r="CK48" s="239">
        <v>0</v>
      </c>
      <c r="CL48" s="239">
        <v>0</v>
      </c>
      <c r="CM48" s="239">
        <v>0</v>
      </c>
      <c r="CN48" s="239">
        <v>0</v>
      </c>
      <c r="CO48" s="239">
        <v>0</v>
      </c>
      <c r="CP48" s="239">
        <v>0</v>
      </c>
      <c r="CQ48" s="239">
        <v>0</v>
      </c>
      <c r="CR48" s="239">
        <v>0</v>
      </c>
      <c r="CS48" s="239">
        <v>0</v>
      </c>
      <c r="CT48" s="239">
        <v>0</v>
      </c>
      <c r="CU48" s="239">
        <v>0</v>
      </c>
      <c r="CV48" s="239">
        <v>0</v>
      </c>
      <c r="CW48" s="239">
        <v>0</v>
      </c>
      <c r="CX48" s="239">
        <v>0</v>
      </c>
      <c r="CY48" s="239">
        <v>0</v>
      </c>
      <c r="CZ48" s="239">
        <v>0</v>
      </c>
      <c r="DA48" s="239">
        <v>0</v>
      </c>
      <c r="DB48" s="239">
        <v>0</v>
      </c>
      <c r="DC48" s="239">
        <v>0</v>
      </c>
      <c r="DD48" s="239">
        <v>0</v>
      </c>
      <c r="DE48" s="239">
        <v>0</v>
      </c>
      <c r="DF48" s="239">
        <v>0</v>
      </c>
      <c r="DG48" s="239">
        <v>0</v>
      </c>
      <c r="DH48" s="239">
        <v>0</v>
      </c>
      <c r="DI48" s="239">
        <v>0</v>
      </c>
      <c r="DJ48" s="239">
        <v>-141818</v>
      </c>
      <c r="DK48" s="239">
        <v>0</v>
      </c>
      <c r="DL48" s="239">
        <v>-141818</v>
      </c>
      <c r="DM48" s="239">
        <v>-2634</v>
      </c>
      <c r="DN48" s="239">
        <v>0</v>
      </c>
      <c r="DO48" s="239">
        <v>-2634</v>
      </c>
      <c r="DP48" s="239">
        <v>254178</v>
      </c>
      <c r="DQ48" s="239">
        <v>0</v>
      </c>
      <c r="DR48" s="239">
        <v>254178</v>
      </c>
      <c r="DS48" s="239">
        <v>-66080</v>
      </c>
      <c r="DT48" s="239">
        <v>0</v>
      </c>
      <c r="DU48" s="239">
        <v>-66080</v>
      </c>
      <c r="DV48" s="239">
        <v>4548</v>
      </c>
      <c r="DW48" s="239">
        <v>0</v>
      </c>
      <c r="DX48" s="239">
        <v>4548</v>
      </c>
      <c r="DY48" s="239">
        <v>0</v>
      </c>
      <c r="DZ48" s="239">
        <v>0</v>
      </c>
      <c r="EA48" s="239">
        <v>0</v>
      </c>
      <c r="EB48" s="239">
        <v>3009</v>
      </c>
      <c r="EC48" s="239">
        <v>0</v>
      </c>
      <c r="ED48" s="239">
        <v>3009</v>
      </c>
      <c r="EE48" s="239">
        <v>0</v>
      </c>
      <c r="EF48" s="239">
        <v>0</v>
      </c>
      <c r="EG48" s="239">
        <v>0</v>
      </c>
      <c r="EH48" s="239">
        <v>0</v>
      </c>
      <c r="EI48" s="239">
        <v>0</v>
      </c>
      <c r="EJ48" s="239">
        <v>0</v>
      </c>
      <c r="EK48" s="239">
        <v>-20314</v>
      </c>
      <c r="EL48" s="239">
        <v>0</v>
      </c>
      <c r="EM48" s="239">
        <v>-20314</v>
      </c>
      <c r="EN48" s="239">
        <v>0</v>
      </c>
      <c r="EO48" s="239">
        <v>0</v>
      </c>
      <c r="EP48" s="239">
        <v>0</v>
      </c>
      <c r="EQ48" s="239">
        <v>172707</v>
      </c>
      <c r="ER48" s="239">
        <v>0</v>
      </c>
      <c r="ES48" s="239">
        <v>172707</v>
      </c>
      <c r="ET48" s="239">
        <v>0</v>
      </c>
      <c r="EU48" s="239">
        <v>0</v>
      </c>
      <c r="EV48" s="239">
        <v>0</v>
      </c>
      <c r="EW48" s="239">
        <v>0</v>
      </c>
      <c r="EX48" s="239">
        <v>0</v>
      </c>
      <c r="EY48" s="239">
        <v>0</v>
      </c>
      <c r="EZ48" s="239">
        <v>0</v>
      </c>
      <c r="FA48" s="239">
        <v>0</v>
      </c>
      <c r="FB48" s="239">
        <v>0</v>
      </c>
      <c r="FC48" s="239">
        <v>122031647</v>
      </c>
      <c r="FD48" s="239">
        <v>0</v>
      </c>
      <c r="FE48" s="239">
        <v>122031647</v>
      </c>
      <c r="FF48" s="239">
        <v>482907</v>
      </c>
      <c r="FG48" s="239">
        <v>0</v>
      </c>
      <c r="FH48" s="239">
        <v>482907</v>
      </c>
      <c r="FI48" s="239">
        <v>-21176774</v>
      </c>
      <c r="FJ48" s="239">
        <v>0</v>
      </c>
      <c r="FK48" s="239">
        <v>-21176774</v>
      </c>
      <c r="FL48" s="239">
        <v>-1874232</v>
      </c>
      <c r="FM48" s="239">
        <v>0</v>
      </c>
      <c r="FN48" s="239">
        <v>-1874232</v>
      </c>
      <c r="FO48" s="239">
        <v>-141818</v>
      </c>
      <c r="FP48" s="239">
        <v>0</v>
      </c>
      <c r="FQ48" s="239">
        <v>-141818</v>
      </c>
      <c r="FR48" s="239">
        <v>172707</v>
      </c>
      <c r="FS48" s="239">
        <v>0</v>
      </c>
      <c r="FT48" s="239">
        <v>172707</v>
      </c>
      <c r="FU48" s="239">
        <v>0</v>
      </c>
      <c r="FV48" s="239">
        <v>0</v>
      </c>
      <c r="FW48" s="239">
        <v>0</v>
      </c>
      <c r="FX48" s="239">
        <v>-22537210</v>
      </c>
      <c r="FY48" s="239">
        <v>0</v>
      </c>
      <c r="FZ48" s="239">
        <v>-22537210</v>
      </c>
      <c r="GA48" s="239">
        <v>99494437</v>
      </c>
      <c r="GB48" s="239">
        <v>0</v>
      </c>
      <c r="GC48" s="239">
        <v>99494437</v>
      </c>
      <c r="GD48" s="214" t="s">
        <v>1190</v>
      </c>
    </row>
    <row r="49" spans="2:186" s="214" customFormat="1" x14ac:dyDescent="0.2">
      <c r="B49" s="609" t="s">
        <v>180</v>
      </c>
      <c r="C49" s="609" t="s">
        <v>179</v>
      </c>
      <c r="D49" s="239">
        <v>0</v>
      </c>
      <c r="E49" s="239">
        <v>0</v>
      </c>
      <c r="F49" s="239">
        <v>0</v>
      </c>
      <c r="G49" s="239">
        <v>2189687</v>
      </c>
      <c r="H49" s="239">
        <v>0</v>
      </c>
      <c r="I49" s="239">
        <v>2189687</v>
      </c>
      <c r="J49" s="239">
        <v>0</v>
      </c>
      <c r="K49" s="239">
        <v>0</v>
      </c>
      <c r="L49" s="239">
        <v>0</v>
      </c>
      <c r="M49" s="239">
        <v>116740</v>
      </c>
      <c r="N49" s="239">
        <v>0</v>
      </c>
      <c r="O49" s="239">
        <v>116740</v>
      </c>
      <c r="P49" s="239">
        <v>2306427</v>
      </c>
      <c r="Q49" s="239">
        <v>0</v>
      </c>
      <c r="R49" s="239">
        <v>2306427</v>
      </c>
      <c r="S49" s="239">
        <v>-3179572</v>
      </c>
      <c r="T49" s="239">
        <v>0</v>
      </c>
      <c r="U49" s="239">
        <v>-3179572</v>
      </c>
      <c r="V49" s="239">
        <v>0</v>
      </c>
      <c r="W49" s="239">
        <v>0</v>
      </c>
      <c r="X49" s="239">
        <v>0</v>
      </c>
      <c r="Y49" s="239">
        <v>-457988</v>
      </c>
      <c r="Z49" s="239">
        <v>0</v>
      </c>
      <c r="AA49" s="239">
        <v>-457988</v>
      </c>
      <c r="AB49" s="239">
        <v>-327111</v>
      </c>
      <c r="AC49" s="239">
        <v>0</v>
      </c>
      <c r="AD49" s="239">
        <v>-327111</v>
      </c>
      <c r="AE49" s="239">
        <v>0</v>
      </c>
      <c r="AF49" s="239">
        <v>0</v>
      </c>
      <c r="AG49" s="239">
        <v>0</v>
      </c>
      <c r="AH49" s="239">
        <v>14911145</v>
      </c>
      <c r="AI49" s="239">
        <v>0</v>
      </c>
      <c r="AJ49" s="239">
        <v>14911145</v>
      </c>
      <c r="AK49" s="239">
        <v>-363643</v>
      </c>
      <c r="AL49" s="239">
        <v>0</v>
      </c>
      <c r="AM49" s="239">
        <v>-363643</v>
      </c>
      <c r="AN49" s="239">
        <v>-58339913</v>
      </c>
      <c r="AO49" s="239">
        <v>0</v>
      </c>
      <c r="AP49" s="239">
        <v>-58339913</v>
      </c>
      <c r="AQ49" s="239">
        <v>633928</v>
      </c>
      <c r="AR49" s="239">
        <v>0</v>
      </c>
      <c r="AS49" s="239">
        <v>633928</v>
      </c>
      <c r="AT49" s="239">
        <v>-14214</v>
      </c>
      <c r="AU49" s="239">
        <v>0</v>
      </c>
      <c r="AV49" s="239">
        <v>-14214</v>
      </c>
      <c r="AW49" s="239">
        <v>0</v>
      </c>
      <c r="AX49" s="239">
        <v>0</v>
      </c>
      <c r="AY49" s="239">
        <v>0</v>
      </c>
      <c r="AZ49" s="239">
        <v>0</v>
      </c>
      <c r="BA49" s="239">
        <v>0</v>
      </c>
      <c r="BB49" s="239">
        <v>0</v>
      </c>
      <c r="BC49" s="239">
        <v>0</v>
      </c>
      <c r="BD49" s="239">
        <v>0</v>
      </c>
      <c r="BE49" s="239">
        <v>0</v>
      </c>
      <c r="BF49" s="239">
        <v>-46810257</v>
      </c>
      <c r="BG49" s="239">
        <v>0</v>
      </c>
      <c r="BH49" s="239">
        <v>-46810257</v>
      </c>
      <c r="BI49" s="239">
        <v>-1270667</v>
      </c>
      <c r="BJ49" s="239">
        <v>0</v>
      </c>
      <c r="BK49" s="239">
        <v>-1270667</v>
      </c>
      <c r="BL49" s="239">
        <v>-210010</v>
      </c>
      <c r="BM49" s="239">
        <v>0</v>
      </c>
      <c r="BN49" s="239">
        <v>-210010</v>
      </c>
      <c r="BO49" s="239">
        <v>-22541781</v>
      </c>
      <c r="BP49" s="239">
        <v>0</v>
      </c>
      <c r="BQ49" s="239">
        <v>-22541781</v>
      </c>
      <c r="BR49" s="239">
        <v>-222491</v>
      </c>
      <c r="BS49" s="239">
        <v>0</v>
      </c>
      <c r="BT49" s="239">
        <v>-222491</v>
      </c>
      <c r="BU49" s="239">
        <v>-24244949</v>
      </c>
      <c r="BV49" s="239">
        <v>0</v>
      </c>
      <c r="BW49" s="239">
        <v>-24244949</v>
      </c>
      <c r="BX49" s="239">
        <v>-190918</v>
      </c>
      <c r="BY49" s="239">
        <v>0</v>
      </c>
      <c r="BZ49" s="239">
        <v>-190918</v>
      </c>
      <c r="CA49" s="239">
        <v>-106</v>
      </c>
      <c r="CB49" s="239">
        <v>0</v>
      </c>
      <c r="CC49" s="239">
        <v>-106</v>
      </c>
      <c r="CD49" s="239">
        <v>-4000</v>
      </c>
      <c r="CE49" s="239">
        <v>0</v>
      </c>
      <c r="CF49" s="239">
        <v>-4000</v>
      </c>
      <c r="CG49" s="239">
        <v>0</v>
      </c>
      <c r="CH49" s="239">
        <v>0</v>
      </c>
      <c r="CI49" s="239">
        <v>0</v>
      </c>
      <c r="CJ49" s="239">
        <v>0</v>
      </c>
      <c r="CK49" s="239">
        <v>0</v>
      </c>
      <c r="CL49" s="239">
        <v>0</v>
      </c>
      <c r="CM49" s="239">
        <v>0</v>
      </c>
      <c r="CN49" s="239">
        <v>0</v>
      </c>
      <c r="CO49" s="239">
        <v>0</v>
      </c>
      <c r="CP49" s="239">
        <v>0</v>
      </c>
      <c r="CQ49" s="239">
        <v>0</v>
      </c>
      <c r="CR49" s="239">
        <v>0</v>
      </c>
      <c r="CS49" s="239">
        <v>0</v>
      </c>
      <c r="CT49" s="239">
        <v>0</v>
      </c>
      <c r="CU49" s="239">
        <v>0</v>
      </c>
      <c r="CV49" s="239">
        <v>0</v>
      </c>
      <c r="CW49" s="239">
        <v>0</v>
      </c>
      <c r="CX49" s="239">
        <v>0</v>
      </c>
      <c r="CY49" s="239">
        <v>0</v>
      </c>
      <c r="CZ49" s="239">
        <v>0</v>
      </c>
      <c r="DA49" s="239">
        <v>0</v>
      </c>
      <c r="DB49" s="239">
        <v>0</v>
      </c>
      <c r="DC49" s="239">
        <v>0</v>
      </c>
      <c r="DD49" s="239">
        <v>0</v>
      </c>
      <c r="DE49" s="239">
        <v>0</v>
      </c>
      <c r="DF49" s="239">
        <v>0</v>
      </c>
      <c r="DG49" s="239">
        <v>0</v>
      </c>
      <c r="DH49" s="239">
        <v>0</v>
      </c>
      <c r="DI49" s="239">
        <v>0</v>
      </c>
      <c r="DJ49" s="239">
        <v>-195024</v>
      </c>
      <c r="DK49" s="239">
        <v>0</v>
      </c>
      <c r="DL49" s="239">
        <v>-195024</v>
      </c>
      <c r="DM49" s="239">
        <v>0</v>
      </c>
      <c r="DN49" s="239">
        <v>0</v>
      </c>
      <c r="DO49" s="239">
        <v>0</v>
      </c>
      <c r="DP49" s="239">
        <v>0</v>
      </c>
      <c r="DQ49" s="239">
        <v>0</v>
      </c>
      <c r="DR49" s="239">
        <v>0</v>
      </c>
      <c r="DS49" s="239">
        <v>-33308</v>
      </c>
      <c r="DT49" s="239">
        <v>0</v>
      </c>
      <c r="DU49" s="239">
        <v>-33308</v>
      </c>
      <c r="DV49" s="239">
        <v>2185</v>
      </c>
      <c r="DW49" s="239">
        <v>0</v>
      </c>
      <c r="DX49" s="239">
        <v>2185</v>
      </c>
      <c r="DY49" s="239">
        <v>0</v>
      </c>
      <c r="DZ49" s="239">
        <v>0</v>
      </c>
      <c r="EA49" s="239">
        <v>0</v>
      </c>
      <c r="EB49" s="239">
        <v>18784</v>
      </c>
      <c r="EC49" s="239">
        <v>0</v>
      </c>
      <c r="ED49" s="239">
        <v>18784</v>
      </c>
      <c r="EE49" s="239">
        <v>0</v>
      </c>
      <c r="EF49" s="239">
        <v>0</v>
      </c>
      <c r="EG49" s="239">
        <v>0</v>
      </c>
      <c r="EH49" s="239">
        <v>0</v>
      </c>
      <c r="EI49" s="239">
        <v>0</v>
      </c>
      <c r="EJ49" s="239">
        <v>0</v>
      </c>
      <c r="EK49" s="239">
        <v>-50427</v>
      </c>
      <c r="EL49" s="239">
        <v>0</v>
      </c>
      <c r="EM49" s="239">
        <v>-50427</v>
      </c>
      <c r="EN49" s="239">
        <v>4687</v>
      </c>
      <c r="EO49" s="239">
        <v>0</v>
      </c>
      <c r="EP49" s="239">
        <v>4687</v>
      </c>
      <c r="EQ49" s="239">
        <v>-58079</v>
      </c>
      <c r="ER49" s="239">
        <v>0</v>
      </c>
      <c r="ES49" s="239">
        <v>-58079</v>
      </c>
      <c r="ET49" s="239">
        <v>0</v>
      </c>
      <c r="EU49" s="239">
        <v>0</v>
      </c>
      <c r="EV49" s="239">
        <v>0</v>
      </c>
      <c r="EW49" s="239">
        <v>0</v>
      </c>
      <c r="EX49" s="239">
        <v>0</v>
      </c>
      <c r="EY49" s="239">
        <v>0</v>
      </c>
      <c r="EZ49" s="239">
        <v>0</v>
      </c>
      <c r="FA49" s="239">
        <v>0</v>
      </c>
      <c r="FB49" s="239">
        <v>0</v>
      </c>
      <c r="FC49" s="239">
        <v>580055849</v>
      </c>
      <c r="FD49" s="239">
        <v>0</v>
      </c>
      <c r="FE49" s="239">
        <v>580055849</v>
      </c>
      <c r="FF49" s="239">
        <v>2306427</v>
      </c>
      <c r="FG49" s="239">
        <v>0</v>
      </c>
      <c r="FH49" s="239">
        <v>2306427</v>
      </c>
      <c r="FI49" s="239">
        <v>-46810257</v>
      </c>
      <c r="FJ49" s="239">
        <v>0</v>
      </c>
      <c r="FK49" s="239">
        <v>-46810257</v>
      </c>
      <c r="FL49" s="239">
        <v>-24244949</v>
      </c>
      <c r="FM49" s="239">
        <v>0</v>
      </c>
      <c r="FN49" s="239">
        <v>-24244949</v>
      </c>
      <c r="FO49" s="239">
        <v>-195024</v>
      </c>
      <c r="FP49" s="239">
        <v>0</v>
      </c>
      <c r="FQ49" s="239">
        <v>-195024</v>
      </c>
      <c r="FR49" s="239">
        <v>-58079</v>
      </c>
      <c r="FS49" s="239">
        <v>0</v>
      </c>
      <c r="FT49" s="239">
        <v>-58079</v>
      </c>
      <c r="FU49" s="239">
        <v>0</v>
      </c>
      <c r="FV49" s="239">
        <v>0</v>
      </c>
      <c r="FW49" s="239">
        <v>0</v>
      </c>
      <c r="FX49" s="239">
        <v>-69001882</v>
      </c>
      <c r="FY49" s="239">
        <v>0</v>
      </c>
      <c r="FZ49" s="239">
        <v>-69001882</v>
      </c>
      <c r="GA49" s="239">
        <v>511053967</v>
      </c>
      <c r="GB49" s="239">
        <v>0</v>
      </c>
      <c r="GC49" s="239">
        <v>511053967</v>
      </c>
      <c r="GD49" s="214" t="s">
        <v>1193</v>
      </c>
    </row>
    <row r="50" spans="2:186" s="214" customFormat="1" x14ac:dyDescent="0.2">
      <c r="B50" s="609" t="s">
        <v>182</v>
      </c>
      <c r="C50" s="609" t="s">
        <v>181</v>
      </c>
      <c r="D50" s="239">
        <v>0</v>
      </c>
      <c r="E50" s="239">
        <v>0</v>
      </c>
      <c r="F50" s="239">
        <v>0</v>
      </c>
      <c r="G50" s="239">
        <v>0</v>
      </c>
      <c r="H50" s="239">
        <v>0</v>
      </c>
      <c r="I50" s="239">
        <v>0</v>
      </c>
      <c r="J50" s="239">
        <v>0</v>
      </c>
      <c r="K50" s="239">
        <v>0</v>
      </c>
      <c r="L50" s="239">
        <v>0</v>
      </c>
      <c r="M50" s="239">
        <v>0</v>
      </c>
      <c r="N50" s="239">
        <v>0</v>
      </c>
      <c r="O50" s="239">
        <v>0</v>
      </c>
      <c r="P50" s="239">
        <v>0</v>
      </c>
      <c r="Q50" s="239">
        <v>0</v>
      </c>
      <c r="R50" s="239">
        <v>0</v>
      </c>
      <c r="S50" s="239">
        <v>-2685014</v>
      </c>
      <c r="T50" s="239">
        <v>0</v>
      </c>
      <c r="U50" s="239">
        <v>-2685014</v>
      </c>
      <c r="V50" s="239">
        <v>0</v>
      </c>
      <c r="W50" s="239">
        <v>0</v>
      </c>
      <c r="X50" s="239">
        <v>0</v>
      </c>
      <c r="Y50" s="239">
        <v>-153153</v>
      </c>
      <c r="Z50" s="239">
        <v>0</v>
      </c>
      <c r="AA50" s="239">
        <v>-153153</v>
      </c>
      <c r="AB50" s="239">
        <v>0</v>
      </c>
      <c r="AC50" s="239">
        <v>0</v>
      </c>
      <c r="AD50" s="239">
        <v>0</v>
      </c>
      <c r="AE50" s="239">
        <v>0</v>
      </c>
      <c r="AF50" s="239">
        <v>0</v>
      </c>
      <c r="AG50" s="239">
        <v>0</v>
      </c>
      <c r="AH50" s="239">
        <v>934422</v>
      </c>
      <c r="AI50" s="239">
        <v>0</v>
      </c>
      <c r="AJ50" s="239">
        <v>934422</v>
      </c>
      <c r="AK50" s="239">
        <v>-47099</v>
      </c>
      <c r="AL50" s="239">
        <v>0</v>
      </c>
      <c r="AM50" s="239">
        <v>-47099</v>
      </c>
      <c r="AN50" s="239">
        <v>-1655880</v>
      </c>
      <c r="AO50" s="239">
        <v>0</v>
      </c>
      <c r="AP50" s="239">
        <v>-1655880</v>
      </c>
      <c r="AQ50" s="239">
        <v>39345</v>
      </c>
      <c r="AR50" s="239">
        <v>0</v>
      </c>
      <c r="AS50" s="239">
        <v>39345</v>
      </c>
      <c r="AT50" s="239">
        <v>-1491</v>
      </c>
      <c r="AU50" s="239">
        <v>0</v>
      </c>
      <c r="AV50" s="239">
        <v>-1491</v>
      </c>
      <c r="AW50" s="239">
        <v>0</v>
      </c>
      <c r="AX50" s="239">
        <v>0</v>
      </c>
      <c r="AY50" s="239">
        <v>0</v>
      </c>
      <c r="AZ50" s="239">
        <v>0</v>
      </c>
      <c r="BA50" s="239">
        <v>0</v>
      </c>
      <c r="BB50" s="239">
        <v>0</v>
      </c>
      <c r="BC50" s="239">
        <v>0</v>
      </c>
      <c r="BD50" s="239">
        <v>0</v>
      </c>
      <c r="BE50" s="239">
        <v>0</v>
      </c>
      <c r="BF50" s="239">
        <v>-3568870</v>
      </c>
      <c r="BG50" s="239">
        <v>0</v>
      </c>
      <c r="BH50" s="239">
        <v>-3568870</v>
      </c>
      <c r="BI50" s="239">
        <v>0</v>
      </c>
      <c r="BJ50" s="239">
        <v>0</v>
      </c>
      <c r="BK50" s="239">
        <v>0</v>
      </c>
      <c r="BL50" s="239">
        <v>-1812</v>
      </c>
      <c r="BM50" s="239">
        <v>0</v>
      </c>
      <c r="BN50" s="239">
        <v>-1812</v>
      </c>
      <c r="BO50" s="239">
        <v>-745011</v>
      </c>
      <c r="BP50" s="239">
        <v>0</v>
      </c>
      <c r="BQ50" s="239">
        <v>-745011</v>
      </c>
      <c r="BR50" s="239">
        <v>-20047</v>
      </c>
      <c r="BS50" s="239">
        <v>0</v>
      </c>
      <c r="BT50" s="239">
        <v>-20047</v>
      </c>
      <c r="BU50" s="239">
        <v>-766870</v>
      </c>
      <c r="BV50" s="239">
        <v>0</v>
      </c>
      <c r="BW50" s="239">
        <v>-766870</v>
      </c>
      <c r="BX50" s="239">
        <v>-69127</v>
      </c>
      <c r="BY50" s="239">
        <v>0</v>
      </c>
      <c r="BZ50" s="239">
        <v>-69127</v>
      </c>
      <c r="CA50" s="239">
        <v>2632</v>
      </c>
      <c r="CB50" s="239">
        <v>0</v>
      </c>
      <c r="CC50" s="239">
        <v>2632</v>
      </c>
      <c r="CD50" s="239">
        <v>-10761</v>
      </c>
      <c r="CE50" s="239">
        <v>0</v>
      </c>
      <c r="CF50" s="239">
        <v>-10761</v>
      </c>
      <c r="CG50" s="239">
        <v>0</v>
      </c>
      <c r="CH50" s="239">
        <v>0</v>
      </c>
      <c r="CI50" s="239">
        <v>0</v>
      </c>
      <c r="CJ50" s="239">
        <v>-40</v>
      </c>
      <c r="CK50" s="239">
        <v>0</v>
      </c>
      <c r="CL50" s="239">
        <v>-40</v>
      </c>
      <c r="CM50" s="239">
        <v>0</v>
      </c>
      <c r="CN50" s="239">
        <v>0</v>
      </c>
      <c r="CO50" s="239">
        <v>0</v>
      </c>
      <c r="CP50" s="239">
        <v>0</v>
      </c>
      <c r="CQ50" s="239">
        <v>0</v>
      </c>
      <c r="CR50" s="239">
        <v>0</v>
      </c>
      <c r="CS50" s="239">
        <v>0</v>
      </c>
      <c r="CT50" s="239">
        <v>0</v>
      </c>
      <c r="CU50" s="239">
        <v>0</v>
      </c>
      <c r="CV50" s="239">
        <v>0</v>
      </c>
      <c r="CW50" s="239">
        <v>0</v>
      </c>
      <c r="CX50" s="239">
        <v>0</v>
      </c>
      <c r="CY50" s="239">
        <v>0</v>
      </c>
      <c r="CZ50" s="239">
        <v>0</v>
      </c>
      <c r="DA50" s="239">
        <v>0</v>
      </c>
      <c r="DB50" s="239">
        <v>-36240</v>
      </c>
      <c r="DC50" s="239">
        <v>0</v>
      </c>
      <c r="DD50" s="239">
        <v>-36240</v>
      </c>
      <c r="DE50" s="239">
        <v>-11011</v>
      </c>
      <c r="DF50" s="239">
        <v>0</v>
      </c>
      <c r="DG50" s="239">
        <v>-11011</v>
      </c>
      <c r="DH50" s="239">
        <v>0</v>
      </c>
      <c r="DI50" s="239">
        <v>0</v>
      </c>
      <c r="DJ50" s="239">
        <v>-124547</v>
      </c>
      <c r="DK50" s="239">
        <v>0</v>
      </c>
      <c r="DL50" s="239">
        <v>-124547</v>
      </c>
      <c r="DM50" s="239">
        <v>0</v>
      </c>
      <c r="DN50" s="239">
        <v>0</v>
      </c>
      <c r="DO50" s="239">
        <v>0</v>
      </c>
      <c r="DP50" s="239">
        <v>0</v>
      </c>
      <c r="DQ50" s="239">
        <v>0</v>
      </c>
      <c r="DR50" s="239">
        <v>0</v>
      </c>
      <c r="DS50" s="239">
        <v>-21544</v>
      </c>
      <c r="DT50" s="239">
        <v>0</v>
      </c>
      <c r="DU50" s="239">
        <v>-21544</v>
      </c>
      <c r="DV50" s="239">
        <v>0</v>
      </c>
      <c r="DW50" s="239">
        <v>0</v>
      </c>
      <c r="DX50" s="239">
        <v>0</v>
      </c>
      <c r="DY50" s="239">
        <v>0</v>
      </c>
      <c r="DZ50" s="239">
        <v>0</v>
      </c>
      <c r="EA50" s="239">
        <v>0</v>
      </c>
      <c r="EB50" s="239">
        <v>-18004</v>
      </c>
      <c r="EC50" s="239">
        <v>0</v>
      </c>
      <c r="ED50" s="239">
        <v>-18004</v>
      </c>
      <c r="EE50" s="239">
        <v>0</v>
      </c>
      <c r="EF50" s="239">
        <v>0</v>
      </c>
      <c r="EG50" s="239">
        <v>0</v>
      </c>
      <c r="EH50" s="239">
        <v>0</v>
      </c>
      <c r="EI50" s="239">
        <v>0</v>
      </c>
      <c r="EJ50" s="239">
        <v>0</v>
      </c>
      <c r="EK50" s="239">
        <v>-3240</v>
      </c>
      <c r="EL50" s="239">
        <v>0</v>
      </c>
      <c r="EM50" s="239">
        <v>-3240</v>
      </c>
      <c r="EN50" s="239">
        <v>-3264</v>
      </c>
      <c r="EO50" s="239">
        <v>0</v>
      </c>
      <c r="EP50" s="239">
        <v>-3264</v>
      </c>
      <c r="EQ50" s="239">
        <v>-46052</v>
      </c>
      <c r="ER50" s="239">
        <v>0</v>
      </c>
      <c r="ES50" s="239">
        <v>-46052</v>
      </c>
      <c r="ET50" s="239">
        <v>0</v>
      </c>
      <c r="EU50" s="239">
        <v>0</v>
      </c>
      <c r="EV50" s="239">
        <v>0</v>
      </c>
      <c r="EW50" s="239">
        <v>0</v>
      </c>
      <c r="EX50" s="239">
        <v>0</v>
      </c>
      <c r="EY50" s="239">
        <v>0</v>
      </c>
      <c r="EZ50" s="239">
        <v>0</v>
      </c>
      <c r="FA50" s="239">
        <v>0</v>
      </c>
      <c r="FB50" s="239">
        <v>0</v>
      </c>
      <c r="FC50" s="239">
        <v>40058761</v>
      </c>
      <c r="FD50" s="239">
        <v>0</v>
      </c>
      <c r="FE50" s="239">
        <v>40058761</v>
      </c>
      <c r="FF50" s="239">
        <v>0</v>
      </c>
      <c r="FG50" s="239">
        <v>0</v>
      </c>
      <c r="FH50" s="239">
        <v>0</v>
      </c>
      <c r="FI50" s="239">
        <v>-3568870</v>
      </c>
      <c r="FJ50" s="239">
        <v>0</v>
      </c>
      <c r="FK50" s="239">
        <v>-3568870</v>
      </c>
      <c r="FL50" s="239">
        <v>-766870</v>
      </c>
      <c r="FM50" s="239">
        <v>0</v>
      </c>
      <c r="FN50" s="239">
        <v>-766870</v>
      </c>
      <c r="FO50" s="239">
        <v>-124547</v>
      </c>
      <c r="FP50" s="239">
        <v>0</v>
      </c>
      <c r="FQ50" s="239">
        <v>-124547</v>
      </c>
      <c r="FR50" s="239">
        <v>-46052</v>
      </c>
      <c r="FS50" s="239">
        <v>0</v>
      </c>
      <c r="FT50" s="239">
        <v>-46052</v>
      </c>
      <c r="FU50" s="239">
        <v>0</v>
      </c>
      <c r="FV50" s="239">
        <v>0</v>
      </c>
      <c r="FW50" s="239">
        <v>0</v>
      </c>
      <c r="FX50" s="239">
        <v>-4506339</v>
      </c>
      <c r="FY50" s="239">
        <v>0</v>
      </c>
      <c r="FZ50" s="239">
        <v>-4506339</v>
      </c>
      <c r="GA50" s="239">
        <v>35552422</v>
      </c>
      <c r="GB50" s="239">
        <v>0</v>
      </c>
      <c r="GC50" s="239">
        <v>35552422</v>
      </c>
      <c r="GD50" s="214" t="s">
        <v>1190</v>
      </c>
    </row>
    <row r="51" spans="2:186" s="214" customFormat="1" x14ac:dyDescent="0.2">
      <c r="B51" s="609" t="s">
        <v>184</v>
      </c>
      <c r="C51" s="609" t="s">
        <v>183</v>
      </c>
      <c r="D51" s="239">
        <v>0</v>
      </c>
      <c r="E51" s="239">
        <v>0</v>
      </c>
      <c r="F51" s="239">
        <v>0</v>
      </c>
      <c r="G51" s="239">
        <v>-8215</v>
      </c>
      <c r="H51" s="239">
        <v>0</v>
      </c>
      <c r="I51" s="239">
        <v>-8215</v>
      </c>
      <c r="J51" s="239">
        <v>0</v>
      </c>
      <c r="K51" s="239">
        <v>0</v>
      </c>
      <c r="L51" s="239">
        <v>0</v>
      </c>
      <c r="M51" s="239">
        <v>60457</v>
      </c>
      <c r="N51" s="239">
        <v>0</v>
      </c>
      <c r="O51" s="239">
        <v>60457</v>
      </c>
      <c r="P51" s="239">
        <v>52242</v>
      </c>
      <c r="Q51" s="239">
        <v>0</v>
      </c>
      <c r="R51" s="239">
        <v>52242</v>
      </c>
      <c r="S51" s="239">
        <v>-3630065</v>
      </c>
      <c r="T51" s="239">
        <v>0</v>
      </c>
      <c r="U51" s="239">
        <v>-3630065</v>
      </c>
      <c r="V51" s="239">
        <v>-4142</v>
      </c>
      <c r="W51" s="239">
        <v>0</v>
      </c>
      <c r="X51" s="239">
        <v>-4142</v>
      </c>
      <c r="Y51" s="239">
        <v>-170979</v>
      </c>
      <c r="Z51" s="239">
        <v>0</v>
      </c>
      <c r="AA51" s="239">
        <v>-170979</v>
      </c>
      <c r="AB51" s="239">
        <v>-116003</v>
      </c>
      <c r="AC51" s="239">
        <v>0</v>
      </c>
      <c r="AD51" s="239">
        <v>-116003</v>
      </c>
      <c r="AE51" s="239">
        <v>0</v>
      </c>
      <c r="AF51" s="239">
        <v>0</v>
      </c>
      <c r="AG51" s="239">
        <v>0</v>
      </c>
      <c r="AH51" s="239">
        <v>1526806</v>
      </c>
      <c r="AI51" s="239">
        <v>0</v>
      </c>
      <c r="AJ51" s="239">
        <v>1526806</v>
      </c>
      <c r="AK51" s="239">
        <v>-22364</v>
      </c>
      <c r="AL51" s="239">
        <v>0</v>
      </c>
      <c r="AM51" s="239">
        <v>-22364</v>
      </c>
      <c r="AN51" s="239">
        <v>-7339609</v>
      </c>
      <c r="AO51" s="239">
        <v>0</v>
      </c>
      <c r="AP51" s="239">
        <v>-7339609</v>
      </c>
      <c r="AQ51" s="239">
        <v>-54180</v>
      </c>
      <c r="AR51" s="239">
        <v>0</v>
      </c>
      <c r="AS51" s="239">
        <v>-54180</v>
      </c>
      <c r="AT51" s="239">
        <v>-100865</v>
      </c>
      <c r="AU51" s="239">
        <v>0</v>
      </c>
      <c r="AV51" s="239">
        <v>-100865</v>
      </c>
      <c r="AW51" s="239">
        <v>0</v>
      </c>
      <c r="AX51" s="239">
        <v>0</v>
      </c>
      <c r="AY51" s="239">
        <v>0</v>
      </c>
      <c r="AZ51" s="239">
        <v>-27202</v>
      </c>
      <c r="BA51" s="239">
        <v>0</v>
      </c>
      <c r="BB51" s="239">
        <v>-27202</v>
      </c>
      <c r="BC51" s="239">
        <v>-15063</v>
      </c>
      <c r="BD51" s="239">
        <v>0</v>
      </c>
      <c r="BE51" s="239">
        <v>-15063</v>
      </c>
      <c r="BF51" s="239">
        <v>-9833521</v>
      </c>
      <c r="BG51" s="239">
        <v>0</v>
      </c>
      <c r="BH51" s="239">
        <v>-9833521</v>
      </c>
      <c r="BI51" s="239">
        <v>-366</v>
      </c>
      <c r="BJ51" s="239">
        <v>0</v>
      </c>
      <c r="BK51" s="239">
        <v>-366</v>
      </c>
      <c r="BL51" s="239">
        <v>0</v>
      </c>
      <c r="BM51" s="239">
        <v>0</v>
      </c>
      <c r="BN51" s="239">
        <v>0</v>
      </c>
      <c r="BO51" s="239">
        <v>-1210188</v>
      </c>
      <c r="BP51" s="239">
        <v>0</v>
      </c>
      <c r="BQ51" s="239">
        <v>-1210188</v>
      </c>
      <c r="BR51" s="239">
        <v>-42314</v>
      </c>
      <c r="BS51" s="239">
        <v>0</v>
      </c>
      <c r="BT51" s="239">
        <v>-42314</v>
      </c>
      <c r="BU51" s="239">
        <v>-1252868</v>
      </c>
      <c r="BV51" s="239">
        <v>0</v>
      </c>
      <c r="BW51" s="239">
        <v>-1252868</v>
      </c>
      <c r="BX51" s="239">
        <v>-241403</v>
      </c>
      <c r="BY51" s="239">
        <v>0</v>
      </c>
      <c r="BZ51" s="239">
        <v>-241403</v>
      </c>
      <c r="CA51" s="239">
        <v>-2632</v>
      </c>
      <c r="CB51" s="239">
        <v>0</v>
      </c>
      <c r="CC51" s="239">
        <v>-2632</v>
      </c>
      <c r="CD51" s="239">
        <v>-56594</v>
      </c>
      <c r="CE51" s="239">
        <v>0</v>
      </c>
      <c r="CF51" s="239">
        <v>-56594</v>
      </c>
      <c r="CG51" s="239">
        <v>0</v>
      </c>
      <c r="CH51" s="239">
        <v>0</v>
      </c>
      <c r="CI51" s="239">
        <v>0</v>
      </c>
      <c r="CJ51" s="239">
        <v>-5044</v>
      </c>
      <c r="CK51" s="239">
        <v>0</v>
      </c>
      <c r="CL51" s="239">
        <v>-5044</v>
      </c>
      <c r="CM51" s="239">
        <v>-354</v>
      </c>
      <c r="CN51" s="239">
        <v>0</v>
      </c>
      <c r="CO51" s="239">
        <v>-354</v>
      </c>
      <c r="CP51" s="239">
        <v>-7544</v>
      </c>
      <c r="CQ51" s="239">
        <v>0</v>
      </c>
      <c r="CR51" s="239">
        <v>-7544</v>
      </c>
      <c r="CS51" s="239">
        <v>0</v>
      </c>
      <c r="CT51" s="239">
        <v>0</v>
      </c>
      <c r="CU51" s="239">
        <v>0</v>
      </c>
      <c r="CV51" s="239">
        <v>0</v>
      </c>
      <c r="CW51" s="239">
        <v>0</v>
      </c>
      <c r="CX51" s="239">
        <v>0</v>
      </c>
      <c r="CY51" s="239">
        <v>0</v>
      </c>
      <c r="CZ51" s="239">
        <v>0</v>
      </c>
      <c r="DA51" s="239">
        <v>0</v>
      </c>
      <c r="DB51" s="239">
        <v>0</v>
      </c>
      <c r="DC51" s="239">
        <v>0</v>
      </c>
      <c r="DD51" s="239">
        <v>0</v>
      </c>
      <c r="DE51" s="239">
        <v>0</v>
      </c>
      <c r="DF51" s="239">
        <v>0</v>
      </c>
      <c r="DG51" s="239">
        <v>0</v>
      </c>
      <c r="DH51" s="239">
        <v>0</v>
      </c>
      <c r="DI51" s="239">
        <v>0</v>
      </c>
      <c r="DJ51" s="239">
        <v>-313571</v>
      </c>
      <c r="DK51" s="239">
        <v>0</v>
      </c>
      <c r="DL51" s="239">
        <v>-313571</v>
      </c>
      <c r="DM51" s="239">
        <v>0</v>
      </c>
      <c r="DN51" s="239">
        <v>0</v>
      </c>
      <c r="DO51" s="239">
        <v>0</v>
      </c>
      <c r="DP51" s="239">
        <v>0</v>
      </c>
      <c r="DQ51" s="239">
        <v>0</v>
      </c>
      <c r="DR51" s="239">
        <v>0</v>
      </c>
      <c r="DS51" s="239">
        <v>-10958</v>
      </c>
      <c r="DT51" s="239">
        <v>0</v>
      </c>
      <c r="DU51" s="239">
        <v>-10958</v>
      </c>
      <c r="DV51" s="239">
        <v>566</v>
      </c>
      <c r="DW51" s="239">
        <v>0</v>
      </c>
      <c r="DX51" s="239">
        <v>566</v>
      </c>
      <c r="DY51" s="239">
        <v>0</v>
      </c>
      <c r="DZ51" s="239">
        <v>0</v>
      </c>
      <c r="EA51" s="239">
        <v>0</v>
      </c>
      <c r="EB51" s="239">
        <v>11845</v>
      </c>
      <c r="EC51" s="239">
        <v>0</v>
      </c>
      <c r="ED51" s="239">
        <v>11845</v>
      </c>
      <c r="EE51" s="239">
        <v>0</v>
      </c>
      <c r="EF51" s="239">
        <v>0</v>
      </c>
      <c r="EG51" s="239">
        <v>0</v>
      </c>
      <c r="EH51" s="239">
        <v>0</v>
      </c>
      <c r="EI51" s="239">
        <v>0</v>
      </c>
      <c r="EJ51" s="239">
        <v>0</v>
      </c>
      <c r="EK51" s="239">
        <v>-11206</v>
      </c>
      <c r="EL51" s="239">
        <v>0</v>
      </c>
      <c r="EM51" s="239">
        <v>-11206</v>
      </c>
      <c r="EN51" s="239">
        <v>151</v>
      </c>
      <c r="EO51" s="239">
        <v>0</v>
      </c>
      <c r="EP51" s="239">
        <v>151</v>
      </c>
      <c r="EQ51" s="239">
        <v>-9602</v>
      </c>
      <c r="ER51" s="239">
        <v>0</v>
      </c>
      <c r="ES51" s="239">
        <v>-9602</v>
      </c>
      <c r="ET51" s="239">
        <v>0</v>
      </c>
      <c r="EU51" s="239">
        <v>0</v>
      </c>
      <c r="EV51" s="239">
        <v>0</v>
      </c>
      <c r="EW51" s="239">
        <v>0</v>
      </c>
      <c r="EX51" s="239">
        <v>0</v>
      </c>
      <c r="EY51" s="239">
        <v>0</v>
      </c>
      <c r="EZ51" s="239">
        <v>0</v>
      </c>
      <c r="FA51" s="239">
        <v>0</v>
      </c>
      <c r="FB51" s="239">
        <v>0</v>
      </c>
      <c r="FC51" s="239">
        <v>65511993</v>
      </c>
      <c r="FD51" s="239">
        <v>0</v>
      </c>
      <c r="FE51" s="239">
        <v>65511993</v>
      </c>
      <c r="FF51" s="239">
        <v>52242</v>
      </c>
      <c r="FG51" s="239">
        <v>0</v>
      </c>
      <c r="FH51" s="239">
        <v>52242</v>
      </c>
      <c r="FI51" s="239">
        <v>-9833521</v>
      </c>
      <c r="FJ51" s="239">
        <v>0</v>
      </c>
      <c r="FK51" s="239">
        <v>-9833521</v>
      </c>
      <c r="FL51" s="239">
        <v>-1252868</v>
      </c>
      <c r="FM51" s="239">
        <v>0</v>
      </c>
      <c r="FN51" s="239">
        <v>-1252868</v>
      </c>
      <c r="FO51" s="239">
        <v>-313571</v>
      </c>
      <c r="FP51" s="239">
        <v>0</v>
      </c>
      <c r="FQ51" s="239">
        <v>-313571</v>
      </c>
      <c r="FR51" s="239">
        <v>-9602</v>
      </c>
      <c r="FS51" s="239">
        <v>0</v>
      </c>
      <c r="FT51" s="239">
        <v>-9602</v>
      </c>
      <c r="FU51" s="239">
        <v>0</v>
      </c>
      <c r="FV51" s="239">
        <v>0</v>
      </c>
      <c r="FW51" s="239">
        <v>0</v>
      </c>
      <c r="FX51" s="239">
        <v>-11357320</v>
      </c>
      <c r="FY51" s="239">
        <v>0</v>
      </c>
      <c r="FZ51" s="239">
        <v>-11357320</v>
      </c>
      <c r="GA51" s="239">
        <v>54154673</v>
      </c>
      <c r="GB51" s="239">
        <v>0</v>
      </c>
      <c r="GC51" s="239">
        <v>54154673</v>
      </c>
      <c r="GD51" s="214" t="s">
        <v>1190</v>
      </c>
    </row>
    <row r="52" spans="2:186" s="214" customFormat="1" x14ac:dyDescent="0.2">
      <c r="B52" s="609" t="s">
        <v>186</v>
      </c>
      <c r="C52" s="609" t="s">
        <v>185</v>
      </c>
      <c r="D52" s="239">
        <v>0</v>
      </c>
      <c r="E52" s="239">
        <v>0</v>
      </c>
      <c r="F52" s="239">
        <v>0</v>
      </c>
      <c r="G52" s="239">
        <v>57078</v>
      </c>
      <c r="H52" s="239">
        <v>0</v>
      </c>
      <c r="I52" s="239">
        <v>57078</v>
      </c>
      <c r="J52" s="239">
        <v>0</v>
      </c>
      <c r="K52" s="239">
        <v>0</v>
      </c>
      <c r="L52" s="239">
        <v>0</v>
      </c>
      <c r="M52" s="239">
        <v>3649</v>
      </c>
      <c r="N52" s="239">
        <v>0</v>
      </c>
      <c r="O52" s="239">
        <v>3649</v>
      </c>
      <c r="P52" s="239">
        <v>60727</v>
      </c>
      <c r="Q52" s="239">
        <v>0</v>
      </c>
      <c r="R52" s="239">
        <v>60727</v>
      </c>
      <c r="S52" s="239">
        <v>-2644221</v>
      </c>
      <c r="T52" s="239">
        <v>-46455</v>
      </c>
      <c r="U52" s="239">
        <v>-2690676</v>
      </c>
      <c r="V52" s="239">
        <v>-14347</v>
      </c>
      <c r="W52" s="239">
        <v>-3758</v>
      </c>
      <c r="X52" s="239">
        <v>-18105</v>
      </c>
      <c r="Y52" s="239">
        <v>-225168</v>
      </c>
      <c r="Z52" s="239">
        <v>-6132</v>
      </c>
      <c r="AA52" s="239">
        <v>-231300</v>
      </c>
      <c r="AB52" s="239">
        <v>-144660</v>
      </c>
      <c r="AC52" s="239">
        <v>-4153</v>
      </c>
      <c r="AD52" s="239">
        <v>-148813</v>
      </c>
      <c r="AE52" s="239">
        <v>4413</v>
      </c>
      <c r="AF52" s="239">
        <v>0</v>
      </c>
      <c r="AG52" s="239">
        <v>4413</v>
      </c>
      <c r="AH52" s="239">
        <v>1157370</v>
      </c>
      <c r="AI52" s="239">
        <v>38134</v>
      </c>
      <c r="AJ52" s="239">
        <v>1195504</v>
      </c>
      <c r="AK52" s="239">
        <v>-16698</v>
      </c>
      <c r="AL52" s="239">
        <v>-119</v>
      </c>
      <c r="AM52" s="239">
        <v>-16817</v>
      </c>
      <c r="AN52" s="239">
        <v>-3365847</v>
      </c>
      <c r="AO52" s="239">
        <v>-2704</v>
      </c>
      <c r="AP52" s="239">
        <v>-3368551</v>
      </c>
      <c r="AQ52" s="239">
        <v>40034</v>
      </c>
      <c r="AR52" s="239">
        <v>0</v>
      </c>
      <c r="AS52" s="239">
        <v>40034</v>
      </c>
      <c r="AT52" s="239">
        <v>-81498</v>
      </c>
      <c r="AU52" s="239">
        <v>0</v>
      </c>
      <c r="AV52" s="239">
        <v>-81498</v>
      </c>
      <c r="AW52" s="239">
        <v>0</v>
      </c>
      <c r="AX52" s="239">
        <v>0</v>
      </c>
      <c r="AY52" s="239">
        <v>0</v>
      </c>
      <c r="AZ52" s="239">
        <v>-25969</v>
      </c>
      <c r="BA52" s="239">
        <v>0</v>
      </c>
      <c r="BB52" s="239">
        <v>-25969</v>
      </c>
      <c r="BC52" s="239">
        <v>-820</v>
      </c>
      <c r="BD52" s="239">
        <v>0</v>
      </c>
      <c r="BE52" s="239">
        <v>-820</v>
      </c>
      <c r="BF52" s="239">
        <v>-5162817</v>
      </c>
      <c r="BG52" s="239">
        <v>-17276</v>
      </c>
      <c r="BH52" s="239">
        <v>-5180093</v>
      </c>
      <c r="BI52" s="239">
        <v>-67880</v>
      </c>
      <c r="BJ52" s="239">
        <v>0</v>
      </c>
      <c r="BK52" s="239">
        <v>-67880</v>
      </c>
      <c r="BL52" s="239">
        <v>-165721</v>
      </c>
      <c r="BM52" s="239">
        <v>0</v>
      </c>
      <c r="BN52" s="239">
        <v>-165721</v>
      </c>
      <c r="BO52" s="239">
        <v>-1384936</v>
      </c>
      <c r="BP52" s="239">
        <v>-88564</v>
      </c>
      <c r="BQ52" s="239">
        <v>-1473500</v>
      </c>
      <c r="BR52" s="239">
        <v>-49781</v>
      </c>
      <c r="BS52" s="239">
        <v>-14219</v>
      </c>
      <c r="BT52" s="239">
        <v>-64000</v>
      </c>
      <c r="BU52" s="239">
        <v>-1668318</v>
      </c>
      <c r="BV52" s="239">
        <v>-102783</v>
      </c>
      <c r="BW52" s="239">
        <v>-1771101</v>
      </c>
      <c r="BX52" s="239">
        <v>-56699</v>
      </c>
      <c r="BY52" s="239">
        <v>-676</v>
      </c>
      <c r="BZ52" s="239">
        <v>-57375</v>
      </c>
      <c r="CA52" s="239">
        <v>-97</v>
      </c>
      <c r="CB52" s="239">
        <v>0</v>
      </c>
      <c r="CC52" s="239">
        <v>-97</v>
      </c>
      <c r="CD52" s="239">
        <v>-52627</v>
      </c>
      <c r="CE52" s="239">
        <v>0</v>
      </c>
      <c r="CF52" s="239">
        <v>-52627</v>
      </c>
      <c r="CG52" s="239">
        <v>0</v>
      </c>
      <c r="CH52" s="239">
        <v>0</v>
      </c>
      <c r="CI52" s="239">
        <v>0</v>
      </c>
      <c r="CJ52" s="239">
        <v>-2905</v>
      </c>
      <c r="CK52" s="239">
        <v>0</v>
      </c>
      <c r="CL52" s="239">
        <v>-2905</v>
      </c>
      <c r="CM52" s="239">
        <v>0</v>
      </c>
      <c r="CN52" s="239">
        <v>0</v>
      </c>
      <c r="CO52" s="239">
        <v>0</v>
      </c>
      <c r="CP52" s="239">
        <v>0</v>
      </c>
      <c r="CQ52" s="239">
        <v>0</v>
      </c>
      <c r="CR52" s="239">
        <v>0</v>
      </c>
      <c r="CS52" s="239">
        <v>0</v>
      </c>
      <c r="CT52" s="239">
        <v>0</v>
      </c>
      <c r="CU52" s="239">
        <v>0</v>
      </c>
      <c r="CV52" s="239">
        <v>-2609</v>
      </c>
      <c r="CW52" s="239">
        <v>0</v>
      </c>
      <c r="CX52" s="239">
        <v>-2609</v>
      </c>
      <c r="CY52" s="239">
        <v>0</v>
      </c>
      <c r="CZ52" s="239">
        <v>0</v>
      </c>
      <c r="DA52" s="239">
        <v>0</v>
      </c>
      <c r="DB52" s="239">
        <v>-56944</v>
      </c>
      <c r="DC52" s="239">
        <v>0</v>
      </c>
      <c r="DD52" s="239">
        <v>-56944</v>
      </c>
      <c r="DE52" s="239">
        <v>-13116</v>
      </c>
      <c r="DF52" s="239">
        <v>0</v>
      </c>
      <c r="DG52" s="239">
        <v>-13116</v>
      </c>
      <c r="DH52" s="239">
        <v>0</v>
      </c>
      <c r="DI52" s="239">
        <v>0</v>
      </c>
      <c r="DJ52" s="239">
        <v>-184997</v>
      </c>
      <c r="DK52" s="239">
        <v>-676</v>
      </c>
      <c r="DL52" s="239">
        <v>-185673</v>
      </c>
      <c r="DM52" s="239">
        <v>0</v>
      </c>
      <c r="DN52" s="239">
        <v>0</v>
      </c>
      <c r="DO52" s="239">
        <v>0</v>
      </c>
      <c r="DP52" s="239">
        <v>-388</v>
      </c>
      <c r="DQ52" s="239">
        <v>0</v>
      </c>
      <c r="DR52" s="239">
        <v>-388</v>
      </c>
      <c r="DS52" s="239">
        <v>-31066</v>
      </c>
      <c r="DT52" s="239">
        <v>0</v>
      </c>
      <c r="DU52" s="239">
        <v>-31066</v>
      </c>
      <c r="DV52" s="239">
        <v>-3709</v>
      </c>
      <c r="DW52" s="239">
        <v>0</v>
      </c>
      <c r="DX52" s="239">
        <v>-3709</v>
      </c>
      <c r="DY52" s="239">
        <v>0</v>
      </c>
      <c r="DZ52" s="239">
        <v>0</v>
      </c>
      <c r="EA52" s="239">
        <v>0</v>
      </c>
      <c r="EB52" s="239">
        <v>-13711</v>
      </c>
      <c r="EC52" s="239">
        <v>-1500</v>
      </c>
      <c r="ED52" s="239">
        <v>-15211</v>
      </c>
      <c r="EE52" s="239">
        <v>-154708</v>
      </c>
      <c r="EF52" s="239">
        <v>0</v>
      </c>
      <c r="EG52" s="239">
        <v>-154708</v>
      </c>
      <c r="EH52" s="239">
        <v>-72199</v>
      </c>
      <c r="EI52" s="239">
        <v>0</v>
      </c>
      <c r="EJ52" s="239">
        <v>-72199</v>
      </c>
      <c r="EK52" s="239">
        <v>-8291</v>
      </c>
      <c r="EL52" s="239">
        <v>-4</v>
      </c>
      <c r="EM52" s="239">
        <v>-8295</v>
      </c>
      <c r="EN52" s="239">
        <v>161</v>
      </c>
      <c r="EO52" s="239">
        <v>0</v>
      </c>
      <c r="EP52" s="239">
        <v>161</v>
      </c>
      <c r="EQ52" s="239">
        <v>-283911</v>
      </c>
      <c r="ER52" s="239">
        <v>-1504</v>
      </c>
      <c r="ES52" s="239">
        <v>-285415</v>
      </c>
      <c r="ET52" s="239">
        <v>0</v>
      </c>
      <c r="EU52" s="239">
        <v>0</v>
      </c>
      <c r="EV52" s="239">
        <v>0</v>
      </c>
      <c r="EW52" s="239">
        <v>0</v>
      </c>
      <c r="EX52" s="239">
        <v>0</v>
      </c>
      <c r="EY52" s="239">
        <v>0</v>
      </c>
      <c r="EZ52" s="239">
        <v>0</v>
      </c>
      <c r="FA52" s="239">
        <v>0</v>
      </c>
      <c r="FB52" s="239">
        <v>0</v>
      </c>
      <c r="FC52" s="239">
        <v>49930263</v>
      </c>
      <c r="FD52" s="239">
        <v>1606618</v>
      </c>
      <c r="FE52" s="239">
        <v>51536881</v>
      </c>
      <c r="FF52" s="239">
        <v>60727</v>
      </c>
      <c r="FG52" s="239">
        <v>0</v>
      </c>
      <c r="FH52" s="239">
        <v>60727</v>
      </c>
      <c r="FI52" s="239">
        <v>-5162817</v>
      </c>
      <c r="FJ52" s="239">
        <v>-17276</v>
      </c>
      <c r="FK52" s="239">
        <v>-5180093</v>
      </c>
      <c r="FL52" s="239">
        <v>-1668318</v>
      </c>
      <c r="FM52" s="239">
        <v>-102783</v>
      </c>
      <c r="FN52" s="239">
        <v>-1771101</v>
      </c>
      <c r="FO52" s="239">
        <v>-184997</v>
      </c>
      <c r="FP52" s="239">
        <v>-676</v>
      </c>
      <c r="FQ52" s="239">
        <v>-185673</v>
      </c>
      <c r="FR52" s="239">
        <v>-283911</v>
      </c>
      <c r="FS52" s="239">
        <v>-1504</v>
      </c>
      <c r="FT52" s="239">
        <v>-285415</v>
      </c>
      <c r="FU52" s="239">
        <v>0</v>
      </c>
      <c r="FV52" s="239">
        <v>0</v>
      </c>
      <c r="FW52" s="239">
        <v>0</v>
      </c>
      <c r="FX52" s="239">
        <v>-7239316</v>
      </c>
      <c r="FY52" s="239">
        <v>-122239</v>
      </c>
      <c r="FZ52" s="239">
        <v>-7361555</v>
      </c>
      <c r="GA52" s="239">
        <v>42690947</v>
      </c>
      <c r="GB52" s="239">
        <v>1484379</v>
      </c>
      <c r="GC52" s="239">
        <v>44175326</v>
      </c>
      <c r="GD52" s="214" t="s">
        <v>1190</v>
      </c>
    </row>
    <row r="53" spans="2:186" s="214" customFormat="1" x14ac:dyDescent="0.2">
      <c r="B53" s="609" t="s">
        <v>188</v>
      </c>
      <c r="C53" s="609" t="s">
        <v>187</v>
      </c>
      <c r="D53" s="239">
        <v>0</v>
      </c>
      <c r="E53" s="239">
        <v>0</v>
      </c>
      <c r="F53" s="239">
        <v>0</v>
      </c>
      <c r="G53" s="239">
        <v>69477</v>
      </c>
      <c r="H53" s="239">
        <v>0</v>
      </c>
      <c r="I53" s="239">
        <v>69477</v>
      </c>
      <c r="J53" s="239">
        <v>0</v>
      </c>
      <c r="K53" s="239">
        <v>0</v>
      </c>
      <c r="L53" s="239">
        <v>0</v>
      </c>
      <c r="M53" s="239">
        <v>173</v>
      </c>
      <c r="N53" s="239">
        <v>0</v>
      </c>
      <c r="O53" s="239">
        <v>173</v>
      </c>
      <c r="P53" s="239">
        <v>69650</v>
      </c>
      <c r="Q53" s="239">
        <v>0</v>
      </c>
      <c r="R53" s="239">
        <v>69650</v>
      </c>
      <c r="S53" s="239">
        <v>-1890116</v>
      </c>
      <c r="T53" s="239">
        <v>0</v>
      </c>
      <c r="U53" s="239">
        <v>-1890116</v>
      </c>
      <c r="V53" s="239">
        <v>-8316</v>
      </c>
      <c r="W53" s="239">
        <v>0</v>
      </c>
      <c r="X53" s="239">
        <v>-8316</v>
      </c>
      <c r="Y53" s="239">
        <v>-42369</v>
      </c>
      <c r="Z53" s="239">
        <v>0</v>
      </c>
      <c r="AA53" s="239">
        <v>-42369</v>
      </c>
      <c r="AB53" s="239">
        <v>-27343</v>
      </c>
      <c r="AC53" s="239">
        <v>0</v>
      </c>
      <c r="AD53" s="239">
        <v>-27343</v>
      </c>
      <c r="AE53" s="239">
        <v>0</v>
      </c>
      <c r="AF53" s="239">
        <v>0</v>
      </c>
      <c r="AG53" s="239">
        <v>0</v>
      </c>
      <c r="AH53" s="239">
        <v>389694</v>
      </c>
      <c r="AI53" s="239">
        <v>0</v>
      </c>
      <c r="AJ53" s="239">
        <v>389694</v>
      </c>
      <c r="AK53" s="239">
        <v>-16915</v>
      </c>
      <c r="AL53" s="239">
        <v>0</v>
      </c>
      <c r="AM53" s="239">
        <v>-16915</v>
      </c>
      <c r="AN53" s="239">
        <v>-1611324</v>
      </c>
      <c r="AO53" s="239">
        <v>0</v>
      </c>
      <c r="AP53" s="239">
        <v>-1611324</v>
      </c>
      <c r="AQ53" s="239">
        <v>8035</v>
      </c>
      <c r="AR53" s="239">
        <v>0</v>
      </c>
      <c r="AS53" s="239">
        <v>8035</v>
      </c>
      <c r="AT53" s="239">
        <v>-9423</v>
      </c>
      <c r="AU53" s="239">
        <v>0</v>
      </c>
      <c r="AV53" s="239">
        <v>-9423</v>
      </c>
      <c r="AW53" s="239">
        <v>0</v>
      </c>
      <c r="AX53" s="239">
        <v>0</v>
      </c>
      <c r="AY53" s="239">
        <v>0</v>
      </c>
      <c r="AZ53" s="239">
        <v>0</v>
      </c>
      <c r="BA53" s="239">
        <v>0</v>
      </c>
      <c r="BB53" s="239">
        <v>0</v>
      </c>
      <c r="BC53" s="239">
        <v>0</v>
      </c>
      <c r="BD53" s="239">
        <v>0</v>
      </c>
      <c r="BE53" s="239">
        <v>0</v>
      </c>
      <c r="BF53" s="239">
        <v>-3172418</v>
      </c>
      <c r="BG53" s="239">
        <v>0</v>
      </c>
      <c r="BH53" s="239">
        <v>-3172418</v>
      </c>
      <c r="BI53" s="239">
        <v>0</v>
      </c>
      <c r="BJ53" s="239">
        <v>0</v>
      </c>
      <c r="BK53" s="239">
        <v>0</v>
      </c>
      <c r="BL53" s="239">
        <v>0</v>
      </c>
      <c r="BM53" s="239">
        <v>0</v>
      </c>
      <c r="BN53" s="239">
        <v>0</v>
      </c>
      <c r="BO53" s="239">
        <v>-333527</v>
      </c>
      <c r="BP53" s="239">
        <v>0</v>
      </c>
      <c r="BQ53" s="239">
        <v>-333527</v>
      </c>
      <c r="BR53" s="239">
        <v>-17305</v>
      </c>
      <c r="BS53" s="239">
        <v>0</v>
      </c>
      <c r="BT53" s="239">
        <v>-17305</v>
      </c>
      <c r="BU53" s="239">
        <v>-350832</v>
      </c>
      <c r="BV53" s="239">
        <v>0</v>
      </c>
      <c r="BW53" s="239">
        <v>-350832</v>
      </c>
      <c r="BX53" s="239">
        <v>-65565</v>
      </c>
      <c r="BY53" s="239">
        <v>0</v>
      </c>
      <c r="BZ53" s="239">
        <v>-65565</v>
      </c>
      <c r="CA53" s="239">
        <v>-777</v>
      </c>
      <c r="CB53" s="239">
        <v>0</v>
      </c>
      <c r="CC53" s="239">
        <v>-777</v>
      </c>
      <c r="CD53" s="239">
        <v>-41582</v>
      </c>
      <c r="CE53" s="239">
        <v>0</v>
      </c>
      <c r="CF53" s="239">
        <v>-41582</v>
      </c>
      <c r="CG53" s="239">
        <v>0</v>
      </c>
      <c r="CH53" s="239">
        <v>0</v>
      </c>
      <c r="CI53" s="239">
        <v>0</v>
      </c>
      <c r="CJ53" s="239">
        <v>-2356</v>
      </c>
      <c r="CK53" s="239">
        <v>0</v>
      </c>
      <c r="CL53" s="239">
        <v>-2356</v>
      </c>
      <c r="CM53" s="239">
        <v>0</v>
      </c>
      <c r="CN53" s="239">
        <v>0</v>
      </c>
      <c r="CO53" s="239">
        <v>0</v>
      </c>
      <c r="CP53" s="239">
        <v>0</v>
      </c>
      <c r="CQ53" s="239">
        <v>0</v>
      </c>
      <c r="CR53" s="239">
        <v>0</v>
      </c>
      <c r="CS53" s="239">
        <v>0</v>
      </c>
      <c r="CT53" s="239">
        <v>0</v>
      </c>
      <c r="CU53" s="239">
        <v>0</v>
      </c>
      <c r="CV53" s="239">
        <v>0</v>
      </c>
      <c r="CW53" s="239">
        <v>0</v>
      </c>
      <c r="CX53" s="239">
        <v>0</v>
      </c>
      <c r="CY53" s="239">
        <v>0</v>
      </c>
      <c r="CZ53" s="239">
        <v>0</v>
      </c>
      <c r="DA53" s="239">
        <v>0</v>
      </c>
      <c r="DB53" s="239">
        <v>0</v>
      </c>
      <c r="DC53" s="239">
        <v>0</v>
      </c>
      <c r="DD53" s="239">
        <v>0</v>
      </c>
      <c r="DE53" s="239">
        <v>0</v>
      </c>
      <c r="DF53" s="239">
        <v>0</v>
      </c>
      <c r="DG53" s="239">
        <v>0</v>
      </c>
      <c r="DH53" s="239">
        <v>0</v>
      </c>
      <c r="DI53" s="239">
        <v>0</v>
      </c>
      <c r="DJ53" s="239">
        <v>-110280</v>
      </c>
      <c r="DK53" s="239">
        <v>0</v>
      </c>
      <c r="DL53" s="239">
        <v>-110280</v>
      </c>
      <c r="DM53" s="239">
        <v>0</v>
      </c>
      <c r="DN53" s="239">
        <v>0</v>
      </c>
      <c r="DO53" s="239">
        <v>0</v>
      </c>
      <c r="DP53" s="239">
        <v>0</v>
      </c>
      <c r="DQ53" s="239">
        <v>0</v>
      </c>
      <c r="DR53" s="239">
        <v>0</v>
      </c>
      <c r="DS53" s="239">
        <v>-10198</v>
      </c>
      <c r="DT53" s="239">
        <v>0</v>
      </c>
      <c r="DU53" s="239">
        <v>-10198</v>
      </c>
      <c r="DV53" s="239">
        <v>-945</v>
      </c>
      <c r="DW53" s="239">
        <v>0</v>
      </c>
      <c r="DX53" s="239">
        <v>-945</v>
      </c>
      <c r="DY53" s="239">
        <v>0</v>
      </c>
      <c r="DZ53" s="239">
        <v>0</v>
      </c>
      <c r="EA53" s="239">
        <v>0</v>
      </c>
      <c r="EB53" s="239">
        <v>-25</v>
      </c>
      <c r="EC53" s="239">
        <v>0</v>
      </c>
      <c r="ED53" s="239">
        <v>-25</v>
      </c>
      <c r="EE53" s="239">
        <v>0</v>
      </c>
      <c r="EF53" s="239">
        <v>0</v>
      </c>
      <c r="EG53" s="239">
        <v>0</v>
      </c>
      <c r="EH53" s="239">
        <v>0</v>
      </c>
      <c r="EI53" s="239">
        <v>0</v>
      </c>
      <c r="EJ53" s="239">
        <v>0</v>
      </c>
      <c r="EK53" s="239">
        <v>0</v>
      </c>
      <c r="EL53" s="239">
        <v>0</v>
      </c>
      <c r="EM53" s="239">
        <v>0</v>
      </c>
      <c r="EN53" s="239">
        <v>0</v>
      </c>
      <c r="EO53" s="239">
        <v>0</v>
      </c>
      <c r="EP53" s="239">
        <v>0</v>
      </c>
      <c r="EQ53" s="239">
        <v>-11168</v>
      </c>
      <c r="ER53" s="239">
        <v>0</v>
      </c>
      <c r="ES53" s="239">
        <v>-11168</v>
      </c>
      <c r="ET53" s="239">
        <v>0</v>
      </c>
      <c r="EU53" s="239">
        <v>0</v>
      </c>
      <c r="EV53" s="239">
        <v>0</v>
      </c>
      <c r="EW53" s="239">
        <v>0</v>
      </c>
      <c r="EX53" s="239">
        <v>0</v>
      </c>
      <c r="EY53" s="239">
        <v>0</v>
      </c>
      <c r="EZ53" s="239">
        <v>0</v>
      </c>
      <c r="FA53" s="239">
        <v>0</v>
      </c>
      <c r="FB53" s="239">
        <v>0</v>
      </c>
      <c r="FC53" s="239">
        <v>18379904</v>
      </c>
      <c r="FD53" s="239">
        <v>0</v>
      </c>
      <c r="FE53" s="239">
        <v>18379904</v>
      </c>
      <c r="FF53" s="239">
        <v>69650</v>
      </c>
      <c r="FG53" s="239">
        <v>0</v>
      </c>
      <c r="FH53" s="239">
        <v>69650</v>
      </c>
      <c r="FI53" s="239">
        <v>-3172418</v>
      </c>
      <c r="FJ53" s="239">
        <v>0</v>
      </c>
      <c r="FK53" s="239">
        <v>-3172418</v>
      </c>
      <c r="FL53" s="239">
        <v>-350832</v>
      </c>
      <c r="FM53" s="239">
        <v>0</v>
      </c>
      <c r="FN53" s="239">
        <v>-350832</v>
      </c>
      <c r="FO53" s="239">
        <v>-110280</v>
      </c>
      <c r="FP53" s="239">
        <v>0</v>
      </c>
      <c r="FQ53" s="239">
        <v>-110280</v>
      </c>
      <c r="FR53" s="239">
        <v>-11168</v>
      </c>
      <c r="FS53" s="239">
        <v>0</v>
      </c>
      <c r="FT53" s="239">
        <v>-11168</v>
      </c>
      <c r="FU53" s="239">
        <v>0</v>
      </c>
      <c r="FV53" s="239">
        <v>0</v>
      </c>
      <c r="FW53" s="239">
        <v>0</v>
      </c>
      <c r="FX53" s="239">
        <v>-3575048</v>
      </c>
      <c r="FY53" s="239">
        <v>0</v>
      </c>
      <c r="FZ53" s="239">
        <v>-3575048</v>
      </c>
      <c r="GA53" s="239">
        <v>14804856</v>
      </c>
      <c r="GB53" s="239">
        <v>0</v>
      </c>
      <c r="GC53" s="239">
        <v>14804856</v>
      </c>
      <c r="GD53" s="214" t="s">
        <v>1190</v>
      </c>
    </row>
    <row r="54" spans="2:186" s="214" customFormat="1" x14ac:dyDescent="0.2">
      <c r="B54" s="609" t="s">
        <v>190</v>
      </c>
      <c r="C54" s="609" t="s">
        <v>189</v>
      </c>
      <c r="D54" s="239">
        <v>0</v>
      </c>
      <c r="E54" s="239">
        <v>0</v>
      </c>
      <c r="F54" s="239">
        <v>0</v>
      </c>
      <c r="G54" s="239">
        <v>339396</v>
      </c>
      <c r="H54" s="239">
        <v>0</v>
      </c>
      <c r="I54" s="239">
        <v>339396</v>
      </c>
      <c r="J54" s="239">
        <v>0</v>
      </c>
      <c r="K54" s="239">
        <v>0</v>
      </c>
      <c r="L54" s="239">
        <v>0</v>
      </c>
      <c r="M54" s="239">
        <v>5758</v>
      </c>
      <c r="N54" s="239">
        <v>0</v>
      </c>
      <c r="O54" s="239">
        <v>5758</v>
      </c>
      <c r="P54" s="239">
        <v>345154</v>
      </c>
      <c r="Q54" s="239">
        <v>0</v>
      </c>
      <c r="R54" s="239">
        <v>345154</v>
      </c>
      <c r="S54" s="239">
        <v>-4920022</v>
      </c>
      <c r="T54" s="239">
        <v>0</v>
      </c>
      <c r="U54" s="239">
        <v>-4920022</v>
      </c>
      <c r="V54" s="239">
        <v>0</v>
      </c>
      <c r="W54" s="239">
        <v>0</v>
      </c>
      <c r="X54" s="239">
        <v>0</v>
      </c>
      <c r="Y54" s="239">
        <v>-170764</v>
      </c>
      <c r="Z54" s="239">
        <v>0</v>
      </c>
      <c r="AA54" s="239">
        <v>-170764</v>
      </c>
      <c r="AB54" s="239">
        <v>-108526</v>
      </c>
      <c r="AC54" s="239">
        <v>0</v>
      </c>
      <c r="AD54" s="239">
        <v>-108526</v>
      </c>
      <c r="AE54" s="239">
        <v>0</v>
      </c>
      <c r="AF54" s="239">
        <v>0</v>
      </c>
      <c r="AG54" s="239">
        <v>0</v>
      </c>
      <c r="AH54" s="239">
        <v>2288157</v>
      </c>
      <c r="AI54" s="239">
        <v>0</v>
      </c>
      <c r="AJ54" s="239">
        <v>2288157</v>
      </c>
      <c r="AK54" s="239">
        <v>-42123</v>
      </c>
      <c r="AL54" s="239">
        <v>0</v>
      </c>
      <c r="AM54" s="239">
        <v>-42123</v>
      </c>
      <c r="AN54" s="239">
        <v>-6602461</v>
      </c>
      <c r="AO54" s="239">
        <v>0</v>
      </c>
      <c r="AP54" s="239">
        <v>-6602461</v>
      </c>
      <c r="AQ54" s="239">
        <v>-100460</v>
      </c>
      <c r="AR54" s="239">
        <v>0</v>
      </c>
      <c r="AS54" s="239">
        <v>-100460</v>
      </c>
      <c r="AT54" s="239">
        <v>-61211</v>
      </c>
      <c r="AU54" s="239">
        <v>0</v>
      </c>
      <c r="AV54" s="239">
        <v>-61211</v>
      </c>
      <c r="AW54" s="239">
        <v>24829</v>
      </c>
      <c r="AX54" s="239">
        <v>0</v>
      </c>
      <c r="AY54" s="239">
        <v>24829</v>
      </c>
      <c r="AZ54" s="239">
        <v>-33099</v>
      </c>
      <c r="BA54" s="239">
        <v>0</v>
      </c>
      <c r="BB54" s="239">
        <v>-33099</v>
      </c>
      <c r="BC54" s="239">
        <v>0</v>
      </c>
      <c r="BD54" s="239">
        <v>0</v>
      </c>
      <c r="BE54" s="239">
        <v>0</v>
      </c>
      <c r="BF54" s="239">
        <v>-9617154</v>
      </c>
      <c r="BG54" s="239">
        <v>0</v>
      </c>
      <c r="BH54" s="239">
        <v>-9617154</v>
      </c>
      <c r="BI54" s="239">
        <v>-69720</v>
      </c>
      <c r="BJ54" s="239">
        <v>0</v>
      </c>
      <c r="BK54" s="239">
        <v>-69720</v>
      </c>
      <c r="BL54" s="239">
        <v>-1227</v>
      </c>
      <c r="BM54" s="239">
        <v>0</v>
      </c>
      <c r="BN54" s="239">
        <v>-1227</v>
      </c>
      <c r="BO54" s="239">
        <v>-2505327</v>
      </c>
      <c r="BP54" s="239">
        <v>0</v>
      </c>
      <c r="BQ54" s="239">
        <v>-2505327</v>
      </c>
      <c r="BR54" s="239">
        <v>-8660</v>
      </c>
      <c r="BS54" s="239">
        <v>0</v>
      </c>
      <c r="BT54" s="239">
        <v>-8660</v>
      </c>
      <c r="BU54" s="239">
        <v>-2584934</v>
      </c>
      <c r="BV54" s="239">
        <v>0</v>
      </c>
      <c r="BW54" s="239">
        <v>-2584934</v>
      </c>
      <c r="BX54" s="239">
        <v>-266889</v>
      </c>
      <c r="BY54" s="239">
        <v>0</v>
      </c>
      <c r="BZ54" s="239">
        <v>-266889</v>
      </c>
      <c r="CA54" s="239">
        <v>-14</v>
      </c>
      <c r="CB54" s="239">
        <v>0</v>
      </c>
      <c r="CC54" s="239">
        <v>-14</v>
      </c>
      <c r="CD54" s="239">
        <v>-515818</v>
      </c>
      <c r="CE54" s="239">
        <v>0</v>
      </c>
      <c r="CF54" s="239">
        <v>-515818</v>
      </c>
      <c r="CG54" s="239">
        <v>-2689</v>
      </c>
      <c r="CH54" s="239">
        <v>0</v>
      </c>
      <c r="CI54" s="239">
        <v>-2689</v>
      </c>
      <c r="CJ54" s="239">
        <v>-3327</v>
      </c>
      <c r="CK54" s="239">
        <v>0</v>
      </c>
      <c r="CL54" s="239">
        <v>-3327</v>
      </c>
      <c r="CM54" s="239">
        <v>-1824</v>
      </c>
      <c r="CN54" s="239">
        <v>0</v>
      </c>
      <c r="CO54" s="239">
        <v>-1824</v>
      </c>
      <c r="CP54" s="239">
        <v>-18574</v>
      </c>
      <c r="CQ54" s="239">
        <v>0</v>
      </c>
      <c r="CR54" s="239">
        <v>-18574</v>
      </c>
      <c r="CS54" s="239">
        <v>0</v>
      </c>
      <c r="CT54" s="239">
        <v>0</v>
      </c>
      <c r="CU54" s="239">
        <v>0</v>
      </c>
      <c r="CV54" s="239">
        <v>0</v>
      </c>
      <c r="CW54" s="239">
        <v>0</v>
      </c>
      <c r="CX54" s="239">
        <v>0</v>
      </c>
      <c r="CY54" s="239">
        <v>2077</v>
      </c>
      <c r="CZ54" s="239">
        <v>0</v>
      </c>
      <c r="DA54" s="239">
        <v>2077</v>
      </c>
      <c r="DB54" s="239">
        <v>0</v>
      </c>
      <c r="DC54" s="239">
        <v>0</v>
      </c>
      <c r="DD54" s="239">
        <v>0</v>
      </c>
      <c r="DE54" s="239">
        <v>0</v>
      </c>
      <c r="DF54" s="239">
        <v>0</v>
      </c>
      <c r="DG54" s="239">
        <v>0</v>
      </c>
      <c r="DH54" s="239">
        <v>0</v>
      </c>
      <c r="DI54" s="239">
        <v>0</v>
      </c>
      <c r="DJ54" s="239">
        <v>-807058</v>
      </c>
      <c r="DK54" s="239">
        <v>0</v>
      </c>
      <c r="DL54" s="239">
        <v>-807058</v>
      </c>
      <c r="DM54" s="239">
        <v>-106955</v>
      </c>
      <c r="DN54" s="239">
        <v>0</v>
      </c>
      <c r="DO54" s="239">
        <v>-106955</v>
      </c>
      <c r="DP54" s="239">
        <v>5393</v>
      </c>
      <c r="DQ54" s="239">
        <v>0</v>
      </c>
      <c r="DR54" s="239">
        <v>5393</v>
      </c>
      <c r="DS54" s="239">
        <v>-33234</v>
      </c>
      <c r="DT54" s="239">
        <v>0</v>
      </c>
      <c r="DU54" s="239">
        <v>-33234</v>
      </c>
      <c r="DV54" s="239">
        <v>-44598</v>
      </c>
      <c r="DW54" s="239">
        <v>0</v>
      </c>
      <c r="DX54" s="239">
        <v>-44598</v>
      </c>
      <c r="DY54" s="239">
        <v>0</v>
      </c>
      <c r="DZ54" s="239">
        <v>0</v>
      </c>
      <c r="EA54" s="239">
        <v>0</v>
      </c>
      <c r="EB54" s="239">
        <v>26569</v>
      </c>
      <c r="EC54" s="239">
        <v>0</v>
      </c>
      <c r="ED54" s="239">
        <v>26569</v>
      </c>
      <c r="EE54" s="239">
        <v>0</v>
      </c>
      <c r="EF54" s="239">
        <v>0</v>
      </c>
      <c r="EG54" s="239">
        <v>0</v>
      </c>
      <c r="EH54" s="239">
        <v>0</v>
      </c>
      <c r="EI54" s="239">
        <v>0</v>
      </c>
      <c r="EJ54" s="239">
        <v>0</v>
      </c>
      <c r="EK54" s="239">
        <v>-19610</v>
      </c>
      <c r="EL54" s="239">
        <v>0</v>
      </c>
      <c r="EM54" s="239">
        <v>-19610</v>
      </c>
      <c r="EN54" s="239">
        <v>3492</v>
      </c>
      <c r="EO54" s="239">
        <v>0</v>
      </c>
      <c r="EP54" s="239">
        <v>3492</v>
      </c>
      <c r="EQ54" s="239">
        <v>-168943</v>
      </c>
      <c r="ER54" s="239">
        <v>0</v>
      </c>
      <c r="ES54" s="239">
        <v>-168943</v>
      </c>
      <c r="ET54" s="239">
        <v>0</v>
      </c>
      <c r="EU54" s="239">
        <v>0</v>
      </c>
      <c r="EV54" s="239">
        <v>0</v>
      </c>
      <c r="EW54" s="239">
        <v>0</v>
      </c>
      <c r="EX54" s="239">
        <v>0</v>
      </c>
      <c r="EY54" s="239">
        <v>0</v>
      </c>
      <c r="EZ54" s="239">
        <v>0</v>
      </c>
      <c r="FA54" s="239">
        <v>0</v>
      </c>
      <c r="FB54" s="239">
        <v>0</v>
      </c>
      <c r="FC54" s="239">
        <v>98032995</v>
      </c>
      <c r="FD54" s="239">
        <v>0</v>
      </c>
      <c r="FE54" s="239">
        <v>98032995</v>
      </c>
      <c r="FF54" s="239">
        <v>345154</v>
      </c>
      <c r="FG54" s="239">
        <v>0</v>
      </c>
      <c r="FH54" s="239">
        <v>345154</v>
      </c>
      <c r="FI54" s="239">
        <v>-9617154</v>
      </c>
      <c r="FJ54" s="239">
        <v>0</v>
      </c>
      <c r="FK54" s="239">
        <v>-9617154</v>
      </c>
      <c r="FL54" s="239">
        <v>-2584934</v>
      </c>
      <c r="FM54" s="239">
        <v>0</v>
      </c>
      <c r="FN54" s="239">
        <v>-2584934</v>
      </c>
      <c r="FO54" s="239">
        <v>-807058</v>
      </c>
      <c r="FP54" s="239">
        <v>0</v>
      </c>
      <c r="FQ54" s="239">
        <v>-807058</v>
      </c>
      <c r="FR54" s="239">
        <v>-168943</v>
      </c>
      <c r="FS54" s="239">
        <v>0</v>
      </c>
      <c r="FT54" s="239">
        <v>-168943</v>
      </c>
      <c r="FU54" s="239">
        <v>0</v>
      </c>
      <c r="FV54" s="239">
        <v>0</v>
      </c>
      <c r="FW54" s="239">
        <v>0</v>
      </c>
      <c r="FX54" s="239">
        <v>-12832935</v>
      </c>
      <c r="FY54" s="239">
        <v>0</v>
      </c>
      <c r="FZ54" s="239">
        <v>-12832935</v>
      </c>
      <c r="GA54" s="239">
        <v>85200060</v>
      </c>
      <c r="GB54" s="239">
        <v>0</v>
      </c>
      <c r="GC54" s="239">
        <v>85200060</v>
      </c>
      <c r="GD54" s="214" t="s">
        <v>747</v>
      </c>
    </row>
    <row r="55" spans="2:186" s="214" customFormat="1" x14ac:dyDescent="0.2">
      <c r="B55" s="609" t="s">
        <v>192</v>
      </c>
      <c r="C55" s="609" t="s">
        <v>191</v>
      </c>
      <c r="D55" s="239">
        <v>0</v>
      </c>
      <c r="E55" s="239">
        <v>0</v>
      </c>
      <c r="F55" s="239">
        <v>0</v>
      </c>
      <c r="G55" s="239">
        <v>63815</v>
      </c>
      <c r="H55" s="239">
        <v>0</v>
      </c>
      <c r="I55" s="239">
        <v>63815</v>
      </c>
      <c r="J55" s="239">
        <v>0</v>
      </c>
      <c r="K55" s="239">
        <v>0</v>
      </c>
      <c r="L55" s="239">
        <v>0</v>
      </c>
      <c r="M55" s="239">
        <v>18308</v>
      </c>
      <c r="N55" s="239">
        <v>0</v>
      </c>
      <c r="O55" s="239">
        <v>18308</v>
      </c>
      <c r="P55" s="239">
        <v>82123</v>
      </c>
      <c r="Q55" s="239">
        <v>0</v>
      </c>
      <c r="R55" s="239">
        <v>82123</v>
      </c>
      <c r="S55" s="239">
        <v>-3385908</v>
      </c>
      <c r="T55" s="239">
        <v>0</v>
      </c>
      <c r="U55" s="239">
        <v>-3385908</v>
      </c>
      <c r="V55" s="239">
        <v>-13379</v>
      </c>
      <c r="W55" s="239">
        <v>0</v>
      </c>
      <c r="X55" s="239">
        <v>-13379</v>
      </c>
      <c r="Y55" s="239">
        <v>-189018</v>
      </c>
      <c r="Z55" s="239">
        <v>0</v>
      </c>
      <c r="AA55" s="239">
        <v>-189018</v>
      </c>
      <c r="AB55" s="239">
        <v>-138939</v>
      </c>
      <c r="AC55" s="239">
        <v>0</v>
      </c>
      <c r="AD55" s="239">
        <v>-138939</v>
      </c>
      <c r="AE55" s="239">
        <v>-83</v>
      </c>
      <c r="AF55" s="239">
        <v>0</v>
      </c>
      <c r="AG55" s="239">
        <v>-83</v>
      </c>
      <c r="AH55" s="239">
        <v>1249683</v>
      </c>
      <c r="AI55" s="239">
        <v>0</v>
      </c>
      <c r="AJ55" s="239">
        <v>1249683</v>
      </c>
      <c r="AK55" s="239">
        <v>-9111</v>
      </c>
      <c r="AL55" s="239">
        <v>0</v>
      </c>
      <c r="AM55" s="239">
        <v>-9111</v>
      </c>
      <c r="AN55" s="239">
        <v>-6127868</v>
      </c>
      <c r="AO55" s="239">
        <v>0</v>
      </c>
      <c r="AP55" s="239">
        <v>-6127868</v>
      </c>
      <c r="AQ55" s="239">
        <v>13046</v>
      </c>
      <c r="AR55" s="239">
        <v>0</v>
      </c>
      <c r="AS55" s="239">
        <v>13046</v>
      </c>
      <c r="AT55" s="239">
        <v>-19820</v>
      </c>
      <c r="AU55" s="239">
        <v>0</v>
      </c>
      <c r="AV55" s="239">
        <v>-19820</v>
      </c>
      <c r="AW55" s="239">
        <v>0</v>
      </c>
      <c r="AX55" s="239">
        <v>0</v>
      </c>
      <c r="AY55" s="239">
        <v>0</v>
      </c>
      <c r="AZ55" s="239">
        <v>-1665</v>
      </c>
      <c r="BA55" s="239">
        <v>0</v>
      </c>
      <c r="BB55" s="239">
        <v>-1665</v>
      </c>
      <c r="BC55" s="239">
        <v>0</v>
      </c>
      <c r="BD55" s="239">
        <v>0</v>
      </c>
      <c r="BE55" s="239">
        <v>0</v>
      </c>
      <c r="BF55" s="239">
        <v>-8470661</v>
      </c>
      <c r="BG55" s="239">
        <v>0</v>
      </c>
      <c r="BH55" s="239">
        <v>-8470661</v>
      </c>
      <c r="BI55" s="239">
        <v>-461</v>
      </c>
      <c r="BJ55" s="239">
        <v>0</v>
      </c>
      <c r="BK55" s="239">
        <v>-461</v>
      </c>
      <c r="BL55" s="239">
        <v>-17917</v>
      </c>
      <c r="BM55" s="239">
        <v>0</v>
      </c>
      <c r="BN55" s="239">
        <v>-17917</v>
      </c>
      <c r="BO55" s="239">
        <v>-925020</v>
      </c>
      <c r="BP55" s="239">
        <v>0</v>
      </c>
      <c r="BQ55" s="239">
        <v>-925020</v>
      </c>
      <c r="BR55" s="239">
        <v>16200</v>
      </c>
      <c r="BS55" s="239">
        <v>0</v>
      </c>
      <c r="BT55" s="239">
        <v>16200</v>
      </c>
      <c r="BU55" s="239">
        <v>-927198</v>
      </c>
      <c r="BV55" s="239">
        <v>0</v>
      </c>
      <c r="BW55" s="239">
        <v>-927198</v>
      </c>
      <c r="BX55" s="239">
        <v>-68607</v>
      </c>
      <c r="BY55" s="239">
        <v>0</v>
      </c>
      <c r="BZ55" s="239">
        <v>-68607</v>
      </c>
      <c r="CA55" s="239">
        <v>0</v>
      </c>
      <c r="CB55" s="239">
        <v>0</v>
      </c>
      <c r="CC55" s="239">
        <v>0</v>
      </c>
      <c r="CD55" s="239">
        <v>-177626</v>
      </c>
      <c r="CE55" s="239">
        <v>0</v>
      </c>
      <c r="CF55" s="239">
        <v>-177626</v>
      </c>
      <c r="CG55" s="239">
        <v>0</v>
      </c>
      <c r="CH55" s="239">
        <v>0</v>
      </c>
      <c r="CI55" s="239">
        <v>0</v>
      </c>
      <c r="CJ55" s="239">
        <v>-425</v>
      </c>
      <c r="CK55" s="239">
        <v>0</v>
      </c>
      <c r="CL55" s="239">
        <v>-425</v>
      </c>
      <c r="CM55" s="239">
        <v>0</v>
      </c>
      <c r="CN55" s="239">
        <v>0</v>
      </c>
      <c r="CO55" s="239">
        <v>0</v>
      </c>
      <c r="CP55" s="239">
        <v>0</v>
      </c>
      <c r="CQ55" s="239">
        <v>0</v>
      </c>
      <c r="CR55" s="239">
        <v>0</v>
      </c>
      <c r="CS55" s="239">
        <v>0</v>
      </c>
      <c r="CT55" s="239">
        <v>0</v>
      </c>
      <c r="CU55" s="239">
        <v>0</v>
      </c>
      <c r="CV55" s="239">
        <v>0</v>
      </c>
      <c r="CW55" s="239">
        <v>0</v>
      </c>
      <c r="CX55" s="239">
        <v>0</v>
      </c>
      <c r="CY55" s="239">
        <v>0</v>
      </c>
      <c r="CZ55" s="239">
        <v>0</v>
      </c>
      <c r="DA55" s="239">
        <v>0</v>
      </c>
      <c r="DB55" s="239">
        <v>-64553</v>
      </c>
      <c r="DC55" s="239">
        <v>0</v>
      </c>
      <c r="DD55" s="239">
        <v>-64553</v>
      </c>
      <c r="DE55" s="239">
        <v>1528</v>
      </c>
      <c r="DF55" s="239">
        <v>0</v>
      </c>
      <c r="DG55" s="239">
        <v>1528</v>
      </c>
      <c r="DH55" s="239">
        <v>0</v>
      </c>
      <c r="DI55" s="239">
        <v>0</v>
      </c>
      <c r="DJ55" s="239">
        <v>-309683</v>
      </c>
      <c r="DK55" s="239">
        <v>0</v>
      </c>
      <c r="DL55" s="239">
        <v>-309683</v>
      </c>
      <c r="DM55" s="239">
        <v>-36419</v>
      </c>
      <c r="DN55" s="239">
        <v>0</v>
      </c>
      <c r="DO55" s="239">
        <v>-36419</v>
      </c>
      <c r="DP55" s="239">
        <v>0</v>
      </c>
      <c r="DQ55" s="239">
        <v>0</v>
      </c>
      <c r="DR55" s="239">
        <v>0</v>
      </c>
      <c r="DS55" s="239">
        <v>-75973</v>
      </c>
      <c r="DT55" s="239">
        <v>0</v>
      </c>
      <c r="DU55" s="239">
        <v>-75973</v>
      </c>
      <c r="DV55" s="239">
        <v>-22861</v>
      </c>
      <c r="DW55" s="239">
        <v>0</v>
      </c>
      <c r="DX55" s="239">
        <v>-22861</v>
      </c>
      <c r="DY55" s="239">
        <v>0</v>
      </c>
      <c r="DZ55" s="239">
        <v>0</v>
      </c>
      <c r="EA55" s="239">
        <v>0</v>
      </c>
      <c r="EB55" s="239">
        <v>-4771</v>
      </c>
      <c r="EC55" s="239">
        <v>0</v>
      </c>
      <c r="ED55" s="239">
        <v>-4771</v>
      </c>
      <c r="EE55" s="239">
        <v>0</v>
      </c>
      <c r="EF55" s="239">
        <v>0</v>
      </c>
      <c r="EG55" s="239">
        <v>0</v>
      </c>
      <c r="EH55" s="239">
        <v>0</v>
      </c>
      <c r="EI55" s="239">
        <v>0</v>
      </c>
      <c r="EJ55" s="239">
        <v>0</v>
      </c>
      <c r="EK55" s="239">
        <v>-2506</v>
      </c>
      <c r="EL55" s="239">
        <v>0</v>
      </c>
      <c r="EM55" s="239">
        <v>-2506</v>
      </c>
      <c r="EN55" s="239">
        <v>480</v>
      </c>
      <c r="EO55" s="239">
        <v>0</v>
      </c>
      <c r="EP55" s="239">
        <v>480</v>
      </c>
      <c r="EQ55" s="239">
        <v>-142050</v>
      </c>
      <c r="ER55" s="239">
        <v>0</v>
      </c>
      <c r="ES55" s="239">
        <v>-142050</v>
      </c>
      <c r="ET55" s="239">
        <v>0</v>
      </c>
      <c r="EU55" s="239">
        <v>0</v>
      </c>
      <c r="EV55" s="239">
        <v>0</v>
      </c>
      <c r="EW55" s="239">
        <v>0</v>
      </c>
      <c r="EX55" s="239">
        <v>0</v>
      </c>
      <c r="EY55" s="239">
        <v>0</v>
      </c>
      <c r="EZ55" s="239">
        <v>0</v>
      </c>
      <c r="FA55" s="239">
        <v>0</v>
      </c>
      <c r="FB55" s="239">
        <v>0</v>
      </c>
      <c r="FC55" s="239">
        <v>55628252</v>
      </c>
      <c r="FD55" s="239">
        <v>0</v>
      </c>
      <c r="FE55" s="239">
        <v>55628252</v>
      </c>
      <c r="FF55" s="239">
        <v>82123</v>
      </c>
      <c r="FG55" s="239">
        <v>0</v>
      </c>
      <c r="FH55" s="239">
        <v>82123</v>
      </c>
      <c r="FI55" s="239">
        <v>-8470661</v>
      </c>
      <c r="FJ55" s="239">
        <v>0</v>
      </c>
      <c r="FK55" s="239">
        <v>-8470661</v>
      </c>
      <c r="FL55" s="239">
        <v>-927198</v>
      </c>
      <c r="FM55" s="239">
        <v>0</v>
      </c>
      <c r="FN55" s="239">
        <v>-927198</v>
      </c>
      <c r="FO55" s="239">
        <v>-309683</v>
      </c>
      <c r="FP55" s="239">
        <v>0</v>
      </c>
      <c r="FQ55" s="239">
        <v>-309683</v>
      </c>
      <c r="FR55" s="239">
        <v>-142050</v>
      </c>
      <c r="FS55" s="239">
        <v>0</v>
      </c>
      <c r="FT55" s="239">
        <v>-142050</v>
      </c>
      <c r="FU55" s="239">
        <v>0</v>
      </c>
      <c r="FV55" s="239">
        <v>0</v>
      </c>
      <c r="FW55" s="239">
        <v>0</v>
      </c>
      <c r="FX55" s="239">
        <v>-9767469</v>
      </c>
      <c r="FY55" s="239">
        <v>0</v>
      </c>
      <c r="FZ55" s="239">
        <v>-9767469</v>
      </c>
      <c r="GA55" s="239">
        <v>45860783</v>
      </c>
      <c r="GB55" s="239">
        <v>0</v>
      </c>
      <c r="GC55" s="239">
        <v>45860783</v>
      </c>
      <c r="GD55" s="214" t="s">
        <v>1190</v>
      </c>
    </row>
    <row r="56" spans="2:186" s="214" customFormat="1" x14ac:dyDescent="0.2">
      <c r="B56" s="609" t="s">
        <v>194</v>
      </c>
      <c r="C56" s="609" t="s">
        <v>193</v>
      </c>
      <c r="D56" s="239">
        <v>0</v>
      </c>
      <c r="E56" s="239">
        <v>0</v>
      </c>
      <c r="F56" s="239">
        <v>0</v>
      </c>
      <c r="G56" s="239">
        <v>149340</v>
      </c>
      <c r="H56" s="239">
        <v>0</v>
      </c>
      <c r="I56" s="239">
        <v>149340</v>
      </c>
      <c r="J56" s="239">
        <v>0</v>
      </c>
      <c r="K56" s="239">
        <v>0</v>
      </c>
      <c r="L56" s="239">
        <v>0</v>
      </c>
      <c r="M56" s="239">
        <v>20769</v>
      </c>
      <c r="N56" s="239">
        <v>0</v>
      </c>
      <c r="O56" s="239">
        <v>20769</v>
      </c>
      <c r="P56" s="239">
        <v>170109</v>
      </c>
      <c r="Q56" s="239">
        <v>0</v>
      </c>
      <c r="R56" s="239">
        <v>170109</v>
      </c>
      <c r="S56" s="239">
        <v>-2889975</v>
      </c>
      <c r="T56" s="239">
        <v>0</v>
      </c>
      <c r="U56" s="239">
        <v>-2889975</v>
      </c>
      <c r="V56" s="239">
        <v>0</v>
      </c>
      <c r="W56" s="239">
        <v>0</v>
      </c>
      <c r="X56" s="239">
        <v>0</v>
      </c>
      <c r="Y56" s="239">
        <v>-118118</v>
      </c>
      <c r="Z56" s="239">
        <v>0</v>
      </c>
      <c r="AA56" s="239">
        <v>-118118</v>
      </c>
      <c r="AB56" s="239">
        <v>-75206</v>
      </c>
      <c r="AC56" s="239">
        <v>0</v>
      </c>
      <c r="AD56" s="239">
        <v>-75206</v>
      </c>
      <c r="AE56" s="239">
        <v>0</v>
      </c>
      <c r="AF56" s="239">
        <v>0</v>
      </c>
      <c r="AG56" s="239">
        <v>0</v>
      </c>
      <c r="AH56" s="239">
        <v>2171334</v>
      </c>
      <c r="AI56" s="239">
        <v>0</v>
      </c>
      <c r="AJ56" s="239">
        <v>2171334</v>
      </c>
      <c r="AK56" s="239">
        <v>-56205</v>
      </c>
      <c r="AL56" s="239">
        <v>0</v>
      </c>
      <c r="AM56" s="239">
        <v>-56205</v>
      </c>
      <c r="AN56" s="239">
        <v>-4784853</v>
      </c>
      <c r="AO56" s="239">
        <v>0</v>
      </c>
      <c r="AP56" s="239">
        <v>-4784853</v>
      </c>
      <c r="AQ56" s="239">
        <v>-59492</v>
      </c>
      <c r="AR56" s="239">
        <v>0</v>
      </c>
      <c r="AS56" s="239">
        <v>-59492</v>
      </c>
      <c r="AT56" s="239">
        <v>-33796</v>
      </c>
      <c r="AU56" s="239">
        <v>0</v>
      </c>
      <c r="AV56" s="239">
        <v>-33796</v>
      </c>
      <c r="AW56" s="239">
        <v>0</v>
      </c>
      <c r="AX56" s="239">
        <v>0</v>
      </c>
      <c r="AY56" s="239">
        <v>0</v>
      </c>
      <c r="AZ56" s="239">
        <v>-8122</v>
      </c>
      <c r="BA56" s="239">
        <v>0</v>
      </c>
      <c r="BB56" s="239">
        <v>-8122</v>
      </c>
      <c r="BC56" s="239">
        <v>0</v>
      </c>
      <c r="BD56" s="239">
        <v>0</v>
      </c>
      <c r="BE56" s="239">
        <v>0</v>
      </c>
      <c r="BF56" s="239">
        <v>-5779227</v>
      </c>
      <c r="BG56" s="239">
        <v>0</v>
      </c>
      <c r="BH56" s="239">
        <v>-5779227</v>
      </c>
      <c r="BI56" s="239">
        <v>-63610</v>
      </c>
      <c r="BJ56" s="239">
        <v>0</v>
      </c>
      <c r="BK56" s="239">
        <v>-63610</v>
      </c>
      <c r="BL56" s="239">
        <v>0</v>
      </c>
      <c r="BM56" s="239">
        <v>0</v>
      </c>
      <c r="BN56" s="239">
        <v>0</v>
      </c>
      <c r="BO56" s="239">
        <v>-3047676</v>
      </c>
      <c r="BP56" s="239">
        <v>0</v>
      </c>
      <c r="BQ56" s="239">
        <v>-3047676</v>
      </c>
      <c r="BR56" s="239">
        <v>66216</v>
      </c>
      <c r="BS56" s="239">
        <v>0</v>
      </c>
      <c r="BT56" s="239">
        <v>66216</v>
      </c>
      <c r="BU56" s="239">
        <v>-3045070</v>
      </c>
      <c r="BV56" s="239">
        <v>0</v>
      </c>
      <c r="BW56" s="239">
        <v>-3045070</v>
      </c>
      <c r="BX56" s="239">
        <v>-8347</v>
      </c>
      <c r="BY56" s="239">
        <v>0</v>
      </c>
      <c r="BZ56" s="239">
        <v>-8347</v>
      </c>
      <c r="CA56" s="239">
        <v>0</v>
      </c>
      <c r="CB56" s="239">
        <v>0</v>
      </c>
      <c r="CC56" s="239">
        <v>0</v>
      </c>
      <c r="CD56" s="239">
        <v>-102570</v>
      </c>
      <c r="CE56" s="239">
        <v>0</v>
      </c>
      <c r="CF56" s="239">
        <v>-102570</v>
      </c>
      <c r="CG56" s="239">
        <v>461</v>
      </c>
      <c r="CH56" s="239">
        <v>0</v>
      </c>
      <c r="CI56" s="239">
        <v>461</v>
      </c>
      <c r="CJ56" s="239">
        <v>0</v>
      </c>
      <c r="CK56" s="239">
        <v>0</v>
      </c>
      <c r="CL56" s="239">
        <v>0</v>
      </c>
      <c r="CM56" s="239">
        <v>0</v>
      </c>
      <c r="CN56" s="239">
        <v>0</v>
      </c>
      <c r="CO56" s="239">
        <v>0</v>
      </c>
      <c r="CP56" s="239">
        <v>-1602</v>
      </c>
      <c r="CQ56" s="239">
        <v>0</v>
      </c>
      <c r="CR56" s="239">
        <v>-1602</v>
      </c>
      <c r="CS56" s="239">
        <v>0</v>
      </c>
      <c r="CT56" s="239">
        <v>0</v>
      </c>
      <c r="CU56" s="239">
        <v>0</v>
      </c>
      <c r="CV56" s="239">
        <v>-8308</v>
      </c>
      <c r="CW56" s="239">
        <v>0</v>
      </c>
      <c r="CX56" s="239">
        <v>-8308</v>
      </c>
      <c r="CY56" s="239">
        <v>0</v>
      </c>
      <c r="CZ56" s="239">
        <v>0</v>
      </c>
      <c r="DA56" s="239">
        <v>0</v>
      </c>
      <c r="DB56" s="239">
        <v>0</v>
      </c>
      <c r="DC56" s="239">
        <v>0</v>
      </c>
      <c r="DD56" s="239">
        <v>0</v>
      </c>
      <c r="DE56" s="239">
        <v>0</v>
      </c>
      <c r="DF56" s="239">
        <v>0</v>
      </c>
      <c r="DG56" s="239">
        <v>0</v>
      </c>
      <c r="DH56" s="239">
        <v>0</v>
      </c>
      <c r="DI56" s="239">
        <v>0</v>
      </c>
      <c r="DJ56" s="239">
        <v>-120366</v>
      </c>
      <c r="DK56" s="239">
        <v>0</v>
      </c>
      <c r="DL56" s="239">
        <v>-120366</v>
      </c>
      <c r="DM56" s="239">
        <v>-520</v>
      </c>
      <c r="DN56" s="239">
        <v>0</v>
      </c>
      <c r="DO56" s="239">
        <v>-520</v>
      </c>
      <c r="DP56" s="239">
        <v>0</v>
      </c>
      <c r="DQ56" s="239">
        <v>0</v>
      </c>
      <c r="DR56" s="239">
        <v>0</v>
      </c>
      <c r="DS56" s="239">
        <v>-28944</v>
      </c>
      <c r="DT56" s="239">
        <v>0</v>
      </c>
      <c r="DU56" s="239">
        <v>-28944</v>
      </c>
      <c r="DV56" s="239">
        <v>-60143</v>
      </c>
      <c r="DW56" s="239">
        <v>0</v>
      </c>
      <c r="DX56" s="239">
        <v>-60143</v>
      </c>
      <c r="DY56" s="239">
        <v>0</v>
      </c>
      <c r="DZ56" s="239">
        <v>0</v>
      </c>
      <c r="EA56" s="239">
        <v>0</v>
      </c>
      <c r="EB56" s="239">
        <v>6875</v>
      </c>
      <c r="EC56" s="239">
        <v>0</v>
      </c>
      <c r="ED56" s="239">
        <v>6875</v>
      </c>
      <c r="EE56" s="239">
        <v>0</v>
      </c>
      <c r="EF56" s="239">
        <v>0</v>
      </c>
      <c r="EG56" s="239">
        <v>0</v>
      </c>
      <c r="EH56" s="239">
        <v>0</v>
      </c>
      <c r="EI56" s="239">
        <v>0</v>
      </c>
      <c r="EJ56" s="239">
        <v>0</v>
      </c>
      <c r="EK56" s="239">
        <v>-14232</v>
      </c>
      <c r="EL56" s="239">
        <v>0</v>
      </c>
      <c r="EM56" s="239">
        <v>-14232</v>
      </c>
      <c r="EN56" s="239">
        <v>0</v>
      </c>
      <c r="EO56" s="239">
        <v>0</v>
      </c>
      <c r="EP56" s="239">
        <v>0</v>
      </c>
      <c r="EQ56" s="239">
        <v>-96964</v>
      </c>
      <c r="ER56" s="239">
        <v>0</v>
      </c>
      <c r="ES56" s="239">
        <v>-96964</v>
      </c>
      <c r="ET56" s="239">
        <v>0</v>
      </c>
      <c r="EU56" s="239">
        <v>0</v>
      </c>
      <c r="EV56" s="239">
        <v>0</v>
      </c>
      <c r="EW56" s="239">
        <v>0</v>
      </c>
      <c r="EX56" s="239">
        <v>0</v>
      </c>
      <c r="EY56" s="239">
        <v>0</v>
      </c>
      <c r="EZ56" s="239">
        <v>0</v>
      </c>
      <c r="FA56" s="239">
        <v>0</v>
      </c>
      <c r="FB56" s="239">
        <v>0</v>
      </c>
      <c r="FC56" s="239">
        <v>88132778</v>
      </c>
      <c r="FD56" s="239">
        <v>0</v>
      </c>
      <c r="FE56" s="239">
        <v>88132778</v>
      </c>
      <c r="FF56" s="239">
        <v>170109</v>
      </c>
      <c r="FG56" s="239">
        <v>0</v>
      </c>
      <c r="FH56" s="239">
        <v>170109</v>
      </c>
      <c r="FI56" s="239">
        <v>-5779227</v>
      </c>
      <c r="FJ56" s="239">
        <v>0</v>
      </c>
      <c r="FK56" s="239">
        <v>-5779227</v>
      </c>
      <c r="FL56" s="239">
        <v>-3045070</v>
      </c>
      <c r="FM56" s="239">
        <v>0</v>
      </c>
      <c r="FN56" s="239">
        <v>-3045070</v>
      </c>
      <c r="FO56" s="239">
        <v>-120366</v>
      </c>
      <c r="FP56" s="239">
        <v>0</v>
      </c>
      <c r="FQ56" s="239">
        <v>-120366</v>
      </c>
      <c r="FR56" s="239">
        <v>-96964</v>
      </c>
      <c r="FS56" s="239">
        <v>0</v>
      </c>
      <c r="FT56" s="239">
        <v>-96964</v>
      </c>
      <c r="FU56" s="239">
        <v>0</v>
      </c>
      <c r="FV56" s="239">
        <v>0</v>
      </c>
      <c r="FW56" s="239">
        <v>0</v>
      </c>
      <c r="FX56" s="239">
        <v>-8871518</v>
      </c>
      <c r="FY56" s="239">
        <v>0</v>
      </c>
      <c r="FZ56" s="239">
        <v>-8871518</v>
      </c>
      <c r="GA56" s="239">
        <v>79261260</v>
      </c>
      <c r="GB56" s="239">
        <v>0</v>
      </c>
      <c r="GC56" s="239">
        <v>79261260</v>
      </c>
      <c r="GD56" s="214" t="s">
        <v>1190</v>
      </c>
    </row>
    <row r="57" spans="2:186" s="214" customFormat="1" x14ac:dyDescent="0.2">
      <c r="B57" s="609" t="s">
        <v>196</v>
      </c>
      <c r="C57" s="609" t="s">
        <v>195</v>
      </c>
      <c r="D57" s="239">
        <v>0</v>
      </c>
      <c r="E57" s="239">
        <v>0</v>
      </c>
      <c r="F57" s="239">
        <v>0</v>
      </c>
      <c r="G57" s="239">
        <v>89631</v>
      </c>
      <c r="H57" s="239">
        <v>0</v>
      </c>
      <c r="I57" s="239">
        <v>89631</v>
      </c>
      <c r="J57" s="239">
        <v>0</v>
      </c>
      <c r="K57" s="239">
        <v>0</v>
      </c>
      <c r="L57" s="239">
        <v>0</v>
      </c>
      <c r="M57" s="239">
        <v>2455</v>
      </c>
      <c r="N57" s="239">
        <v>0</v>
      </c>
      <c r="O57" s="239">
        <v>2455</v>
      </c>
      <c r="P57" s="239">
        <v>92086</v>
      </c>
      <c r="Q57" s="239">
        <v>0</v>
      </c>
      <c r="R57" s="239">
        <v>92086</v>
      </c>
      <c r="S57" s="239">
        <v>-2421078</v>
      </c>
      <c r="T57" s="239">
        <v>0</v>
      </c>
      <c r="U57" s="239">
        <v>-2421078</v>
      </c>
      <c r="V57" s="239">
        <v>-5487</v>
      </c>
      <c r="W57" s="239">
        <v>0</v>
      </c>
      <c r="X57" s="239">
        <v>-5487</v>
      </c>
      <c r="Y57" s="239">
        <v>-87386</v>
      </c>
      <c r="Z57" s="239">
        <v>0</v>
      </c>
      <c r="AA57" s="239">
        <v>-87386</v>
      </c>
      <c r="AB57" s="239">
        <v>-63587</v>
      </c>
      <c r="AC57" s="239">
        <v>0</v>
      </c>
      <c r="AD57" s="239">
        <v>-63587</v>
      </c>
      <c r="AE57" s="239">
        <v>-3275</v>
      </c>
      <c r="AF57" s="239">
        <v>0</v>
      </c>
      <c r="AG57" s="239">
        <v>-3275</v>
      </c>
      <c r="AH57" s="239">
        <v>1515209</v>
      </c>
      <c r="AI57" s="239">
        <v>0</v>
      </c>
      <c r="AJ57" s="239">
        <v>1515209</v>
      </c>
      <c r="AK57" s="239">
        <v>-39159</v>
      </c>
      <c r="AL57" s="239">
        <v>0</v>
      </c>
      <c r="AM57" s="239">
        <v>-39159</v>
      </c>
      <c r="AN57" s="239">
        <v>-4125295</v>
      </c>
      <c r="AO57" s="239">
        <v>0</v>
      </c>
      <c r="AP57" s="239">
        <v>-4125295</v>
      </c>
      <c r="AQ57" s="239">
        <v>30895</v>
      </c>
      <c r="AR57" s="239">
        <v>0</v>
      </c>
      <c r="AS57" s="239">
        <v>30895</v>
      </c>
      <c r="AT57" s="239">
        <v>-53199</v>
      </c>
      <c r="AU57" s="239">
        <v>0</v>
      </c>
      <c r="AV57" s="239">
        <v>-53199</v>
      </c>
      <c r="AW57" s="239">
        <v>-3341</v>
      </c>
      <c r="AX57" s="239">
        <v>0</v>
      </c>
      <c r="AY57" s="239">
        <v>-3341</v>
      </c>
      <c r="AZ57" s="239">
        <v>0</v>
      </c>
      <c r="BA57" s="239">
        <v>0</v>
      </c>
      <c r="BB57" s="239">
        <v>0</v>
      </c>
      <c r="BC57" s="239">
        <v>0</v>
      </c>
      <c r="BD57" s="239">
        <v>0</v>
      </c>
      <c r="BE57" s="239">
        <v>0</v>
      </c>
      <c r="BF57" s="239">
        <v>-5183354</v>
      </c>
      <c r="BG57" s="239">
        <v>0</v>
      </c>
      <c r="BH57" s="239">
        <v>-5183354</v>
      </c>
      <c r="BI57" s="239">
        <v>-26447</v>
      </c>
      <c r="BJ57" s="239">
        <v>0</v>
      </c>
      <c r="BK57" s="239">
        <v>-26447</v>
      </c>
      <c r="BL57" s="239">
        <v>-268</v>
      </c>
      <c r="BM57" s="239">
        <v>0</v>
      </c>
      <c r="BN57" s="239">
        <v>-268</v>
      </c>
      <c r="BO57" s="239">
        <v>-1764183</v>
      </c>
      <c r="BP57" s="239">
        <v>0</v>
      </c>
      <c r="BQ57" s="239">
        <v>-1764183</v>
      </c>
      <c r="BR57" s="239">
        <v>39102</v>
      </c>
      <c r="BS57" s="239">
        <v>0</v>
      </c>
      <c r="BT57" s="239">
        <v>39102</v>
      </c>
      <c r="BU57" s="239">
        <v>-1751796</v>
      </c>
      <c r="BV57" s="239">
        <v>0</v>
      </c>
      <c r="BW57" s="239">
        <v>-1751796</v>
      </c>
      <c r="BX57" s="239">
        <v>-26985</v>
      </c>
      <c r="BY57" s="239">
        <v>0</v>
      </c>
      <c r="BZ57" s="239">
        <v>-26985</v>
      </c>
      <c r="CA57" s="239">
        <v>101</v>
      </c>
      <c r="CB57" s="239">
        <v>0</v>
      </c>
      <c r="CC57" s="239">
        <v>101</v>
      </c>
      <c r="CD57" s="239">
        <v>-13164</v>
      </c>
      <c r="CE57" s="239">
        <v>0</v>
      </c>
      <c r="CF57" s="239">
        <v>-13164</v>
      </c>
      <c r="CG57" s="239">
        <v>0</v>
      </c>
      <c r="CH57" s="239">
        <v>0</v>
      </c>
      <c r="CI57" s="239">
        <v>0</v>
      </c>
      <c r="CJ57" s="239">
        <v>0</v>
      </c>
      <c r="CK57" s="239">
        <v>0</v>
      </c>
      <c r="CL57" s="239">
        <v>0</v>
      </c>
      <c r="CM57" s="239">
        <v>0</v>
      </c>
      <c r="CN57" s="239">
        <v>0</v>
      </c>
      <c r="CO57" s="239">
        <v>0</v>
      </c>
      <c r="CP57" s="239">
        <v>0</v>
      </c>
      <c r="CQ57" s="239">
        <v>0</v>
      </c>
      <c r="CR57" s="239">
        <v>0</v>
      </c>
      <c r="CS57" s="239">
        <v>0</v>
      </c>
      <c r="CT57" s="239">
        <v>0</v>
      </c>
      <c r="CU57" s="239">
        <v>0</v>
      </c>
      <c r="CV57" s="239">
        <v>0</v>
      </c>
      <c r="CW57" s="239">
        <v>0</v>
      </c>
      <c r="CX57" s="239">
        <v>0</v>
      </c>
      <c r="CY57" s="239">
        <v>0</v>
      </c>
      <c r="CZ57" s="239">
        <v>0</v>
      </c>
      <c r="DA57" s="239">
        <v>0</v>
      </c>
      <c r="DB57" s="239">
        <v>0</v>
      </c>
      <c r="DC57" s="239">
        <v>0</v>
      </c>
      <c r="DD57" s="239">
        <v>0</v>
      </c>
      <c r="DE57" s="239">
        <v>0</v>
      </c>
      <c r="DF57" s="239">
        <v>0</v>
      </c>
      <c r="DG57" s="239">
        <v>0</v>
      </c>
      <c r="DH57" s="239">
        <v>0</v>
      </c>
      <c r="DI57" s="239">
        <v>0</v>
      </c>
      <c r="DJ57" s="239">
        <v>-40048</v>
      </c>
      <c r="DK57" s="239">
        <v>0</v>
      </c>
      <c r="DL57" s="239">
        <v>-40048</v>
      </c>
      <c r="DM57" s="239">
        <v>0</v>
      </c>
      <c r="DN57" s="239">
        <v>0</v>
      </c>
      <c r="DO57" s="239">
        <v>0</v>
      </c>
      <c r="DP57" s="239">
        <v>0</v>
      </c>
      <c r="DQ57" s="239">
        <v>0</v>
      </c>
      <c r="DR57" s="239">
        <v>0</v>
      </c>
      <c r="DS57" s="239">
        <v>-56241</v>
      </c>
      <c r="DT57" s="239">
        <v>0</v>
      </c>
      <c r="DU57" s="239">
        <v>-56241</v>
      </c>
      <c r="DV57" s="239">
        <v>-14368</v>
      </c>
      <c r="DW57" s="239">
        <v>0</v>
      </c>
      <c r="DX57" s="239">
        <v>-14368</v>
      </c>
      <c r="DY57" s="239">
        <v>0</v>
      </c>
      <c r="DZ57" s="239">
        <v>0</v>
      </c>
      <c r="EA57" s="239">
        <v>0</v>
      </c>
      <c r="EB57" s="239">
        <v>-140</v>
      </c>
      <c r="EC57" s="239">
        <v>0</v>
      </c>
      <c r="ED57" s="239">
        <v>-140</v>
      </c>
      <c r="EE57" s="239">
        <v>0</v>
      </c>
      <c r="EF57" s="239">
        <v>0</v>
      </c>
      <c r="EG57" s="239">
        <v>0</v>
      </c>
      <c r="EH57" s="239">
        <v>0</v>
      </c>
      <c r="EI57" s="239">
        <v>0</v>
      </c>
      <c r="EJ57" s="239">
        <v>0</v>
      </c>
      <c r="EK57" s="239">
        <v>-656</v>
      </c>
      <c r="EL57" s="239">
        <v>0</v>
      </c>
      <c r="EM57" s="239">
        <v>-656</v>
      </c>
      <c r="EN57" s="239">
        <v>0</v>
      </c>
      <c r="EO57" s="239">
        <v>0</v>
      </c>
      <c r="EP57" s="239">
        <v>0</v>
      </c>
      <c r="EQ57" s="239">
        <v>-71405</v>
      </c>
      <c r="ER57" s="239">
        <v>0</v>
      </c>
      <c r="ES57" s="239">
        <v>-71405</v>
      </c>
      <c r="ET57" s="239">
        <v>-13804</v>
      </c>
      <c r="EU57" s="239">
        <v>0</v>
      </c>
      <c r="EV57" s="239">
        <v>-13804</v>
      </c>
      <c r="EW57" s="239">
        <v>0</v>
      </c>
      <c r="EX57" s="239">
        <v>0</v>
      </c>
      <c r="EY57" s="239">
        <v>0</v>
      </c>
      <c r="EZ57" s="239">
        <v>-13804</v>
      </c>
      <c r="FA57" s="239">
        <v>0</v>
      </c>
      <c r="FB57" s="239">
        <v>-13804</v>
      </c>
      <c r="FC57" s="239">
        <v>61725020</v>
      </c>
      <c r="FD57" s="239">
        <v>0</v>
      </c>
      <c r="FE57" s="239">
        <v>61725020</v>
      </c>
      <c r="FF57" s="239">
        <v>92086</v>
      </c>
      <c r="FG57" s="239">
        <v>0</v>
      </c>
      <c r="FH57" s="239">
        <v>92086</v>
      </c>
      <c r="FI57" s="239">
        <v>-5183354</v>
      </c>
      <c r="FJ57" s="239">
        <v>0</v>
      </c>
      <c r="FK57" s="239">
        <v>-5183354</v>
      </c>
      <c r="FL57" s="239">
        <v>-1751796</v>
      </c>
      <c r="FM57" s="239">
        <v>0</v>
      </c>
      <c r="FN57" s="239">
        <v>-1751796</v>
      </c>
      <c r="FO57" s="239">
        <v>-40048</v>
      </c>
      <c r="FP57" s="239">
        <v>0</v>
      </c>
      <c r="FQ57" s="239">
        <v>-40048</v>
      </c>
      <c r="FR57" s="239">
        <v>-71405</v>
      </c>
      <c r="FS57" s="239">
        <v>0</v>
      </c>
      <c r="FT57" s="239">
        <v>-71405</v>
      </c>
      <c r="FU57" s="239">
        <v>-13804</v>
      </c>
      <c r="FV57" s="239">
        <v>0</v>
      </c>
      <c r="FW57" s="239">
        <v>-13804</v>
      </c>
      <c r="FX57" s="239">
        <v>-6968321</v>
      </c>
      <c r="FY57" s="239">
        <v>0</v>
      </c>
      <c r="FZ57" s="239">
        <v>-6968321</v>
      </c>
      <c r="GA57" s="239">
        <v>54756699</v>
      </c>
      <c r="GB57" s="239">
        <v>0</v>
      </c>
      <c r="GC57" s="239">
        <v>54756699</v>
      </c>
      <c r="GD57" s="214" t="s">
        <v>1190</v>
      </c>
    </row>
    <row r="58" spans="2:186" s="214" customFormat="1" x14ac:dyDescent="0.2">
      <c r="B58" s="609" t="s">
        <v>198</v>
      </c>
      <c r="C58" s="609" t="s">
        <v>197</v>
      </c>
      <c r="D58" s="239">
        <v>0</v>
      </c>
      <c r="E58" s="239">
        <v>0</v>
      </c>
      <c r="F58" s="239">
        <v>0</v>
      </c>
      <c r="G58" s="239">
        <v>-6714</v>
      </c>
      <c r="H58" s="239">
        <v>0</v>
      </c>
      <c r="I58" s="239">
        <v>-6714</v>
      </c>
      <c r="J58" s="239">
        <v>0</v>
      </c>
      <c r="K58" s="239">
        <v>0</v>
      </c>
      <c r="L58" s="239">
        <v>0</v>
      </c>
      <c r="M58" s="239">
        <v>195154</v>
      </c>
      <c r="N58" s="239">
        <v>0</v>
      </c>
      <c r="O58" s="239">
        <v>195154</v>
      </c>
      <c r="P58" s="239">
        <v>188440</v>
      </c>
      <c r="Q58" s="239">
        <v>0</v>
      </c>
      <c r="R58" s="239">
        <v>188440</v>
      </c>
      <c r="S58" s="239">
        <v>-2322067</v>
      </c>
      <c r="T58" s="239">
        <v>0</v>
      </c>
      <c r="U58" s="239">
        <v>-2322067</v>
      </c>
      <c r="V58" s="239">
        <v>-15318</v>
      </c>
      <c r="W58" s="239">
        <v>0</v>
      </c>
      <c r="X58" s="239">
        <v>-15318</v>
      </c>
      <c r="Y58" s="239">
        <v>-99983</v>
      </c>
      <c r="Z58" s="239">
        <v>0</v>
      </c>
      <c r="AA58" s="239">
        <v>-99983</v>
      </c>
      <c r="AB58" s="239">
        <v>-62790</v>
      </c>
      <c r="AC58" s="239">
        <v>0</v>
      </c>
      <c r="AD58" s="239">
        <v>-62790</v>
      </c>
      <c r="AE58" s="239">
        <v>1042</v>
      </c>
      <c r="AF58" s="239">
        <v>0</v>
      </c>
      <c r="AG58" s="239">
        <v>1042</v>
      </c>
      <c r="AH58" s="239">
        <v>2007549</v>
      </c>
      <c r="AI58" s="239">
        <v>0</v>
      </c>
      <c r="AJ58" s="239">
        <v>2007549</v>
      </c>
      <c r="AK58" s="239">
        <v>103238</v>
      </c>
      <c r="AL58" s="239">
        <v>0</v>
      </c>
      <c r="AM58" s="239">
        <v>103238</v>
      </c>
      <c r="AN58" s="239">
        <v>-3246462</v>
      </c>
      <c r="AO58" s="239">
        <v>0</v>
      </c>
      <c r="AP58" s="239">
        <v>-3246462</v>
      </c>
      <c r="AQ58" s="239">
        <v>-53086</v>
      </c>
      <c r="AR58" s="239">
        <v>0</v>
      </c>
      <c r="AS58" s="239">
        <v>-53086</v>
      </c>
      <c r="AT58" s="239">
        <v>-62244</v>
      </c>
      <c r="AU58" s="239">
        <v>0</v>
      </c>
      <c r="AV58" s="239">
        <v>-62244</v>
      </c>
      <c r="AW58" s="239">
        <v>-5702</v>
      </c>
      <c r="AX58" s="239">
        <v>0</v>
      </c>
      <c r="AY58" s="239">
        <v>-5702</v>
      </c>
      <c r="AZ58" s="239">
        <v>-34829</v>
      </c>
      <c r="BA58" s="239">
        <v>0</v>
      </c>
      <c r="BB58" s="239">
        <v>-34829</v>
      </c>
      <c r="BC58" s="239">
        <v>24552</v>
      </c>
      <c r="BD58" s="239">
        <v>0</v>
      </c>
      <c r="BE58" s="239">
        <v>24552</v>
      </c>
      <c r="BF58" s="239">
        <v>-3689034</v>
      </c>
      <c r="BG58" s="239">
        <v>0</v>
      </c>
      <c r="BH58" s="239">
        <v>-3689034</v>
      </c>
      <c r="BI58" s="239">
        <v>-2912</v>
      </c>
      <c r="BJ58" s="239">
        <v>0</v>
      </c>
      <c r="BK58" s="239">
        <v>-2912</v>
      </c>
      <c r="BL58" s="239">
        <v>78848</v>
      </c>
      <c r="BM58" s="239">
        <v>0</v>
      </c>
      <c r="BN58" s="239">
        <v>78848</v>
      </c>
      <c r="BO58" s="239">
        <v>-2463450</v>
      </c>
      <c r="BP58" s="239">
        <v>0</v>
      </c>
      <c r="BQ58" s="239">
        <v>-2463450</v>
      </c>
      <c r="BR58" s="239">
        <v>-70989</v>
      </c>
      <c r="BS58" s="239">
        <v>0</v>
      </c>
      <c r="BT58" s="239">
        <v>-70989</v>
      </c>
      <c r="BU58" s="239">
        <v>-2458503</v>
      </c>
      <c r="BV58" s="239">
        <v>0</v>
      </c>
      <c r="BW58" s="239">
        <v>-2458503</v>
      </c>
      <c r="BX58" s="239">
        <v>-35680</v>
      </c>
      <c r="BY58" s="239">
        <v>0</v>
      </c>
      <c r="BZ58" s="239">
        <v>-35680</v>
      </c>
      <c r="CA58" s="239">
        <v>-890</v>
      </c>
      <c r="CB58" s="239">
        <v>0</v>
      </c>
      <c r="CC58" s="239">
        <v>-890</v>
      </c>
      <c r="CD58" s="239">
        <v>-64292</v>
      </c>
      <c r="CE58" s="239">
        <v>0</v>
      </c>
      <c r="CF58" s="239">
        <v>-64292</v>
      </c>
      <c r="CG58" s="239">
        <v>1018</v>
      </c>
      <c r="CH58" s="239">
        <v>0</v>
      </c>
      <c r="CI58" s="239">
        <v>1018</v>
      </c>
      <c r="CJ58" s="239">
        <v>0</v>
      </c>
      <c r="CK58" s="239">
        <v>0</v>
      </c>
      <c r="CL58" s="239">
        <v>0</v>
      </c>
      <c r="CM58" s="239">
        <v>0</v>
      </c>
      <c r="CN58" s="239">
        <v>0</v>
      </c>
      <c r="CO58" s="239">
        <v>0</v>
      </c>
      <c r="CP58" s="239">
        <v>-17354</v>
      </c>
      <c r="CQ58" s="239">
        <v>0</v>
      </c>
      <c r="CR58" s="239">
        <v>-17354</v>
      </c>
      <c r="CS58" s="239">
        <v>14285</v>
      </c>
      <c r="CT58" s="239">
        <v>0</v>
      </c>
      <c r="CU58" s="239">
        <v>14285</v>
      </c>
      <c r="CV58" s="239">
        <v>-12351</v>
      </c>
      <c r="CW58" s="239">
        <v>0</v>
      </c>
      <c r="CX58" s="239">
        <v>-12351</v>
      </c>
      <c r="CY58" s="239">
        <v>-31409</v>
      </c>
      <c r="CZ58" s="239">
        <v>0</v>
      </c>
      <c r="DA58" s="239">
        <v>-31409</v>
      </c>
      <c r="DB58" s="239">
        <v>0</v>
      </c>
      <c r="DC58" s="239">
        <v>0</v>
      </c>
      <c r="DD58" s="239">
        <v>0</v>
      </c>
      <c r="DE58" s="239">
        <v>0</v>
      </c>
      <c r="DF58" s="239">
        <v>0</v>
      </c>
      <c r="DG58" s="239">
        <v>0</v>
      </c>
      <c r="DH58" s="239">
        <v>0</v>
      </c>
      <c r="DI58" s="239">
        <v>0</v>
      </c>
      <c r="DJ58" s="239">
        <v>-146673</v>
      </c>
      <c r="DK58" s="239">
        <v>0</v>
      </c>
      <c r="DL58" s="239">
        <v>-146673</v>
      </c>
      <c r="DM58" s="239">
        <v>-7125</v>
      </c>
      <c r="DN58" s="239">
        <v>0</v>
      </c>
      <c r="DO58" s="239">
        <v>-7125</v>
      </c>
      <c r="DP58" s="239">
        <v>-42622</v>
      </c>
      <c r="DQ58" s="239">
        <v>0</v>
      </c>
      <c r="DR58" s="239">
        <v>-42622</v>
      </c>
      <c r="DS58" s="239">
        <v>-16390</v>
      </c>
      <c r="DT58" s="239">
        <v>0</v>
      </c>
      <c r="DU58" s="239">
        <v>-16390</v>
      </c>
      <c r="DV58" s="239">
        <v>0</v>
      </c>
      <c r="DW58" s="239">
        <v>0</v>
      </c>
      <c r="DX58" s="239">
        <v>0</v>
      </c>
      <c r="DY58" s="239">
        <v>0</v>
      </c>
      <c r="DZ58" s="239">
        <v>0</v>
      </c>
      <c r="EA58" s="239">
        <v>0</v>
      </c>
      <c r="EB58" s="239">
        <v>452</v>
      </c>
      <c r="EC58" s="239">
        <v>0</v>
      </c>
      <c r="ED58" s="239">
        <v>452</v>
      </c>
      <c r="EE58" s="239">
        <v>0</v>
      </c>
      <c r="EF58" s="239">
        <v>0</v>
      </c>
      <c r="EG58" s="239">
        <v>0</v>
      </c>
      <c r="EH58" s="239">
        <v>0</v>
      </c>
      <c r="EI58" s="239">
        <v>0</v>
      </c>
      <c r="EJ58" s="239">
        <v>0</v>
      </c>
      <c r="EK58" s="239">
        <v>0</v>
      </c>
      <c r="EL58" s="239">
        <v>0</v>
      </c>
      <c r="EM58" s="239">
        <v>0</v>
      </c>
      <c r="EN58" s="239">
        <v>0</v>
      </c>
      <c r="EO58" s="239">
        <v>0</v>
      </c>
      <c r="EP58" s="239">
        <v>0</v>
      </c>
      <c r="EQ58" s="239">
        <v>-65685</v>
      </c>
      <c r="ER58" s="239">
        <v>0</v>
      </c>
      <c r="ES58" s="239">
        <v>-65685</v>
      </c>
      <c r="ET58" s="239">
        <v>-2291</v>
      </c>
      <c r="EU58" s="239">
        <v>0</v>
      </c>
      <c r="EV58" s="239">
        <v>-2291</v>
      </c>
      <c r="EW58" s="239">
        <v>0</v>
      </c>
      <c r="EX58" s="239">
        <v>0</v>
      </c>
      <c r="EY58" s="239">
        <v>0</v>
      </c>
      <c r="EZ58" s="239">
        <v>-2291</v>
      </c>
      <c r="FA58" s="239">
        <v>0</v>
      </c>
      <c r="FB58" s="239">
        <v>-2291</v>
      </c>
      <c r="FC58" s="239">
        <v>80795536</v>
      </c>
      <c r="FD58" s="239">
        <v>0</v>
      </c>
      <c r="FE58" s="239">
        <v>80795536</v>
      </c>
      <c r="FF58" s="239">
        <v>188440</v>
      </c>
      <c r="FG58" s="239">
        <v>0</v>
      </c>
      <c r="FH58" s="239">
        <v>188440</v>
      </c>
      <c r="FI58" s="239">
        <v>-3689034</v>
      </c>
      <c r="FJ58" s="239">
        <v>0</v>
      </c>
      <c r="FK58" s="239">
        <v>-3689034</v>
      </c>
      <c r="FL58" s="239">
        <v>-2458503</v>
      </c>
      <c r="FM58" s="239">
        <v>0</v>
      </c>
      <c r="FN58" s="239">
        <v>-2458503</v>
      </c>
      <c r="FO58" s="239">
        <v>-146673</v>
      </c>
      <c r="FP58" s="239">
        <v>0</v>
      </c>
      <c r="FQ58" s="239">
        <v>-146673</v>
      </c>
      <c r="FR58" s="239">
        <v>-65685</v>
      </c>
      <c r="FS58" s="239">
        <v>0</v>
      </c>
      <c r="FT58" s="239">
        <v>-65685</v>
      </c>
      <c r="FU58" s="239">
        <v>-2291</v>
      </c>
      <c r="FV58" s="239">
        <v>0</v>
      </c>
      <c r="FW58" s="239">
        <v>-2291</v>
      </c>
      <c r="FX58" s="239">
        <v>-6173746</v>
      </c>
      <c r="FY58" s="239">
        <v>0</v>
      </c>
      <c r="FZ58" s="239">
        <v>-6173746</v>
      </c>
      <c r="GA58" s="239">
        <v>74621790</v>
      </c>
      <c r="GB58" s="239">
        <v>0</v>
      </c>
      <c r="GC58" s="239">
        <v>74621790</v>
      </c>
      <c r="GD58" s="214" t="s">
        <v>1190</v>
      </c>
    </row>
    <row r="59" spans="2:186" s="214" customFormat="1" x14ac:dyDescent="0.2">
      <c r="B59" s="609" t="s">
        <v>200</v>
      </c>
      <c r="C59" s="609" t="s">
        <v>199</v>
      </c>
      <c r="D59" s="239">
        <v>0</v>
      </c>
      <c r="E59" s="239">
        <v>0</v>
      </c>
      <c r="F59" s="239">
        <v>0</v>
      </c>
      <c r="G59" s="239">
        <v>39908</v>
      </c>
      <c r="H59" s="239">
        <v>0</v>
      </c>
      <c r="I59" s="239">
        <v>39908</v>
      </c>
      <c r="J59" s="239">
        <v>0</v>
      </c>
      <c r="K59" s="239">
        <v>0</v>
      </c>
      <c r="L59" s="239">
        <v>0</v>
      </c>
      <c r="M59" s="239">
        <v>286543</v>
      </c>
      <c r="N59" s="239">
        <v>0</v>
      </c>
      <c r="O59" s="239">
        <v>286543</v>
      </c>
      <c r="P59" s="239">
        <v>326451</v>
      </c>
      <c r="Q59" s="239">
        <v>0</v>
      </c>
      <c r="R59" s="239">
        <v>326451</v>
      </c>
      <c r="S59" s="239">
        <v>-9082231</v>
      </c>
      <c r="T59" s="239">
        <v>-13363</v>
      </c>
      <c r="U59" s="239">
        <v>-9095594</v>
      </c>
      <c r="V59" s="239">
        <v>-58360</v>
      </c>
      <c r="W59" s="239">
        <v>0</v>
      </c>
      <c r="X59" s="239">
        <v>-58360</v>
      </c>
      <c r="Y59" s="239">
        <v>-493982.63</v>
      </c>
      <c r="Z59" s="239">
        <v>0</v>
      </c>
      <c r="AA59" s="239">
        <v>-493982.63</v>
      </c>
      <c r="AB59" s="239">
        <v>-369656</v>
      </c>
      <c r="AC59" s="239">
        <v>0</v>
      </c>
      <c r="AD59" s="239">
        <v>-369656</v>
      </c>
      <c r="AE59" s="239">
        <v>-10702</v>
      </c>
      <c r="AF59" s="239">
        <v>0</v>
      </c>
      <c r="AG59" s="239">
        <v>-10702</v>
      </c>
      <c r="AH59" s="239">
        <v>3736567</v>
      </c>
      <c r="AI59" s="239">
        <v>47890</v>
      </c>
      <c r="AJ59" s="239">
        <v>3784457</v>
      </c>
      <c r="AK59" s="239">
        <v>79922.62</v>
      </c>
      <c r="AL59" s="239">
        <v>0</v>
      </c>
      <c r="AM59" s="239">
        <v>79922.62</v>
      </c>
      <c r="AN59" s="239">
        <v>-7645226</v>
      </c>
      <c r="AO59" s="239">
        <v>-25666</v>
      </c>
      <c r="AP59" s="239">
        <v>-7670892</v>
      </c>
      <c r="AQ59" s="239">
        <v>-74352</v>
      </c>
      <c r="AR59" s="239">
        <v>0</v>
      </c>
      <c r="AS59" s="239">
        <v>-74352</v>
      </c>
      <c r="AT59" s="239">
        <v>-121915</v>
      </c>
      <c r="AU59" s="239">
        <v>0</v>
      </c>
      <c r="AV59" s="239">
        <v>-121915</v>
      </c>
      <c r="AW59" s="239">
        <v>-22355</v>
      </c>
      <c r="AX59" s="239">
        <v>0</v>
      </c>
      <c r="AY59" s="239">
        <v>-22355</v>
      </c>
      <c r="AZ59" s="239">
        <v>-17432</v>
      </c>
      <c r="BA59" s="239">
        <v>0</v>
      </c>
      <c r="BB59" s="239">
        <v>-17432</v>
      </c>
      <c r="BC59" s="239">
        <v>-752</v>
      </c>
      <c r="BD59" s="239">
        <v>0</v>
      </c>
      <c r="BE59" s="239">
        <v>-752</v>
      </c>
      <c r="BF59" s="239">
        <v>-13641756</v>
      </c>
      <c r="BG59" s="239">
        <v>8861</v>
      </c>
      <c r="BH59" s="239">
        <v>-13632895</v>
      </c>
      <c r="BI59" s="239">
        <v>-21601</v>
      </c>
      <c r="BJ59" s="239">
        <v>0</v>
      </c>
      <c r="BK59" s="239">
        <v>-21601</v>
      </c>
      <c r="BL59" s="239">
        <v>2408</v>
      </c>
      <c r="BM59" s="239">
        <v>0</v>
      </c>
      <c r="BN59" s="239">
        <v>2408</v>
      </c>
      <c r="BO59" s="239">
        <v>-3694950</v>
      </c>
      <c r="BP59" s="239">
        <v>-555035</v>
      </c>
      <c r="BQ59" s="239">
        <v>-4249985</v>
      </c>
      <c r="BR59" s="239">
        <v>-772892</v>
      </c>
      <c r="BS59" s="239">
        <v>0</v>
      </c>
      <c r="BT59" s="239">
        <v>-772892</v>
      </c>
      <c r="BU59" s="239">
        <v>-4487035</v>
      </c>
      <c r="BV59" s="239">
        <v>-555035</v>
      </c>
      <c r="BW59" s="239">
        <v>-5042070</v>
      </c>
      <c r="BX59" s="239">
        <v>-221196</v>
      </c>
      <c r="BY59" s="239">
        <v>-6417</v>
      </c>
      <c r="BZ59" s="239">
        <v>-227613</v>
      </c>
      <c r="CA59" s="239">
        <v>-2265</v>
      </c>
      <c r="CB59" s="239">
        <v>0</v>
      </c>
      <c r="CC59" s="239">
        <v>-2265</v>
      </c>
      <c r="CD59" s="239">
        <v>-77386</v>
      </c>
      <c r="CE59" s="239">
        <v>0</v>
      </c>
      <c r="CF59" s="239">
        <v>-77386</v>
      </c>
      <c r="CG59" s="239">
        <v>-6826</v>
      </c>
      <c r="CH59" s="239">
        <v>0</v>
      </c>
      <c r="CI59" s="239">
        <v>-6826</v>
      </c>
      <c r="CJ59" s="239">
        <v>-5488</v>
      </c>
      <c r="CK59" s="239">
        <v>0</v>
      </c>
      <c r="CL59" s="239">
        <v>-5488</v>
      </c>
      <c r="CM59" s="239">
        <v>-26</v>
      </c>
      <c r="CN59" s="239">
        <v>0</v>
      </c>
      <c r="CO59" s="239">
        <v>-26</v>
      </c>
      <c r="CP59" s="239">
        <v>-16115</v>
      </c>
      <c r="CQ59" s="239">
        <v>0</v>
      </c>
      <c r="CR59" s="239">
        <v>-16115</v>
      </c>
      <c r="CS59" s="239">
        <v>-752</v>
      </c>
      <c r="CT59" s="239">
        <v>0</v>
      </c>
      <c r="CU59" s="239">
        <v>-752</v>
      </c>
      <c r="CV59" s="239">
        <v>-14117</v>
      </c>
      <c r="CW59" s="239">
        <v>0</v>
      </c>
      <c r="CX59" s="239">
        <v>-14117</v>
      </c>
      <c r="CY59" s="239">
        <v>-279</v>
      </c>
      <c r="CZ59" s="239">
        <v>0</v>
      </c>
      <c r="DA59" s="239">
        <v>-279</v>
      </c>
      <c r="DB59" s="239">
        <v>0</v>
      </c>
      <c r="DC59" s="239">
        <v>-5288</v>
      </c>
      <c r="DD59" s="239">
        <v>-5288</v>
      </c>
      <c r="DE59" s="239">
        <v>0</v>
      </c>
      <c r="DF59" s="239">
        <v>0</v>
      </c>
      <c r="DG59" s="239">
        <v>0</v>
      </c>
      <c r="DH59" s="239">
        <v>-5288</v>
      </c>
      <c r="DI59" s="239">
        <v>0</v>
      </c>
      <c r="DJ59" s="239">
        <v>-344450</v>
      </c>
      <c r="DK59" s="239">
        <v>-11705</v>
      </c>
      <c r="DL59" s="239">
        <v>-356155</v>
      </c>
      <c r="DM59" s="239">
        <v>-1940</v>
      </c>
      <c r="DN59" s="239">
        <v>0</v>
      </c>
      <c r="DO59" s="239">
        <v>-1940</v>
      </c>
      <c r="DP59" s="239">
        <v>0</v>
      </c>
      <c r="DQ59" s="239">
        <v>0</v>
      </c>
      <c r="DR59" s="239">
        <v>0</v>
      </c>
      <c r="DS59" s="239">
        <v>-114699</v>
      </c>
      <c r="DT59" s="239">
        <v>0</v>
      </c>
      <c r="DU59" s="239">
        <v>-114699</v>
      </c>
      <c r="DV59" s="239">
        <v>-12314</v>
      </c>
      <c r="DW59" s="239">
        <v>0</v>
      </c>
      <c r="DX59" s="239">
        <v>-12314</v>
      </c>
      <c r="DY59" s="239">
        <v>0</v>
      </c>
      <c r="DZ59" s="239">
        <v>0</v>
      </c>
      <c r="EA59" s="239">
        <v>0</v>
      </c>
      <c r="EB59" s="239">
        <v>-7127</v>
      </c>
      <c r="EC59" s="239">
        <v>0</v>
      </c>
      <c r="ED59" s="239">
        <v>-7127</v>
      </c>
      <c r="EE59" s="239">
        <v>0</v>
      </c>
      <c r="EF59" s="239">
        <v>0</v>
      </c>
      <c r="EG59" s="239">
        <v>0</v>
      </c>
      <c r="EH59" s="239">
        <v>0</v>
      </c>
      <c r="EI59" s="239">
        <v>0</v>
      </c>
      <c r="EJ59" s="239">
        <v>0</v>
      </c>
      <c r="EK59" s="239">
        <v>-5702</v>
      </c>
      <c r="EL59" s="239">
        <v>0</v>
      </c>
      <c r="EM59" s="239">
        <v>-5702</v>
      </c>
      <c r="EN59" s="239">
        <v>440.72</v>
      </c>
      <c r="EO59" s="239">
        <v>0</v>
      </c>
      <c r="EP59" s="239">
        <v>440.72</v>
      </c>
      <c r="EQ59" s="239">
        <v>-141341</v>
      </c>
      <c r="ER59" s="239">
        <v>0</v>
      </c>
      <c r="ES59" s="239">
        <v>-141341</v>
      </c>
      <c r="ET59" s="239">
        <v>0</v>
      </c>
      <c r="EU59" s="239">
        <v>0</v>
      </c>
      <c r="EV59" s="239">
        <v>0</v>
      </c>
      <c r="EW59" s="239">
        <v>983</v>
      </c>
      <c r="EX59" s="239">
        <v>0</v>
      </c>
      <c r="EY59" s="239">
        <v>983</v>
      </c>
      <c r="EZ59" s="239">
        <v>983</v>
      </c>
      <c r="FA59" s="239">
        <v>0</v>
      </c>
      <c r="FB59" s="239">
        <v>983</v>
      </c>
      <c r="FC59" s="239">
        <v>161300436</v>
      </c>
      <c r="FD59" s="239">
        <v>4020162</v>
      </c>
      <c r="FE59" s="239">
        <v>165320598</v>
      </c>
      <c r="FF59" s="239">
        <v>326451</v>
      </c>
      <c r="FG59" s="239">
        <v>0</v>
      </c>
      <c r="FH59" s="239">
        <v>326451</v>
      </c>
      <c r="FI59" s="239">
        <v>-13641756</v>
      </c>
      <c r="FJ59" s="239">
        <v>8861</v>
      </c>
      <c r="FK59" s="239">
        <v>-13632895</v>
      </c>
      <c r="FL59" s="239">
        <v>-4487035</v>
      </c>
      <c r="FM59" s="239">
        <v>-555035</v>
      </c>
      <c r="FN59" s="239">
        <v>-5042070</v>
      </c>
      <c r="FO59" s="239">
        <v>-344450</v>
      </c>
      <c r="FP59" s="239">
        <v>-11705</v>
      </c>
      <c r="FQ59" s="239">
        <v>-356155</v>
      </c>
      <c r="FR59" s="239">
        <v>-141341</v>
      </c>
      <c r="FS59" s="239">
        <v>0</v>
      </c>
      <c r="FT59" s="239">
        <v>-141341</v>
      </c>
      <c r="FU59" s="239">
        <v>983</v>
      </c>
      <c r="FV59" s="239">
        <v>0</v>
      </c>
      <c r="FW59" s="239">
        <v>983</v>
      </c>
      <c r="FX59" s="239">
        <v>-18287148</v>
      </c>
      <c r="FY59" s="239">
        <v>-557879</v>
      </c>
      <c r="FZ59" s="239">
        <v>-18845027</v>
      </c>
      <c r="GA59" s="239">
        <v>143013288</v>
      </c>
      <c r="GB59" s="239">
        <v>3462283</v>
      </c>
      <c r="GC59" s="239">
        <v>146475571</v>
      </c>
      <c r="GD59" s="214" t="s">
        <v>747</v>
      </c>
    </row>
    <row r="60" spans="2:186" s="214" customFormat="1" x14ac:dyDescent="0.2">
      <c r="B60" s="609" t="s">
        <v>202</v>
      </c>
      <c r="C60" s="609" t="s">
        <v>918</v>
      </c>
      <c r="D60" s="239">
        <v>0</v>
      </c>
      <c r="E60" s="239">
        <v>0</v>
      </c>
      <c r="F60" s="239">
        <v>0</v>
      </c>
      <c r="G60" s="239">
        <v>19205</v>
      </c>
      <c r="H60" s="239">
        <v>0</v>
      </c>
      <c r="I60" s="239">
        <v>19205</v>
      </c>
      <c r="J60" s="239">
        <v>0</v>
      </c>
      <c r="K60" s="239">
        <v>0</v>
      </c>
      <c r="L60" s="239">
        <v>0</v>
      </c>
      <c r="M60" s="239">
        <v>377879</v>
      </c>
      <c r="N60" s="239">
        <v>0</v>
      </c>
      <c r="O60" s="239">
        <v>377879</v>
      </c>
      <c r="P60" s="239">
        <v>397084</v>
      </c>
      <c r="Q60" s="239">
        <v>0</v>
      </c>
      <c r="R60" s="239">
        <v>397084</v>
      </c>
      <c r="S60" s="239">
        <v>-6744865</v>
      </c>
      <c r="T60" s="239">
        <v>0</v>
      </c>
      <c r="U60" s="239">
        <v>-6744865</v>
      </c>
      <c r="V60" s="239">
        <v>-19564</v>
      </c>
      <c r="W60" s="239">
        <v>0</v>
      </c>
      <c r="X60" s="239">
        <v>-19564</v>
      </c>
      <c r="Y60" s="239">
        <v>-430052</v>
      </c>
      <c r="Z60" s="239">
        <v>0</v>
      </c>
      <c r="AA60" s="239">
        <v>-430052</v>
      </c>
      <c r="AB60" s="239">
        <v>-288799</v>
      </c>
      <c r="AC60" s="239">
        <v>0</v>
      </c>
      <c r="AD60" s="239">
        <v>-288799</v>
      </c>
      <c r="AE60" s="239">
        <v>8625</v>
      </c>
      <c r="AF60" s="239">
        <v>0</v>
      </c>
      <c r="AG60" s="239">
        <v>8625</v>
      </c>
      <c r="AH60" s="239">
        <v>4571497</v>
      </c>
      <c r="AI60" s="239">
        <v>5134</v>
      </c>
      <c r="AJ60" s="239">
        <v>4576631</v>
      </c>
      <c r="AK60" s="239">
        <v>-56750</v>
      </c>
      <c r="AL60" s="239">
        <v>0</v>
      </c>
      <c r="AM60" s="239">
        <v>-56750</v>
      </c>
      <c r="AN60" s="239">
        <v>-8628427</v>
      </c>
      <c r="AO60" s="239">
        <v>0</v>
      </c>
      <c r="AP60" s="239">
        <v>-8628427</v>
      </c>
      <c r="AQ60" s="239">
        <v>213940</v>
      </c>
      <c r="AR60" s="239">
        <v>0</v>
      </c>
      <c r="AS60" s="239">
        <v>213940</v>
      </c>
      <c r="AT60" s="239">
        <v>-56578</v>
      </c>
      <c r="AU60" s="239">
        <v>0</v>
      </c>
      <c r="AV60" s="239">
        <v>-56578</v>
      </c>
      <c r="AW60" s="239">
        <v>0</v>
      </c>
      <c r="AX60" s="239">
        <v>0</v>
      </c>
      <c r="AY60" s="239">
        <v>0</v>
      </c>
      <c r="AZ60" s="239">
        <v>-59263</v>
      </c>
      <c r="BA60" s="239">
        <v>0</v>
      </c>
      <c r="BB60" s="239">
        <v>-59263</v>
      </c>
      <c r="BC60" s="239">
        <v>-741</v>
      </c>
      <c r="BD60" s="239">
        <v>0</v>
      </c>
      <c r="BE60" s="239">
        <v>-741</v>
      </c>
      <c r="BF60" s="239">
        <v>-11191239</v>
      </c>
      <c r="BG60" s="239">
        <v>5134</v>
      </c>
      <c r="BH60" s="239">
        <v>-11186105</v>
      </c>
      <c r="BI60" s="239">
        <v>-53843</v>
      </c>
      <c r="BJ60" s="239">
        <v>0</v>
      </c>
      <c r="BK60" s="239">
        <v>-53843</v>
      </c>
      <c r="BL60" s="239">
        <v>505</v>
      </c>
      <c r="BM60" s="239">
        <v>0</v>
      </c>
      <c r="BN60" s="239">
        <v>505</v>
      </c>
      <c r="BO60" s="239">
        <v>-6673605</v>
      </c>
      <c r="BP60" s="239">
        <v>0</v>
      </c>
      <c r="BQ60" s="239">
        <v>-6673605</v>
      </c>
      <c r="BR60" s="239">
        <v>-398772</v>
      </c>
      <c r="BS60" s="239">
        <v>0</v>
      </c>
      <c r="BT60" s="239">
        <v>-398772</v>
      </c>
      <c r="BU60" s="239">
        <v>-7125715</v>
      </c>
      <c r="BV60" s="239">
        <v>0</v>
      </c>
      <c r="BW60" s="239">
        <v>-7125715</v>
      </c>
      <c r="BX60" s="239">
        <v>-831620</v>
      </c>
      <c r="BY60" s="239">
        <v>0</v>
      </c>
      <c r="BZ60" s="239">
        <v>-831620</v>
      </c>
      <c r="CA60" s="239">
        <v>29038</v>
      </c>
      <c r="CB60" s="239">
        <v>0</v>
      </c>
      <c r="CC60" s="239">
        <v>29038</v>
      </c>
      <c r="CD60" s="239">
        <v>-1227968</v>
      </c>
      <c r="CE60" s="239">
        <v>0</v>
      </c>
      <c r="CF60" s="239">
        <v>-1227968</v>
      </c>
      <c r="CG60" s="239">
        <v>126615</v>
      </c>
      <c r="CH60" s="239">
        <v>0</v>
      </c>
      <c r="CI60" s="239">
        <v>126615</v>
      </c>
      <c r="CJ60" s="239">
        <v>-13669</v>
      </c>
      <c r="CK60" s="239">
        <v>0</v>
      </c>
      <c r="CL60" s="239">
        <v>-13669</v>
      </c>
      <c r="CM60" s="239">
        <v>0</v>
      </c>
      <c r="CN60" s="239">
        <v>0</v>
      </c>
      <c r="CO60" s="239">
        <v>0</v>
      </c>
      <c r="CP60" s="239">
        <v>-59263</v>
      </c>
      <c r="CQ60" s="239">
        <v>0</v>
      </c>
      <c r="CR60" s="239">
        <v>-59263</v>
      </c>
      <c r="CS60" s="239">
        <v>-741</v>
      </c>
      <c r="CT60" s="239">
        <v>0</v>
      </c>
      <c r="CU60" s="239">
        <v>-741</v>
      </c>
      <c r="CV60" s="239">
        <v>-24294</v>
      </c>
      <c r="CW60" s="239">
        <v>0</v>
      </c>
      <c r="CX60" s="239">
        <v>-24294</v>
      </c>
      <c r="CY60" s="239">
        <v>0</v>
      </c>
      <c r="CZ60" s="239">
        <v>0</v>
      </c>
      <c r="DA60" s="239">
        <v>0</v>
      </c>
      <c r="DB60" s="239">
        <v>-60670</v>
      </c>
      <c r="DC60" s="239">
        <v>-28921</v>
      </c>
      <c r="DD60" s="239">
        <v>-89591</v>
      </c>
      <c r="DE60" s="239">
        <v>0</v>
      </c>
      <c r="DF60" s="239">
        <v>0</v>
      </c>
      <c r="DG60" s="239">
        <v>0</v>
      </c>
      <c r="DH60" s="239">
        <v>-28921</v>
      </c>
      <c r="DI60" s="239">
        <v>0</v>
      </c>
      <c r="DJ60" s="239">
        <v>-2062572</v>
      </c>
      <c r="DK60" s="239">
        <v>-28921</v>
      </c>
      <c r="DL60" s="239">
        <v>-2091493</v>
      </c>
      <c r="DM60" s="239">
        <v>0</v>
      </c>
      <c r="DN60" s="239">
        <v>0</v>
      </c>
      <c r="DO60" s="239">
        <v>0</v>
      </c>
      <c r="DP60" s="239">
        <v>0</v>
      </c>
      <c r="DQ60" s="239">
        <v>0</v>
      </c>
      <c r="DR60" s="239">
        <v>0</v>
      </c>
      <c r="DS60" s="239">
        <v>-96332</v>
      </c>
      <c r="DT60" s="239">
        <v>0</v>
      </c>
      <c r="DU60" s="239">
        <v>-96332</v>
      </c>
      <c r="DV60" s="239">
        <v>-12933</v>
      </c>
      <c r="DW60" s="239">
        <v>0</v>
      </c>
      <c r="DX60" s="239">
        <v>-12933</v>
      </c>
      <c r="DY60" s="239">
        <v>0</v>
      </c>
      <c r="DZ60" s="239">
        <v>0</v>
      </c>
      <c r="EA60" s="239">
        <v>0</v>
      </c>
      <c r="EB60" s="239">
        <v>-3689</v>
      </c>
      <c r="EC60" s="239">
        <v>0</v>
      </c>
      <c r="ED60" s="239">
        <v>-3689</v>
      </c>
      <c r="EE60" s="239">
        <v>0</v>
      </c>
      <c r="EF60" s="239">
        <v>0</v>
      </c>
      <c r="EG60" s="239">
        <v>0</v>
      </c>
      <c r="EH60" s="239">
        <v>0</v>
      </c>
      <c r="EI60" s="239">
        <v>0</v>
      </c>
      <c r="EJ60" s="239">
        <v>0</v>
      </c>
      <c r="EK60" s="239">
        <v>-12002</v>
      </c>
      <c r="EL60" s="239">
        <v>0</v>
      </c>
      <c r="EM60" s="239">
        <v>-12002</v>
      </c>
      <c r="EN60" s="239">
        <v>0</v>
      </c>
      <c r="EO60" s="239">
        <v>0</v>
      </c>
      <c r="EP60" s="239">
        <v>0</v>
      </c>
      <c r="EQ60" s="239">
        <v>-124956</v>
      </c>
      <c r="ER60" s="239">
        <v>0</v>
      </c>
      <c r="ES60" s="239">
        <v>-124956</v>
      </c>
      <c r="ET60" s="239">
        <v>-1500</v>
      </c>
      <c r="EU60" s="239">
        <v>0</v>
      </c>
      <c r="EV60" s="239">
        <v>-1500</v>
      </c>
      <c r="EW60" s="239">
        <v>0</v>
      </c>
      <c r="EX60" s="239">
        <v>0</v>
      </c>
      <c r="EY60" s="239">
        <v>0</v>
      </c>
      <c r="EZ60" s="239">
        <v>-1500</v>
      </c>
      <c r="FA60" s="239">
        <v>0</v>
      </c>
      <c r="FB60" s="239">
        <v>-1500</v>
      </c>
      <c r="FC60" s="239">
        <v>187247269</v>
      </c>
      <c r="FD60" s="239">
        <v>194782</v>
      </c>
      <c r="FE60" s="239">
        <v>187442051</v>
      </c>
      <c r="FF60" s="239">
        <v>397084</v>
      </c>
      <c r="FG60" s="239">
        <v>0</v>
      </c>
      <c r="FH60" s="239">
        <v>397084</v>
      </c>
      <c r="FI60" s="239">
        <v>-11191239</v>
      </c>
      <c r="FJ60" s="239">
        <v>5134</v>
      </c>
      <c r="FK60" s="239">
        <v>-11186105</v>
      </c>
      <c r="FL60" s="239">
        <v>-7125715</v>
      </c>
      <c r="FM60" s="239">
        <v>0</v>
      </c>
      <c r="FN60" s="239">
        <v>-7125715</v>
      </c>
      <c r="FO60" s="239">
        <v>-2062572</v>
      </c>
      <c r="FP60" s="239">
        <v>-28921</v>
      </c>
      <c r="FQ60" s="239">
        <v>-2091493</v>
      </c>
      <c r="FR60" s="239">
        <v>-124956</v>
      </c>
      <c r="FS60" s="239">
        <v>0</v>
      </c>
      <c r="FT60" s="239">
        <v>-124956</v>
      </c>
      <c r="FU60" s="239">
        <v>-1500</v>
      </c>
      <c r="FV60" s="239">
        <v>0</v>
      </c>
      <c r="FW60" s="239">
        <v>-1500</v>
      </c>
      <c r="FX60" s="239">
        <v>-20108898</v>
      </c>
      <c r="FY60" s="239">
        <v>-23787</v>
      </c>
      <c r="FZ60" s="239">
        <v>-20132685</v>
      </c>
      <c r="GA60" s="239">
        <v>167138371</v>
      </c>
      <c r="GB60" s="239">
        <v>170995</v>
      </c>
      <c r="GC60" s="239">
        <v>167309366</v>
      </c>
      <c r="GD60" s="214" t="s">
        <v>747</v>
      </c>
    </row>
    <row r="61" spans="2:186" s="214" customFormat="1" x14ac:dyDescent="0.2">
      <c r="B61" s="609" t="s">
        <v>204</v>
      </c>
      <c r="C61" s="609" t="s">
        <v>203</v>
      </c>
      <c r="D61" s="239">
        <v>0</v>
      </c>
      <c r="E61" s="239">
        <v>0</v>
      </c>
      <c r="F61" s="239">
        <v>0</v>
      </c>
      <c r="G61" s="239">
        <v>11851</v>
      </c>
      <c r="H61" s="239">
        <v>0</v>
      </c>
      <c r="I61" s="239">
        <v>11851</v>
      </c>
      <c r="J61" s="239">
        <v>0</v>
      </c>
      <c r="K61" s="239">
        <v>0</v>
      </c>
      <c r="L61" s="239">
        <v>0</v>
      </c>
      <c r="M61" s="239">
        <v>22547</v>
      </c>
      <c r="N61" s="239">
        <v>0</v>
      </c>
      <c r="O61" s="239">
        <v>22547</v>
      </c>
      <c r="P61" s="239">
        <v>34398</v>
      </c>
      <c r="Q61" s="239">
        <v>0</v>
      </c>
      <c r="R61" s="239">
        <v>34398</v>
      </c>
      <c r="S61" s="239">
        <v>-2988435</v>
      </c>
      <c r="T61" s="239">
        <v>0</v>
      </c>
      <c r="U61" s="239">
        <v>-2988435</v>
      </c>
      <c r="V61" s="239">
        <v>-11942</v>
      </c>
      <c r="W61" s="239">
        <v>0</v>
      </c>
      <c r="X61" s="239">
        <v>-11942</v>
      </c>
      <c r="Y61" s="239">
        <v>-297137</v>
      </c>
      <c r="Z61" s="239">
        <v>0</v>
      </c>
      <c r="AA61" s="239">
        <v>-297137</v>
      </c>
      <c r="AB61" s="239">
        <v>-176646</v>
      </c>
      <c r="AC61" s="239">
        <v>0</v>
      </c>
      <c r="AD61" s="239">
        <v>-176646</v>
      </c>
      <c r="AE61" s="239">
        <v>-625</v>
      </c>
      <c r="AF61" s="239">
        <v>0</v>
      </c>
      <c r="AG61" s="239">
        <v>-625</v>
      </c>
      <c r="AH61" s="239">
        <v>957571</v>
      </c>
      <c r="AI61" s="239">
        <v>5883</v>
      </c>
      <c r="AJ61" s="239">
        <v>963454</v>
      </c>
      <c r="AK61" s="239">
        <v>-21107</v>
      </c>
      <c r="AL61" s="239">
        <v>4838</v>
      </c>
      <c r="AM61" s="239">
        <v>-16269</v>
      </c>
      <c r="AN61" s="239">
        <v>-1761641</v>
      </c>
      <c r="AO61" s="239">
        <v>0</v>
      </c>
      <c r="AP61" s="239">
        <v>-1761641</v>
      </c>
      <c r="AQ61" s="239">
        <v>-97346</v>
      </c>
      <c r="AR61" s="239">
        <v>0</v>
      </c>
      <c r="AS61" s="239">
        <v>-97346</v>
      </c>
      <c r="AT61" s="239">
        <v>-31202</v>
      </c>
      <c r="AU61" s="239">
        <v>0</v>
      </c>
      <c r="AV61" s="239">
        <v>-31202</v>
      </c>
      <c r="AW61" s="239">
        <v>0</v>
      </c>
      <c r="AX61" s="239">
        <v>0</v>
      </c>
      <c r="AY61" s="239">
        <v>0</v>
      </c>
      <c r="AZ61" s="239">
        <v>-3231</v>
      </c>
      <c r="BA61" s="239">
        <v>0</v>
      </c>
      <c r="BB61" s="239">
        <v>-3231</v>
      </c>
      <c r="BC61" s="239">
        <v>88</v>
      </c>
      <c r="BD61" s="239">
        <v>0</v>
      </c>
      <c r="BE61" s="239">
        <v>88</v>
      </c>
      <c r="BF61" s="239">
        <v>-4242440</v>
      </c>
      <c r="BG61" s="239">
        <v>10721</v>
      </c>
      <c r="BH61" s="239">
        <v>-4231719</v>
      </c>
      <c r="BI61" s="239">
        <v>0</v>
      </c>
      <c r="BJ61" s="239">
        <v>0</v>
      </c>
      <c r="BK61" s="239">
        <v>0</v>
      </c>
      <c r="BL61" s="239">
        <v>-1454</v>
      </c>
      <c r="BM61" s="239">
        <v>0</v>
      </c>
      <c r="BN61" s="239">
        <v>-1454</v>
      </c>
      <c r="BO61" s="239">
        <v>-1522720</v>
      </c>
      <c r="BP61" s="239">
        <v>0</v>
      </c>
      <c r="BQ61" s="239">
        <v>-1522720</v>
      </c>
      <c r="BR61" s="239">
        <v>18088</v>
      </c>
      <c r="BS61" s="239">
        <v>0</v>
      </c>
      <c r="BT61" s="239">
        <v>18088</v>
      </c>
      <c r="BU61" s="239">
        <v>-1506086</v>
      </c>
      <c r="BV61" s="239">
        <v>0</v>
      </c>
      <c r="BW61" s="239">
        <v>-1506086</v>
      </c>
      <c r="BX61" s="239">
        <v>-40809</v>
      </c>
      <c r="BY61" s="239">
        <v>0</v>
      </c>
      <c r="BZ61" s="239">
        <v>-40809</v>
      </c>
      <c r="CA61" s="239">
        <v>-1130</v>
      </c>
      <c r="CB61" s="239">
        <v>0</v>
      </c>
      <c r="CC61" s="239">
        <v>-1130</v>
      </c>
      <c r="CD61" s="239">
        <v>-37911</v>
      </c>
      <c r="CE61" s="239">
        <v>0</v>
      </c>
      <c r="CF61" s="239">
        <v>-37911</v>
      </c>
      <c r="CG61" s="239">
        <v>0</v>
      </c>
      <c r="CH61" s="239">
        <v>0</v>
      </c>
      <c r="CI61" s="239">
        <v>0</v>
      </c>
      <c r="CJ61" s="239">
        <v>-1267</v>
      </c>
      <c r="CK61" s="239">
        <v>0</v>
      </c>
      <c r="CL61" s="239">
        <v>-1267</v>
      </c>
      <c r="CM61" s="239">
        <v>0</v>
      </c>
      <c r="CN61" s="239">
        <v>0</v>
      </c>
      <c r="CO61" s="239">
        <v>0</v>
      </c>
      <c r="CP61" s="239">
        <v>0</v>
      </c>
      <c r="CQ61" s="239">
        <v>0</v>
      </c>
      <c r="CR61" s="239">
        <v>0</v>
      </c>
      <c r="CS61" s="239">
        <v>0</v>
      </c>
      <c r="CT61" s="239">
        <v>0</v>
      </c>
      <c r="CU61" s="239">
        <v>0</v>
      </c>
      <c r="CV61" s="239">
        <v>0</v>
      </c>
      <c r="CW61" s="239">
        <v>0</v>
      </c>
      <c r="CX61" s="239">
        <v>0</v>
      </c>
      <c r="CY61" s="239">
        <v>0</v>
      </c>
      <c r="CZ61" s="239">
        <v>0</v>
      </c>
      <c r="DA61" s="239">
        <v>0</v>
      </c>
      <c r="DB61" s="239">
        <v>0</v>
      </c>
      <c r="DC61" s="239">
        <v>0</v>
      </c>
      <c r="DD61" s="239">
        <v>0</v>
      </c>
      <c r="DE61" s="239">
        <v>0</v>
      </c>
      <c r="DF61" s="239">
        <v>0</v>
      </c>
      <c r="DG61" s="239">
        <v>0</v>
      </c>
      <c r="DH61" s="239">
        <v>0</v>
      </c>
      <c r="DI61" s="239">
        <v>0</v>
      </c>
      <c r="DJ61" s="239">
        <v>-81117</v>
      </c>
      <c r="DK61" s="239">
        <v>0</v>
      </c>
      <c r="DL61" s="239">
        <v>-81117</v>
      </c>
      <c r="DM61" s="239">
        <v>0</v>
      </c>
      <c r="DN61" s="239">
        <v>0</v>
      </c>
      <c r="DO61" s="239">
        <v>0</v>
      </c>
      <c r="DP61" s="239">
        <v>0</v>
      </c>
      <c r="DQ61" s="239">
        <v>0</v>
      </c>
      <c r="DR61" s="239">
        <v>0</v>
      </c>
      <c r="DS61" s="239">
        <v>-37641</v>
      </c>
      <c r="DT61" s="239">
        <v>0</v>
      </c>
      <c r="DU61" s="239">
        <v>-37641</v>
      </c>
      <c r="DV61" s="239">
        <v>-192</v>
      </c>
      <c r="DW61" s="239">
        <v>0</v>
      </c>
      <c r="DX61" s="239">
        <v>-192</v>
      </c>
      <c r="DY61" s="239">
        <v>0</v>
      </c>
      <c r="DZ61" s="239">
        <v>0</v>
      </c>
      <c r="EA61" s="239">
        <v>0</v>
      </c>
      <c r="EB61" s="239">
        <v>1475</v>
      </c>
      <c r="EC61" s="239">
        <v>0</v>
      </c>
      <c r="ED61" s="239">
        <v>1475</v>
      </c>
      <c r="EE61" s="239">
        <v>0</v>
      </c>
      <c r="EF61" s="239">
        <v>0</v>
      </c>
      <c r="EG61" s="239">
        <v>0</v>
      </c>
      <c r="EH61" s="239">
        <v>0</v>
      </c>
      <c r="EI61" s="239">
        <v>0</v>
      </c>
      <c r="EJ61" s="239">
        <v>0</v>
      </c>
      <c r="EK61" s="239">
        <v>-5438</v>
      </c>
      <c r="EL61" s="239">
        <v>0</v>
      </c>
      <c r="EM61" s="239">
        <v>-5438</v>
      </c>
      <c r="EN61" s="239">
        <v>851</v>
      </c>
      <c r="EO61" s="239">
        <v>0</v>
      </c>
      <c r="EP61" s="239">
        <v>851</v>
      </c>
      <c r="EQ61" s="239">
        <v>-40945</v>
      </c>
      <c r="ER61" s="239">
        <v>0</v>
      </c>
      <c r="ES61" s="239">
        <v>-40945</v>
      </c>
      <c r="ET61" s="239">
        <v>0</v>
      </c>
      <c r="EU61" s="239">
        <v>0</v>
      </c>
      <c r="EV61" s="239">
        <v>0</v>
      </c>
      <c r="EW61" s="239">
        <v>0</v>
      </c>
      <c r="EX61" s="239">
        <v>0</v>
      </c>
      <c r="EY61" s="239">
        <v>0</v>
      </c>
      <c r="EZ61" s="239">
        <v>0</v>
      </c>
      <c r="FA61" s="239">
        <v>0</v>
      </c>
      <c r="FB61" s="239">
        <v>0</v>
      </c>
      <c r="FC61" s="239">
        <v>43058243</v>
      </c>
      <c r="FD61" s="239">
        <v>397636</v>
      </c>
      <c r="FE61" s="239">
        <v>43455879</v>
      </c>
      <c r="FF61" s="239">
        <v>34398</v>
      </c>
      <c r="FG61" s="239">
        <v>0</v>
      </c>
      <c r="FH61" s="239">
        <v>34398</v>
      </c>
      <c r="FI61" s="239">
        <v>-4242440</v>
      </c>
      <c r="FJ61" s="239">
        <v>10721</v>
      </c>
      <c r="FK61" s="239">
        <v>-4231719</v>
      </c>
      <c r="FL61" s="239">
        <v>-1506086</v>
      </c>
      <c r="FM61" s="239">
        <v>0</v>
      </c>
      <c r="FN61" s="239">
        <v>-1506086</v>
      </c>
      <c r="FO61" s="239">
        <v>-81117</v>
      </c>
      <c r="FP61" s="239">
        <v>0</v>
      </c>
      <c r="FQ61" s="239">
        <v>-81117</v>
      </c>
      <c r="FR61" s="239">
        <v>-40945</v>
      </c>
      <c r="FS61" s="239">
        <v>0</v>
      </c>
      <c r="FT61" s="239">
        <v>-40945</v>
      </c>
      <c r="FU61" s="239">
        <v>0</v>
      </c>
      <c r="FV61" s="239">
        <v>0</v>
      </c>
      <c r="FW61" s="239">
        <v>0</v>
      </c>
      <c r="FX61" s="239">
        <v>-5836190</v>
      </c>
      <c r="FY61" s="239">
        <v>10721</v>
      </c>
      <c r="FZ61" s="239">
        <v>-5825469</v>
      </c>
      <c r="GA61" s="239">
        <v>37222053</v>
      </c>
      <c r="GB61" s="239">
        <v>408357</v>
      </c>
      <c r="GC61" s="239">
        <v>37630410</v>
      </c>
      <c r="GD61" s="214" t="s">
        <v>1190</v>
      </c>
    </row>
    <row r="62" spans="2:186" s="214" customFormat="1" x14ac:dyDescent="0.2">
      <c r="B62" s="609" t="s">
        <v>206</v>
      </c>
      <c r="C62" s="609" t="s">
        <v>205</v>
      </c>
      <c r="D62" s="239">
        <v>0</v>
      </c>
      <c r="E62" s="239">
        <v>0</v>
      </c>
      <c r="F62" s="239">
        <v>0</v>
      </c>
      <c r="G62" s="239">
        <v>120781.82</v>
      </c>
      <c r="H62" s="239">
        <v>0</v>
      </c>
      <c r="I62" s="239">
        <v>120781.82</v>
      </c>
      <c r="J62" s="239">
        <v>0</v>
      </c>
      <c r="K62" s="239">
        <v>0</v>
      </c>
      <c r="L62" s="239">
        <v>0</v>
      </c>
      <c r="M62" s="239">
        <v>6301</v>
      </c>
      <c r="N62" s="239">
        <v>0</v>
      </c>
      <c r="O62" s="239">
        <v>6301</v>
      </c>
      <c r="P62" s="239">
        <v>127083</v>
      </c>
      <c r="Q62" s="239">
        <v>0</v>
      </c>
      <c r="R62" s="239">
        <v>127083</v>
      </c>
      <c r="S62" s="239">
        <v>-3408307</v>
      </c>
      <c r="T62" s="239">
        <v>0</v>
      </c>
      <c r="U62" s="239">
        <v>-3408307</v>
      </c>
      <c r="V62" s="239">
        <v>-15124</v>
      </c>
      <c r="W62" s="239">
        <v>0</v>
      </c>
      <c r="X62" s="239">
        <v>-15124</v>
      </c>
      <c r="Y62" s="239">
        <v>-165096</v>
      </c>
      <c r="Z62" s="239">
        <v>0</v>
      </c>
      <c r="AA62" s="239">
        <v>-165096</v>
      </c>
      <c r="AB62" s="239">
        <v>-116341</v>
      </c>
      <c r="AC62" s="239">
        <v>0</v>
      </c>
      <c r="AD62" s="239">
        <v>-116341</v>
      </c>
      <c r="AE62" s="239">
        <v>7662.38</v>
      </c>
      <c r="AF62" s="239">
        <v>0</v>
      </c>
      <c r="AG62" s="239">
        <v>7662.38</v>
      </c>
      <c r="AH62" s="239">
        <v>1198290</v>
      </c>
      <c r="AI62" s="239">
        <v>0</v>
      </c>
      <c r="AJ62" s="239">
        <v>1198290</v>
      </c>
      <c r="AK62" s="239">
        <v>-1305.3399999999999</v>
      </c>
      <c r="AL62" s="239">
        <v>0</v>
      </c>
      <c r="AM62" s="239">
        <v>-1305.3399999999999</v>
      </c>
      <c r="AN62" s="239">
        <v>-3966591</v>
      </c>
      <c r="AO62" s="239">
        <v>0</v>
      </c>
      <c r="AP62" s="239">
        <v>-3966591</v>
      </c>
      <c r="AQ62" s="239">
        <v>-32085.45</v>
      </c>
      <c r="AR62" s="239">
        <v>0</v>
      </c>
      <c r="AS62" s="239">
        <v>-32085.45</v>
      </c>
      <c r="AT62" s="239">
        <v>-38354</v>
      </c>
      <c r="AU62" s="239">
        <v>0</v>
      </c>
      <c r="AV62" s="239">
        <v>-38354</v>
      </c>
      <c r="AW62" s="239">
        <v>0</v>
      </c>
      <c r="AX62" s="239">
        <v>0</v>
      </c>
      <c r="AY62" s="239">
        <v>0</v>
      </c>
      <c r="AZ62" s="239">
        <v>-41283</v>
      </c>
      <c r="BA62" s="239">
        <v>0</v>
      </c>
      <c r="BB62" s="239">
        <v>-41283</v>
      </c>
      <c r="BC62" s="239">
        <v>641</v>
      </c>
      <c r="BD62" s="239">
        <v>0</v>
      </c>
      <c r="BE62" s="239">
        <v>641</v>
      </c>
      <c r="BF62" s="239">
        <v>-6454091</v>
      </c>
      <c r="BG62" s="239">
        <v>0</v>
      </c>
      <c r="BH62" s="239">
        <v>-6454091</v>
      </c>
      <c r="BI62" s="239">
        <v>-1924</v>
      </c>
      <c r="BJ62" s="239">
        <v>0</v>
      </c>
      <c r="BK62" s="239">
        <v>-1924</v>
      </c>
      <c r="BL62" s="239">
        <v>-19380</v>
      </c>
      <c r="BM62" s="239">
        <v>0</v>
      </c>
      <c r="BN62" s="239">
        <v>-19380</v>
      </c>
      <c r="BO62" s="239">
        <v>-1328984</v>
      </c>
      <c r="BP62" s="239">
        <v>0</v>
      </c>
      <c r="BQ62" s="239">
        <v>-1328984</v>
      </c>
      <c r="BR62" s="239">
        <v>-125954.17</v>
      </c>
      <c r="BS62" s="239">
        <v>0</v>
      </c>
      <c r="BT62" s="239">
        <v>-125954.17</v>
      </c>
      <c r="BU62" s="239">
        <v>-1476242</v>
      </c>
      <c r="BV62" s="239">
        <v>0</v>
      </c>
      <c r="BW62" s="239">
        <v>-1476242</v>
      </c>
      <c r="BX62" s="239">
        <v>0</v>
      </c>
      <c r="BY62" s="239">
        <v>0</v>
      </c>
      <c r="BZ62" s="239">
        <v>0</v>
      </c>
      <c r="CA62" s="239">
        <v>-651</v>
      </c>
      <c r="CB62" s="239">
        <v>0</v>
      </c>
      <c r="CC62" s="239">
        <v>-651</v>
      </c>
      <c r="CD62" s="239">
        <v>-6353</v>
      </c>
      <c r="CE62" s="239">
        <v>0</v>
      </c>
      <c r="CF62" s="239">
        <v>-6353</v>
      </c>
      <c r="CG62" s="239">
        <v>516</v>
      </c>
      <c r="CH62" s="239">
        <v>0</v>
      </c>
      <c r="CI62" s="239">
        <v>516</v>
      </c>
      <c r="CJ62" s="239">
        <v>0</v>
      </c>
      <c r="CK62" s="239">
        <v>0</v>
      </c>
      <c r="CL62" s="239">
        <v>0</v>
      </c>
      <c r="CM62" s="239">
        <v>0</v>
      </c>
      <c r="CN62" s="239">
        <v>0</v>
      </c>
      <c r="CO62" s="239">
        <v>0</v>
      </c>
      <c r="CP62" s="239">
        <v>-40599</v>
      </c>
      <c r="CQ62" s="239">
        <v>0</v>
      </c>
      <c r="CR62" s="239">
        <v>-40599</v>
      </c>
      <c r="CS62" s="239">
        <v>-646</v>
      </c>
      <c r="CT62" s="239">
        <v>0</v>
      </c>
      <c r="CU62" s="239">
        <v>-646</v>
      </c>
      <c r="CV62" s="239">
        <v>-12543</v>
      </c>
      <c r="CW62" s="239">
        <v>0</v>
      </c>
      <c r="CX62" s="239">
        <v>-12543</v>
      </c>
      <c r="CY62" s="239">
        <v>645.91999999999996</v>
      </c>
      <c r="CZ62" s="239">
        <v>0</v>
      </c>
      <c r="DA62" s="239">
        <v>645.91999999999996</v>
      </c>
      <c r="DB62" s="239">
        <v>0</v>
      </c>
      <c r="DC62" s="239">
        <v>0</v>
      </c>
      <c r="DD62" s="239">
        <v>0</v>
      </c>
      <c r="DE62" s="239">
        <v>-20582.060000000001</v>
      </c>
      <c r="DF62" s="239">
        <v>0</v>
      </c>
      <c r="DG62" s="239">
        <v>-20582.060000000001</v>
      </c>
      <c r="DH62" s="239">
        <v>0</v>
      </c>
      <c r="DI62" s="239">
        <v>0</v>
      </c>
      <c r="DJ62" s="239">
        <v>-80212</v>
      </c>
      <c r="DK62" s="239">
        <v>0</v>
      </c>
      <c r="DL62" s="239">
        <v>-80212</v>
      </c>
      <c r="DM62" s="239">
        <v>0</v>
      </c>
      <c r="DN62" s="239">
        <v>0</v>
      </c>
      <c r="DO62" s="239">
        <v>0</v>
      </c>
      <c r="DP62" s="239">
        <v>0</v>
      </c>
      <c r="DQ62" s="239">
        <v>0</v>
      </c>
      <c r="DR62" s="239">
        <v>0</v>
      </c>
      <c r="DS62" s="239">
        <v>-9095</v>
      </c>
      <c r="DT62" s="239">
        <v>0</v>
      </c>
      <c r="DU62" s="239">
        <v>-9095</v>
      </c>
      <c r="DV62" s="239">
        <v>-1126</v>
      </c>
      <c r="DW62" s="239">
        <v>0</v>
      </c>
      <c r="DX62" s="239">
        <v>-1126</v>
      </c>
      <c r="DY62" s="239">
        <v>0</v>
      </c>
      <c r="DZ62" s="239">
        <v>0</v>
      </c>
      <c r="EA62" s="239">
        <v>0</v>
      </c>
      <c r="EB62" s="239">
        <v>-13917.73</v>
      </c>
      <c r="EC62" s="239">
        <v>0</v>
      </c>
      <c r="ED62" s="239">
        <v>-13917.73</v>
      </c>
      <c r="EE62" s="239">
        <v>0</v>
      </c>
      <c r="EF62" s="239">
        <v>0</v>
      </c>
      <c r="EG62" s="239">
        <v>0</v>
      </c>
      <c r="EH62" s="239">
        <v>0</v>
      </c>
      <c r="EI62" s="239">
        <v>0</v>
      </c>
      <c r="EJ62" s="239">
        <v>0</v>
      </c>
      <c r="EK62" s="239">
        <v>0</v>
      </c>
      <c r="EL62" s="239">
        <v>0</v>
      </c>
      <c r="EM62" s="239">
        <v>0</v>
      </c>
      <c r="EN62" s="239">
        <v>0</v>
      </c>
      <c r="EO62" s="239">
        <v>0</v>
      </c>
      <c r="EP62" s="239">
        <v>0</v>
      </c>
      <c r="EQ62" s="239">
        <v>-24139</v>
      </c>
      <c r="ER62" s="239">
        <v>0</v>
      </c>
      <c r="ES62" s="239">
        <v>-24139</v>
      </c>
      <c r="ET62" s="239">
        <v>0</v>
      </c>
      <c r="EU62" s="239">
        <v>0</v>
      </c>
      <c r="EV62" s="239">
        <v>0</v>
      </c>
      <c r="EW62" s="239">
        <v>0</v>
      </c>
      <c r="EX62" s="239">
        <v>0</v>
      </c>
      <c r="EY62" s="239">
        <v>0</v>
      </c>
      <c r="EZ62" s="239">
        <v>0</v>
      </c>
      <c r="FA62" s="239">
        <v>0</v>
      </c>
      <c r="FB62" s="239">
        <v>0</v>
      </c>
      <c r="FC62" s="239">
        <v>52796878</v>
      </c>
      <c r="FD62" s="239">
        <v>0</v>
      </c>
      <c r="FE62" s="239">
        <v>52796878</v>
      </c>
      <c r="FF62" s="239">
        <v>127083</v>
      </c>
      <c r="FG62" s="239">
        <v>0</v>
      </c>
      <c r="FH62" s="239">
        <v>127083</v>
      </c>
      <c r="FI62" s="239">
        <v>-6454091</v>
      </c>
      <c r="FJ62" s="239">
        <v>0</v>
      </c>
      <c r="FK62" s="239">
        <v>-6454091</v>
      </c>
      <c r="FL62" s="239">
        <v>-1476242</v>
      </c>
      <c r="FM62" s="239">
        <v>0</v>
      </c>
      <c r="FN62" s="239">
        <v>-1476242</v>
      </c>
      <c r="FO62" s="239">
        <v>-80212</v>
      </c>
      <c r="FP62" s="239">
        <v>0</v>
      </c>
      <c r="FQ62" s="239">
        <v>-80212</v>
      </c>
      <c r="FR62" s="239">
        <v>-24139</v>
      </c>
      <c r="FS62" s="239">
        <v>0</v>
      </c>
      <c r="FT62" s="239">
        <v>-24139</v>
      </c>
      <c r="FU62" s="239">
        <v>0</v>
      </c>
      <c r="FV62" s="239">
        <v>0</v>
      </c>
      <c r="FW62" s="239">
        <v>0</v>
      </c>
      <c r="FX62" s="239">
        <v>-7907601</v>
      </c>
      <c r="FY62" s="239">
        <v>0</v>
      </c>
      <c r="FZ62" s="239">
        <v>-7907601</v>
      </c>
      <c r="GA62" s="239">
        <v>44889277</v>
      </c>
      <c r="GB62" s="239">
        <v>0</v>
      </c>
      <c r="GC62" s="239">
        <v>44889277</v>
      </c>
      <c r="GD62" s="214" t="s">
        <v>1190</v>
      </c>
    </row>
    <row r="63" spans="2:186" s="214" customFormat="1" x14ac:dyDescent="0.2">
      <c r="B63" s="609" t="s">
        <v>208</v>
      </c>
      <c r="C63" s="609" t="s">
        <v>207</v>
      </c>
      <c r="D63" s="239">
        <v>0</v>
      </c>
      <c r="E63" s="239">
        <v>0</v>
      </c>
      <c r="F63" s="239">
        <v>0</v>
      </c>
      <c r="G63" s="239">
        <v>2669</v>
      </c>
      <c r="H63" s="239">
        <v>0</v>
      </c>
      <c r="I63" s="239">
        <v>2669</v>
      </c>
      <c r="J63" s="239">
        <v>0</v>
      </c>
      <c r="K63" s="239">
        <v>0</v>
      </c>
      <c r="L63" s="239">
        <v>0</v>
      </c>
      <c r="M63" s="239">
        <v>-16537</v>
      </c>
      <c r="N63" s="239">
        <v>0</v>
      </c>
      <c r="O63" s="239">
        <v>-16537</v>
      </c>
      <c r="P63" s="239">
        <v>-13868</v>
      </c>
      <c r="Q63" s="239">
        <v>0</v>
      </c>
      <c r="R63" s="239">
        <v>-13868</v>
      </c>
      <c r="S63" s="239">
        <v>-1649209</v>
      </c>
      <c r="T63" s="239">
        <v>0</v>
      </c>
      <c r="U63" s="239">
        <v>-1649209</v>
      </c>
      <c r="V63" s="239">
        <v>0</v>
      </c>
      <c r="W63" s="239">
        <v>0</v>
      </c>
      <c r="X63" s="239">
        <v>0</v>
      </c>
      <c r="Y63" s="239">
        <v>-391339</v>
      </c>
      <c r="Z63" s="239">
        <v>0</v>
      </c>
      <c r="AA63" s="239">
        <v>-391339</v>
      </c>
      <c r="AB63" s="239">
        <v>-247411</v>
      </c>
      <c r="AC63" s="239">
        <v>0</v>
      </c>
      <c r="AD63" s="239">
        <v>-247411</v>
      </c>
      <c r="AE63" s="239">
        <v>0</v>
      </c>
      <c r="AF63" s="239">
        <v>0</v>
      </c>
      <c r="AG63" s="239">
        <v>0</v>
      </c>
      <c r="AH63" s="239">
        <v>545329</v>
      </c>
      <c r="AI63" s="239">
        <v>0</v>
      </c>
      <c r="AJ63" s="239">
        <v>545329</v>
      </c>
      <c r="AK63" s="239">
        <v>-17364</v>
      </c>
      <c r="AL63" s="239">
        <v>0</v>
      </c>
      <c r="AM63" s="239">
        <v>-17364</v>
      </c>
      <c r="AN63" s="239">
        <v>-2375915</v>
      </c>
      <c r="AO63" s="239">
        <v>0</v>
      </c>
      <c r="AP63" s="239">
        <v>-2375915</v>
      </c>
      <c r="AQ63" s="239">
        <v>56640</v>
      </c>
      <c r="AR63" s="239">
        <v>0</v>
      </c>
      <c r="AS63" s="239">
        <v>56640</v>
      </c>
      <c r="AT63" s="239">
        <v>-36743</v>
      </c>
      <c r="AU63" s="239">
        <v>0</v>
      </c>
      <c r="AV63" s="239">
        <v>-36743</v>
      </c>
      <c r="AW63" s="239">
        <v>0</v>
      </c>
      <c r="AX63" s="239">
        <v>0</v>
      </c>
      <c r="AY63" s="239">
        <v>0</v>
      </c>
      <c r="AZ63" s="239">
        <v>-15882</v>
      </c>
      <c r="BA63" s="239">
        <v>0</v>
      </c>
      <c r="BB63" s="239">
        <v>-15882</v>
      </c>
      <c r="BC63" s="239">
        <v>-248</v>
      </c>
      <c r="BD63" s="239">
        <v>0</v>
      </c>
      <c r="BE63" s="239">
        <v>-248</v>
      </c>
      <c r="BF63" s="239">
        <v>-3884731</v>
      </c>
      <c r="BG63" s="239">
        <v>0</v>
      </c>
      <c r="BH63" s="239">
        <v>-3884731</v>
      </c>
      <c r="BI63" s="239">
        <v>-9068</v>
      </c>
      <c r="BJ63" s="239">
        <v>0</v>
      </c>
      <c r="BK63" s="239">
        <v>-9068</v>
      </c>
      <c r="BL63" s="239">
        <v>0</v>
      </c>
      <c r="BM63" s="239">
        <v>0</v>
      </c>
      <c r="BN63" s="239">
        <v>0</v>
      </c>
      <c r="BO63" s="239">
        <v>-730558</v>
      </c>
      <c r="BP63" s="239">
        <v>0</v>
      </c>
      <c r="BQ63" s="239">
        <v>-730558</v>
      </c>
      <c r="BR63" s="239">
        <v>-202185</v>
      </c>
      <c r="BS63" s="239">
        <v>0</v>
      </c>
      <c r="BT63" s="239">
        <v>-202185</v>
      </c>
      <c r="BU63" s="239">
        <v>-941811</v>
      </c>
      <c r="BV63" s="239">
        <v>0</v>
      </c>
      <c r="BW63" s="239">
        <v>-941811</v>
      </c>
      <c r="BX63" s="239">
        <v>-123428</v>
      </c>
      <c r="BY63" s="239">
        <v>0</v>
      </c>
      <c r="BZ63" s="239">
        <v>-123428</v>
      </c>
      <c r="CA63" s="239">
        <v>-1237</v>
      </c>
      <c r="CB63" s="239">
        <v>0</v>
      </c>
      <c r="CC63" s="239">
        <v>-1237</v>
      </c>
      <c r="CD63" s="239">
        <v>-33639</v>
      </c>
      <c r="CE63" s="239">
        <v>0</v>
      </c>
      <c r="CF63" s="239">
        <v>-33639</v>
      </c>
      <c r="CG63" s="239">
        <v>-4128</v>
      </c>
      <c r="CH63" s="239">
        <v>0</v>
      </c>
      <c r="CI63" s="239">
        <v>-4128</v>
      </c>
      <c r="CJ63" s="239">
        <v>-1407</v>
      </c>
      <c r="CK63" s="239">
        <v>0</v>
      </c>
      <c r="CL63" s="239">
        <v>-1407</v>
      </c>
      <c r="CM63" s="239">
        <v>0</v>
      </c>
      <c r="CN63" s="239">
        <v>0</v>
      </c>
      <c r="CO63" s="239">
        <v>0</v>
      </c>
      <c r="CP63" s="239">
        <v>-3374</v>
      </c>
      <c r="CQ63" s="239">
        <v>0</v>
      </c>
      <c r="CR63" s="239">
        <v>-3374</v>
      </c>
      <c r="CS63" s="239">
        <v>0</v>
      </c>
      <c r="CT63" s="239">
        <v>0</v>
      </c>
      <c r="CU63" s="239">
        <v>0</v>
      </c>
      <c r="CV63" s="239">
        <v>0</v>
      </c>
      <c r="CW63" s="239">
        <v>0</v>
      </c>
      <c r="CX63" s="239">
        <v>0</v>
      </c>
      <c r="CY63" s="239">
        <v>0</v>
      </c>
      <c r="CZ63" s="239">
        <v>0</v>
      </c>
      <c r="DA63" s="239">
        <v>0</v>
      </c>
      <c r="DB63" s="239">
        <v>0</v>
      </c>
      <c r="DC63" s="239">
        <v>0</v>
      </c>
      <c r="DD63" s="239">
        <v>0</v>
      </c>
      <c r="DE63" s="239">
        <v>0</v>
      </c>
      <c r="DF63" s="239">
        <v>0</v>
      </c>
      <c r="DG63" s="239">
        <v>0</v>
      </c>
      <c r="DH63" s="239">
        <v>0</v>
      </c>
      <c r="DI63" s="239">
        <v>0</v>
      </c>
      <c r="DJ63" s="239">
        <v>-167213</v>
      </c>
      <c r="DK63" s="239">
        <v>0</v>
      </c>
      <c r="DL63" s="239">
        <v>-167213</v>
      </c>
      <c r="DM63" s="239">
        <v>0</v>
      </c>
      <c r="DN63" s="239">
        <v>0</v>
      </c>
      <c r="DO63" s="239">
        <v>0</v>
      </c>
      <c r="DP63" s="239">
        <v>0</v>
      </c>
      <c r="DQ63" s="239">
        <v>0</v>
      </c>
      <c r="DR63" s="239">
        <v>0</v>
      </c>
      <c r="DS63" s="239">
        <v>-4260</v>
      </c>
      <c r="DT63" s="239">
        <v>0</v>
      </c>
      <c r="DU63" s="239">
        <v>-4260</v>
      </c>
      <c r="DV63" s="239">
        <v>0</v>
      </c>
      <c r="DW63" s="239">
        <v>0</v>
      </c>
      <c r="DX63" s="239">
        <v>0</v>
      </c>
      <c r="DY63" s="239">
        <v>0</v>
      </c>
      <c r="DZ63" s="239">
        <v>0</v>
      </c>
      <c r="EA63" s="239">
        <v>0</v>
      </c>
      <c r="EB63" s="239">
        <v>9415</v>
      </c>
      <c r="EC63" s="239">
        <v>0</v>
      </c>
      <c r="ED63" s="239">
        <v>9415</v>
      </c>
      <c r="EE63" s="239">
        <v>0</v>
      </c>
      <c r="EF63" s="239">
        <v>0</v>
      </c>
      <c r="EG63" s="239">
        <v>0</v>
      </c>
      <c r="EH63" s="239">
        <v>0</v>
      </c>
      <c r="EI63" s="239">
        <v>0</v>
      </c>
      <c r="EJ63" s="239">
        <v>0</v>
      </c>
      <c r="EK63" s="239">
        <v>-2410</v>
      </c>
      <c r="EL63" s="239">
        <v>0</v>
      </c>
      <c r="EM63" s="239">
        <v>-2410</v>
      </c>
      <c r="EN63" s="239">
        <v>0</v>
      </c>
      <c r="EO63" s="239">
        <v>0</v>
      </c>
      <c r="EP63" s="239">
        <v>0</v>
      </c>
      <c r="EQ63" s="239">
        <v>2745</v>
      </c>
      <c r="ER63" s="239">
        <v>0</v>
      </c>
      <c r="ES63" s="239">
        <v>2745</v>
      </c>
      <c r="ET63" s="239">
        <v>0</v>
      </c>
      <c r="EU63" s="239">
        <v>0</v>
      </c>
      <c r="EV63" s="239">
        <v>0</v>
      </c>
      <c r="EW63" s="239">
        <v>0</v>
      </c>
      <c r="EX63" s="239">
        <v>0</v>
      </c>
      <c r="EY63" s="239">
        <v>0</v>
      </c>
      <c r="EZ63" s="239">
        <v>0</v>
      </c>
      <c r="FA63" s="239">
        <v>0</v>
      </c>
      <c r="FB63" s="239">
        <v>0</v>
      </c>
      <c r="FC63" s="239">
        <v>25444310</v>
      </c>
      <c r="FD63" s="239">
        <v>0</v>
      </c>
      <c r="FE63" s="239">
        <v>25444310</v>
      </c>
      <c r="FF63" s="239">
        <v>-13868</v>
      </c>
      <c r="FG63" s="239">
        <v>0</v>
      </c>
      <c r="FH63" s="239">
        <v>-13868</v>
      </c>
      <c r="FI63" s="239">
        <v>-3884731</v>
      </c>
      <c r="FJ63" s="239">
        <v>0</v>
      </c>
      <c r="FK63" s="239">
        <v>-3884731</v>
      </c>
      <c r="FL63" s="239">
        <v>-941811</v>
      </c>
      <c r="FM63" s="239">
        <v>0</v>
      </c>
      <c r="FN63" s="239">
        <v>-941811</v>
      </c>
      <c r="FO63" s="239">
        <v>-167213</v>
      </c>
      <c r="FP63" s="239">
        <v>0</v>
      </c>
      <c r="FQ63" s="239">
        <v>-167213</v>
      </c>
      <c r="FR63" s="239">
        <v>2745</v>
      </c>
      <c r="FS63" s="239">
        <v>0</v>
      </c>
      <c r="FT63" s="239">
        <v>2745</v>
      </c>
      <c r="FU63" s="239">
        <v>0</v>
      </c>
      <c r="FV63" s="239">
        <v>0</v>
      </c>
      <c r="FW63" s="239">
        <v>0</v>
      </c>
      <c r="FX63" s="239">
        <v>-5004878</v>
      </c>
      <c r="FY63" s="239">
        <v>0</v>
      </c>
      <c r="FZ63" s="239">
        <v>-5004878</v>
      </c>
      <c r="GA63" s="239">
        <v>20439432</v>
      </c>
      <c r="GB63" s="239">
        <v>0</v>
      </c>
      <c r="GC63" s="239">
        <v>20439432</v>
      </c>
      <c r="GD63" s="214" t="s">
        <v>1190</v>
      </c>
    </row>
    <row r="64" spans="2:186" s="214" customFormat="1" x14ac:dyDescent="0.2">
      <c r="B64" s="609" t="s">
        <v>210</v>
      </c>
      <c r="C64" s="609" t="s">
        <v>209</v>
      </c>
      <c r="D64" s="239">
        <v>0</v>
      </c>
      <c r="E64" s="239">
        <v>0</v>
      </c>
      <c r="F64" s="239">
        <v>0</v>
      </c>
      <c r="G64" s="239">
        <v>4891</v>
      </c>
      <c r="H64" s="239">
        <v>0</v>
      </c>
      <c r="I64" s="239">
        <v>4891</v>
      </c>
      <c r="J64" s="239">
        <v>0</v>
      </c>
      <c r="K64" s="239">
        <v>0</v>
      </c>
      <c r="L64" s="239">
        <v>0</v>
      </c>
      <c r="M64" s="239">
        <v>29946</v>
      </c>
      <c r="N64" s="239">
        <v>0</v>
      </c>
      <c r="O64" s="239">
        <v>29946</v>
      </c>
      <c r="P64" s="239">
        <v>34837</v>
      </c>
      <c r="Q64" s="239">
        <v>0</v>
      </c>
      <c r="R64" s="239">
        <v>34837</v>
      </c>
      <c r="S64" s="239">
        <v>-2629232</v>
      </c>
      <c r="T64" s="239">
        <v>0</v>
      </c>
      <c r="U64" s="239">
        <v>-2629232</v>
      </c>
      <c r="V64" s="239">
        <v>0</v>
      </c>
      <c r="W64" s="239">
        <v>0</v>
      </c>
      <c r="X64" s="239">
        <v>0</v>
      </c>
      <c r="Y64" s="239">
        <v>-47830</v>
      </c>
      <c r="Z64" s="239">
        <v>0</v>
      </c>
      <c r="AA64" s="239">
        <v>-47830</v>
      </c>
      <c r="AB64" s="239">
        <v>-47830</v>
      </c>
      <c r="AC64" s="239">
        <v>0</v>
      </c>
      <c r="AD64" s="239">
        <v>-47830</v>
      </c>
      <c r="AE64" s="239">
        <v>0</v>
      </c>
      <c r="AF64" s="239">
        <v>0</v>
      </c>
      <c r="AG64" s="239">
        <v>0</v>
      </c>
      <c r="AH64" s="239">
        <v>756692</v>
      </c>
      <c r="AI64" s="239">
        <v>0</v>
      </c>
      <c r="AJ64" s="239">
        <v>756692</v>
      </c>
      <c r="AK64" s="239">
        <v>-12095</v>
      </c>
      <c r="AL64" s="239">
        <v>0</v>
      </c>
      <c r="AM64" s="239">
        <v>-12095</v>
      </c>
      <c r="AN64" s="239">
        <v>-1994679</v>
      </c>
      <c r="AO64" s="239">
        <v>0</v>
      </c>
      <c r="AP64" s="239">
        <v>-1994679</v>
      </c>
      <c r="AQ64" s="239">
        <v>-2798</v>
      </c>
      <c r="AR64" s="239">
        <v>0</v>
      </c>
      <c r="AS64" s="239">
        <v>-2798</v>
      </c>
      <c r="AT64" s="239">
        <v>-31623</v>
      </c>
      <c r="AU64" s="239">
        <v>0</v>
      </c>
      <c r="AV64" s="239">
        <v>-31623</v>
      </c>
      <c r="AW64" s="239">
        <v>204</v>
      </c>
      <c r="AX64" s="239">
        <v>0</v>
      </c>
      <c r="AY64" s="239">
        <v>204</v>
      </c>
      <c r="AZ64" s="239">
        <v>-5560</v>
      </c>
      <c r="BA64" s="239">
        <v>0</v>
      </c>
      <c r="BB64" s="239">
        <v>-5560</v>
      </c>
      <c r="BC64" s="239">
        <v>0</v>
      </c>
      <c r="BD64" s="239">
        <v>0</v>
      </c>
      <c r="BE64" s="239">
        <v>0</v>
      </c>
      <c r="BF64" s="239">
        <v>-3966921</v>
      </c>
      <c r="BG64" s="239">
        <v>0</v>
      </c>
      <c r="BH64" s="239">
        <v>-3966921</v>
      </c>
      <c r="BI64" s="239">
        <v>-12294</v>
      </c>
      <c r="BJ64" s="239">
        <v>0</v>
      </c>
      <c r="BK64" s="239">
        <v>-12294</v>
      </c>
      <c r="BL64" s="239">
        <v>0</v>
      </c>
      <c r="BM64" s="239">
        <v>0</v>
      </c>
      <c r="BN64" s="239">
        <v>0</v>
      </c>
      <c r="BO64" s="239">
        <v>-704779</v>
      </c>
      <c r="BP64" s="239">
        <v>0</v>
      </c>
      <c r="BQ64" s="239">
        <v>-704779</v>
      </c>
      <c r="BR64" s="239">
        <v>-71548</v>
      </c>
      <c r="BS64" s="239">
        <v>0</v>
      </c>
      <c r="BT64" s="239">
        <v>-71548</v>
      </c>
      <c r="BU64" s="239">
        <v>-788621</v>
      </c>
      <c r="BV64" s="239">
        <v>0</v>
      </c>
      <c r="BW64" s="239">
        <v>-788621</v>
      </c>
      <c r="BX64" s="239">
        <v>-12030</v>
      </c>
      <c r="BY64" s="239">
        <v>0</v>
      </c>
      <c r="BZ64" s="239">
        <v>-12030</v>
      </c>
      <c r="CA64" s="239">
        <v>-25</v>
      </c>
      <c r="CB64" s="239">
        <v>0</v>
      </c>
      <c r="CC64" s="239">
        <v>-25</v>
      </c>
      <c r="CD64" s="239">
        <v>0</v>
      </c>
      <c r="CE64" s="239">
        <v>0</v>
      </c>
      <c r="CF64" s="239">
        <v>0</v>
      </c>
      <c r="CG64" s="239">
        <v>0</v>
      </c>
      <c r="CH64" s="239">
        <v>0</v>
      </c>
      <c r="CI64" s="239">
        <v>0</v>
      </c>
      <c r="CJ64" s="239">
        <v>0</v>
      </c>
      <c r="CK64" s="239">
        <v>0</v>
      </c>
      <c r="CL64" s="239">
        <v>0</v>
      </c>
      <c r="CM64" s="239">
        <v>0</v>
      </c>
      <c r="CN64" s="239">
        <v>0</v>
      </c>
      <c r="CO64" s="239">
        <v>0</v>
      </c>
      <c r="CP64" s="239">
        <v>0</v>
      </c>
      <c r="CQ64" s="239">
        <v>0</v>
      </c>
      <c r="CR64" s="239">
        <v>0</v>
      </c>
      <c r="CS64" s="239">
        <v>0</v>
      </c>
      <c r="CT64" s="239">
        <v>0</v>
      </c>
      <c r="CU64" s="239">
        <v>0</v>
      </c>
      <c r="CV64" s="239">
        <v>0</v>
      </c>
      <c r="CW64" s="239">
        <v>0</v>
      </c>
      <c r="CX64" s="239">
        <v>0</v>
      </c>
      <c r="CY64" s="239">
        <v>0</v>
      </c>
      <c r="CZ64" s="239">
        <v>0</v>
      </c>
      <c r="DA64" s="239">
        <v>0</v>
      </c>
      <c r="DB64" s="239">
        <v>0</v>
      </c>
      <c r="DC64" s="239">
        <v>0</v>
      </c>
      <c r="DD64" s="239">
        <v>0</v>
      </c>
      <c r="DE64" s="239">
        <v>0</v>
      </c>
      <c r="DF64" s="239">
        <v>0</v>
      </c>
      <c r="DG64" s="239">
        <v>0</v>
      </c>
      <c r="DH64" s="239">
        <v>0</v>
      </c>
      <c r="DI64" s="239">
        <v>0</v>
      </c>
      <c r="DJ64" s="239">
        <v>-12055</v>
      </c>
      <c r="DK64" s="239">
        <v>0</v>
      </c>
      <c r="DL64" s="239">
        <v>-12055</v>
      </c>
      <c r="DM64" s="239">
        <v>0</v>
      </c>
      <c r="DN64" s="239">
        <v>0</v>
      </c>
      <c r="DO64" s="239">
        <v>0</v>
      </c>
      <c r="DP64" s="239">
        <v>0</v>
      </c>
      <c r="DQ64" s="239">
        <v>0</v>
      </c>
      <c r="DR64" s="239">
        <v>0</v>
      </c>
      <c r="DS64" s="239">
        <v>-1041</v>
      </c>
      <c r="DT64" s="239">
        <v>0</v>
      </c>
      <c r="DU64" s="239">
        <v>-1041</v>
      </c>
      <c r="DV64" s="239">
        <v>-253</v>
      </c>
      <c r="DW64" s="239">
        <v>0</v>
      </c>
      <c r="DX64" s="239">
        <v>-253</v>
      </c>
      <c r="DY64" s="239">
        <v>0</v>
      </c>
      <c r="DZ64" s="239">
        <v>0</v>
      </c>
      <c r="EA64" s="239">
        <v>0</v>
      </c>
      <c r="EB64" s="239">
        <v>-3100</v>
      </c>
      <c r="EC64" s="239">
        <v>0</v>
      </c>
      <c r="ED64" s="239">
        <v>-3100</v>
      </c>
      <c r="EE64" s="239">
        <v>-109</v>
      </c>
      <c r="EF64" s="239">
        <v>0</v>
      </c>
      <c r="EG64" s="239">
        <v>-109</v>
      </c>
      <c r="EH64" s="239">
        <v>-128</v>
      </c>
      <c r="EI64" s="239">
        <v>0</v>
      </c>
      <c r="EJ64" s="239">
        <v>-128</v>
      </c>
      <c r="EK64" s="239">
        <v>-10065</v>
      </c>
      <c r="EL64" s="239">
        <v>0</v>
      </c>
      <c r="EM64" s="239">
        <v>-10065</v>
      </c>
      <c r="EN64" s="239">
        <v>202</v>
      </c>
      <c r="EO64" s="239">
        <v>0</v>
      </c>
      <c r="EP64" s="239">
        <v>202</v>
      </c>
      <c r="EQ64" s="239">
        <v>-14494</v>
      </c>
      <c r="ER64" s="239">
        <v>0</v>
      </c>
      <c r="ES64" s="239">
        <v>-14494</v>
      </c>
      <c r="ET64" s="239">
        <v>0</v>
      </c>
      <c r="EU64" s="239">
        <v>0</v>
      </c>
      <c r="EV64" s="239">
        <v>0</v>
      </c>
      <c r="EW64" s="239">
        <v>0</v>
      </c>
      <c r="EX64" s="239">
        <v>0</v>
      </c>
      <c r="EY64" s="239">
        <v>0</v>
      </c>
      <c r="EZ64" s="239">
        <v>0</v>
      </c>
      <c r="FA64" s="239">
        <v>0</v>
      </c>
      <c r="FB64" s="239">
        <v>0</v>
      </c>
      <c r="FC64" s="239">
        <v>33823793</v>
      </c>
      <c r="FD64" s="239">
        <v>0</v>
      </c>
      <c r="FE64" s="239">
        <v>33823793</v>
      </c>
      <c r="FF64" s="239">
        <v>34837</v>
      </c>
      <c r="FG64" s="239">
        <v>0</v>
      </c>
      <c r="FH64" s="239">
        <v>34837</v>
      </c>
      <c r="FI64" s="239">
        <v>-3966921</v>
      </c>
      <c r="FJ64" s="239">
        <v>0</v>
      </c>
      <c r="FK64" s="239">
        <v>-3966921</v>
      </c>
      <c r="FL64" s="239">
        <v>-788621</v>
      </c>
      <c r="FM64" s="239">
        <v>0</v>
      </c>
      <c r="FN64" s="239">
        <v>-788621</v>
      </c>
      <c r="FO64" s="239">
        <v>-12055</v>
      </c>
      <c r="FP64" s="239">
        <v>0</v>
      </c>
      <c r="FQ64" s="239">
        <v>-12055</v>
      </c>
      <c r="FR64" s="239">
        <v>-14494</v>
      </c>
      <c r="FS64" s="239">
        <v>0</v>
      </c>
      <c r="FT64" s="239">
        <v>-14494</v>
      </c>
      <c r="FU64" s="239">
        <v>0</v>
      </c>
      <c r="FV64" s="239">
        <v>0</v>
      </c>
      <c r="FW64" s="239">
        <v>0</v>
      </c>
      <c r="FX64" s="239">
        <v>-4747254</v>
      </c>
      <c r="FY64" s="239">
        <v>0</v>
      </c>
      <c r="FZ64" s="239">
        <v>-4747254</v>
      </c>
      <c r="GA64" s="239">
        <v>29076539</v>
      </c>
      <c r="GB64" s="239">
        <v>0</v>
      </c>
      <c r="GC64" s="239">
        <v>29076539</v>
      </c>
      <c r="GD64" s="214" t="s">
        <v>1190</v>
      </c>
    </row>
    <row r="65" spans="1:186" s="214" customFormat="1" x14ac:dyDescent="0.2">
      <c r="B65" s="609" t="s">
        <v>212</v>
      </c>
      <c r="C65" s="609" t="s">
        <v>211</v>
      </c>
      <c r="D65" s="239">
        <v>0</v>
      </c>
      <c r="E65" s="239">
        <v>0</v>
      </c>
      <c r="F65" s="239">
        <v>0</v>
      </c>
      <c r="G65" s="239">
        <v>7676</v>
      </c>
      <c r="H65" s="239">
        <v>0</v>
      </c>
      <c r="I65" s="239">
        <v>7676</v>
      </c>
      <c r="J65" s="239">
        <v>0</v>
      </c>
      <c r="K65" s="239">
        <v>0</v>
      </c>
      <c r="L65" s="239">
        <v>0</v>
      </c>
      <c r="M65" s="239">
        <v>-12642</v>
      </c>
      <c r="N65" s="239">
        <v>0</v>
      </c>
      <c r="O65" s="239">
        <v>-12642</v>
      </c>
      <c r="P65" s="239">
        <v>-4966</v>
      </c>
      <c r="Q65" s="239">
        <v>0</v>
      </c>
      <c r="R65" s="239">
        <v>-4966</v>
      </c>
      <c r="S65" s="239">
        <v>-1250885</v>
      </c>
      <c r="T65" s="239">
        <v>0</v>
      </c>
      <c r="U65" s="239">
        <v>-1250885</v>
      </c>
      <c r="V65" s="239">
        <v>-184</v>
      </c>
      <c r="W65" s="239">
        <v>0</v>
      </c>
      <c r="X65" s="239">
        <v>-184</v>
      </c>
      <c r="Y65" s="239">
        <v>-47352</v>
      </c>
      <c r="Z65" s="239">
        <v>0</v>
      </c>
      <c r="AA65" s="239">
        <v>-47352</v>
      </c>
      <c r="AB65" s="239">
        <v>-28543</v>
      </c>
      <c r="AC65" s="239">
        <v>0</v>
      </c>
      <c r="AD65" s="239">
        <v>-28543</v>
      </c>
      <c r="AE65" s="239">
        <v>507</v>
      </c>
      <c r="AF65" s="239">
        <v>0</v>
      </c>
      <c r="AG65" s="239">
        <v>507</v>
      </c>
      <c r="AH65" s="239">
        <v>499650</v>
      </c>
      <c r="AI65" s="239">
        <v>0</v>
      </c>
      <c r="AJ65" s="239">
        <v>499650</v>
      </c>
      <c r="AK65" s="239">
        <v>-7319</v>
      </c>
      <c r="AL65" s="239">
        <v>0</v>
      </c>
      <c r="AM65" s="239">
        <v>-7319</v>
      </c>
      <c r="AN65" s="239">
        <v>-756561</v>
      </c>
      <c r="AO65" s="239">
        <v>0</v>
      </c>
      <c r="AP65" s="239">
        <v>-756561</v>
      </c>
      <c r="AQ65" s="239">
        <v>-1974</v>
      </c>
      <c r="AR65" s="239">
        <v>0</v>
      </c>
      <c r="AS65" s="239">
        <v>-1974</v>
      </c>
      <c r="AT65" s="239">
        <v>-31669</v>
      </c>
      <c r="AU65" s="239">
        <v>0</v>
      </c>
      <c r="AV65" s="239">
        <v>-31669</v>
      </c>
      <c r="AW65" s="239">
        <v>0</v>
      </c>
      <c r="AX65" s="239">
        <v>0</v>
      </c>
      <c r="AY65" s="239">
        <v>0</v>
      </c>
      <c r="AZ65" s="239">
        <v>-1743</v>
      </c>
      <c r="BA65" s="239">
        <v>0</v>
      </c>
      <c r="BB65" s="239">
        <v>-1743</v>
      </c>
      <c r="BC65" s="239">
        <v>0</v>
      </c>
      <c r="BD65" s="239">
        <v>0</v>
      </c>
      <c r="BE65" s="239">
        <v>0</v>
      </c>
      <c r="BF65" s="239">
        <v>-1597853</v>
      </c>
      <c r="BG65" s="239">
        <v>0</v>
      </c>
      <c r="BH65" s="239">
        <v>-1597853</v>
      </c>
      <c r="BI65" s="239">
        <v>-8325</v>
      </c>
      <c r="BJ65" s="239">
        <v>0</v>
      </c>
      <c r="BK65" s="239">
        <v>-8325</v>
      </c>
      <c r="BL65" s="239">
        <v>-1839</v>
      </c>
      <c r="BM65" s="239">
        <v>0</v>
      </c>
      <c r="BN65" s="239">
        <v>-1839</v>
      </c>
      <c r="BO65" s="239">
        <v>-663141</v>
      </c>
      <c r="BP65" s="239">
        <v>0</v>
      </c>
      <c r="BQ65" s="239">
        <v>-663141</v>
      </c>
      <c r="BR65" s="239">
        <v>-72938</v>
      </c>
      <c r="BS65" s="239">
        <v>0</v>
      </c>
      <c r="BT65" s="239">
        <v>-72938</v>
      </c>
      <c r="BU65" s="239">
        <v>-746243</v>
      </c>
      <c r="BV65" s="239">
        <v>0</v>
      </c>
      <c r="BW65" s="239">
        <v>-746243</v>
      </c>
      <c r="BX65" s="239">
        <v>-5478</v>
      </c>
      <c r="BY65" s="239">
        <v>0</v>
      </c>
      <c r="BZ65" s="239">
        <v>-5478</v>
      </c>
      <c r="CA65" s="239">
        <v>-714</v>
      </c>
      <c r="CB65" s="239">
        <v>0</v>
      </c>
      <c r="CC65" s="239">
        <v>-714</v>
      </c>
      <c r="CD65" s="239">
        <v>-4296</v>
      </c>
      <c r="CE65" s="239">
        <v>0</v>
      </c>
      <c r="CF65" s="239">
        <v>-4296</v>
      </c>
      <c r="CG65" s="239">
        <v>0</v>
      </c>
      <c r="CH65" s="239">
        <v>0</v>
      </c>
      <c r="CI65" s="239">
        <v>0</v>
      </c>
      <c r="CJ65" s="239">
        <v>-1590</v>
      </c>
      <c r="CK65" s="239">
        <v>0</v>
      </c>
      <c r="CL65" s="239">
        <v>-1590</v>
      </c>
      <c r="CM65" s="239">
        <v>0</v>
      </c>
      <c r="CN65" s="239">
        <v>0</v>
      </c>
      <c r="CO65" s="239">
        <v>0</v>
      </c>
      <c r="CP65" s="239">
        <v>0</v>
      </c>
      <c r="CQ65" s="239">
        <v>0</v>
      </c>
      <c r="CR65" s="239">
        <v>0</v>
      </c>
      <c r="CS65" s="239">
        <v>0</v>
      </c>
      <c r="CT65" s="239">
        <v>0</v>
      </c>
      <c r="CU65" s="239">
        <v>0</v>
      </c>
      <c r="CV65" s="239">
        <v>0</v>
      </c>
      <c r="CW65" s="239">
        <v>0</v>
      </c>
      <c r="CX65" s="239">
        <v>0</v>
      </c>
      <c r="CY65" s="239">
        <v>0</v>
      </c>
      <c r="CZ65" s="239">
        <v>0</v>
      </c>
      <c r="DA65" s="239">
        <v>0</v>
      </c>
      <c r="DB65" s="239">
        <v>0</v>
      </c>
      <c r="DC65" s="239">
        <v>0</v>
      </c>
      <c r="DD65" s="239">
        <v>0</v>
      </c>
      <c r="DE65" s="239">
        <v>0</v>
      </c>
      <c r="DF65" s="239">
        <v>0</v>
      </c>
      <c r="DG65" s="239">
        <v>0</v>
      </c>
      <c r="DH65" s="239">
        <v>0</v>
      </c>
      <c r="DI65" s="239">
        <v>0</v>
      </c>
      <c r="DJ65" s="239">
        <v>-12078</v>
      </c>
      <c r="DK65" s="239">
        <v>0</v>
      </c>
      <c r="DL65" s="239">
        <v>-12078</v>
      </c>
      <c r="DM65" s="239">
        <v>0</v>
      </c>
      <c r="DN65" s="239">
        <v>0</v>
      </c>
      <c r="DO65" s="239">
        <v>0</v>
      </c>
      <c r="DP65" s="239">
        <v>0</v>
      </c>
      <c r="DQ65" s="239">
        <v>0</v>
      </c>
      <c r="DR65" s="239">
        <v>0</v>
      </c>
      <c r="DS65" s="239">
        <v>-8016</v>
      </c>
      <c r="DT65" s="239">
        <v>0</v>
      </c>
      <c r="DU65" s="239">
        <v>-8016</v>
      </c>
      <c r="DV65" s="239">
        <v>0</v>
      </c>
      <c r="DW65" s="239">
        <v>0</v>
      </c>
      <c r="DX65" s="239">
        <v>0</v>
      </c>
      <c r="DY65" s="239">
        <v>0</v>
      </c>
      <c r="DZ65" s="239">
        <v>0</v>
      </c>
      <c r="EA65" s="239">
        <v>0</v>
      </c>
      <c r="EB65" s="239">
        <v>-158</v>
      </c>
      <c r="EC65" s="239">
        <v>0</v>
      </c>
      <c r="ED65" s="239">
        <v>-158</v>
      </c>
      <c r="EE65" s="239">
        <v>0</v>
      </c>
      <c r="EF65" s="239">
        <v>0</v>
      </c>
      <c r="EG65" s="239">
        <v>0</v>
      </c>
      <c r="EH65" s="239">
        <v>0</v>
      </c>
      <c r="EI65" s="239">
        <v>0</v>
      </c>
      <c r="EJ65" s="239">
        <v>0</v>
      </c>
      <c r="EK65" s="239">
        <v>-4178</v>
      </c>
      <c r="EL65" s="239">
        <v>0</v>
      </c>
      <c r="EM65" s="239">
        <v>-4178</v>
      </c>
      <c r="EN65" s="239">
        <v>0</v>
      </c>
      <c r="EO65" s="239">
        <v>0</v>
      </c>
      <c r="EP65" s="239">
        <v>0</v>
      </c>
      <c r="EQ65" s="239">
        <v>-12352</v>
      </c>
      <c r="ER65" s="239">
        <v>0</v>
      </c>
      <c r="ES65" s="239">
        <v>-12352</v>
      </c>
      <c r="ET65" s="239">
        <v>0</v>
      </c>
      <c r="EU65" s="239">
        <v>0</v>
      </c>
      <c r="EV65" s="239">
        <v>0</v>
      </c>
      <c r="EW65" s="239">
        <v>0</v>
      </c>
      <c r="EX65" s="239">
        <v>0</v>
      </c>
      <c r="EY65" s="239">
        <v>0</v>
      </c>
      <c r="EZ65" s="239">
        <v>0</v>
      </c>
      <c r="FA65" s="239">
        <v>0</v>
      </c>
      <c r="FB65" s="239">
        <v>0</v>
      </c>
      <c r="FC65" s="239">
        <v>21619583</v>
      </c>
      <c r="FD65" s="239">
        <v>0</v>
      </c>
      <c r="FE65" s="239">
        <v>21619583</v>
      </c>
      <c r="FF65" s="239">
        <v>-4966</v>
      </c>
      <c r="FG65" s="239">
        <v>0</v>
      </c>
      <c r="FH65" s="239">
        <v>-4966</v>
      </c>
      <c r="FI65" s="239">
        <v>-1597853</v>
      </c>
      <c r="FJ65" s="239">
        <v>0</v>
      </c>
      <c r="FK65" s="239">
        <v>-1597853</v>
      </c>
      <c r="FL65" s="239">
        <v>-746243</v>
      </c>
      <c r="FM65" s="239">
        <v>0</v>
      </c>
      <c r="FN65" s="239">
        <v>-746243</v>
      </c>
      <c r="FO65" s="239">
        <v>-12078</v>
      </c>
      <c r="FP65" s="239">
        <v>0</v>
      </c>
      <c r="FQ65" s="239">
        <v>-12078</v>
      </c>
      <c r="FR65" s="239">
        <v>-12352</v>
      </c>
      <c r="FS65" s="239">
        <v>0</v>
      </c>
      <c r="FT65" s="239">
        <v>-12352</v>
      </c>
      <c r="FU65" s="239">
        <v>0</v>
      </c>
      <c r="FV65" s="239">
        <v>0</v>
      </c>
      <c r="FW65" s="239">
        <v>0</v>
      </c>
      <c r="FX65" s="239">
        <v>-2373492</v>
      </c>
      <c r="FY65" s="239">
        <v>0</v>
      </c>
      <c r="FZ65" s="239">
        <v>-2373492</v>
      </c>
      <c r="GA65" s="239">
        <v>19246091</v>
      </c>
      <c r="GB65" s="239">
        <v>0</v>
      </c>
      <c r="GC65" s="239">
        <v>19246091</v>
      </c>
      <c r="GD65" s="214" t="s">
        <v>1190</v>
      </c>
    </row>
    <row r="66" spans="1:186" s="214" customFormat="1" x14ac:dyDescent="0.2">
      <c r="B66" s="609" t="s">
        <v>214</v>
      </c>
      <c r="C66" s="609" t="s">
        <v>213</v>
      </c>
      <c r="D66" s="239">
        <v>0</v>
      </c>
      <c r="E66" s="239">
        <v>0</v>
      </c>
      <c r="F66" s="239">
        <v>0</v>
      </c>
      <c r="G66" s="239">
        <v>361451</v>
      </c>
      <c r="H66" s="239">
        <v>0</v>
      </c>
      <c r="I66" s="239">
        <v>361451</v>
      </c>
      <c r="J66" s="239">
        <v>0</v>
      </c>
      <c r="K66" s="239">
        <v>0</v>
      </c>
      <c r="L66" s="239">
        <v>0</v>
      </c>
      <c r="M66" s="239">
        <v>-393932</v>
      </c>
      <c r="N66" s="239">
        <v>0</v>
      </c>
      <c r="O66" s="239">
        <v>-393932</v>
      </c>
      <c r="P66" s="239">
        <v>-32481</v>
      </c>
      <c r="Q66" s="239">
        <v>0</v>
      </c>
      <c r="R66" s="239">
        <v>-32481</v>
      </c>
      <c r="S66" s="239">
        <v>-438825</v>
      </c>
      <c r="T66" s="239">
        <v>0</v>
      </c>
      <c r="U66" s="239">
        <v>-438825</v>
      </c>
      <c r="V66" s="239">
        <v>0</v>
      </c>
      <c r="W66" s="239">
        <v>0</v>
      </c>
      <c r="X66" s="239">
        <v>0</v>
      </c>
      <c r="Y66" s="239">
        <v>-33354</v>
      </c>
      <c r="Z66" s="239">
        <v>0</v>
      </c>
      <c r="AA66" s="239">
        <v>-33354</v>
      </c>
      <c r="AB66" s="239">
        <v>-27786</v>
      </c>
      <c r="AC66" s="239">
        <v>0</v>
      </c>
      <c r="AD66" s="239">
        <v>-27786</v>
      </c>
      <c r="AE66" s="239">
        <v>0</v>
      </c>
      <c r="AF66" s="239">
        <v>0</v>
      </c>
      <c r="AG66" s="239">
        <v>0</v>
      </c>
      <c r="AH66" s="239">
        <v>24788002</v>
      </c>
      <c r="AI66" s="239">
        <v>0</v>
      </c>
      <c r="AJ66" s="239">
        <v>24788002</v>
      </c>
      <c r="AK66" s="239">
        <v>-257376</v>
      </c>
      <c r="AL66" s="239">
        <v>0</v>
      </c>
      <c r="AM66" s="239">
        <v>-257376</v>
      </c>
      <c r="AN66" s="239">
        <v>-12645514</v>
      </c>
      <c r="AO66" s="239">
        <v>0</v>
      </c>
      <c r="AP66" s="239">
        <v>-12645514</v>
      </c>
      <c r="AQ66" s="239">
        <v>44472</v>
      </c>
      <c r="AR66" s="239">
        <v>0</v>
      </c>
      <c r="AS66" s="239">
        <v>44472</v>
      </c>
      <c r="AT66" s="239">
        <v>0</v>
      </c>
      <c r="AU66" s="239">
        <v>0</v>
      </c>
      <c r="AV66" s="239">
        <v>0</v>
      </c>
      <c r="AW66" s="239">
        <v>0</v>
      </c>
      <c r="AX66" s="239">
        <v>0</v>
      </c>
      <c r="AY66" s="239">
        <v>0</v>
      </c>
      <c r="AZ66" s="239">
        <v>0</v>
      </c>
      <c r="BA66" s="239">
        <v>0</v>
      </c>
      <c r="BB66" s="239">
        <v>0</v>
      </c>
      <c r="BC66" s="239">
        <v>0</v>
      </c>
      <c r="BD66" s="239">
        <v>0</v>
      </c>
      <c r="BE66" s="239">
        <v>0</v>
      </c>
      <c r="BF66" s="239">
        <v>11457405</v>
      </c>
      <c r="BG66" s="239">
        <v>0</v>
      </c>
      <c r="BH66" s="239">
        <v>11457405</v>
      </c>
      <c r="BI66" s="239">
        <v>-979943</v>
      </c>
      <c r="BJ66" s="239">
        <v>0</v>
      </c>
      <c r="BK66" s="239">
        <v>-979943</v>
      </c>
      <c r="BL66" s="239">
        <v>-729002</v>
      </c>
      <c r="BM66" s="239">
        <v>0</v>
      </c>
      <c r="BN66" s="239">
        <v>-729002</v>
      </c>
      <c r="BO66" s="239">
        <v>-39251019</v>
      </c>
      <c r="BP66" s="239">
        <v>0</v>
      </c>
      <c r="BQ66" s="239">
        <v>-39251019</v>
      </c>
      <c r="BR66" s="239">
        <v>-3508783</v>
      </c>
      <c r="BS66" s="239">
        <v>0</v>
      </c>
      <c r="BT66" s="239">
        <v>-3508783</v>
      </c>
      <c r="BU66" s="239">
        <v>-44468747</v>
      </c>
      <c r="BV66" s="239">
        <v>0</v>
      </c>
      <c r="BW66" s="239">
        <v>-44468747</v>
      </c>
      <c r="BX66" s="239">
        <v>-148881</v>
      </c>
      <c r="BY66" s="239">
        <v>0</v>
      </c>
      <c r="BZ66" s="239">
        <v>-148881</v>
      </c>
      <c r="CA66" s="239">
        <v>-400</v>
      </c>
      <c r="CB66" s="239">
        <v>0</v>
      </c>
      <c r="CC66" s="239">
        <v>-400</v>
      </c>
      <c r="CD66" s="239">
        <v>-77873</v>
      </c>
      <c r="CE66" s="239">
        <v>0</v>
      </c>
      <c r="CF66" s="239">
        <v>-77873</v>
      </c>
      <c r="CG66" s="239">
        <v>272875</v>
      </c>
      <c r="CH66" s="239">
        <v>0</v>
      </c>
      <c r="CI66" s="239">
        <v>272875</v>
      </c>
      <c r="CJ66" s="239">
        <v>0</v>
      </c>
      <c r="CK66" s="239">
        <v>0</v>
      </c>
      <c r="CL66" s="239">
        <v>0</v>
      </c>
      <c r="CM66" s="239">
        <v>0</v>
      </c>
      <c r="CN66" s="239">
        <v>0</v>
      </c>
      <c r="CO66" s="239">
        <v>0</v>
      </c>
      <c r="CP66" s="239">
        <v>0</v>
      </c>
      <c r="CQ66" s="239">
        <v>0</v>
      </c>
      <c r="CR66" s="239">
        <v>0</v>
      </c>
      <c r="CS66" s="239">
        <v>0</v>
      </c>
      <c r="CT66" s="239">
        <v>0</v>
      </c>
      <c r="CU66" s="239">
        <v>0</v>
      </c>
      <c r="CV66" s="239">
        <v>0</v>
      </c>
      <c r="CW66" s="239">
        <v>0</v>
      </c>
      <c r="CX66" s="239">
        <v>0</v>
      </c>
      <c r="CY66" s="239">
        <v>0</v>
      </c>
      <c r="CZ66" s="239">
        <v>0</v>
      </c>
      <c r="DA66" s="239">
        <v>0</v>
      </c>
      <c r="DB66" s="239">
        <v>0</v>
      </c>
      <c r="DC66" s="239">
        <v>0</v>
      </c>
      <c r="DD66" s="239">
        <v>0</v>
      </c>
      <c r="DE66" s="239">
        <v>0</v>
      </c>
      <c r="DF66" s="239">
        <v>0</v>
      </c>
      <c r="DG66" s="239">
        <v>0</v>
      </c>
      <c r="DH66" s="239">
        <v>0</v>
      </c>
      <c r="DI66" s="239">
        <v>0</v>
      </c>
      <c r="DJ66" s="239">
        <v>45721</v>
      </c>
      <c r="DK66" s="239">
        <v>0</v>
      </c>
      <c r="DL66" s="239">
        <v>45721</v>
      </c>
      <c r="DM66" s="239">
        <v>-206986</v>
      </c>
      <c r="DN66" s="239">
        <v>0</v>
      </c>
      <c r="DO66" s="239">
        <v>-206986</v>
      </c>
      <c r="DP66" s="239">
        <v>-70003</v>
      </c>
      <c r="DQ66" s="239">
        <v>0</v>
      </c>
      <c r="DR66" s="239">
        <v>-70003</v>
      </c>
      <c r="DS66" s="239">
        <v>-104725</v>
      </c>
      <c r="DT66" s="239">
        <v>0</v>
      </c>
      <c r="DU66" s="239">
        <v>-104725</v>
      </c>
      <c r="DV66" s="239">
        <v>10536</v>
      </c>
      <c r="DW66" s="239">
        <v>0</v>
      </c>
      <c r="DX66" s="239">
        <v>10536</v>
      </c>
      <c r="DY66" s="239">
        <v>0</v>
      </c>
      <c r="DZ66" s="239">
        <v>0</v>
      </c>
      <c r="EA66" s="239">
        <v>0</v>
      </c>
      <c r="EB66" s="239">
        <v>-8604</v>
      </c>
      <c r="EC66" s="239">
        <v>0</v>
      </c>
      <c r="ED66" s="239">
        <v>-8604</v>
      </c>
      <c r="EE66" s="239">
        <v>0</v>
      </c>
      <c r="EF66" s="239">
        <v>0</v>
      </c>
      <c r="EG66" s="239">
        <v>0</v>
      </c>
      <c r="EH66" s="239">
        <v>0</v>
      </c>
      <c r="EI66" s="239">
        <v>0</v>
      </c>
      <c r="EJ66" s="239">
        <v>0</v>
      </c>
      <c r="EK66" s="239">
        <v>-7614</v>
      </c>
      <c r="EL66" s="239">
        <v>0</v>
      </c>
      <c r="EM66" s="239">
        <v>-7614</v>
      </c>
      <c r="EN66" s="239">
        <v>0</v>
      </c>
      <c r="EO66" s="239">
        <v>0</v>
      </c>
      <c r="EP66" s="239">
        <v>0</v>
      </c>
      <c r="EQ66" s="239">
        <v>-387396</v>
      </c>
      <c r="ER66" s="239">
        <v>0</v>
      </c>
      <c r="ES66" s="239">
        <v>-387396</v>
      </c>
      <c r="ET66" s="239">
        <v>0</v>
      </c>
      <c r="EU66" s="239">
        <v>0</v>
      </c>
      <c r="EV66" s="239">
        <v>0</v>
      </c>
      <c r="EW66" s="239">
        <v>0</v>
      </c>
      <c r="EX66" s="239">
        <v>0</v>
      </c>
      <c r="EY66" s="239">
        <v>0</v>
      </c>
      <c r="EZ66" s="239">
        <v>0</v>
      </c>
      <c r="FA66" s="239">
        <v>0</v>
      </c>
      <c r="FB66" s="239">
        <v>0</v>
      </c>
      <c r="FC66" s="239">
        <v>936223335</v>
      </c>
      <c r="FD66" s="239">
        <v>0</v>
      </c>
      <c r="FE66" s="239">
        <v>936223335</v>
      </c>
      <c r="FF66" s="239">
        <v>-32481</v>
      </c>
      <c r="FG66" s="239">
        <v>0</v>
      </c>
      <c r="FH66" s="239">
        <v>-32481</v>
      </c>
      <c r="FI66" s="239">
        <v>11457405</v>
      </c>
      <c r="FJ66" s="239">
        <v>0</v>
      </c>
      <c r="FK66" s="239">
        <v>11457405</v>
      </c>
      <c r="FL66" s="239">
        <v>-44468747</v>
      </c>
      <c r="FM66" s="239">
        <v>0</v>
      </c>
      <c r="FN66" s="239">
        <v>-44468747</v>
      </c>
      <c r="FO66" s="239">
        <v>45721</v>
      </c>
      <c r="FP66" s="239">
        <v>0</v>
      </c>
      <c r="FQ66" s="239">
        <v>45721</v>
      </c>
      <c r="FR66" s="239">
        <v>-387396</v>
      </c>
      <c r="FS66" s="239">
        <v>0</v>
      </c>
      <c r="FT66" s="239">
        <v>-387396</v>
      </c>
      <c r="FU66" s="239">
        <v>0</v>
      </c>
      <c r="FV66" s="239">
        <v>0</v>
      </c>
      <c r="FW66" s="239">
        <v>0</v>
      </c>
      <c r="FX66" s="239">
        <v>-33385498</v>
      </c>
      <c r="FY66" s="239">
        <v>0</v>
      </c>
      <c r="FZ66" s="239">
        <v>-33385498</v>
      </c>
      <c r="GA66" s="239">
        <v>902837837</v>
      </c>
      <c r="GB66" s="239">
        <v>0</v>
      </c>
      <c r="GC66" s="239">
        <v>902837837</v>
      </c>
      <c r="GD66" s="214" t="s">
        <v>1193</v>
      </c>
    </row>
    <row r="67" spans="1:186" s="214" customFormat="1" x14ac:dyDescent="0.2">
      <c r="B67" s="609" t="s">
        <v>216</v>
      </c>
      <c r="C67" s="609" t="s">
        <v>215</v>
      </c>
      <c r="D67" s="239">
        <v>0</v>
      </c>
      <c r="E67" s="239">
        <v>0</v>
      </c>
      <c r="F67" s="239">
        <v>0</v>
      </c>
      <c r="G67" s="239">
        <v>304520</v>
      </c>
      <c r="H67" s="239">
        <v>0</v>
      </c>
      <c r="I67" s="239">
        <v>304520</v>
      </c>
      <c r="J67" s="239">
        <v>0</v>
      </c>
      <c r="K67" s="239">
        <v>0</v>
      </c>
      <c r="L67" s="239">
        <v>0</v>
      </c>
      <c r="M67" s="239">
        <v>474090</v>
      </c>
      <c r="N67" s="239">
        <v>0</v>
      </c>
      <c r="O67" s="239">
        <v>474090</v>
      </c>
      <c r="P67" s="239">
        <v>778610</v>
      </c>
      <c r="Q67" s="239">
        <v>0</v>
      </c>
      <c r="R67" s="239">
        <v>778610</v>
      </c>
      <c r="S67" s="239">
        <v>-3322390</v>
      </c>
      <c r="T67" s="239">
        <v>0</v>
      </c>
      <c r="U67" s="239">
        <v>-3322390</v>
      </c>
      <c r="V67" s="239">
        <v>0</v>
      </c>
      <c r="W67" s="239">
        <v>0</v>
      </c>
      <c r="X67" s="239">
        <v>0</v>
      </c>
      <c r="Y67" s="239">
        <v>-104354</v>
      </c>
      <c r="Z67" s="239">
        <v>0</v>
      </c>
      <c r="AA67" s="239">
        <v>-104354</v>
      </c>
      <c r="AB67" s="239">
        <v>-85821</v>
      </c>
      <c r="AC67" s="239">
        <v>0</v>
      </c>
      <c r="AD67" s="239">
        <v>-85821</v>
      </c>
      <c r="AE67" s="239">
        <v>0</v>
      </c>
      <c r="AF67" s="239">
        <v>0</v>
      </c>
      <c r="AG67" s="239">
        <v>0</v>
      </c>
      <c r="AH67" s="239">
        <v>1751374</v>
      </c>
      <c r="AI67" s="239">
        <v>0</v>
      </c>
      <c r="AJ67" s="239">
        <v>1751374</v>
      </c>
      <c r="AK67" s="239">
        <v>-53966</v>
      </c>
      <c r="AL67" s="239">
        <v>0</v>
      </c>
      <c r="AM67" s="239">
        <v>-53966</v>
      </c>
      <c r="AN67" s="239">
        <v>-5160595</v>
      </c>
      <c r="AO67" s="239">
        <v>0</v>
      </c>
      <c r="AP67" s="239">
        <v>-5160595</v>
      </c>
      <c r="AQ67" s="239">
        <v>-103820</v>
      </c>
      <c r="AR67" s="239">
        <v>0</v>
      </c>
      <c r="AS67" s="239">
        <v>-103820</v>
      </c>
      <c r="AT67" s="239">
        <v>-58069</v>
      </c>
      <c r="AU67" s="239">
        <v>0</v>
      </c>
      <c r="AV67" s="239">
        <v>-58069</v>
      </c>
      <c r="AW67" s="239">
        <v>0</v>
      </c>
      <c r="AX67" s="239">
        <v>0</v>
      </c>
      <c r="AY67" s="239">
        <v>0</v>
      </c>
      <c r="AZ67" s="239">
        <v>-12625</v>
      </c>
      <c r="BA67" s="239">
        <v>0</v>
      </c>
      <c r="BB67" s="239">
        <v>-12625</v>
      </c>
      <c r="BC67" s="239">
        <v>43</v>
      </c>
      <c r="BD67" s="239">
        <v>0</v>
      </c>
      <c r="BE67" s="239">
        <v>43</v>
      </c>
      <c r="BF67" s="239">
        <v>-7064402</v>
      </c>
      <c r="BG67" s="239">
        <v>0</v>
      </c>
      <c r="BH67" s="239">
        <v>-7064402</v>
      </c>
      <c r="BI67" s="239">
        <v>-15716</v>
      </c>
      <c r="BJ67" s="239">
        <v>0</v>
      </c>
      <c r="BK67" s="239">
        <v>-15716</v>
      </c>
      <c r="BL67" s="239">
        <v>-5979</v>
      </c>
      <c r="BM67" s="239">
        <v>0</v>
      </c>
      <c r="BN67" s="239">
        <v>-5979</v>
      </c>
      <c r="BO67" s="239">
        <v>-2136583</v>
      </c>
      <c r="BP67" s="239">
        <v>0</v>
      </c>
      <c r="BQ67" s="239">
        <v>-2136583</v>
      </c>
      <c r="BR67" s="239">
        <v>294722</v>
      </c>
      <c r="BS67" s="239">
        <v>0</v>
      </c>
      <c r="BT67" s="239">
        <v>294722</v>
      </c>
      <c r="BU67" s="239">
        <v>-1863556</v>
      </c>
      <c r="BV67" s="239">
        <v>0</v>
      </c>
      <c r="BW67" s="239">
        <v>-1863556</v>
      </c>
      <c r="BX67" s="239">
        <v>-171589</v>
      </c>
      <c r="BY67" s="239">
        <v>0</v>
      </c>
      <c r="BZ67" s="239">
        <v>-171589</v>
      </c>
      <c r="CA67" s="239">
        <v>-1741</v>
      </c>
      <c r="CB67" s="239">
        <v>0</v>
      </c>
      <c r="CC67" s="239">
        <v>-1741</v>
      </c>
      <c r="CD67" s="239">
        <v>0</v>
      </c>
      <c r="CE67" s="239">
        <v>0</v>
      </c>
      <c r="CF67" s="239">
        <v>0</v>
      </c>
      <c r="CG67" s="239">
        <v>0</v>
      </c>
      <c r="CH67" s="239">
        <v>0</v>
      </c>
      <c r="CI67" s="239">
        <v>0</v>
      </c>
      <c r="CJ67" s="239">
        <v>-14010</v>
      </c>
      <c r="CK67" s="239">
        <v>0</v>
      </c>
      <c r="CL67" s="239">
        <v>-14010</v>
      </c>
      <c r="CM67" s="239">
        <v>0</v>
      </c>
      <c r="CN67" s="239">
        <v>0</v>
      </c>
      <c r="CO67" s="239">
        <v>0</v>
      </c>
      <c r="CP67" s="239">
        <v>0</v>
      </c>
      <c r="CQ67" s="239">
        <v>0</v>
      </c>
      <c r="CR67" s="239">
        <v>0</v>
      </c>
      <c r="CS67" s="239">
        <v>19</v>
      </c>
      <c r="CT67" s="239">
        <v>0</v>
      </c>
      <c r="CU67" s="239">
        <v>19</v>
      </c>
      <c r="CV67" s="239">
        <v>0</v>
      </c>
      <c r="CW67" s="239">
        <v>0</v>
      </c>
      <c r="CX67" s="239">
        <v>0</v>
      </c>
      <c r="CY67" s="239">
        <v>0</v>
      </c>
      <c r="CZ67" s="239">
        <v>0</v>
      </c>
      <c r="DA67" s="239">
        <v>0</v>
      </c>
      <c r="DB67" s="239">
        <v>0</v>
      </c>
      <c r="DC67" s="239">
        <v>0</v>
      </c>
      <c r="DD67" s="239">
        <v>0</v>
      </c>
      <c r="DE67" s="239">
        <v>0</v>
      </c>
      <c r="DF67" s="239">
        <v>0</v>
      </c>
      <c r="DG67" s="239">
        <v>0</v>
      </c>
      <c r="DH67" s="239">
        <v>0</v>
      </c>
      <c r="DI67" s="239">
        <v>0</v>
      </c>
      <c r="DJ67" s="239">
        <v>-187321</v>
      </c>
      <c r="DK67" s="239">
        <v>0</v>
      </c>
      <c r="DL67" s="239">
        <v>-187321</v>
      </c>
      <c r="DM67" s="239">
        <v>-16878</v>
      </c>
      <c r="DN67" s="239">
        <v>0</v>
      </c>
      <c r="DO67" s="239">
        <v>-16878</v>
      </c>
      <c r="DP67" s="239">
        <v>-21364</v>
      </c>
      <c r="DQ67" s="239">
        <v>0</v>
      </c>
      <c r="DR67" s="239">
        <v>-21364</v>
      </c>
      <c r="DS67" s="239">
        <v>-3590</v>
      </c>
      <c r="DT67" s="239">
        <v>0</v>
      </c>
      <c r="DU67" s="239">
        <v>-3590</v>
      </c>
      <c r="DV67" s="239">
        <v>0</v>
      </c>
      <c r="DW67" s="239">
        <v>0</v>
      </c>
      <c r="DX67" s="239">
        <v>0</v>
      </c>
      <c r="DY67" s="239">
        <v>0</v>
      </c>
      <c r="DZ67" s="239">
        <v>0</v>
      </c>
      <c r="EA67" s="239">
        <v>0</v>
      </c>
      <c r="EB67" s="239">
        <v>-4792</v>
      </c>
      <c r="EC67" s="239">
        <v>0</v>
      </c>
      <c r="ED67" s="239">
        <v>-4792</v>
      </c>
      <c r="EE67" s="239">
        <v>0</v>
      </c>
      <c r="EF67" s="239">
        <v>0</v>
      </c>
      <c r="EG67" s="239">
        <v>0</v>
      </c>
      <c r="EH67" s="239">
        <v>0</v>
      </c>
      <c r="EI67" s="239">
        <v>0</v>
      </c>
      <c r="EJ67" s="239">
        <v>0</v>
      </c>
      <c r="EK67" s="239">
        <v>-7161</v>
      </c>
      <c r="EL67" s="239">
        <v>0</v>
      </c>
      <c r="EM67" s="239">
        <v>-7161</v>
      </c>
      <c r="EN67" s="239">
        <v>295</v>
      </c>
      <c r="EO67" s="239">
        <v>0</v>
      </c>
      <c r="EP67" s="239">
        <v>295</v>
      </c>
      <c r="EQ67" s="239">
        <v>-53490</v>
      </c>
      <c r="ER67" s="239">
        <v>0</v>
      </c>
      <c r="ES67" s="239">
        <v>-53490</v>
      </c>
      <c r="ET67" s="239">
        <v>-15018</v>
      </c>
      <c r="EU67" s="239">
        <v>0</v>
      </c>
      <c r="EV67" s="239">
        <v>-15018</v>
      </c>
      <c r="EW67" s="239">
        <v>0</v>
      </c>
      <c r="EX67" s="239">
        <v>0</v>
      </c>
      <c r="EY67" s="239">
        <v>0</v>
      </c>
      <c r="EZ67" s="239">
        <v>-15018</v>
      </c>
      <c r="FA67" s="239">
        <v>0</v>
      </c>
      <c r="FB67" s="239">
        <v>-15018</v>
      </c>
      <c r="FC67" s="239">
        <v>72768254</v>
      </c>
      <c r="FD67" s="239">
        <v>0</v>
      </c>
      <c r="FE67" s="239">
        <v>72768254</v>
      </c>
      <c r="FF67" s="239">
        <v>778610</v>
      </c>
      <c r="FG67" s="239">
        <v>0</v>
      </c>
      <c r="FH67" s="239">
        <v>778610</v>
      </c>
      <c r="FI67" s="239">
        <v>-7064402</v>
      </c>
      <c r="FJ67" s="239">
        <v>0</v>
      </c>
      <c r="FK67" s="239">
        <v>-7064402</v>
      </c>
      <c r="FL67" s="239">
        <v>-1863556</v>
      </c>
      <c r="FM67" s="239">
        <v>0</v>
      </c>
      <c r="FN67" s="239">
        <v>-1863556</v>
      </c>
      <c r="FO67" s="239">
        <v>-187321</v>
      </c>
      <c r="FP67" s="239">
        <v>0</v>
      </c>
      <c r="FQ67" s="239">
        <v>-187321</v>
      </c>
      <c r="FR67" s="239">
        <v>-53490</v>
      </c>
      <c r="FS67" s="239">
        <v>0</v>
      </c>
      <c r="FT67" s="239">
        <v>-53490</v>
      </c>
      <c r="FU67" s="239">
        <v>-15018</v>
      </c>
      <c r="FV67" s="239">
        <v>0</v>
      </c>
      <c r="FW67" s="239">
        <v>-15018</v>
      </c>
      <c r="FX67" s="239">
        <v>-8405177</v>
      </c>
      <c r="FY67" s="239">
        <v>0</v>
      </c>
      <c r="FZ67" s="239">
        <v>-8405177</v>
      </c>
      <c r="GA67" s="239">
        <v>64363077</v>
      </c>
      <c r="GB67" s="239">
        <v>0</v>
      </c>
      <c r="GC67" s="239">
        <v>64363077</v>
      </c>
      <c r="GD67" s="214" t="s">
        <v>1190</v>
      </c>
    </row>
    <row r="68" spans="1:186" s="214" customFormat="1" x14ac:dyDescent="0.2">
      <c r="B68" s="609" t="s">
        <v>218</v>
      </c>
      <c r="C68" s="609" t="s">
        <v>217</v>
      </c>
      <c r="D68" s="239">
        <v>0</v>
      </c>
      <c r="E68" s="239">
        <v>0</v>
      </c>
      <c r="F68" s="239">
        <v>0</v>
      </c>
      <c r="G68" s="239">
        <v>28888</v>
      </c>
      <c r="H68" s="239">
        <v>0</v>
      </c>
      <c r="I68" s="239">
        <v>28888</v>
      </c>
      <c r="J68" s="239">
        <v>0</v>
      </c>
      <c r="K68" s="239">
        <v>0</v>
      </c>
      <c r="L68" s="239">
        <v>0</v>
      </c>
      <c r="M68" s="239">
        <v>11275</v>
      </c>
      <c r="N68" s="239">
        <v>0</v>
      </c>
      <c r="O68" s="239">
        <v>11275</v>
      </c>
      <c r="P68" s="239">
        <v>40163</v>
      </c>
      <c r="Q68" s="239">
        <v>0</v>
      </c>
      <c r="R68" s="239">
        <v>40163</v>
      </c>
      <c r="S68" s="239">
        <v>-1491070</v>
      </c>
      <c r="T68" s="239">
        <v>0</v>
      </c>
      <c r="U68" s="239">
        <v>-1491070</v>
      </c>
      <c r="V68" s="239">
        <v>0</v>
      </c>
      <c r="W68" s="239">
        <v>0</v>
      </c>
      <c r="X68" s="239">
        <v>0</v>
      </c>
      <c r="Y68" s="239">
        <v>-84182</v>
      </c>
      <c r="Z68" s="239">
        <v>0</v>
      </c>
      <c r="AA68" s="239">
        <v>-84182</v>
      </c>
      <c r="AB68" s="239">
        <v>-62421</v>
      </c>
      <c r="AC68" s="239">
        <v>0</v>
      </c>
      <c r="AD68" s="239">
        <v>-62421</v>
      </c>
      <c r="AE68" s="239">
        <v>0</v>
      </c>
      <c r="AF68" s="239">
        <v>0</v>
      </c>
      <c r="AG68" s="239">
        <v>0</v>
      </c>
      <c r="AH68" s="239">
        <v>1078818</v>
      </c>
      <c r="AI68" s="239">
        <v>0</v>
      </c>
      <c r="AJ68" s="239">
        <v>1078818</v>
      </c>
      <c r="AK68" s="239">
        <v>20926</v>
      </c>
      <c r="AL68" s="239">
        <v>0</v>
      </c>
      <c r="AM68" s="239">
        <v>20926</v>
      </c>
      <c r="AN68" s="239">
        <v>-1266456</v>
      </c>
      <c r="AO68" s="239">
        <v>0</v>
      </c>
      <c r="AP68" s="239">
        <v>-1266456</v>
      </c>
      <c r="AQ68" s="239">
        <v>9145</v>
      </c>
      <c r="AR68" s="239">
        <v>0</v>
      </c>
      <c r="AS68" s="239">
        <v>9145</v>
      </c>
      <c r="AT68" s="239">
        <v>-65423</v>
      </c>
      <c r="AU68" s="239">
        <v>0</v>
      </c>
      <c r="AV68" s="239">
        <v>-65423</v>
      </c>
      <c r="AW68" s="239">
        <v>-62</v>
      </c>
      <c r="AX68" s="239">
        <v>0</v>
      </c>
      <c r="AY68" s="239">
        <v>-62</v>
      </c>
      <c r="AZ68" s="239">
        <v>-21282</v>
      </c>
      <c r="BA68" s="239">
        <v>0</v>
      </c>
      <c r="BB68" s="239">
        <v>-21282</v>
      </c>
      <c r="BC68" s="239">
        <v>0</v>
      </c>
      <c r="BD68" s="239">
        <v>0</v>
      </c>
      <c r="BE68" s="239">
        <v>0</v>
      </c>
      <c r="BF68" s="239">
        <v>-1819586</v>
      </c>
      <c r="BG68" s="239">
        <v>0</v>
      </c>
      <c r="BH68" s="239">
        <v>-1819586</v>
      </c>
      <c r="BI68" s="239">
        <v>0</v>
      </c>
      <c r="BJ68" s="239">
        <v>0</v>
      </c>
      <c r="BK68" s="239">
        <v>0</v>
      </c>
      <c r="BL68" s="239">
        <v>0</v>
      </c>
      <c r="BM68" s="239">
        <v>0</v>
      </c>
      <c r="BN68" s="239">
        <v>0</v>
      </c>
      <c r="BO68" s="239">
        <v>-361706</v>
      </c>
      <c r="BP68" s="239">
        <v>0</v>
      </c>
      <c r="BQ68" s="239">
        <v>-361706</v>
      </c>
      <c r="BR68" s="239">
        <v>-20498</v>
      </c>
      <c r="BS68" s="239">
        <v>0</v>
      </c>
      <c r="BT68" s="239">
        <v>-20498</v>
      </c>
      <c r="BU68" s="239">
        <v>-382204</v>
      </c>
      <c r="BV68" s="239">
        <v>0</v>
      </c>
      <c r="BW68" s="239">
        <v>-382204</v>
      </c>
      <c r="BX68" s="239">
        <v>0</v>
      </c>
      <c r="BY68" s="239">
        <v>0</v>
      </c>
      <c r="BZ68" s="239">
        <v>0</v>
      </c>
      <c r="CA68" s="239">
        <v>0</v>
      </c>
      <c r="CB68" s="239">
        <v>0</v>
      </c>
      <c r="CC68" s="239">
        <v>0</v>
      </c>
      <c r="CD68" s="239">
        <v>0</v>
      </c>
      <c r="CE68" s="239">
        <v>0</v>
      </c>
      <c r="CF68" s="239">
        <v>0</v>
      </c>
      <c r="CG68" s="239">
        <v>0</v>
      </c>
      <c r="CH68" s="239">
        <v>0</v>
      </c>
      <c r="CI68" s="239">
        <v>0</v>
      </c>
      <c r="CJ68" s="239">
        <v>0</v>
      </c>
      <c r="CK68" s="239">
        <v>0</v>
      </c>
      <c r="CL68" s="239">
        <v>0</v>
      </c>
      <c r="CM68" s="239">
        <v>0</v>
      </c>
      <c r="CN68" s="239">
        <v>0</v>
      </c>
      <c r="CO68" s="239">
        <v>0</v>
      </c>
      <c r="CP68" s="239">
        <v>0</v>
      </c>
      <c r="CQ68" s="239">
        <v>0</v>
      </c>
      <c r="CR68" s="239">
        <v>0</v>
      </c>
      <c r="CS68" s="239">
        <v>0</v>
      </c>
      <c r="CT68" s="239">
        <v>0</v>
      </c>
      <c r="CU68" s="239">
        <v>0</v>
      </c>
      <c r="CV68" s="239">
        <v>0</v>
      </c>
      <c r="CW68" s="239">
        <v>0</v>
      </c>
      <c r="CX68" s="239">
        <v>0</v>
      </c>
      <c r="CY68" s="239">
        <v>0</v>
      </c>
      <c r="CZ68" s="239">
        <v>0</v>
      </c>
      <c r="DA68" s="239">
        <v>0</v>
      </c>
      <c r="DB68" s="239">
        <v>0</v>
      </c>
      <c r="DC68" s="239">
        <v>0</v>
      </c>
      <c r="DD68" s="239">
        <v>0</v>
      </c>
      <c r="DE68" s="239">
        <v>0</v>
      </c>
      <c r="DF68" s="239">
        <v>0</v>
      </c>
      <c r="DG68" s="239">
        <v>0</v>
      </c>
      <c r="DH68" s="239">
        <v>0</v>
      </c>
      <c r="DI68" s="239">
        <v>0</v>
      </c>
      <c r="DJ68" s="239">
        <v>0</v>
      </c>
      <c r="DK68" s="239">
        <v>0</v>
      </c>
      <c r="DL68" s="239">
        <v>0</v>
      </c>
      <c r="DM68" s="239">
        <v>0</v>
      </c>
      <c r="DN68" s="239">
        <v>0</v>
      </c>
      <c r="DO68" s="239">
        <v>0</v>
      </c>
      <c r="DP68" s="239">
        <v>0</v>
      </c>
      <c r="DQ68" s="239">
        <v>0</v>
      </c>
      <c r="DR68" s="239">
        <v>0</v>
      </c>
      <c r="DS68" s="239">
        <v>-3598</v>
      </c>
      <c r="DT68" s="239">
        <v>0</v>
      </c>
      <c r="DU68" s="239">
        <v>-3598</v>
      </c>
      <c r="DV68" s="239">
        <v>0</v>
      </c>
      <c r="DW68" s="239">
        <v>0</v>
      </c>
      <c r="DX68" s="239">
        <v>0</v>
      </c>
      <c r="DY68" s="239">
        <v>0</v>
      </c>
      <c r="DZ68" s="239">
        <v>0</v>
      </c>
      <c r="EA68" s="239">
        <v>0</v>
      </c>
      <c r="EB68" s="239">
        <v>4994</v>
      </c>
      <c r="EC68" s="239">
        <v>0</v>
      </c>
      <c r="ED68" s="239">
        <v>4994</v>
      </c>
      <c r="EE68" s="239">
        <v>0</v>
      </c>
      <c r="EF68" s="239">
        <v>0</v>
      </c>
      <c r="EG68" s="239">
        <v>0</v>
      </c>
      <c r="EH68" s="239">
        <v>0</v>
      </c>
      <c r="EI68" s="239">
        <v>0</v>
      </c>
      <c r="EJ68" s="239">
        <v>0</v>
      </c>
      <c r="EK68" s="239">
        <v>-5559</v>
      </c>
      <c r="EL68" s="239">
        <v>0</v>
      </c>
      <c r="EM68" s="239">
        <v>-5559</v>
      </c>
      <c r="EN68" s="239">
        <v>0</v>
      </c>
      <c r="EO68" s="239">
        <v>0</v>
      </c>
      <c r="EP68" s="239">
        <v>0</v>
      </c>
      <c r="EQ68" s="239">
        <v>-4163</v>
      </c>
      <c r="ER68" s="239">
        <v>0</v>
      </c>
      <c r="ES68" s="239">
        <v>-4163</v>
      </c>
      <c r="ET68" s="239">
        <v>0</v>
      </c>
      <c r="EU68" s="239">
        <v>0</v>
      </c>
      <c r="EV68" s="239">
        <v>0</v>
      </c>
      <c r="EW68" s="239">
        <v>0</v>
      </c>
      <c r="EX68" s="239">
        <v>0</v>
      </c>
      <c r="EY68" s="239">
        <v>0</v>
      </c>
      <c r="EZ68" s="239">
        <v>0</v>
      </c>
      <c r="FA68" s="239">
        <v>0</v>
      </c>
      <c r="FB68" s="239">
        <v>0</v>
      </c>
      <c r="FC68" s="239">
        <v>44961045</v>
      </c>
      <c r="FD68" s="239">
        <v>0</v>
      </c>
      <c r="FE68" s="239">
        <v>44961045</v>
      </c>
      <c r="FF68" s="239">
        <v>40163</v>
      </c>
      <c r="FG68" s="239">
        <v>0</v>
      </c>
      <c r="FH68" s="239">
        <v>40163</v>
      </c>
      <c r="FI68" s="239">
        <v>-1819586</v>
      </c>
      <c r="FJ68" s="239">
        <v>0</v>
      </c>
      <c r="FK68" s="239">
        <v>-1819586</v>
      </c>
      <c r="FL68" s="239">
        <v>-382204</v>
      </c>
      <c r="FM68" s="239">
        <v>0</v>
      </c>
      <c r="FN68" s="239">
        <v>-382204</v>
      </c>
      <c r="FO68" s="239">
        <v>0</v>
      </c>
      <c r="FP68" s="239">
        <v>0</v>
      </c>
      <c r="FQ68" s="239">
        <v>0</v>
      </c>
      <c r="FR68" s="239">
        <v>-4163</v>
      </c>
      <c r="FS68" s="239">
        <v>0</v>
      </c>
      <c r="FT68" s="239">
        <v>-4163</v>
      </c>
      <c r="FU68" s="239">
        <v>0</v>
      </c>
      <c r="FV68" s="239">
        <v>0</v>
      </c>
      <c r="FW68" s="239">
        <v>0</v>
      </c>
      <c r="FX68" s="239">
        <v>-2165790</v>
      </c>
      <c r="FY68" s="239">
        <v>0</v>
      </c>
      <c r="FZ68" s="239">
        <v>-2165790</v>
      </c>
      <c r="GA68" s="239">
        <v>42795255</v>
      </c>
      <c r="GB68" s="239">
        <v>0</v>
      </c>
      <c r="GC68" s="239">
        <v>42795255</v>
      </c>
      <c r="GD68" s="214" t="s">
        <v>1190</v>
      </c>
    </row>
    <row r="69" spans="1:186" s="214" customFormat="1" x14ac:dyDescent="0.2">
      <c r="B69" s="609" t="s">
        <v>220</v>
      </c>
      <c r="C69" s="609" t="s">
        <v>219</v>
      </c>
      <c r="D69" s="239">
        <v>0</v>
      </c>
      <c r="E69" s="239">
        <v>0</v>
      </c>
      <c r="F69" s="239">
        <v>0</v>
      </c>
      <c r="G69" s="239">
        <v>-1399</v>
      </c>
      <c r="H69" s="239">
        <v>0</v>
      </c>
      <c r="I69" s="239">
        <v>-1399</v>
      </c>
      <c r="J69" s="239">
        <v>0</v>
      </c>
      <c r="K69" s="239">
        <v>0</v>
      </c>
      <c r="L69" s="239">
        <v>0</v>
      </c>
      <c r="M69" s="239">
        <v>1843</v>
      </c>
      <c r="N69" s="239">
        <v>0</v>
      </c>
      <c r="O69" s="239">
        <v>1843</v>
      </c>
      <c r="P69" s="239">
        <v>444</v>
      </c>
      <c r="Q69" s="239">
        <v>0</v>
      </c>
      <c r="R69" s="239">
        <v>444</v>
      </c>
      <c r="S69" s="239">
        <v>-1232766</v>
      </c>
      <c r="T69" s="239">
        <v>0</v>
      </c>
      <c r="U69" s="239">
        <v>-1232766</v>
      </c>
      <c r="V69" s="239">
        <v>0</v>
      </c>
      <c r="W69" s="239">
        <v>0</v>
      </c>
      <c r="X69" s="239">
        <v>0</v>
      </c>
      <c r="Y69" s="239">
        <v>-66561</v>
      </c>
      <c r="Z69" s="239">
        <v>0</v>
      </c>
      <c r="AA69" s="239">
        <v>-66561</v>
      </c>
      <c r="AB69" s="239">
        <v>0</v>
      </c>
      <c r="AC69" s="239">
        <v>0</v>
      </c>
      <c r="AD69" s="239">
        <v>0</v>
      </c>
      <c r="AE69" s="239">
        <v>0</v>
      </c>
      <c r="AF69" s="239">
        <v>0</v>
      </c>
      <c r="AG69" s="239">
        <v>0</v>
      </c>
      <c r="AH69" s="239">
        <v>993119</v>
      </c>
      <c r="AI69" s="239">
        <v>0</v>
      </c>
      <c r="AJ69" s="239">
        <v>993119</v>
      </c>
      <c r="AK69" s="239">
        <v>0</v>
      </c>
      <c r="AL69" s="239">
        <v>0</v>
      </c>
      <c r="AM69" s="239">
        <v>0</v>
      </c>
      <c r="AN69" s="239">
        <v>-1939273</v>
      </c>
      <c r="AO69" s="239">
        <v>0</v>
      </c>
      <c r="AP69" s="239">
        <v>-1939273</v>
      </c>
      <c r="AQ69" s="239">
        <v>-43912</v>
      </c>
      <c r="AR69" s="239">
        <v>0</v>
      </c>
      <c r="AS69" s="239">
        <v>-43912</v>
      </c>
      <c r="AT69" s="239">
        <v>0</v>
      </c>
      <c r="AU69" s="239">
        <v>0</v>
      </c>
      <c r="AV69" s="239">
        <v>0</v>
      </c>
      <c r="AW69" s="239">
        <v>0</v>
      </c>
      <c r="AX69" s="239">
        <v>0</v>
      </c>
      <c r="AY69" s="239">
        <v>0</v>
      </c>
      <c r="AZ69" s="239">
        <v>-546</v>
      </c>
      <c r="BA69" s="239">
        <v>0</v>
      </c>
      <c r="BB69" s="239">
        <v>-546</v>
      </c>
      <c r="BC69" s="239">
        <v>0</v>
      </c>
      <c r="BD69" s="239">
        <v>0</v>
      </c>
      <c r="BE69" s="239">
        <v>0</v>
      </c>
      <c r="BF69" s="239">
        <v>-2289939</v>
      </c>
      <c r="BG69" s="239">
        <v>0</v>
      </c>
      <c r="BH69" s="239">
        <v>-2289939</v>
      </c>
      <c r="BI69" s="239">
        <v>-326401</v>
      </c>
      <c r="BJ69" s="239">
        <v>0</v>
      </c>
      <c r="BK69" s="239">
        <v>-326401</v>
      </c>
      <c r="BL69" s="239">
        <v>92942</v>
      </c>
      <c r="BM69" s="239">
        <v>0</v>
      </c>
      <c r="BN69" s="239">
        <v>92942</v>
      </c>
      <c r="BO69" s="239">
        <v>-1213146</v>
      </c>
      <c r="BP69" s="239">
        <v>0</v>
      </c>
      <c r="BQ69" s="239">
        <v>-1213146</v>
      </c>
      <c r="BR69" s="239">
        <v>-475356</v>
      </c>
      <c r="BS69" s="239">
        <v>0</v>
      </c>
      <c r="BT69" s="239">
        <v>-475356</v>
      </c>
      <c r="BU69" s="239">
        <v>-1921961</v>
      </c>
      <c r="BV69" s="239">
        <v>0</v>
      </c>
      <c r="BW69" s="239">
        <v>-1921961</v>
      </c>
      <c r="BX69" s="239">
        <v>-27079</v>
      </c>
      <c r="BY69" s="239">
        <v>0</v>
      </c>
      <c r="BZ69" s="239">
        <v>-27079</v>
      </c>
      <c r="CA69" s="239">
        <v>-554</v>
      </c>
      <c r="CB69" s="239">
        <v>0</v>
      </c>
      <c r="CC69" s="239">
        <v>-554</v>
      </c>
      <c r="CD69" s="239">
        <v>-499837</v>
      </c>
      <c r="CE69" s="239">
        <v>0</v>
      </c>
      <c r="CF69" s="239">
        <v>-499837</v>
      </c>
      <c r="CG69" s="239">
        <v>-4043</v>
      </c>
      <c r="CH69" s="239">
        <v>0</v>
      </c>
      <c r="CI69" s="239">
        <v>-4043</v>
      </c>
      <c r="CJ69" s="239">
        <v>0</v>
      </c>
      <c r="CK69" s="239">
        <v>0</v>
      </c>
      <c r="CL69" s="239">
        <v>0</v>
      </c>
      <c r="CM69" s="239">
        <v>0</v>
      </c>
      <c r="CN69" s="239">
        <v>0</v>
      </c>
      <c r="CO69" s="239">
        <v>0</v>
      </c>
      <c r="CP69" s="239">
        <v>0</v>
      </c>
      <c r="CQ69" s="239">
        <v>0</v>
      </c>
      <c r="CR69" s="239">
        <v>0</v>
      </c>
      <c r="CS69" s="239">
        <v>0</v>
      </c>
      <c r="CT69" s="239">
        <v>0</v>
      </c>
      <c r="CU69" s="239">
        <v>0</v>
      </c>
      <c r="CV69" s="239">
        <v>0</v>
      </c>
      <c r="CW69" s="239">
        <v>0</v>
      </c>
      <c r="CX69" s="239">
        <v>0</v>
      </c>
      <c r="CY69" s="239">
        <v>0</v>
      </c>
      <c r="CZ69" s="239">
        <v>0</v>
      </c>
      <c r="DA69" s="239">
        <v>0</v>
      </c>
      <c r="DB69" s="239">
        <v>0</v>
      </c>
      <c r="DC69" s="239">
        <v>0</v>
      </c>
      <c r="DD69" s="239">
        <v>0</v>
      </c>
      <c r="DE69" s="239">
        <v>0</v>
      </c>
      <c r="DF69" s="239">
        <v>0</v>
      </c>
      <c r="DG69" s="239">
        <v>0</v>
      </c>
      <c r="DH69" s="239">
        <v>0</v>
      </c>
      <c r="DI69" s="239">
        <v>0</v>
      </c>
      <c r="DJ69" s="239">
        <v>-531513</v>
      </c>
      <c r="DK69" s="239">
        <v>0</v>
      </c>
      <c r="DL69" s="239">
        <v>-531513</v>
      </c>
      <c r="DM69" s="239">
        <v>0</v>
      </c>
      <c r="DN69" s="239">
        <v>0</v>
      </c>
      <c r="DO69" s="239">
        <v>0</v>
      </c>
      <c r="DP69" s="239">
        <v>0</v>
      </c>
      <c r="DQ69" s="239">
        <v>0</v>
      </c>
      <c r="DR69" s="239">
        <v>0</v>
      </c>
      <c r="DS69" s="239">
        <v>0</v>
      </c>
      <c r="DT69" s="239">
        <v>0</v>
      </c>
      <c r="DU69" s="239">
        <v>0</v>
      </c>
      <c r="DV69" s="239">
        <v>0</v>
      </c>
      <c r="DW69" s="239">
        <v>0</v>
      </c>
      <c r="DX69" s="239">
        <v>0</v>
      </c>
      <c r="DY69" s="239">
        <v>0</v>
      </c>
      <c r="DZ69" s="239">
        <v>0</v>
      </c>
      <c r="EA69" s="239">
        <v>0</v>
      </c>
      <c r="EB69" s="239">
        <v>-8938</v>
      </c>
      <c r="EC69" s="239">
        <v>0</v>
      </c>
      <c r="ED69" s="239">
        <v>-8938</v>
      </c>
      <c r="EE69" s="239">
        <v>0</v>
      </c>
      <c r="EF69" s="239">
        <v>0</v>
      </c>
      <c r="EG69" s="239">
        <v>0</v>
      </c>
      <c r="EH69" s="239">
        <v>0</v>
      </c>
      <c r="EI69" s="239">
        <v>0</v>
      </c>
      <c r="EJ69" s="239">
        <v>0</v>
      </c>
      <c r="EK69" s="239">
        <v>0</v>
      </c>
      <c r="EL69" s="239">
        <v>0</v>
      </c>
      <c r="EM69" s="239">
        <v>0</v>
      </c>
      <c r="EN69" s="239">
        <v>0</v>
      </c>
      <c r="EO69" s="239">
        <v>0</v>
      </c>
      <c r="EP69" s="239">
        <v>0</v>
      </c>
      <c r="EQ69" s="239">
        <v>-8938</v>
      </c>
      <c r="ER69" s="239">
        <v>0</v>
      </c>
      <c r="ES69" s="239">
        <v>-8938</v>
      </c>
      <c r="ET69" s="239">
        <v>0</v>
      </c>
      <c r="EU69" s="239">
        <v>0</v>
      </c>
      <c r="EV69" s="239">
        <v>0</v>
      </c>
      <c r="EW69" s="239">
        <v>0</v>
      </c>
      <c r="EX69" s="239">
        <v>0</v>
      </c>
      <c r="EY69" s="239">
        <v>0</v>
      </c>
      <c r="EZ69" s="239">
        <v>0</v>
      </c>
      <c r="FA69" s="239">
        <v>0</v>
      </c>
      <c r="FB69" s="239">
        <v>0</v>
      </c>
      <c r="FC69" s="239">
        <v>39620490</v>
      </c>
      <c r="FD69" s="239">
        <v>0</v>
      </c>
      <c r="FE69" s="239">
        <v>39620490</v>
      </c>
      <c r="FF69" s="239">
        <v>444</v>
      </c>
      <c r="FG69" s="239">
        <v>0</v>
      </c>
      <c r="FH69" s="239">
        <v>444</v>
      </c>
      <c r="FI69" s="239">
        <v>-2289939</v>
      </c>
      <c r="FJ69" s="239">
        <v>0</v>
      </c>
      <c r="FK69" s="239">
        <v>-2289939</v>
      </c>
      <c r="FL69" s="239">
        <v>-1921961</v>
      </c>
      <c r="FM69" s="239">
        <v>0</v>
      </c>
      <c r="FN69" s="239">
        <v>-1921961</v>
      </c>
      <c r="FO69" s="239">
        <v>-531513</v>
      </c>
      <c r="FP69" s="239">
        <v>0</v>
      </c>
      <c r="FQ69" s="239">
        <v>-531513</v>
      </c>
      <c r="FR69" s="239">
        <v>-8938</v>
      </c>
      <c r="FS69" s="239">
        <v>0</v>
      </c>
      <c r="FT69" s="239">
        <v>-8938</v>
      </c>
      <c r="FU69" s="239">
        <v>0</v>
      </c>
      <c r="FV69" s="239">
        <v>0</v>
      </c>
      <c r="FW69" s="239">
        <v>0</v>
      </c>
      <c r="FX69" s="239">
        <v>-4751907</v>
      </c>
      <c r="FY69" s="239">
        <v>0</v>
      </c>
      <c r="FZ69" s="239">
        <v>-4751907</v>
      </c>
      <c r="GA69" s="239">
        <v>34868583</v>
      </c>
      <c r="GB69" s="239">
        <v>0</v>
      </c>
      <c r="GC69" s="239">
        <v>34868583</v>
      </c>
      <c r="GD69" s="214" t="s">
        <v>1190</v>
      </c>
    </row>
    <row r="70" spans="1:186" s="214" customFormat="1" x14ac:dyDescent="0.2">
      <c r="B70" s="609" t="s">
        <v>222</v>
      </c>
      <c r="C70" s="609" t="s">
        <v>221</v>
      </c>
      <c r="D70" s="239">
        <v>0</v>
      </c>
      <c r="E70" s="239">
        <v>0</v>
      </c>
      <c r="F70" s="239">
        <v>0</v>
      </c>
      <c r="G70" s="239">
        <v>1246039</v>
      </c>
      <c r="H70" s="239">
        <v>0</v>
      </c>
      <c r="I70" s="239">
        <v>1246039</v>
      </c>
      <c r="J70" s="239">
        <v>0</v>
      </c>
      <c r="K70" s="239">
        <v>0</v>
      </c>
      <c r="L70" s="239">
        <v>0</v>
      </c>
      <c r="M70" s="239">
        <v>60452</v>
      </c>
      <c r="N70" s="239">
        <v>0</v>
      </c>
      <c r="O70" s="239">
        <v>60452</v>
      </c>
      <c r="P70" s="239">
        <v>1306491</v>
      </c>
      <c r="Q70" s="239">
        <v>0</v>
      </c>
      <c r="R70" s="239">
        <v>1306491</v>
      </c>
      <c r="S70" s="239">
        <v>-25893767</v>
      </c>
      <c r="T70" s="239">
        <v>-4525</v>
      </c>
      <c r="U70" s="239">
        <v>-25898292</v>
      </c>
      <c r="V70" s="239">
        <v>-27578</v>
      </c>
      <c r="W70" s="239">
        <v>0</v>
      </c>
      <c r="X70" s="239">
        <v>-27578</v>
      </c>
      <c r="Y70" s="239">
        <v>-2582108</v>
      </c>
      <c r="Z70" s="239">
        <v>0</v>
      </c>
      <c r="AA70" s="239">
        <v>-2582108</v>
      </c>
      <c r="AB70" s="239">
        <v>-1859496</v>
      </c>
      <c r="AC70" s="239">
        <v>0</v>
      </c>
      <c r="AD70" s="239">
        <v>-1859496</v>
      </c>
      <c r="AE70" s="239">
        <v>-2504</v>
      </c>
      <c r="AF70" s="239">
        <v>0</v>
      </c>
      <c r="AG70" s="239">
        <v>-2504</v>
      </c>
      <c r="AH70" s="239">
        <v>4057399</v>
      </c>
      <c r="AI70" s="239">
        <v>20447</v>
      </c>
      <c r="AJ70" s="239">
        <v>4077846</v>
      </c>
      <c r="AK70" s="239">
        <v>-146027</v>
      </c>
      <c r="AL70" s="239">
        <v>66</v>
      </c>
      <c r="AM70" s="239">
        <v>-145961</v>
      </c>
      <c r="AN70" s="239">
        <v>-16347293</v>
      </c>
      <c r="AO70" s="239">
        <v>-1948</v>
      </c>
      <c r="AP70" s="239">
        <v>-16349241</v>
      </c>
      <c r="AQ70" s="239">
        <v>235047</v>
      </c>
      <c r="AR70" s="239">
        <v>0</v>
      </c>
      <c r="AS70" s="239">
        <v>235047</v>
      </c>
      <c r="AT70" s="239">
        <v>-208698</v>
      </c>
      <c r="AU70" s="239">
        <v>0</v>
      </c>
      <c r="AV70" s="239">
        <v>-208698</v>
      </c>
      <c r="AW70" s="239">
        <v>-6504</v>
      </c>
      <c r="AX70" s="239">
        <v>0</v>
      </c>
      <c r="AY70" s="239">
        <v>-6504</v>
      </c>
      <c r="AZ70" s="239">
        <v>-212762</v>
      </c>
      <c r="BA70" s="239">
        <v>0</v>
      </c>
      <c r="BB70" s="239">
        <v>-212762</v>
      </c>
      <c r="BC70" s="239">
        <v>6175</v>
      </c>
      <c r="BD70" s="239">
        <v>0</v>
      </c>
      <c r="BE70" s="239">
        <v>6175</v>
      </c>
      <c r="BF70" s="239">
        <v>-41098538</v>
      </c>
      <c r="BG70" s="239">
        <v>14040</v>
      </c>
      <c r="BH70" s="239">
        <v>-41084498</v>
      </c>
      <c r="BI70" s="239">
        <v>-38175</v>
      </c>
      <c r="BJ70" s="239">
        <v>0</v>
      </c>
      <c r="BK70" s="239">
        <v>-38175</v>
      </c>
      <c r="BL70" s="239">
        <v>-42198</v>
      </c>
      <c r="BM70" s="239">
        <v>0</v>
      </c>
      <c r="BN70" s="239">
        <v>-42198</v>
      </c>
      <c r="BO70" s="239">
        <v>-3418626</v>
      </c>
      <c r="BP70" s="239">
        <v>-28586</v>
      </c>
      <c r="BQ70" s="239">
        <v>-3447212</v>
      </c>
      <c r="BR70" s="239">
        <v>-179188</v>
      </c>
      <c r="BS70" s="239">
        <v>0</v>
      </c>
      <c r="BT70" s="239">
        <v>-179188</v>
      </c>
      <c r="BU70" s="239">
        <v>-3678187</v>
      </c>
      <c r="BV70" s="239">
        <v>-28586</v>
      </c>
      <c r="BW70" s="239">
        <v>-3706773</v>
      </c>
      <c r="BX70" s="239">
        <v>-705336</v>
      </c>
      <c r="BY70" s="239">
        <v>0</v>
      </c>
      <c r="BZ70" s="239">
        <v>-705336</v>
      </c>
      <c r="CA70" s="239">
        <v>-2796</v>
      </c>
      <c r="CB70" s="239">
        <v>0</v>
      </c>
      <c r="CC70" s="239">
        <v>-2796</v>
      </c>
      <c r="CD70" s="239">
        <v>-327383</v>
      </c>
      <c r="CE70" s="239">
        <v>0</v>
      </c>
      <c r="CF70" s="239">
        <v>-327383</v>
      </c>
      <c r="CG70" s="239">
        <v>-9280</v>
      </c>
      <c r="CH70" s="239">
        <v>0</v>
      </c>
      <c r="CI70" s="239">
        <v>-9280</v>
      </c>
      <c r="CJ70" s="239">
        <v>-7339</v>
      </c>
      <c r="CK70" s="239">
        <v>0</v>
      </c>
      <c r="CL70" s="239">
        <v>-7339</v>
      </c>
      <c r="CM70" s="239">
        <v>-601</v>
      </c>
      <c r="CN70" s="239">
        <v>0</v>
      </c>
      <c r="CO70" s="239">
        <v>-601</v>
      </c>
      <c r="CP70" s="239">
        <v>-108610</v>
      </c>
      <c r="CQ70" s="239">
        <v>0</v>
      </c>
      <c r="CR70" s="239">
        <v>-108610</v>
      </c>
      <c r="CS70" s="239">
        <v>-3424</v>
      </c>
      <c r="CT70" s="239">
        <v>0</v>
      </c>
      <c r="CU70" s="239">
        <v>-3424</v>
      </c>
      <c r="CV70" s="239">
        <v>-16450</v>
      </c>
      <c r="CW70" s="239">
        <v>0</v>
      </c>
      <c r="CX70" s="239">
        <v>-16450</v>
      </c>
      <c r="CY70" s="239">
        <v>259</v>
      </c>
      <c r="CZ70" s="239">
        <v>0</v>
      </c>
      <c r="DA70" s="239">
        <v>259</v>
      </c>
      <c r="DB70" s="239">
        <v>0</v>
      </c>
      <c r="DC70" s="239">
        <v>-278957</v>
      </c>
      <c r="DD70" s="239">
        <v>-278957</v>
      </c>
      <c r="DE70" s="239">
        <v>0</v>
      </c>
      <c r="DF70" s="239">
        <v>-4720</v>
      </c>
      <c r="DG70" s="239">
        <v>-4720</v>
      </c>
      <c r="DH70" s="239">
        <v>-283677</v>
      </c>
      <c r="DI70" s="239">
        <v>0</v>
      </c>
      <c r="DJ70" s="239">
        <v>-1180960</v>
      </c>
      <c r="DK70" s="239">
        <v>-283677</v>
      </c>
      <c r="DL70" s="239">
        <v>-1464637</v>
      </c>
      <c r="DM70" s="239">
        <v>-11788</v>
      </c>
      <c r="DN70" s="239">
        <v>0</v>
      </c>
      <c r="DO70" s="239">
        <v>-11788</v>
      </c>
      <c r="DP70" s="239">
        <v>4798</v>
      </c>
      <c r="DQ70" s="239">
        <v>0</v>
      </c>
      <c r="DR70" s="239">
        <v>4798</v>
      </c>
      <c r="DS70" s="239">
        <v>-39847</v>
      </c>
      <c r="DT70" s="239">
        <v>0</v>
      </c>
      <c r="DU70" s="239">
        <v>-39847</v>
      </c>
      <c r="DV70" s="239">
        <v>-38499</v>
      </c>
      <c r="DW70" s="239">
        <v>0</v>
      </c>
      <c r="DX70" s="239">
        <v>-38499</v>
      </c>
      <c r="DY70" s="239">
        <v>0</v>
      </c>
      <c r="DZ70" s="239">
        <v>0</v>
      </c>
      <c r="EA70" s="239">
        <v>0</v>
      </c>
      <c r="EB70" s="239">
        <v>-7796</v>
      </c>
      <c r="EC70" s="239">
        <v>0</v>
      </c>
      <c r="ED70" s="239">
        <v>-7796</v>
      </c>
      <c r="EE70" s="239">
        <v>0</v>
      </c>
      <c r="EF70" s="239">
        <v>0</v>
      </c>
      <c r="EG70" s="239">
        <v>0</v>
      </c>
      <c r="EH70" s="239">
        <v>0</v>
      </c>
      <c r="EI70" s="239">
        <v>0</v>
      </c>
      <c r="EJ70" s="239">
        <v>0</v>
      </c>
      <c r="EK70" s="239">
        <v>-84315</v>
      </c>
      <c r="EL70" s="239">
        <v>0</v>
      </c>
      <c r="EM70" s="239">
        <v>-84315</v>
      </c>
      <c r="EN70" s="239">
        <v>8013</v>
      </c>
      <c r="EO70" s="239">
        <v>0</v>
      </c>
      <c r="EP70" s="239">
        <v>8013</v>
      </c>
      <c r="EQ70" s="239">
        <v>-169434</v>
      </c>
      <c r="ER70" s="239">
        <v>0</v>
      </c>
      <c r="ES70" s="239">
        <v>-169434</v>
      </c>
      <c r="ET70" s="239">
        <v>-1153</v>
      </c>
      <c r="EU70" s="239">
        <v>0</v>
      </c>
      <c r="EV70" s="239">
        <v>-1153</v>
      </c>
      <c r="EW70" s="239">
        <v>-207</v>
      </c>
      <c r="EX70" s="239">
        <v>0</v>
      </c>
      <c r="EY70" s="239">
        <v>-207</v>
      </c>
      <c r="EZ70" s="239">
        <v>-1360</v>
      </c>
      <c r="FA70" s="239">
        <v>0</v>
      </c>
      <c r="FB70" s="239">
        <v>-1360</v>
      </c>
      <c r="FC70" s="239">
        <v>202425129</v>
      </c>
      <c r="FD70" s="239">
        <v>785962</v>
      </c>
      <c r="FE70" s="239">
        <v>203211091</v>
      </c>
      <c r="FF70" s="239">
        <v>1306491</v>
      </c>
      <c r="FG70" s="239">
        <v>0</v>
      </c>
      <c r="FH70" s="239">
        <v>1306491</v>
      </c>
      <c r="FI70" s="239">
        <v>-41098538</v>
      </c>
      <c r="FJ70" s="239">
        <v>14040</v>
      </c>
      <c r="FK70" s="239">
        <v>-41084498</v>
      </c>
      <c r="FL70" s="239">
        <v>-3678187</v>
      </c>
      <c r="FM70" s="239">
        <v>-28586</v>
      </c>
      <c r="FN70" s="239">
        <v>-3706773</v>
      </c>
      <c r="FO70" s="239">
        <v>-1180960</v>
      </c>
      <c r="FP70" s="239">
        <v>-283677</v>
      </c>
      <c r="FQ70" s="239">
        <v>-1464637</v>
      </c>
      <c r="FR70" s="239">
        <v>-169434</v>
      </c>
      <c r="FS70" s="239">
        <v>0</v>
      </c>
      <c r="FT70" s="239">
        <v>-169434</v>
      </c>
      <c r="FU70" s="239">
        <v>-1360</v>
      </c>
      <c r="FV70" s="239">
        <v>0</v>
      </c>
      <c r="FW70" s="239">
        <v>-1360</v>
      </c>
      <c r="FX70" s="239">
        <v>-44821988</v>
      </c>
      <c r="FY70" s="239">
        <v>-298223</v>
      </c>
      <c r="FZ70" s="239">
        <v>-45120211</v>
      </c>
      <c r="GA70" s="239">
        <v>157603141</v>
      </c>
      <c r="GB70" s="239">
        <v>487739</v>
      </c>
      <c r="GC70" s="239">
        <v>158090880</v>
      </c>
      <c r="GD70" s="214" t="s">
        <v>747</v>
      </c>
    </row>
    <row r="71" spans="1:186" s="214" customFormat="1" x14ac:dyDescent="0.2">
      <c r="B71" s="609" t="s">
        <v>224</v>
      </c>
      <c r="C71" s="609" t="s">
        <v>223</v>
      </c>
      <c r="D71" s="239">
        <v>0</v>
      </c>
      <c r="E71" s="239">
        <v>0</v>
      </c>
      <c r="F71" s="239">
        <v>0</v>
      </c>
      <c r="G71" s="239">
        <v>325377</v>
      </c>
      <c r="H71" s="239">
        <v>0</v>
      </c>
      <c r="I71" s="239">
        <v>325377</v>
      </c>
      <c r="J71" s="239">
        <v>0</v>
      </c>
      <c r="K71" s="239">
        <v>0</v>
      </c>
      <c r="L71" s="239">
        <v>0</v>
      </c>
      <c r="M71" s="239">
        <v>11616</v>
      </c>
      <c r="N71" s="239">
        <v>0</v>
      </c>
      <c r="O71" s="239">
        <v>11616</v>
      </c>
      <c r="P71" s="239">
        <v>336993</v>
      </c>
      <c r="Q71" s="239">
        <v>0</v>
      </c>
      <c r="R71" s="239">
        <v>336993</v>
      </c>
      <c r="S71" s="239">
        <v>-2988595</v>
      </c>
      <c r="T71" s="239">
        <v>0</v>
      </c>
      <c r="U71" s="239">
        <v>-2988595</v>
      </c>
      <c r="V71" s="239">
        <v>-17485</v>
      </c>
      <c r="W71" s="239">
        <v>0</v>
      </c>
      <c r="X71" s="239">
        <v>-17485</v>
      </c>
      <c r="Y71" s="239">
        <v>-215662</v>
      </c>
      <c r="Z71" s="239">
        <v>0</v>
      </c>
      <c r="AA71" s="239">
        <v>-215662</v>
      </c>
      <c r="AB71" s="239">
        <v>-214399</v>
      </c>
      <c r="AC71" s="239">
        <v>0</v>
      </c>
      <c r="AD71" s="239">
        <v>-214399</v>
      </c>
      <c r="AE71" s="239">
        <v>-1263</v>
      </c>
      <c r="AF71" s="239">
        <v>0</v>
      </c>
      <c r="AG71" s="239">
        <v>-1263</v>
      </c>
      <c r="AH71" s="239">
        <v>763542</v>
      </c>
      <c r="AI71" s="239">
        <v>0</v>
      </c>
      <c r="AJ71" s="239">
        <v>763542</v>
      </c>
      <c r="AK71" s="239">
        <v>8591</v>
      </c>
      <c r="AL71" s="239">
        <v>0</v>
      </c>
      <c r="AM71" s="239">
        <v>8591</v>
      </c>
      <c r="AN71" s="239">
        <v>-2143297</v>
      </c>
      <c r="AO71" s="239">
        <v>0</v>
      </c>
      <c r="AP71" s="239">
        <v>-2143297</v>
      </c>
      <c r="AQ71" s="239">
        <v>-19068</v>
      </c>
      <c r="AR71" s="239">
        <v>0</v>
      </c>
      <c r="AS71" s="239">
        <v>-19068</v>
      </c>
      <c r="AT71" s="239">
        <v>-46173</v>
      </c>
      <c r="AU71" s="239">
        <v>0</v>
      </c>
      <c r="AV71" s="239">
        <v>-46173</v>
      </c>
      <c r="AW71" s="239">
        <v>-2024</v>
      </c>
      <c r="AX71" s="239">
        <v>0</v>
      </c>
      <c r="AY71" s="239">
        <v>-2024</v>
      </c>
      <c r="AZ71" s="239">
        <v>-31726</v>
      </c>
      <c r="BA71" s="239">
        <v>0</v>
      </c>
      <c r="BB71" s="239">
        <v>-31726</v>
      </c>
      <c r="BC71" s="239">
        <v>322</v>
      </c>
      <c r="BD71" s="239">
        <v>0</v>
      </c>
      <c r="BE71" s="239">
        <v>322</v>
      </c>
      <c r="BF71" s="239">
        <v>-4674090</v>
      </c>
      <c r="BG71" s="239">
        <v>0</v>
      </c>
      <c r="BH71" s="239">
        <v>-4674090</v>
      </c>
      <c r="BI71" s="239">
        <v>-7687</v>
      </c>
      <c r="BJ71" s="239">
        <v>0</v>
      </c>
      <c r="BK71" s="239">
        <v>-7687</v>
      </c>
      <c r="BL71" s="239">
        <v>0</v>
      </c>
      <c r="BM71" s="239">
        <v>0</v>
      </c>
      <c r="BN71" s="239">
        <v>0</v>
      </c>
      <c r="BO71" s="239">
        <v>-955453</v>
      </c>
      <c r="BP71" s="239">
        <v>0</v>
      </c>
      <c r="BQ71" s="239">
        <v>-955453</v>
      </c>
      <c r="BR71" s="239">
        <v>-43918</v>
      </c>
      <c r="BS71" s="239">
        <v>0</v>
      </c>
      <c r="BT71" s="239">
        <v>-43918</v>
      </c>
      <c r="BU71" s="239">
        <v>-1007058</v>
      </c>
      <c r="BV71" s="239">
        <v>0</v>
      </c>
      <c r="BW71" s="239">
        <v>-1007058</v>
      </c>
      <c r="BX71" s="239">
        <v>-81060</v>
      </c>
      <c r="BY71" s="239">
        <v>0</v>
      </c>
      <c r="BZ71" s="239">
        <v>-81060</v>
      </c>
      <c r="CA71" s="239">
        <v>2285</v>
      </c>
      <c r="CB71" s="239">
        <v>0</v>
      </c>
      <c r="CC71" s="239">
        <v>2285</v>
      </c>
      <c r="CD71" s="239">
        <v>-11967</v>
      </c>
      <c r="CE71" s="239">
        <v>0</v>
      </c>
      <c r="CF71" s="239">
        <v>-11967</v>
      </c>
      <c r="CG71" s="239">
        <v>3910</v>
      </c>
      <c r="CH71" s="239">
        <v>0</v>
      </c>
      <c r="CI71" s="239">
        <v>3910</v>
      </c>
      <c r="CJ71" s="239">
        <v>-79</v>
      </c>
      <c r="CK71" s="239">
        <v>0</v>
      </c>
      <c r="CL71" s="239">
        <v>-79</v>
      </c>
      <c r="CM71" s="239">
        <v>0</v>
      </c>
      <c r="CN71" s="239">
        <v>0</v>
      </c>
      <c r="CO71" s="239">
        <v>0</v>
      </c>
      <c r="CP71" s="239">
        <v>-8752</v>
      </c>
      <c r="CQ71" s="239">
        <v>0</v>
      </c>
      <c r="CR71" s="239">
        <v>-8752</v>
      </c>
      <c r="CS71" s="239">
        <v>0</v>
      </c>
      <c r="CT71" s="239">
        <v>0</v>
      </c>
      <c r="CU71" s="239">
        <v>0</v>
      </c>
      <c r="CV71" s="239">
        <v>0</v>
      </c>
      <c r="CW71" s="239">
        <v>0</v>
      </c>
      <c r="CX71" s="239">
        <v>0</v>
      </c>
      <c r="CY71" s="239">
        <v>0</v>
      </c>
      <c r="CZ71" s="239">
        <v>0</v>
      </c>
      <c r="DA71" s="239">
        <v>0</v>
      </c>
      <c r="DB71" s="239">
        <v>0</v>
      </c>
      <c r="DC71" s="239">
        <v>0</v>
      </c>
      <c r="DD71" s="239">
        <v>0</v>
      </c>
      <c r="DE71" s="239">
        <v>0</v>
      </c>
      <c r="DF71" s="239">
        <v>0</v>
      </c>
      <c r="DG71" s="239">
        <v>0</v>
      </c>
      <c r="DH71" s="239">
        <v>0</v>
      </c>
      <c r="DI71" s="239">
        <v>0</v>
      </c>
      <c r="DJ71" s="239">
        <v>-95663</v>
      </c>
      <c r="DK71" s="239">
        <v>0</v>
      </c>
      <c r="DL71" s="239">
        <v>-95663</v>
      </c>
      <c r="DM71" s="239">
        <v>-524</v>
      </c>
      <c r="DN71" s="239">
        <v>0</v>
      </c>
      <c r="DO71" s="239">
        <v>-524</v>
      </c>
      <c r="DP71" s="239">
        <v>0</v>
      </c>
      <c r="DQ71" s="239">
        <v>0</v>
      </c>
      <c r="DR71" s="239">
        <v>0</v>
      </c>
      <c r="DS71" s="239">
        <v>-19295</v>
      </c>
      <c r="DT71" s="239">
        <v>0</v>
      </c>
      <c r="DU71" s="239">
        <v>-19295</v>
      </c>
      <c r="DV71" s="239">
        <v>-4211</v>
      </c>
      <c r="DW71" s="239">
        <v>0</v>
      </c>
      <c r="DX71" s="239">
        <v>-4211</v>
      </c>
      <c r="DY71" s="239">
        <v>0</v>
      </c>
      <c r="DZ71" s="239">
        <v>0</v>
      </c>
      <c r="EA71" s="239">
        <v>0</v>
      </c>
      <c r="EB71" s="239">
        <v>3493</v>
      </c>
      <c r="EC71" s="239">
        <v>0</v>
      </c>
      <c r="ED71" s="239">
        <v>3493</v>
      </c>
      <c r="EE71" s="239">
        <v>0</v>
      </c>
      <c r="EF71" s="239">
        <v>0</v>
      </c>
      <c r="EG71" s="239">
        <v>0</v>
      </c>
      <c r="EH71" s="239">
        <v>0</v>
      </c>
      <c r="EI71" s="239">
        <v>0</v>
      </c>
      <c r="EJ71" s="239">
        <v>0</v>
      </c>
      <c r="EK71" s="239">
        <v>-15087</v>
      </c>
      <c r="EL71" s="239">
        <v>0</v>
      </c>
      <c r="EM71" s="239">
        <v>-15087</v>
      </c>
      <c r="EN71" s="239">
        <v>0</v>
      </c>
      <c r="EO71" s="239">
        <v>0</v>
      </c>
      <c r="EP71" s="239">
        <v>0</v>
      </c>
      <c r="EQ71" s="239">
        <v>-35624</v>
      </c>
      <c r="ER71" s="239">
        <v>0</v>
      </c>
      <c r="ES71" s="239">
        <v>-35624</v>
      </c>
      <c r="ET71" s="239">
        <v>0</v>
      </c>
      <c r="EU71" s="239">
        <v>0</v>
      </c>
      <c r="EV71" s="239">
        <v>0</v>
      </c>
      <c r="EW71" s="239">
        <v>0</v>
      </c>
      <c r="EX71" s="239">
        <v>0</v>
      </c>
      <c r="EY71" s="239">
        <v>0</v>
      </c>
      <c r="EZ71" s="239">
        <v>0</v>
      </c>
      <c r="FA71" s="239">
        <v>0</v>
      </c>
      <c r="FB71" s="239">
        <v>0</v>
      </c>
      <c r="FC71" s="239">
        <v>36537869</v>
      </c>
      <c r="FD71" s="239">
        <v>0</v>
      </c>
      <c r="FE71" s="239">
        <v>36537869</v>
      </c>
      <c r="FF71" s="239">
        <v>336993</v>
      </c>
      <c r="FG71" s="239">
        <v>0</v>
      </c>
      <c r="FH71" s="239">
        <v>336993</v>
      </c>
      <c r="FI71" s="239">
        <v>-4674090</v>
      </c>
      <c r="FJ71" s="239">
        <v>0</v>
      </c>
      <c r="FK71" s="239">
        <v>-4674090</v>
      </c>
      <c r="FL71" s="239">
        <v>-1007058</v>
      </c>
      <c r="FM71" s="239">
        <v>0</v>
      </c>
      <c r="FN71" s="239">
        <v>-1007058</v>
      </c>
      <c r="FO71" s="239">
        <v>-95663</v>
      </c>
      <c r="FP71" s="239">
        <v>0</v>
      </c>
      <c r="FQ71" s="239">
        <v>-95663</v>
      </c>
      <c r="FR71" s="239">
        <v>-35624</v>
      </c>
      <c r="FS71" s="239">
        <v>0</v>
      </c>
      <c r="FT71" s="239">
        <v>-35624</v>
      </c>
      <c r="FU71" s="239">
        <v>0</v>
      </c>
      <c r="FV71" s="239">
        <v>0</v>
      </c>
      <c r="FW71" s="239">
        <v>0</v>
      </c>
      <c r="FX71" s="239">
        <v>-5475442</v>
      </c>
      <c r="FY71" s="239">
        <v>0</v>
      </c>
      <c r="FZ71" s="239">
        <v>-5475442</v>
      </c>
      <c r="GA71" s="239">
        <v>31062427</v>
      </c>
      <c r="GB71" s="239">
        <v>0</v>
      </c>
      <c r="GC71" s="239">
        <v>31062427</v>
      </c>
      <c r="GD71" s="214" t="s">
        <v>1190</v>
      </c>
    </row>
    <row r="72" spans="1:186" s="214" customFormat="1" x14ac:dyDescent="0.2">
      <c r="B72" s="609" t="s">
        <v>226</v>
      </c>
      <c r="C72" s="609" t="s">
        <v>225</v>
      </c>
      <c r="D72" s="239">
        <v>0</v>
      </c>
      <c r="E72" s="239">
        <v>0</v>
      </c>
      <c r="F72" s="239">
        <v>0</v>
      </c>
      <c r="G72" s="239">
        <v>130655</v>
      </c>
      <c r="H72" s="239">
        <v>0</v>
      </c>
      <c r="I72" s="239">
        <v>130655</v>
      </c>
      <c r="J72" s="239">
        <v>0</v>
      </c>
      <c r="K72" s="239">
        <v>0</v>
      </c>
      <c r="L72" s="239">
        <v>0</v>
      </c>
      <c r="M72" s="239">
        <v>-5057</v>
      </c>
      <c r="N72" s="239">
        <v>0</v>
      </c>
      <c r="O72" s="239">
        <v>-5057</v>
      </c>
      <c r="P72" s="239">
        <v>125598</v>
      </c>
      <c r="Q72" s="239">
        <v>0</v>
      </c>
      <c r="R72" s="239">
        <v>125598</v>
      </c>
      <c r="S72" s="239">
        <v>-5720048</v>
      </c>
      <c r="T72" s="239">
        <v>0</v>
      </c>
      <c r="U72" s="239">
        <v>-5720048</v>
      </c>
      <c r="V72" s="239">
        <v>-1694</v>
      </c>
      <c r="W72" s="239">
        <v>0</v>
      </c>
      <c r="X72" s="239">
        <v>-1694</v>
      </c>
      <c r="Y72" s="239">
        <v>-248236</v>
      </c>
      <c r="Z72" s="239">
        <v>0</v>
      </c>
      <c r="AA72" s="239">
        <v>-248236</v>
      </c>
      <c r="AB72" s="239">
        <v>-176874</v>
      </c>
      <c r="AC72" s="239">
        <v>0</v>
      </c>
      <c r="AD72" s="239">
        <v>-176874</v>
      </c>
      <c r="AE72" s="239">
        <v>0</v>
      </c>
      <c r="AF72" s="239">
        <v>0</v>
      </c>
      <c r="AG72" s="239">
        <v>0</v>
      </c>
      <c r="AH72" s="239">
        <v>3489213</v>
      </c>
      <c r="AI72" s="239">
        <v>0</v>
      </c>
      <c r="AJ72" s="239">
        <v>3489213</v>
      </c>
      <c r="AK72" s="239">
        <v>-47642</v>
      </c>
      <c r="AL72" s="239">
        <v>0</v>
      </c>
      <c r="AM72" s="239">
        <v>-47642</v>
      </c>
      <c r="AN72" s="239">
        <v>-13660876</v>
      </c>
      <c r="AO72" s="239">
        <v>0</v>
      </c>
      <c r="AP72" s="239">
        <v>-13660876</v>
      </c>
      <c r="AQ72" s="239">
        <v>312032</v>
      </c>
      <c r="AR72" s="239">
        <v>0</v>
      </c>
      <c r="AS72" s="239">
        <v>312032</v>
      </c>
      <c r="AT72" s="239">
        <v>-59560</v>
      </c>
      <c r="AU72" s="239">
        <v>0</v>
      </c>
      <c r="AV72" s="239">
        <v>-59560</v>
      </c>
      <c r="AW72" s="239">
        <v>-3126</v>
      </c>
      <c r="AX72" s="239">
        <v>0</v>
      </c>
      <c r="AY72" s="239">
        <v>-3126</v>
      </c>
      <c r="AZ72" s="239">
        <v>0</v>
      </c>
      <c r="BA72" s="239">
        <v>0</v>
      </c>
      <c r="BB72" s="239">
        <v>0</v>
      </c>
      <c r="BC72" s="239">
        <v>0</v>
      </c>
      <c r="BD72" s="239">
        <v>0</v>
      </c>
      <c r="BE72" s="239">
        <v>0</v>
      </c>
      <c r="BF72" s="239">
        <v>-15938243</v>
      </c>
      <c r="BG72" s="239">
        <v>0</v>
      </c>
      <c r="BH72" s="239">
        <v>-15938243</v>
      </c>
      <c r="BI72" s="239">
        <v>-70540</v>
      </c>
      <c r="BJ72" s="239">
        <v>0</v>
      </c>
      <c r="BK72" s="239">
        <v>-70540</v>
      </c>
      <c r="BL72" s="239">
        <v>-42033</v>
      </c>
      <c r="BM72" s="239">
        <v>0</v>
      </c>
      <c r="BN72" s="239">
        <v>-42033</v>
      </c>
      <c r="BO72" s="239">
        <v>-3044396</v>
      </c>
      <c r="BP72" s="239">
        <v>0</v>
      </c>
      <c r="BQ72" s="239">
        <v>-3044396</v>
      </c>
      <c r="BR72" s="239">
        <v>-263275</v>
      </c>
      <c r="BS72" s="239">
        <v>0</v>
      </c>
      <c r="BT72" s="239">
        <v>-263275</v>
      </c>
      <c r="BU72" s="239">
        <v>-3420244</v>
      </c>
      <c r="BV72" s="239">
        <v>0</v>
      </c>
      <c r="BW72" s="239">
        <v>-3420244</v>
      </c>
      <c r="BX72" s="239">
        <v>-355280</v>
      </c>
      <c r="BY72" s="239">
        <v>0</v>
      </c>
      <c r="BZ72" s="239">
        <v>-355280</v>
      </c>
      <c r="CA72" s="239">
        <v>53991</v>
      </c>
      <c r="CB72" s="239">
        <v>0</v>
      </c>
      <c r="CC72" s="239">
        <v>53991</v>
      </c>
      <c r="CD72" s="239">
        <v>-18596</v>
      </c>
      <c r="CE72" s="239">
        <v>0</v>
      </c>
      <c r="CF72" s="239">
        <v>-18596</v>
      </c>
      <c r="CG72" s="239">
        <v>6498</v>
      </c>
      <c r="CH72" s="239">
        <v>0</v>
      </c>
      <c r="CI72" s="239">
        <v>6498</v>
      </c>
      <c r="CJ72" s="239">
        <v>0</v>
      </c>
      <c r="CK72" s="239">
        <v>0</v>
      </c>
      <c r="CL72" s="239">
        <v>0</v>
      </c>
      <c r="CM72" s="239">
        <v>0</v>
      </c>
      <c r="CN72" s="239">
        <v>0</v>
      </c>
      <c r="CO72" s="239">
        <v>0</v>
      </c>
      <c r="CP72" s="239">
        <v>0</v>
      </c>
      <c r="CQ72" s="239">
        <v>0</v>
      </c>
      <c r="CR72" s="239">
        <v>0</v>
      </c>
      <c r="CS72" s="239">
        <v>0</v>
      </c>
      <c r="CT72" s="239">
        <v>0</v>
      </c>
      <c r="CU72" s="239">
        <v>0</v>
      </c>
      <c r="CV72" s="239">
        <v>0</v>
      </c>
      <c r="CW72" s="239">
        <v>0</v>
      </c>
      <c r="CX72" s="239">
        <v>0</v>
      </c>
      <c r="CY72" s="239">
        <v>0</v>
      </c>
      <c r="CZ72" s="239">
        <v>0</v>
      </c>
      <c r="DA72" s="239">
        <v>0</v>
      </c>
      <c r="DB72" s="239">
        <v>0</v>
      </c>
      <c r="DC72" s="239">
        <v>0</v>
      </c>
      <c r="DD72" s="239">
        <v>0</v>
      </c>
      <c r="DE72" s="239">
        <v>0</v>
      </c>
      <c r="DF72" s="239">
        <v>0</v>
      </c>
      <c r="DG72" s="239">
        <v>0</v>
      </c>
      <c r="DH72" s="239">
        <v>0</v>
      </c>
      <c r="DI72" s="239">
        <v>0</v>
      </c>
      <c r="DJ72" s="239">
        <v>-313387</v>
      </c>
      <c r="DK72" s="239">
        <v>0</v>
      </c>
      <c r="DL72" s="239">
        <v>-313387</v>
      </c>
      <c r="DM72" s="239">
        <v>-92027</v>
      </c>
      <c r="DN72" s="239">
        <v>0</v>
      </c>
      <c r="DO72" s="239">
        <v>-92027</v>
      </c>
      <c r="DP72" s="239">
        <v>9072</v>
      </c>
      <c r="DQ72" s="239">
        <v>0</v>
      </c>
      <c r="DR72" s="239">
        <v>9072</v>
      </c>
      <c r="DS72" s="239">
        <v>-72807</v>
      </c>
      <c r="DT72" s="239">
        <v>0</v>
      </c>
      <c r="DU72" s="239">
        <v>-72807</v>
      </c>
      <c r="DV72" s="239">
        <v>-26019</v>
      </c>
      <c r="DW72" s="239">
        <v>0</v>
      </c>
      <c r="DX72" s="239">
        <v>-26019</v>
      </c>
      <c r="DY72" s="239">
        <v>0</v>
      </c>
      <c r="DZ72" s="239">
        <v>0</v>
      </c>
      <c r="EA72" s="239">
        <v>0</v>
      </c>
      <c r="EB72" s="239">
        <v>29858</v>
      </c>
      <c r="EC72" s="239">
        <v>0</v>
      </c>
      <c r="ED72" s="239">
        <v>29858</v>
      </c>
      <c r="EE72" s="239">
        <v>0</v>
      </c>
      <c r="EF72" s="239">
        <v>0</v>
      </c>
      <c r="EG72" s="239">
        <v>0</v>
      </c>
      <c r="EH72" s="239">
        <v>0</v>
      </c>
      <c r="EI72" s="239">
        <v>0</v>
      </c>
      <c r="EJ72" s="239">
        <v>0</v>
      </c>
      <c r="EK72" s="239">
        <v>-5229</v>
      </c>
      <c r="EL72" s="239">
        <v>0</v>
      </c>
      <c r="EM72" s="239">
        <v>-5229</v>
      </c>
      <c r="EN72" s="239">
        <v>0</v>
      </c>
      <c r="EO72" s="239">
        <v>0</v>
      </c>
      <c r="EP72" s="239">
        <v>0</v>
      </c>
      <c r="EQ72" s="239">
        <v>-157152</v>
      </c>
      <c r="ER72" s="239">
        <v>0</v>
      </c>
      <c r="ES72" s="239">
        <v>-157152</v>
      </c>
      <c r="ET72" s="239">
        <v>0</v>
      </c>
      <c r="EU72" s="239">
        <v>0</v>
      </c>
      <c r="EV72" s="239">
        <v>0</v>
      </c>
      <c r="EW72" s="239">
        <v>-19860</v>
      </c>
      <c r="EX72" s="239">
        <v>0</v>
      </c>
      <c r="EY72" s="239">
        <v>-19860</v>
      </c>
      <c r="EZ72" s="239">
        <v>-19860</v>
      </c>
      <c r="FA72" s="239">
        <v>0</v>
      </c>
      <c r="FB72" s="239">
        <v>-19860</v>
      </c>
      <c r="FC72" s="239">
        <v>142827918</v>
      </c>
      <c r="FD72" s="239">
        <v>0</v>
      </c>
      <c r="FE72" s="239">
        <v>142827918</v>
      </c>
      <c r="FF72" s="239">
        <v>125598</v>
      </c>
      <c r="FG72" s="239">
        <v>0</v>
      </c>
      <c r="FH72" s="239">
        <v>125598</v>
      </c>
      <c r="FI72" s="239">
        <v>-15938243</v>
      </c>
      <c r="FJ72" s="239">
        <v>0</v>
      </c>
      <c r="FK72" s="239">
        <v>-15938243</v>
      </c>
      <c r="FL72" s="239">
        <v>-3420244</v>
      </c>
      <c r="FM72" s="239">
        <v>0</v>
      </c>
      <c r="FN72" s="239">
        <v>-3420244</v>
      </c>
      <c r="FO72" s="239">
        <v>-313387</v>
      </c>
      <c r="FP72" s="239">
        <v>0</v>
      </c>
      <c r="FQ72" s="239">
        <v>-313387</v>
      </c>
      <c r="FR72" s="239">
        <v>-157152</v>
      </c>
      <c r="FS72" s="239">
        <v>0</v>
      </c>
      <c r="FT72" s="239">
        <v>-157152</v>
      </c>
      <c r="FU72" s="239">
        <v>-19860</v>
      </c>
      <c r="FV72" s="239">
        <v>0</v>
      </c>
      <c r="FW72" s="239">
        <v>-19860</v>
      </c>
      <c r="FX72" s="239">
        <v>-19723288</v>
      </c>
      <c r="FY72" s="239">
        <v>0</v>
      </c>
      <c r="FZ72" s="239">
        <v>-19723288</v>
      </c>
      <c r="GA72" s="239">
        <v>123104630</v>
      </c>
      <c r="GB72" s="239">
        <v>0</v>
      </c>
      <c r="GC72" s="239">
        <v>123104630</v>
      </c>
      <c r="GD72" s="214" t="s">
        <v>1192</v>
      </c>
    </row>
    <row r="73" spans="1:186" s="214" customFormat="1" x14ac:dyDescent="0.2">
      <c r="B73" s="609" t="s">
        <v>228</v>
      </c>
      <c r="C73" s="609" t="s">
        <v>227</v>
      </c>
      <c r="D73" s="239">
        <v>0</v>
      </c>
      <c r="E73" s="239">
        <v>0</v>
      </c>
      <c r="F73" s="239">
        <v>0</v>
      </c>
      <c r="G73" s="239">
        <v>64266</v>
      </c>
      <c r="H73" s="239">
        <v>0</v>
      </c>
      <c r="I73" s="239">
        <v>64266</v>
      </c>
      <c r="J73" s="239">
        <v>0</v>
      </c>
      <c r="K73" s="239">
        <v>0</v>
      </c>
      <c r="L73" s="239">
        <v>0</v>
      </c>
      <c r="M73" s="239">
        <v>8646</v>
      </c>
      <c r="N73" s="239">
        <v>0</v>
      </c>
      <c r="O73" s="239">
        <v>8646</v>
      </c>
      <c r="P73" s="239">
        <v>72912</v>
      </c>
      <c r="Q73" s="239">
        <v>0</v>
      </c>
      <c r="R73" s="239">
        <v>72912</v>
      </c>
      <c r="S73" s="239">
        <v>-2457018</v>
      </c>
      <c r="T73" s="239">
        <v>0</v>
      </c>
      <c r="U73" s="239">
        <v>-2457018</v>
      </c>
      <c r="V73" s="239">
        <v>-2584</v>
      </c>
      <c r="W73" s="239">
        <v>0</v>
      </c>
      <c r="X73" s="239">
        <v>-2584</v>
      </c>
      <c r="Y73" s="239">
        <v>-143257</v>
      </c>
      <c r="Z73" s="239">
        <v>0</v>
      </c>
      <c r="AA73" s="239">
        <v>-143257</v>
      </c>
      <c r="AB73" s="239">
        <v>-104316</v>
      </c>
      <c r="AC73" s="239">
        <v>0</v>
      </c>
      <c r="AD73" s="239">
        <v>-104316</v>
      </c>
      <c r="AE73" s="239">
        <v>-715</v>
      </c>
      <c r="AF73" s="239">
        <v>0</v>
      </c>
      <c r="AG73" s="239">
        <v>-715</v>
      </c>
      <c r="AH73" s="239">
        <v>460542</v>
      </c>
      <c r="AI73" s="239">
        <v>0</v>
      </c>
      <c r="AJ73" s="239">
        <v>460542</v>
      </c>
      <c r="AK73" s="239">
        <v>3651</v>
      </c>
      <c r="AL73" s="239">
        <v>0</v>
      </c>
      <c r="AM73" s="239">
        <v>3651</v>
      </c>
      <c r="AN73" s="239">
        <v>-1101468</v>
      </c>
      <c r="AO73" s="239">
        <v>0</v>
      </c>
      <c r="AP73" s="239">
        <v>-1101468</v>
      </c>
      <c r="AQ73" s="239">
        <v>11893</v>
      </c>
      <c r="AR73" s="239">
        <v>0</v>
      </c>
      <c r="AS73" s="239">
        <v>11893</v>
      </c>
      <c r="AT73" s="239">
        <v>-24413</v>
      </c>
      <c r="AU73" s="239">
        <v>0</v>
      </c>
      <c r="AV73" s="239">
        <v>-24413</v>
      </c>
      <c r="AW73" s="239">
        <v>0</v>
      </c>
      <c r="AX73" s="239">
        <v>0</v>
      </c>
      <c r="AY73" s="239">
        <v>0</v>
      </c>
      <c r="AZ73" s="239">
        <v>-30460</v>
      </c>
      <c r="BA73" s="239">
        <v>0</v>
      </c>
      <c r="BB73" s="239">
        <v>-30460</v>
      </c>
      <c r="BC73" s="239">
        <v>-3067</v>
      </c>
      <c r="BD73" s="239">
        <v>0</v>
      </c>
      <c r="BE73" s="239">
        <v>-3067</v>
      </c>
      <c r="BF73" s="239">
        <v>-3283597</v>
      </c>
      <c r="BG73" s="239">
        <v>0</v>
      </c>
      <c r="BH73" s="239">
        <v>-3283597</v>
      </c>
      <c r="BI73" s="239">
        <v>-2578</v>
      </c>
      <c r="BJ73" s="239">
        <v>0</v>
      </c>
      <c r="BK73" s="239">
        <v>-2578</v>
      </c>
      <c r="BL73" s="239">
        <v>0</v>
      </c>
      <c r="BM73" s="239">
        <v>0</v>
      </c>
      <c r="BN73" s="239">
        <v>0</v>
      </c>
      <c r="BO73" s="239">
        <v>-687082</v>
      </c>
      <c r="BP73" s="239">
        <v>0</v>
      </c>
      <c r="BQ73" s="239">
        <v>-687082</v>
      </c>
      <c r="BR73" s="239">
        <v>33019</v>
      </c>
      <c r="BS73" s="239">
        <v>0</v>
      </c>
      <c r="BT73" s="239">
        <v>33019</v>
      </c>
      <c r="BU73" s="239">
        <v>-656641</v>
      </c>
      <c r="BV73" s="239">
        <v>0</v>
      </c>
      <c r="BW73" s="239">
        <v>-656641</v>
      </c>
      <c r="BX73" s="239">
        <v>-22131</v>
      </c>
      <c r="BY73" s="239">
        <v>0</v>
      </c>
      <c r="BZ73" s="239">
        <v>-22131</v>
      </c>
      <c r="CA73" s="239">
        <v>-773</v>
      </c>
      <c r="CB73" s="239">
        <v>0</v>
      </c>
      <c r="CC73" s="239">
        <v>-773</v>
      </c>
      <c r="CD73" s="239">
        <v>-11759</v>
      </c>
      <c r="CE73" s="239">
        <v>0</v>
      </c>
      <c r="CF73" s="239">
        <v>-11759</v>
      </c>
      <c r="CG73" s="239">
        <v>0</v>
      </c>
      <c r="CH73" s="239">
        <v>0</v>
      </c>
      <c r="CI73" s="239">
        <v>0</v>
      </c>
      <c r="CJ73" s="239">
        <v>0</v>
      </c>
      <c r="CK73" s="239">
        <v>0</v>
      </c>
      <c r="CL73" s="239">
        <v>0</v>
      </c>
      <c r="CM73" s="239">
        <v>0</v>
      </c>
      <c r="CN73" s="239">
        <v>0</v>
      </c>
      <c r="CO73" s="239">
        <v>0</v>
      </c>
      <c r="CP73" s="239">
        <v>-24253</v>
      </c>
      <c r="CQ73" s="239">
        <v>0</v>
      </c>
      <c r="CR73" s="239">
        <v>-24253</v>
      </c>
      <c r="CS73" s="239">
        <v>-2896</v>
      </c>
      <c r="CT73" s="239">
        <v>0</v>
      </c>
      <c r="CU73" s="239">
        <v>-2896</v>
      </c>
      <c r="CV73" s="239">
        <v>0</v>
      </c>
      <c r="CW73" s="239">
        <v>0</v>
      </c>
      <c r="CX73" s="239">
        <v>0</v>
      </c>
      <c r="CY73" s="239">
        <v>0</v>
      </c>
      <c r="CZ73" s="239">
        <v>0</v>
      </c>
      <c r="DA73" s="239">
        <v>0</v>
      </c>
      <c r="DB73" s="239">
        <v>0</v>
      </c>
      <c r="DC73" s="239">
        <v>0</v>
      </c>
      <c r="DD73" s="239">
        <v>0</v>
      </c>
      <c r="DE73" s="239">
        <v>0</v>
      </c>
      <c r="DF73" s="239">
        <v>0</v>
      </c>
      <c r="DG73" s="239">
        <v>0</v>
      </c>
      <c r="DH73" s="239">
        <v>0</v>
      </c>
      <c r="DI73" s="239">
        <v>0</v>
      </c>
      <c r="DJ73" s="239">
        <v>-61812</v>
      </c>
      <c r="DK73" s="239">
        <v>0</v>
      </c>
      <c r="DL73" s="239">
        <v>-61812</v>
      </c>
      <c r="DM73" s="239">
        <v>0</v>
      </c>
      <c r="DN73" s="239">
        <v>0</v>
      </c>
      <c r="DO73" s="239">
        <v>0</v>
      </c>
      <c r="DP73" s="239">
        <v>0</v>
      </c>
      <c r="DQ73" s="239">
        <v>0</v>
      </c>
      <c r="DR73" s="239">
        <v>0</v>
      </c>
      <c r="DS73" s="239">
        <v>-15477</v>
      </c>
      <c r="DT73" s="239">
        <v>0</v>
      </c>
      <c r="DU73" s="239">
        <v>-15477</v>
      </c>
      <c r="DV73" s="239">
        <v>-2104</v>
      </c>
      <c r="DW73" s="239">
        <v>0</v>
      </c>
      <c r="DX73" s="239">
        <v>-2104</v>
      </c>
      <c r="DY73" s="239">
        <v>0</v>
      </c>
      <c r="DZ73" s="239">
        <v>0</v>
      </c>
      <c r="EA73" s="239">
        <v>0</v>
      </c>
      <c r="EB73" s="239">
        <v>7865</v>
      </c>
      <c r="EC73" s="239">
        <v>0</v>
      </c>
      <c r="ED73" s="239">
        <v>7865</v>
      </c>
      <c r="EE73" s="239">
        <v>0</v>
      </c>
      <c r="EF73" s="239">
        <v>0</v>
      </c>
      <c r="EG73" s="239">
        <v>0</v>
      </c>
      <c r="EH73" s="239">
        <v>-6065</v>
      </c>
      <c r="EI73" s="239">
        <v>0</v>
      </c>
      <c r="EJ73" s="239">
        <v>-6065</v>
      </c>
      <c r="EK73" s="239">
        <v>0</v>
      </c>
      <c r="EL73" s="239">
        <v>0</v>
      </c>
      <c r="EM73" s="239">
        <v>0</v>
      </c>
      <c r="EN73" s="239">
        <v>0</v>
      </c>
      <c r="EO73" s="239">
        <v>0</v>
      </c>
      <c r="EP73" s="239">
        <v>0</v>
      </c>
      <c r="EQ73" s="239">
        <v>-15781</v>
      </c>
      <c r="ER73" s="239">
        <v>0</v>
      </c>
      <c r="ES73" s="239">
        <v>-15781</v>
      </c>
      <c r="ET73" s="239">
        <v>0</v>
      </c>
      <c r="EU73" s="239">
        <v>0</v>
      </c>
      <c r="EV73" s="239">
        <v>0</v>
      </c>
      <c r="EW73" s="239">
        <v>0</v>
      </c>
      <c r="EX73" s="239">
        <v>0</v>
      </c>
      <c r="EY73" s="239">
        <v>0</v>
      </c>
      <c r="EZ73" s="239">
        <v>0</v>
      </c>
      <c r="FA73" s="239">
        <v>0</v>
      </c>
      <c r="FB73" s="239">
        <v>0</v>
      </c>
      <c r="FC73" s="239">
        <v>22391145</v>
      </c>
      <c r="FD73" s="239">
        <v>0</v>
      </c>
      <c r="FE73" s="239">
        <v>22391145</v>
      </c>
      <c r="FF73" s="239">
        <v>72912</v>
      </c>
      <c r="FG73" s="239">
        <v>0</v>
      </c>
      <c r="FH73" s="239">
        <v>72912</v>
      </c>
      <c r="FI73" s="239">
        <v>-3283597</v>
      </c>
      <c r="FJ73" s="239">
        <v>0</v>
      </c>
      <c r="FK73" s="239">
        <v>-3283597</v>
      </c>
      <c r="FL73" s="239">
        <v>-656641</v>
      </c>
      <c r="FM73" s="239">
        <v>0</v>
      </c>
      <c r="FN73" s="239">
        <v>-656641</v>
      </c>
      <c r="FO73" s="239">
        <v>-61812</v>
      </c>
      <c r="FP73" s="239">
        <v>0</v>
      </c>
      <c r="FQ73" s="239">
        <v>-61812</v>
      </c>
      <c r="FR73" s="239">
        <v>-15781</v>
      </c>
      <c r="FS73" s="239">
        <v>0</v>
      </c>
      <c r="FT73" s="239">
        <v>-15781</v>
      </c>
      <c r="FU73" s="239">
        <v>0</v>
      </c>
      <c r="FV73" s="239">
        <v>0</v>
      </c>
      <c r="FW73" s="239">
        <v>0</v>
      </c>
      <c r="FX73" s="239">
        <v>-3944919</v>
      </c>
      <c r="FY73" s="239">
        <v>0</v>
      </c>
      <c r="FZ73" s="239">
        <v>-3944919</v>
      </c>
      <c r="GA73" s="239">
        <v>18446226</v>
      </c>
      <c r="GB73" s="239">
        <v>0</v>
      </c>
      <c r="GC73" s="239">
        <v>18446226</v>
      </c>
      <c r="GD73" s="214" t="s">
        <v>1190</v>
      </c>
    </row>
    <row r="74" spans="1:186" s="214" customFormat="1" x14ac:dyDescent="0.2">
      <c r="B74" s="609" t="s">
        <v>230</v>
      </c>
      <c r="C74" s="609" t="s">
        <v>229</v>
      </c>
      <c r="D74" s="239">
        <v>0</v>
      </c>
      <c r="E74" s="239">
        <v>0</v>
      </c>
      <c r="F74" s="239">
        <v>0</v>
      </c>
      <c r="G74" s="239">
        <v>85474</v>
      </c>
      <c r="H74" s="239">
        <v>0</v>
      </c>
      <c r="I74" s="239">
        <v>85474</v>
      </c>
      <c r="J74" s="239">
        <v>0</v>
      </c>
      <c r="K74" s="239">
        <v>0</v>
      </c>
      <c r="L74" s="239">
        <v>0</v>
      </c>
      <c r="M74" s="239">
        <v>195286</v>
      </c>
      <c r="N74" s="239">
        <v>0</v>
      </c>
      <c r="O74" s="239">
        <v>195286</v>
      </c>
      <c r="P74" s="239">
        <v>280760</v>
      </c>
      <c r="Q74" s="239">
        <v>0</v>
      </c>
      <c r="R74" s="239">
        <v>280760</v>
      </c>
      <c r="S74" s="239">
        <v>-829698</v>
      </c>
      <c r="T74" s="239">
        <v>0</v>
      </c>
      <c r="U74" s="239">
        <v>-829698</v>
      </c>
      <c r="V74" s="239">
        <v>-12444</v>
      </c>
      <c r="W74" s="239">
        <v>0</v>
      </c>
      <c r="X74" s="239">
        <v>-12444</v>
      </c>
      <c r="Y74" s="239">
        <v>-29506</v>
      </c>
      <c r="Z74" s="239">
        <v>0</v>
      </c>
      <c r="AA74" s="239">
        <v>-29506</v>
      </c>
      <c r="AB74" s="239">
        <v>-21645</v>
      </c>
      <c r="AC74" s="239">
        <v>0</v>
      </c>
      <c r="AD74" s="239">
        <v>-21645</v>
      </c>
      <c r="AE74" s="239">
        <v>-4698</v>
      </c>
      <c r="AF74" s="239">
        <v>0</v>
      </c>
      <c r="AG74" s="239">
        <v>-4698</v>
      </c>
      <c r="AH74" s="239">
        <v>3221290</v>
      </c>
      <c r="AI74" s="239">
        <v>0</v>
      </c>
      <c r="AJ74" s="239">
        <v>3221290</v>
      </c>
      <c r="AK74" s="239">
        <v>34138</v>
      </c>
      <c r="AL74" s="239">
        <v>0</v>
      </c>
      <c r="AM74" s="239">
        <v>34138</v>
      </c>
      <c r="AN74" s="239">
        <v>-2947007</v>
      </c>
      <c r="AO74" s="239">
        <v>0</v>
      </c>
      <c r="AP74" s="239">
        <v>-2947007</v>
      </c>
      <c r="AQ74" s="239">
        <v>-2004</v>
      </c>
      <c r="AR74" s="239">
        <v>0</v>
      </c>
      <c r="AS74" s="239">
        <v>-2004</v>
      </c>
      <c r="AT74" s="239">
        <v>-29259</v>
      </c>
      <c r="AU74" s="239">
        <v>0</v>
      </c>
      <c r="AV74" s="239">
        <v>-29259</v>
      </c>
      <c r="AW74" s="239">
        <v>0</v>
      </c>
      <c r="AX74" s="239">
        <v>0</v>
      </c>
      <c r="AY74" s="239">
        <v>0</v>
      </c>
      <c r="AZ74" s="239">
        <v>0</v>
      </c>
      <c r="BA74" s="239">
        <v>0</v>
      </c>
      <c r="BB74" s="239">
        <v>0</v>
      </c>
      <c r="BC74" s="239">
        <v>0</v>
      </c>
      <c r="BD74" s="239">
        <v>0</v>
      </c>
      <c r="BE74" s="239">
        <v>0</v>
      </c>
      <c r="BF74" s="239">
        <v>-582046</v>
      </c>
      <c r="BG74" s="239">
        <v>0</v>
      </c>
      <c r="BH74" s="239">
        <v>-582046</v>
      </c>
      <c r="BI74" s="239">
        <v>-15327</v>
      </c>
      <c r="BJ74" s="239">
        <v>0</v>
      </c>
      <c r="BK74" s="239">
        <v>-15327</v>
      </c>
      <c r="BL74" s="239">
        <v>1493</v>
      </c>
      <c r="BM74" s="239">
        <v>0</v>
      </c>
      <c r="BN74" s="239">
        <v>1493</v>
      </c>
      <c r="BO74" s="239">
        <v>-3108420</v>
      </c>
      <c r="BP74" s="239">
        <v>0</v>
      </c>
      <c r="BQ74" s="239">
        <v>-3108420</v>
      </c>
      <c r="BR74" s="239">
        <v>359558</v>
      </c>
      <c r="BS74" s="239">
        <v>0</v>
      </c>
      <c r="BT74" s="239">
        <v>359558</v>
      </c>
      <c r="BU74" s="239">
        <v>-2762696</v>
      </c>
      <c r="BV74" s="239">
        <v>0</v>
      </c>
      <c r="BW74" s="239">
        <v>-2762696</v>
      </c>
      <c r="BX74" s="239">
        <v>-303755</v>
      </c>
      <c r="BY74" s="239">
        <v>0</v>
      </c>
      <c r="BZ74" s="239">
        <v>-303755</v>
      </c>
      <c r="CA74" s="239">
        <v>-1076</v>
      </c>
      <c r="CB74" s="239">
        <v>0</v>
      </c>
      <c r="CC74" s="239">
        <v>-1076</v>
      </c>
      <c r="CD74" s="239">
        <v>-121231</v>
      </c>
      <c r="CE74" s="239">
        <v>0</v>
      </c>
      <c r="CF74" s="239">
        <v>-121231</v>
      </c>
      <c r="CG74" s="239">
        <v>-1059</v>
      </c>
      <c r="CH74" s="239">
        <v>0</v>
      </c>
      <c r="CI74" s="239">
        <v>-1059</v>
      </c>
      <c r="CJ74" s="239">
        <v>-1696</v>
      </c>
      <c r="CK74" s="239">
        <v>0</v>
      </c>
      <c r="CL74" s="239">
        <v>-1696</v>
      </c>
      <c r="CM74" s="239">
        <v>0</v>
      </c>
      <c r="CN74" s="239">
        <v>0</v>
      </c>
      <c r="CO74" s="239">
        <v>0</v>
      </c>
      <c r="CP74" s="239">
        <v>0</v>
      </c>
      <c r="CQ74" s="239">
        <v>0</v>
      </c>
      <c r="CR74" s="239">
        <v>0</v>
      </c>
      <c r="CS74" s="239">
        <v>0</v>
      </c>
      <c r="CT74" s="239">
        <v>0</v>
      </c>
      <c r="CU74" s="239">
        <v>0</v>
      </c>
      <c r="CV74" s="239">
        <v>0</v>
      </c>
      <c r="CW74" s="239">
        <v>0</v>
      </c>
      <c r="CX74" s="239">
        <v>0</v>
      </c>
      <c r="CY74" s="239">
        <v>0</v>
      </c>
      <c r="CZ74" s="239">
        <v>0</v>
      </c>
      <c r="DA74" s="239">
        <v>0</v>
      </c>
      <c r="DB74" s="239">
        <v>0</v>
      </c>
      <c r="DC74" s="239">
        <v>0</v>
      </c>
      <c r="DD74" s="239">
        <v>0</v>
      </c>
      <c r="DE74" s="239">
        <v>0</v>
      </c>
      <c r="DF74" s="239">
        <v>0</v>
      </c>
      <c r="DG74" s="239">
        <v>0</v>
      </c>
      <c r="DH74" s="239">
        <v>0</v>
      </c>
      <c r="DI74" s="239">
        <v>0</v>
      </c>
      <c r="DJ74" s="239">
        <v>-428817</v>
      </c>
      <c r="DK74" s="239">
        <v>0</v>
      </c>
      <c r="DL74" s="239">
        <v>-428817</v>
      </c>
      <c r="DM74" s="239">
        <v>-27683</v>
      </c>
      <c r="DN74" s="239">
        <v>0</v>
      </c>
      <c r="DO74" s="239">
        <v>-27683</v>
      </c>
      <c r="DP74" s="239">
        <v>0</v>
      </c>
      <c r="DQ74" s="239">
        <v>0</v>
      </c>
      <c r="DR74" s="239">
        <v>0</v>
      </c>
      <c r="DS74" s="239">
        <v>-58508</v>
      </c>
      <c r="DT74" s="239">
        <v>0</v>
      </c>
      <c r="DU74" s="239">
        <v>-58508</v>
      </c>
      <c r="DV74" s="239">
        <v>-34337</v>
      </c>
      <c r="DW74" s="239">
        <v>0</v>
      </c>
      <c r="DX74" s="239">
        <v>-34337</v>
      </c>
      <c r="DY74" s="239">
        <v>0</v>
      </c>
      <c r="DZ74" s="239">
        <v>0</v>
      </c>
      <c r="EA74" s="239">
        <v>0</v>
      </c>
      <c r="EB74" s="239">
        <v>-11267</v>
      </c>
      <c r="EC74" s="239">
        <v>0</v>
      </c>
      <c r="ED74" s="239">
        <v>-11267</v>
      </c>
      <c r="EE74" s="239">
        <v>0</v>
      </c>
      <c r="EF74" s="239">
        <v>0</v>
      </c>
      <c r="EG74" s="239">
        <v>0</v>
      </c>
      <c r="EH74" s="239">
        <v>0</v>
      </c>
      <c r="EI74" s="239">
        <v>0</v>
      </c>
      <c r="EJ74" s="239">
        <v>0</v>
      </c>
      <c r="EK74" s="239">
        <v>-3723</v>
      </c>
      <c r="EL74" s="239">
        <v>0</v>
      </c>
      <c r="EM74" s="239">
        <v>-3723</v>
      </c>
      <c r="EN74" s="239">
        <v>0</v>
      </c>
      <c r="EO74" s="239">
        <v>0</v>
      </c>
      <c r="EP74" s="239">
        <v>0</v>
      </c>
      <c r="EQ74" s="239">
        <v>-135518</v>
      </c>
      <c r="ER74" s="239">
        <v>0</v>
      </c>
      <c r="ES74" s="239">
        <v>-135518</v>
      </c>
      <c r="ET74" s="239">
        <v>0</v>
      </c>
      <c r="EU74" s="239">
        <v>0</v>
      </c>
      <c r="EV74" s="239">
        <v>0</v>
      </c>
      <c r="EW74" s="239">
        <v>0</v>
      </c>
      <c r="EX74" s="239">
        <v>0</v>
      </c>
      <c r="EY74" s="239">
        <v>0</v>
      </c>
      <c r="EZ74" s="239">
        <v>0</v>
      </c>
      <c r="FA74" s="239">
        <v>0</v>
      </c>
      <c r="FB74" s="239">
        <v>0</v>
      </c>
      <c r="FC74" s="239">
        <v>122274421</v>
      </c>
      <c r="FD74" s="239">
        <v>0</v>
      </c>
      <c r="FE74" s="239">
        <v>122274421</v>
      </c>
      <c r="FF74" s="239">
        <v>280760</v>
      </c>
      <c r="FG74" s="239">
        <v>0</v>
      </c>
      <c r="FH74" s="239">
        <v>280760</v>
      </c>
      <c r="FI74" s="239">
        <v>-582046</v>
      </c>
      <c r="FJ74" s="239">
        <v>0</v>
      </c>
      <c r="FK74" s="239">
        <v>-582046</v>
      </c>
      <c r="FL74" s="239">
        <v>-2762696</v>
      </c>
      <c r="FM74" s="239">
        <v>0</v>
      </c>
      <c r="FN74" s="239">
        <v>-2762696</v>
      </c>
      <c r="FO74" s="239">
        <v>-428817</v>
      </c>
      <c r="FP74" s="239">
        <v>0</v>
      </c>
      <c r="FQ74" s="239">
        <v>-428817</v>
      </c>
      <c r="FR74" s="239">
        <v>-135518</v>
      </c>
      <c r="FS74" s="239">
        <v>0</v>
      </c>
      <c r="FT74" s="239">
        <v>-135518</v>
      </c>
      <c r="FU74" s="239">
        <v>0</v>
      </c>
      <c r="FV74" s="239">
        <v>0</v>
      </c>
      <c r="FW74" s="239">
        <v>0</v>
      </c>
      <c r="FX74" s="239">
        <v>-3628317</v>
      </c>
      <c r="FY74" s="239">
        <v>0</v>
      </c>
      <c r="FZ74" s="239">
        <v>-3628317</v>
      </c>
      <c r="GA74" s="239">
        <v>118646104</v>
      </c>
      <c r="GB74" s="239">
        <v>0</v>
      </c>
      <c r="GC74" s="239">
        <v>118646104</v>
      </c>
      <c r="GD74" s="214" t="s">
        <v>1190</v>
      </c>
    </row>
    <row r="75" spans="1:186" s="214" customFormat="1" x14ac:dyDescent="0.2">
      <c r="A75" s="215" t="s">
        <v>1211</v>
      </c>
      <c r="B75" s="609" t="s">
        <v>232</v>
      </c>
      <c r="C75" s="609" t="s">
        <v>231</v>
      </c>
      <c r="D75" s="239">
        <v>0</v>
      </c>
      <c r="E75" s="239">
        <v>0</v>
      </c>
      <c r="F75" s="239">
        <v>0</v>
      </c>
      <c r="G75" s="239">
        <v>171133</v>
      </c>
      <c r="H75" s="239">
        <v>0</v>
      </c>
      <c r="I75" s="239">
        <v>171133</v>
      </c>
      <c r="J75" s="239">
        <v>0</v>
      </c>
      <c r="K75" s="239">
        <v>0</v>
      </c>
      <c r="L75" s="239">
        <v>0</v>
      </c>
      <c r="M75" s="239">
        <v>57814</v>
      </c>
      <c r="N75" s="239">
        <v>0</v>
      </c>
      <c r="O75" s="239">
        <v>57814</v>
      </c>
      <c r="P75" s="239">
        <v>228947</v>
      </c>
      <c r="Q75" s="239">
        <v>0</v>
      </c>
      <c r="R75" s="239">
        <v>228947</v>
      </c>
      <c r="S75" s="239">
        <v>-6026615</v>
      </c>
      <c r="T75" s="239">
        <v>0</v>
      </c>
      <c r="U75" s="239">
        <v>-6026615</v>
      </c>
      <c r="V75" s="239">
        <v>-131785</v>
      </c>
      <c r="W75" s="239">
        <v>0</v>
      </c>
      <c r="X75" s="239">
        <v>-131785</v>
      </c>
      <c r="Y75" s="239">
        <v>-164908</v>
      </c>
      <c r="Z75" s="239">
        <v>0</v>
      </c>
      <c r="AA75" s="239">
        <v>-164908</v>
      </c>
      <c r="AB75" s="239">
        <v>-99592</v>
      </c>
      <c r="AC75" s="239">
        <v>0</v>
      </c>
      <c r="AD75" s="239">
        <v>-99592</v>
      </c>
      <c r="AE75" s="239">
        <v>-5137</v>
      </c>
      <c r="AF75" s="239">
        <v>0</v>
      </c>
      <c r="AG75" s="239">
        <v>-5137</v>
      </c>
      <c r="AH75" s="239">
        <v>31987</v>
      </c>
      <c r="AI75" s="239">
        <v>0</v>
      </c>
      <c r="AJ75" s="239">
        <v>31987</v>
      </c>
      <c r="AK75" s="239">
        <v>5361</v>
      </c>
      <c r="AL75" s="239">
        <v>0</v>
      </c>
      <c r="AM75" s="239">
        <v>5361</v>
      </c>
      <c r="AN75" s="239">
        <v>-9290531</v>
      </c>
      <c r="AO75" s="239">
        <v>0</v>
      </c>
      <c r="AP75" s="239">
        <v>-9290531</v>
      </c>
      <c r="AQ75" s="239">
        <v>-160419</v>
      </c>
      <c r="AR75" s="239">
        <v>0</v>
      </c>
      <c r="AS75" s="239">
        <v>-160419</v>
      </c>
      <c r="AT75" s="239">
        <v>-189329</v>
      </c>
      <c r="AU75" s="239">
        <v>0</v>
      </c>
      <c r="AV75" s="239">
        <v>-189329</v>
      </c>
      <c r="AW75" s="239">
        <v>-6268</v>
      </c>
      <c r="AX75" s="239">
        <v>0</v>
      </c>
      <c r="AY75" s="239">
        <v>-6268</v>
      </c>
      <c r="AZ75" s="239">
        <v>0</v>
      </c>
      <c r="BA75" s="239">
        <v>0</v>
      </c>
      <c r="BB75" s="239">
        <v>0</v>
      </c>
      <c r="BC75" s="239">
        <v>0</v>
      </c>
      <c r="BD75" s="239">
        <v>0</v>
      </c>
      <c r="BE75" s="239">
        <v>0</v>
      </c>
      <c r="BF75" s="239">
        <v>-15800722</v>
      </c>
      <c r="BG75" s="239">
        <v>0</v>
      </c>
      <c r="BH75" s="239">
        <v>-15800722</v>
      </c>
      <c r="BI75" s="239">
        <v>-737757</v>
      </c>
      <c r="BJ75" s="239">
        <v>0</v>
      </c>
      <c r="BK75" s="239">
        <v>-737757</v>
      </c>
      <c r="BL75" s="239">
        <v>-177186</v>
      </c>
      <c r="BM75" s="239">
        <v>0</v>
      </c>
      <c r="BN75" s="239">
        <v>-177186</v>
      </c>
      <c r="BO75" s="239">
        <v>-9235370</v>
      </c>
      <c r="BP75" s="239">
        <v>0</v>
      </c>
      <c r="BQ75" s="239">
        <v>-9235370</v>
      </c>
      <c r="BR75" s="239">
        <v>45975</v>
      </c>
      <c r="BS75" s="239">
        <v>0</v>
      </c>
      <c r="BT75" s="239">
        <v>45975</v>
      </c>
      <c r="BU75" s="239">
        <v>-10104338</v>
      </c>
      <c r="BV75" s="239">
        <v>0</v>
      </c>
      <c r="BW75" s="239">
        <v>-10104338</v>
      </c>
      <c r="BX75" s="239">
        <v>-127045</v>
      </c>
      <c r="BY75" s="239">
        <v>0</v>
      </c>
      <c r="BZ75" s="239">
        <v>-127045</v>
      </c>
      <c r="CA75" s="239">
        <v>-13687</v>
      </c>
      <c r="CB75" s="239">
        <v>0</v>
      </c>
      <c r="CC75" s="239">
        <v>-13687</v>
      </c>
      <c r="CD75" s="239">
        <v>-38990</v>
      </c>
      <c r="CE75" s="239">
        <v>0</v>
      </c>
      <c r="CF75" s="239">
        <v>-38990</v>
      </c>
      <c r="CG75" s="239">
        <v>6040</v>
      </c>
      <c r="CH75" s="239">
        <v>0</v>
      </c>
      <c r="CI75" s="239">
        <v>6040</v>
      </c>
      <c r="CJ75" s="239">
        <v>0</v>
      </c>
      <c r="CK75" s="239">
        <v>0</v>
      </c>
      <c r="CL75" s="239">
        <v>0</v>
      </c>
      <c r="CM75" s="239">
        <v>0</v>
      </c>
      <c r="CN75" s="239">
        <v>0</v>
      </c>
      <c r="CO75" s="239">
        <v>0</v>
      </c>
      <c r="CP75" s="239">
        <v>0</v>
      </c>
      <c r="CQ75" s="239">
        <v>0</v>
      </c>
      <c r="CR75" s="239">
        <v>0</v>
      </c>
      <c r="CS75" s="239">
        <v>0</v>
      </c>
      <c r="CT75" s="239">
        <v>0</v>
      </c>
      <c r="CU75" s="239">
        <v>0</v>
      </c>
      <c r="CV75" s="239">
        <v>0</v>
      </c>
      <c r="CW75" s="239">
        <v>0</v>
      </c>
      <c r="CX75" s="239">
        <v>0</v>
      </c>
      <c r="CY75" s="239">
        <v>0</v>
      </c>
      <c r="CZ75" s="239">
        <v>0</v>
      </c>
      <c r="DA75" s="239">
        <v>0</v>
      </c>
      <c r="DB75" s="239">
        <v>-52328</v>
      </c>
      <c r="DC75" s="239">
        <v>0</v>
      </c>
      <c r="DD75" s="239">
        <v>-52328</v>
      </c>
      <c r="DE75" s="239">
        <v>-7738</v>
      </c>
      <c r="DF75" s="239">
        <v>0</v>
      </c>
      <c r="DG75" s="239">
        <v>-7738</v>
      </c>
      <c r="DH75" s="239">
        <v>0</v>
      </c>
      <c r="DI75" s="239">
        <v>-3043</v>
      </c>
      <c r="DJ75" s="239">
        <v>-233748</v>
      </c>
      <c r="DK75" s="239">
        <v>0</v>
      </c>
      <c r="DL75" s="239">
        <v>-233748</v>
      </c>
      <c r="DM75" s="239">
        <v>0</v>
      </c>
      <c r="DN75" s="239">
        <v>0</v>
      </c>
      <c r="DO75" s="239">
        <v>0</v>
      </c>
      <c r="DP75" s="239">
        <v>0</v>
      </c>
      <c r="DQ75" s="239">
        <v>0</v>
      </c>
      <c r="DR75" s="239">
        <v>0</v>
      </c>
      <c r="DS75" s="239">
        <v>-327</v>
      </c>
      <c r="DT75" s="239">
        <v>0</v>
      </c>
      <c r="DU75" s="239">
        <v>-327</v>
      </c>
      <c r="DV75" s="239">
        <v>-32548</v>
      </c>
      <c r="DW75" s="239">
        <v>0</v>
      </c>
      <c r="DX75" s="239">
        <v>-32548</v>
      </c>
      <c r="DY75" s="239">
        <v>0</v>
      </c>
      <c r="DZ75" s="239">
        <v>0</v>
      </c>
      <c r="EA75" s="239">
        <v>0</v>
      </c>
      <c r="EB75" s="239">
        <v>0</v>
      </c>
      <c r="EC75" s="239">
        <v>0</v>
      </c>
      <c r="ED75" s="239">
        <v>0</v>
      </c>
      <c r="EE75" s="239">
        <v>0</v>
      </c>
      <c r="EF75" s="239">
        <v>0</v>
      </c>
      <c r="EG75" s="239">
        <v>0</v>
      </c>
      <c r="EH75" s="239">
        <v>0</v>
      </c>
      <c r="EI75" s="239">
        <v>0</v>
      </c>
      <c r="EJ75" s="239">
        <v>0</v>
      </c>
      <c r="EK75" s="239">
        <v>0</v>
      </c>
      <c r="EL75" s="239">
        <v>0</v>
      </c>
      <c r="EM75" s="239">
        <v>0</v>
      </c>
      <c r="EN75" s="239">
        <v>0</v>
      </c>
      <c r="EO75" s="239">
        <v>0</v>
      </c>
      <c r="EP75" s="239">
        <v>0</v>
      </c>
      <c r="EQ75" s="239">
        <v>-32875</v>
      </c>
      <c r="ER75" s="239">
        <v>0</v>
      </c>
      <c r="ES75" s="239">
        <v>-32875</v>
      </c>
      <c r="ET75" s="239">
        <v>0</v>
      </c>
      <c r="EU75" s="239">
        <v>0</v>
      </c>
      <c r="EV75" s="239">
        <v>0</v>
      </c>
      <c r="EW75" s="239">
        <v>0</v>
      </c>
      <c r="EX75" s="239">
        <v>0</v>
      </c>
      <c r="EY75" s="239">
        <v>0</v>
      </c>
      <c r="EZ75" s="239">
        <v>0</v>
      </c>
      <c r="FA75" s="239">
        <v>0</v>
      </c>
      <c r="FB75" s="239">
        <v>0</v>
      </c>
      <c r="FC75" s="239">
        <v>137959985</v>
      </c>
      <c r="FD75" s="239">
        <v>0</v>
      </c>
      <c r="FE75" s="239">
        <v>137959985</v>
      </c>
      <c r="FF75" s="239">
        <v>228947</v>
      </c>
      <c r="FG75" s="239">
        <v>0</v>
      </c>
      <c r="FH75" s="239">
        <v>228947</v>
      </c>
      <c r="FI75" s="239">
        <v>-15800722</v>
      </c>
      <c r="FJ75" s="239">
        <v>0</v>
      </c>
      <c r="FK75" s="239">
        <v>-15800722</v>
      </c>
      <c r="FL75" s="239">
        <v>-10104338</v>
      </c>
      <c r="FM75" s="239">
        <v>0</v>
      </c>
      <c r="FN75" s="239">
        <v>-10104338</v>
      </c>
      <c r="FO75" s="239">
        <v>-233748</v>
      </c>
      <c r="FP75" s="239">
        <v>0</v>
      </c>
      <c r="FQ75" s="239">
        <v>-233748</v>
      </c>
      <c r="FR75" s="239">
        <v>-32875</v>
      </c>
      <c r="FS75" s="239">
        <v>0</v>
      </c>
      <c r="FT75" s="239">
        <v>-32875</v>
      </c>
      <c r="FU75" s="239">
        <v>0</v>
      </c>
      <c r="FV75" s="239">
        <v>0</v>
      </c>
      <c r="FW75" s="239">
        <v>0</v>
      </c>
      <c r="FX75" s="239">
        <v>-25942736</v>
      </c>
      <c r="FY75" s="239">
        <v>0</v>
      </c>
      <c r="FZ75" s="239">
        <v>-25942736</v>
      </c>
      <c r="GA75" s="239">
        <v>112017249</v>
      </c>
      <c r="GB75" s="239">
        <v>0</v>
      </c>
      <c r="GC75" s="239">
        <v>112017249</v>
      </c>
      <c r="GD75" s="214" t="s">
        <v>1191</v>
      </c>
    </row>
    <row r="76" spans="1:186" s="214" customFormat="1" x14ac:dyDescent="0.2">
      <c r="B76" s="609" t="s">
        <v>234</v>
      </c>
      <c r="C76" s="609" t="s">
        <v>233</v>
      </c>
      <c r="D76" s="239">
        <v>0</v>
      </c>
      <c r="E76" s="239">
        <v>0</v>
      </c>
      <c r="F76" s="239">
        <v>0</v>
      </c>
      <c r="G76" s="239">
        <v>154825</v>
      </c>
      <c r="H76" s="239">
        <v>0</v>
      </c>
      <c r="I76" s="239">
        <v>154825</v>
      </c>
      <c r="J76" s="239">
        <v>0</v>
      </c>
      <c r="K76" s="239">
        <v>0</v>
      </c>
      <c r="L76" s="239">
        <v>0</v>
      </c>
      <c r="M76" s="239">
        <v>67411</v>
      </c>
      <c r="N76" s="239">
        <v>0</v>
      </c>
      <c r="O76" s="239">
        <v>67411</v>
      </c>
      <c r="P76" s="239">
        <v>222236</v>
      </c>
      <c r="Q76" s="239">
        <v>0</v>
      </c>
      <c r="R76" s="239">
        <v>222236</v>
      </c>
      <c r="S76" s="239">
        <v>-2148895</v>
      </c>
      <c r="T76" s="239">
        <v>0</v>
      </c>
      <c r="U76" s="239">
        <v>-2148895</v>
      </c>
      <c r="V76" s="239">
        <v>0</v>
      </c>
      <c r="W76" s="239">
        <v>0</v>
      </c>
      <c r="X76" s="239">
        <v>0</v>
      </c>
      <c r="Y76" s="239">
        <v>-36367</v>
      </c>
      <c r="Z76" s="239">
        <v>0</v>
      </c>
      <c r="AA76" s="239">
        <v>-36367</v>
      </c>
      <c r="AB76" s="239">
        <v>-26665</v>
      </c>
      <c r="AC76" s="239">
        <v>0</v>
      </c>
      <c r="AD76" s="239">
        <v>-26665</v>
      </c>
      <c r="AE76" s="239">
        <v>0</v>
      </c>
      <c r="AF76" s="239">
        <v>0</v>
      </c>
      <c r="AG76" s="239">
        <v>0</v>
      </c>
      <c r="AH76" s="239">
        <v>1721549</v>
      </c>
      <c r="AI76" s="239">
        <v>0</v>
      </c>
      <c r="AJ76" s="239">
        <v>1721549</v>
      </c>
      <c r="AK76" s="239">
        <v>25451</v>
      </c>
      <c r="AL76" s="239">
        <v>0</v>
      </c>
      <c r="AM76" s="239">
        <v>25451</v>
      </c>
      <c r="AN76" s="239">
        <v>-4362362</v>
      </c>
      <c r="AO76" s="239">
        <v>0</v>
      </c>
      <c r="AP76" s="239">
        <v>-4362362</v>
      </c>
      <c r="AQ76" s="239">
        <v>-250479</v>
      </c>
      <c r="AR76" s="239">
        <v>0</v>
      </c>
      <c r="AS76" s="239">
        <v>-250479</v>
      </c>
      <c r="AT76" s="239">
        <v>-84241</v>
      </c>
      <c r="AU76" s="239">
        <v>0</v>
      </c>
      <c r="AV76" s="239">
        <v>-84241</v>
      </c>
      <c r="AW76" s="239">
        <v>-394</v>
      </c>
      <c r="AX76" s="239">
        <v>0</v>
      </c>
      <c r="AY76" s="239">
        <v>-394</v>
      </c>
      <c r="AZ76" s="239">
        <v>-4125</v>
      </c>
      <c r="BA76" s="239">
        <v>0</v>
      </c>
      <c r="BB76" s="239">
        <v>-4125</v>
      </c>
      <c r="BC76" s="239">
        <v>0</v>
      </c>
      <c r="BD76" s="239">
        <v>0</v>
      </c>
      <c r="BE76" s="239">
        <v>0</v>
      </c>
      <c r="BF76" s="239">
        <v>-5139863</v>
      </c>
      <c r="BG76" s="239">
        <v>0</v>
      </c>
      <c r="BH76" s="239">
        <v>-5139863</v>
      </c>
      <c r="BI76" s="239">
        <v>-143345</v>
      </c>
      <c r="BJ76" s="239">
        <v>0</v>
      </c>
      <c r="BK76" s="239">
        <v>-143345</v>
      </c>
      <c r="BL76" s="239">
        <v>-74802</v>
      </c>
      <c r="BM76" s="239">
        <v>0</v>
      </c>
      <c r="BN76" s="239">
        <v>-74802</v>
      </c>
      <c r="BO76" s="239">
        <v>-1977526</v>
      </c>
      <c r="BP76" s="239">
        <v>0</v>
      </c>
      <c r="BQ76" s="239">
        <v>-1977526</v>
      </c>
      <c r="BR76" s="239">
        <v>-101735</v>
      </c>
      <c r="BS76" s="239">
        <v>0</v>
      </c>
      <c r="BT76" s="239">
        <v>-101735</v>
      </c>
      <c r="BU76" s="239">
        <v>-2297408</v>
      </c>
      <c r="BV76" s="239">
        <v>0</v>
      </c>
      <c r="BW76" s="239">
        <v>-2297408</v>
      </c>
      <c r="BX76" s="239">
        <v>-271091</v>
      </c>
      <c r="BY76" s="239">
        <v>0</v>
      </c>
      <c r="BZ76" s="239">
        <v>-271091</v>
      </c>
      <c r="CA76" s="239">
        <v>-4446</v>
      </c>
      <c r="CB76" s="239">
        <v>0</v>
      </c>
      <c r="CC76" s="239">
        <v>-4446</v>
      </c>
      <c r="CD76" s="239">
        <v>-1851</v>
      </c>
      <c r="CE76" s="239">
        <v>0</v>
      </c>
      <c r="CF76" s="239">
        <v>-1851</v>
      </c>
      <c r="CG76" s="239">
        <v>0</v>
      </c>
      <c r="CH76" s="239">
        <v>0</v>
      </c>
      <c r="CI76" s="239">
        <v>0</v>
      </c>
      <c r="CJ76" s="239">
        <v>0</v>
      </c>
      <c r="CK76" s="239">
        <v>0</v>
      </c>
      <c r="CL76" s="239">
        <v>0</v>
      </c>
      <c r="CM76" s="239">
        <v>0</v>
      </c>
      <c r="CN76" s="239">
        <v>0</v>
      </c>
      <c r="CO76" s="239">
        <v>0</v>
      </c>
      <c r="CP76" s="239">
        <v>-1125</v>
      </c>
      <c r="CQ76" s="239">
        <v>0</v>
      </c>
      <c r="CR76" s="239">
        <v>-1125</v>
      </c>
      <c r="CS76" s="239">
        <v>0</v>
      </c>
      <c r="CT76" s="239">
        <v>0</v>
      </c>
      <c r="CU76" s="239">
        <v>0</v>
      </c>
      <c r="CV76" s="239">
        <v>-888</v>
      </c>
      <c r="CW76" s="239">
        <v>0</v>
      </c>
      <c r="CX76" s="239">
        <v>-888</v>
      </c>
      <c r="CY76" s="239">
        <v>0</v>
      </c>
      <c r="CZ76" s="239">
        <v>0</v>
      </c>
      <c r="DA76" s="239">
        <v>0</v>
      </c>
      <c r="DB76" s="239">
        <v>0</v>
      </c>
      <c r="DC76" s="239">
        <v>0</v>
      </c>
      <c r="DD76" s="239">
        <v>0</v>
      </c>
      <c r="DE76" s="239">
        <v>0</v>
      </c>
      <c r="DF76" s="239">
        <v>0</v>
      </c>
      <c r="DG76" s="239">
        <v>0</v>
      </c>
      <c r="DH76" s="239">
        <v>0</v>
      </c>
      <c r="DI76" s="239">
        <v>0</v>
      </c>
      <c r="DJ76" s="239">
        <v>-279401</v>
      </c>
      <c r="DK76" s="239">
        <v>0</v>
      </c>
      <c r="DL76" s="239">
        <v>-279401</v>
      </c>
      <c r="DM76" s="239">
        <v>-23864</v>
      </c>
      <c r="DN76" s="239">
        <v>0</v>
      </c>
      <c r="DO76" s="239">
        <v>-23864</v>
      </c>
      <c r="DP76" s="239">
        <v>-17938</v>
      </c>
      <c r="DQ76" s="239">
        <v>0</v>
      </c>
      <c r="DR76" s="239">
        <v>-17938</v>
      </c>
      <c r="DS76" s="239">
        <v>-917</v>
      </c>
      <c r="DT76" s="239">
        <v>0</v>
      </c>
      <c r="DU76" s="239">
        <v>-917</v>
      </c>
      <c r="DV76" s="239">
        <v>-7160</v>
      </c>
      <c r="DW76" s="239">
        <v>0</v>
      </c>
      <c r="DX76" s="239">
        <v>-7160</v>
      </c>
      <c r="DY76" s="239">
        <v>0</v>
      </c>
      <c r="DZ76" s="239">
        <v>0</v>
      </c>
      <c r="EA76" s="239">
        <v>0</v>
      </c>
      <c r="EB76" s="239">
        <v>-6754</v>
      </c>
      <c r="EC76" s="239">
        <v>0</v>
      </c>
      <c r="ED76" s="239">
        <v>-6754</v>
      </c>
      <c r="EE76" s="239">
        <v>0</v>
      </c>
      <c r="EF76" s="239">
        <v>0</v>
      </c>
      <c r="EG76" s="239">
        <v>0</v>
      </c>
      <c r="EH76" s="239">
        <v>0</v>
      </c>
      <c r="EI76" s="239">
        <v>0</v>
      </c>
      <c r="EJ76" s="239">
        <v>0</v>
      </c>
      <c r="EK76" s="239">
        <v>0</v>
      </c>
      <c r="EL76" s="239">
        <v>0</v>
      </c>
      <c r="EM76" s="239">
        <v>0</v>
      </c>
      <c r="EN76" s="239">
        <v>0</v>
      </c>
      <c r="EO76" s="239">
        <v>0</v>
      </c>
      <c r="EP76" s="239">
        <v>0</v>
      </c>
      <c r="EQ76" s="239">
        <v>-56633</v>
      </c>
      <c r="ER76" s="239">
        <v>0</v>
      </c>
      <c r="ES76" s="239">
        <v>-56633</v>
      </c>
      <c r="ET76" s="239">
        <v>0</v>
      </c>
      <c r="EU76" s="239">
        <v>0</v>
      </c>
      <c r="EV76" s="239">
        <v>0</v>
      </c>
      <c r="EW76" s="239">
        <v>0</v>
      </c>
      <c r="EX76" s="239">
        <v>0</v>
      </c>
      <c r="EY76" s="239">
        <v>0</v>
      </c>
      <c r="EZ76" s="239">
        <v>0</v>
      </c>
      <c r="FA76" s="239">
        <v>0</v>
      </c>
      <c r="FB76" s="239">
        <v>0</v>
      </c>
      <c r="FC76" s="239">
        <v>70143364</v>
      </c>
      <c r="FD76" s="239">
        <v>0</v>
      </c>
      <c r="FE76" s="239">
        <v>70143364</v>
      </c>
      <c r="FF76" s="239">
        <v>222236</v>
      </c>
      <c r="FG76" s="239">
        <v>0</v>
      </c>
      <c r="FH76" s="239">
        <v>222236</v>
      </c>
      <c r="FI76" s="239">
        <v>-5139863</v>
      </c>
      <c r="FJ76" s="239">
        <v>0</v>
      </c>
      <c r="FK76" s="239">
        <v>-5139863</v>
      </c>
      <c r="FL76" s="239">
        <v>-2297408</v>
      </c>
      <c r="FM76" s="239">
        <v>0</v>
      </c>
      <c r="FN76" s="239">
        <v>-2297408</v>
      </c>
      <c r="FO76" s="239">
        <v>-279401</v>
      </c>
      <c r="FP76" s="239">
        <v>0</v>
      </c>
      <c r="FQ76" s="239">
        <v>-279401</v>
      </c>
      <c r="FR76" s="239">
        <v>-56633</v>
      </c>
      <c r="FS76" s="239">
        <v>0</v>
      </c>
      <c r="FT76" s="239">
        <v>-56633</v>
      </c>
      <c r="FU76" s="239">
        <v>0</v>
      </c>
      <c r="FV76" s="239">
        <v>0</v>
      </c>
      <c r="FW76" s="239">
        <v>0</v>
      </c>
      <c r="FX76" s="239">
        <v>-7551069</v>
      </c>
      <c r="FY76" s="239">
        <v>0</v>
      </c>
      <c r="FZ76" s="239">
        <v>-7551069</v>
      </c>
      <c r="GA76" s="239">
        <v>62592295</v>
      </c>
      <c r="GB76" s="239">
        <v>0</v>
      </c>
      <c r="GC76" s="239">
        <v>62592295</v>
      </c>
      <c r="GD76" s="214" t="s">
        <v>1190</v>
      </c>
    </row>
    <row r="77" spans="1:186" s="214" customFormat="1" x14ac:dyDescent="0.2">
      <c r="B77" s="609" t="s">
        <v>236</v>
      </c>
      <c r="C77" s="609" t="s">
        <v>235</v>
      </c>
      <c r="D77" s="239">
        <v>0</v>
      </c>
      <c r="E77" s="239">
        <v>0</v>
      </c>
      <c r="F77" s="239">
        <v>0</v>
      </c>
      <c r="G77" s="239">
        <v>81817</v>
      </c>
      <c r="H77" s="239">
        <v>0</v>
      </c>
      <c r="I77" s="239">
        <v>81817</v>
      </c>
      <c r="J77" s="239">
        <v>0</v>
      </c>
      <c r="K77" s="239">
        <v>0</v>
      </c>
      <c r="L77" s="239">
        <v>0</v>
      </c>
      <c r="M77" s="239">
        <v>163027</v>
      </c>
      <c r="N77" s="239">
        <v>0</v>
      </c>
      <c r="O77" s="239">
        <v>163027</v>
      </c>
      <c r="P77" s="239">
        <v>244844</v>
      </c>
      <c r="Q77" s="239">
        <v>0</v>
      </c>
      <c r="R77" s="239">
        <v>244844</v>
      </c>
      <c r="S77" s="239">
        <v>-2501244</v>
      </c>
      <c r="T77" s="239">
        <v>-44161</v>
      </c>
      <c r="U77" s="239">
        <v>-2545405</v>
      </c>
      <c r="V77" s="239">
        <v>0</v>
      </c>
      <c r="W77" s="239">
        <v>0</v>
      </c>
      <c r="X77" s="239">
        <v>0</v>
      </c>
      <c r="Y77" s="239">
        <v>-148789</v>
      </c>
      <c r="Z77" s="239">
        <v>-2965</v>
      </c>
      <c r="AA77" s="239">
        <v>-151754</v>
      </c>
      <c r="AB77" s="239">
        <v>-110839</v>
      </c>
      <c r="AC77" s="239">
        <v>-2965</v>
      </c>
      <c r="AD77" s="239">
        <v>-113804</v>
      </c>
      <c r="AE77" s="239">
        <v>0</v>
      </c>
      <c r="AF77" s="239">
        <v>0</v>
      </c>
      <c r="AG77" s="239">
        <v>0</v>
      </c>
      <c r="AH77" s="239">
        <v>962216</v>
      </c>
      <c r="AI77" s="239">
        <v>4481</v>
      </c>
      <c r="AJ77" s="239">
        <v>966697</v>
      </c>
      <c r="AK77" s="239">
        <v>-7223</v>
      </c>
      <c r="AL77" s="239">
        <v>2200</v>
      </c>
      <c r="AM77" s="239">
        <v>-5023</v>
      </c>
      <c r="AN77" s="239">
        <v>-2608709</v>
      </c>
      <c r="AO77" s="239">
        <v>-4016</v>
      </c>
      <c r="AP77" s="239">
        <v>-2612725</v>
      </c>
      <c r="AQ77" s="239">
        <v>14254</v>
      </c>
      <c r="AR77" s="239">
        <v>-689</v>
      </c>
      <c r="AS77" s="239">
        <v>13565</v>
      </c>
      <c r="AT77" s="239">
        <v>-53566</v>
      </c>
      <c r="AU77" s="239">
        <v>0</v>
      </c>
      <c r="AV77" s="239">
        <v>-53566</v>
      </c>
      <c r="AW77" s="239">
        <v>0</v>
      </c>
      <c r="AX77" s="239">
        <v>0</v>
      </c>
      <c r="AY77" s="239">
        <v>0</v>
      </c>
      <c r="AZ77" s="239">
        <v>-335</v>
      </c>
      <c r="BA77" s="239">
        <v>0</v>
      </c>
      <c r="BB77" s="239">
        <v>-335</v>
      </c>
      <c r="BC77" s="239">
        <v>0</v>
      </c>
      <c r="BD77" s="239">
        <v>0</v>
      </c>
      <c r="BE77" s="239">
        <v>0</v>
      </c>
      <c r="BF77" s="239">
        <v>-4343396</v>
      </c>
      <c r="BG77" s="239">
        <v>-45150</v>
      </c>
      <c r="BH77" s="239">
        <v>-4388546</v>
      </c>
      <c r="BI77" s="239">
        <v>-9421</v>
      </c>
      <c r="BJ77" s="239">
        <v>0</v>
      </c>
      <c r="BK77" s="239">
        <v>-9421</v>
      </c>
      <c r="BL77" s="239">
        <v>-24284</v>
      </c>
      <c r="BM77" s="239">
        <v>-2119</v>
      </c>
      <c r="BN77" s="239">
        <v>-26403</v>
      </c>
      <c r="BO77" s="239">
        <v>-1511243</v>
      </c>
      <c r="BP77" s="239">
        <v>-1307</v>
      </c>
      <c r="BQ77" s="239">
        <v>-1512550</v>
      </c>
      <c r="BR77" s="239">
        <v>-117531</v>
      </c>
      <c r="BS77" s="239">
        <v>-580</v>
      </c>
      <c r="BT77" s="239">
        <v>-118111</v>
      </c>
      <c r="BU77" s="239">
        <v>-1662479</v>
      </c>
      <c r="BV77" s="239">
        <v>-4006</v>
      </c>
      <c r="BW77" s="239">
        <v>-1666485</v>
      </c>
      <c r="BX77" s="239">
        <v>-40934</v>
      </c>
      <c r="BY77" s="239">
        <v>0</v>
      </c>
      <c r="BZ77" s="239">
        <v>-40934</v>
      </c>
      <c r="CA77" s="239">
        <v>-1744</v>
      </c>
      <c r="CB77" s="239">
        <v>0</v>
      </c>
      <c r="CC77" s="239">
        <v>-1744</v>
      </c>
      <c r="CD77" s="239">
        <v>0</v>
      </c>
      <c r="CE77" s="239">
        <v>0</v>
      </c>
      <c r="CF77" s="239">
        <v>0</v>
      </c>
      <c r="CG77" s="239">
        <v>0</v>
      </c>
      <c r="CH77" s="239">
        <v>0</v>
      </c>
      <c r="CI77" s="239">
        <v>0</v>
      </c>
      <c r="CJ77" s="239">
        <v>0</v>
      </c>
      <c r="CK77" s="239">
        <v>0</v>
      </c>
      <c r="CL77" s="239">
        <v>0</v>
      </c>
      <c r="CM77" s="239">
        <v>0</v>
      </c>
      <c r="CN77" s="239">
        <v>0</v>
      </c>
      <c r="CO77" s="239">
        <v>0</v>
      </c>
      <c r="CP77" s="239">
        <v>0</v>
      </c>
      <c r="CQ77" s="239">
        <v>0</v>
      </c>
      <c r="CR77" s="239">
        <v>0</v>
      </c>
      <c r="CS77" s="239">
        <v>0</v>
      </c>
      <c r="CT77" s="239">
        <v>0</v>
      </c>
      <c r="CU77" s="239">
        <v>0</v>
      </c>
      <c r="CV77" s="239">
        <v>0</v>
      </c>
      <c r="CW77" s="239">
        <v>0</v>
      </c>
      <c r="CX77" s="239">
        <v>0</v>
      </c>
      <c r="CY77" s="239">
        <v>0</v>
      </c>
      <c r="CZ77" s="239">
        <v>0</v>
      </c>
      <c r="DA77" s="239">
        <v>0</v>
      </c>
      <c r="DB77" s="239">
        <v>0</v>
      </c>
      <c r="DC77" s="239">
        <v>-14298</v>
      </c>
      <c r="DD77" s="239">
        <v>-14298</v>
      </c>
      <c r="DE77" s="239">
        <v>0</v>
      </c>
      <c r="DF77" s="239">
        <v>0</v>
      </c>
      <c r="DG77" s="239">
        <v>0</v>
      </c>
      <c r="DH77" s="239">
        <v>-14298</v>
      </c>
      <c r="DI77" s="239">
        <v>0</v>
      </c>
      <c r="DJ77" s="239">
        <v>-42678</v>
      </c>
      <c r="DK77" s="239">
        <v>-14298</v>
      </c>
      <c r="DL77" s="239">
        <v>-56976</v>
      </c>
      <c r="DM77" s="239">
        <v>-78602</v>
      </c>
      <c r="DN77" s="239">
        <v>-38218</v>
      </c>
      <c r="DO77" s="239">
        <v>-116820</v>
      </c>
      <c r="DP77" s="239">
        <v>-792</v>
      </c>
      <c r="DQ77" s="239">
        <v>-1447</v>
      </c>
      <c r="DR77" s="239">
        <v>-2239</v>
      </c>
      <c r="DS77" s="239">
        <v>-67650</v>
      </c>
      <c r="DT77" s="239">
        <v>0</v>
      </c>
      <c r="DU77" s="239">
        <v>-67650</v>
      </c>
      <c r="DV77" s="239">
        <v>-19095</v>
      </c>
      <c r="DW77" s="239">
        <v>0</v>
      </c>
      <c r="DX77" s="239">
        <v>-19095</v>
      </c>
      <c r="DY77" s="239">
        <v>0</v>
      </c>
      <c r="DZ77" s="239">
        <v>0</v>
      </c>
      <c r="EA77" s="239">
        <v>0</v>
      </c>
      <c r="EB77" s="239">
        <v>-5124</v>
      </c>
      <c r="EC77" s="239">
        <v>0</v>
      </c>
      <c r="ED77" s="239">
        <v>-5124</v>
      </c>
      <c r="EE77" s="239">
        <v>0</v>
      </c>
      <c r="EF77" s="239">
        <v>0</v>
      </c>
      <c r="EG77" s="239">
        <v>0</v>
      </c>
      <c r="EH77" s="239">
        <v>0</v>
      </c>
      <c r="EI77" s="239">
        <v>0</v>
      </c>
      <c r="EJ77" s="239">
        <v>0</v>
      </c>
      <c r="EK77" s="239">
        <v>0</v>
      </c>
      <c r="EL77" s="239">
        <v>0</v>
      </c>
      <c r="EM77" s="239">
        <v>0</v>
      </c>
      <c r="EN77" s="239">
        <v>0</v>
      </c>
      <c r="EO77" s="239">
        <v>0</v>
      </c>
      <c r="EP77" s="239">
        <v>0</v>
      </c>
      <c r="EQ77" s="239">
        <v>-171263</v>
      </c>
      <c r="ER77" s="239">
        <v>-39665</v>
      </c>
      <c r="ES77" s="239">
        <v>-210928</v>
      </c>
      <c r="ET77" s="239">
        <v>0</v>
      </c>
      <c r="EU77" s="239">
        <v>0</v>
      </c>
      <c r="EV77" s="239">
        <v>0</v>
      </c>
      <c r="EW77" s="239">
        <v>0</v>
      </c>
      <c r="EX77" s="239">
        <v>0</v>
      </c>
      <c r="EY77" s="239">
        <v>0</v>
      </c>
      <c r="EZ77" s="239">
        <v>0</v>
      </c>
      <c r="FA77" s="239">
        <v>0</v>
      </c>
      <c r="FB77" s="239">
        <v>0</v>
      </c>
      <c r="FC77" s="239">
        <v>40582692</v>
      </c>
      <c r="FD77" s="239">
        <v>326894</v>
      </c>
      <c r="FE77" s="239">
        <v>40909586</v>
      </c>
      <c r="FF77" s="239">
        <v>244844</v>
      </c>
      <c r="FG77" s="239">
        <v>0</v>
      </c>
      <c r="FH77" s="239">
        <v>244844</v>
      </c>
      <c r="FI77" s="239">
        <v>-4343396</v>
      </c>
      <c r="FJ77" s="239">
        <v>-45150</v>
      </c>
      <c r="FK77" s="239">
        <v>-4388546</v>
      </c>
      <c r="FL77" s="239">
        <v>-1662479</v>
      </c>
      <c r="FM77" s="239">
        <v>-4006</v>
      </c>
      <c r="FN77" s="239">
        <v>-1666485</v>
      </c>
      <c r="FO77" s="239">
        <v>-42678</v>
      </c>
      <c r="FP77" s="239">
        <v>-14298</v>
      </c>
      <c r="FQ77" s="239">
        <v>-56976</v>
      </c>
      <c r="FR77" s="239">
        <v>-171263</v>
      </c>
      <c r="FS77" s="239">
        <v>-39665</v>
      </c>
      <c r="FT77" s="239">
        <v>-210928</v>
      </c>
      <c r="FU77" s="239">
        <v>0</v>
      </c>
      <c r="FV77" s="239">
        <v>0</v>
      </c>
      <c r="FW77" s="239">
        <v>0</v>
      </c>
      <c r="FX77" s="239">
        <v>-5974972</v>
      </c>
      <c r="FY77" s="239">
        <v>-103119</v>
      </c>
      <c r="FZ77" s="239">
        <v>-6078091</v>
      </c>
      <c r="GA77" s="239">
        <v>34607720</v>
      </c>
      <c r="GB77" s="239">
        <v>223775</v>
      </c>
      <c r="GC77" s="239">
        <v>34831495</v>
      </c>
      <c r="GD77" s="214" t="s">
        <v>747</v>
      </c>
    </row>
    <row r="78" spans="1:186" s="214" customFormat="1" x14ac:dyDescent="0.2">
      <c r="B78" s="609" t="s">
        <v>238</v>
      </c>
      <c r="C78" s="609" t="s">
        <v>237</v>
      </c>
      <c r="D78" s="239">
        <v>0</v>
      </c>
      <c r="E78" s="239">
        <v>0</v>
      </c>
      <c r="F78" s="239">
        <v>0</v>
      </c>
      <c r="G78" s="239">
        <v>37112</v>
      </c>
      <c r="H78" s="239">
        <v>0</v>
      </c>
      <c r="I78" s="239">
        <v>37112</v>
      </c>
      <c r="J78" s="239">
        <v>0</v>
      </c>
      <c r="K78" s="239">
        <v>0</v>
      </c>
      <c r="L78" s="239">
        <v>0</v>
      </c>
      <c r="M78" s="239">
        <v>55780</v>
      </c>
      <c r="N78" s="239">
        <v>0</v>
      </c>
      <c r="O78" s="239">
        <v>55780</v>
      </c>
      <c r="P78" s="239">
        <v>92892</v>
      </c>
      <c r="Q78" s="239">
        <v>0</v>
      </c>
      <c r="R78" s="239">
        <v>92892</v>
      </c>
      <c r="S78" s="239">
        <v>-1509070</v>
      </c>
      <c r="T78" s="239">
        <v>0</v>
      </c>
      <c r="U78" s="239">
        <v>-1509070</v>
      </c>
      <c r="V78" s="239">
        <v>-4837</v>
      </c>
      <c r="W78" s="239">
        <v>0</v>
      </c>
      <c r="X78" s="239">
        <v>-4837</v>
      </c>
      <c r="Y78" s="239">
        <v>-92405</v>
      </c>
      <c r="Z78" s="239">
        <v>0</v>
      </c>
      <c r="AA78" s="239">
        <v>-92405</v>
      </c>
      <c r="AB78" s="239">
        <v>-80428</v>
      </c>
      <c r="AC78" s="239">
        <v>0</v>
      </c>
      <c r="AD78" s="239">
        <v>-80428</v>
      </c>
      <c r="AE78" s="239">
        <v>5</v>
      </c>
      <c r="AF78" s="239">
        <v>0</v>
      </c>
      <c r="AG78" s="239">
        <v>5</v>
      </c>
      <c r="AH78" s="239">
        <v>2403648</v>
      </c>
      <c r="AI78" s="239">
        <v>0</v>
      </c>
      <c r="AJ78" s="239">
        <v>2403648</v>
      </c>
      <c r="AK78" s="239">
        <v>-29143</v>
      </c>
      <c r="AL78" s="239">
        <v>0</v>
      </c>
      <c r="AM78" s="239">
        <v>-29143</v>
      </c>
      <c r="AN78" s="239">
        <v>-2796576</v>
      </c>
      <c r="AO78" s="239">
        <v>0</v>
      </c>
      <c r="AP78" s="239">
        <v>-2796576</v>
      </c>
      <c r="AQ78" s="239">
        <v>-48343</v>
      </c>
      <c r="AR78" s="239">
        <v>0</v>
      </c>
      <c r="AS78" s="239">
        <v>-48343</v>
      </c>
      <c r="AT78" s="239">
        <v>-52257</v>
      </c>
      <c r="AU78" s="239">
        <v>0</v>
      </c>
      <c r="AV78" s="239">
        <v>-52257</v>
      </c>
      <c r="AW78" s="239">
        <v>0</v>
      </c>
      <c r="AX78" s="239">
        <v>0</v>
      </c>
      <c r="AY78" s="239">
        <v>0</v>
      </c>
      <c r="AZ78" s="239">
        <v>0</v>
      </c>
      <c r="BA78" s="239">
        <v>0</v>
      </c>
      <c r="BB78" s="239">
        <v>0</v>
      </c>
      <c r="BC78" s="239">
        <v>0</v>
      </c>
      <c r="BD78" s="239">
        <v>0</v>
      </c>
      <c r="BE78" s="239">
        <v>0</v>
      </c>
      <c r="BF78" s="239">
        <v>-2124146</v>
      </c>
      <c r="BG78" s="239">
        <v>0</v>
      </c>
      <c r="BH78" s="239">
        <v>-2124146</v>
      </c>
      <c r="BI78" s="239">
        <v>-95630</v>
      </c>
      <c r="BJ78" s="239">
        <v>0</v>
      </c>
      <c r="BK78" s="239">
        <v>-95630</v>
      </c>
      <c r="BL78" s="239">
        <v>303</v>
      </c>
      <c r="BM78" s="239">
        <v>0</v>
      </c>
      <c r="BN78" s="239">
        <v>303</v>
      </c>
      <c r="BO78" s="239">
        <v>-2074603</v>
      </c>
      <c r="BP78" s="239">
        <v>0</v>
      </c>
      <c r="BQ78" s="239">
        <v>-2074603</v>
      </c>
      <c r="BR78" s="239">
        <v>59523</v>
      </c>
      <c r="BS78" s="239">
        <v>0</v>
      </c>
      <c r="BT78" s="239">
        <v>59523</v>
      </c>
      <c r="BU78" s="239">
        <v>-2110407</v>
      </c>
      <c r="BV78" s="239">
        <v>0</v>
      </c>
      <c r="BW78" s="239">
        <v>-2110407</v>
      </c>
      <c r="BX78" s="239">
        <v>-39964</v>
      </c>
      <c r="BY78" s="239">
        <v>0</v>
      </c>
      <c r="BZ78" s="239">
        <v>-39964</v>
      </c>
      <c r="CA78" s="239">
        <v>-462</v>
      </c>
      <c r="CB78" s="239">
        <v>0</v>
      </c>
      <c r="CC78" s="239">
        <v>-462</v>
      </c>
      <c r="CD78" s="239">
        <v>-134053</v>
      </c>
      <c r="CE78" s="239">
        <v>0</v>
      </c>
      <c r="CF78" s="239">
        <v>-134053</v>
      </c>
      <c r="CG78" s="239">
        <v>-17198</v>
      </c>
      <c r="CH78" s="239">
        <v>0</v>
      </c>
      <c r="CI78" s="239">
        <v>-17198</v>
      </c>
      <c r="CJ78" s="239">
        <v>-8051</v>
      </c>
      <c r="CK78" s="239">
        <v>0</v>
      </c>
      <c r="CL78" s="239">
        <v>-8051</v>
      </c>
      <c r="CM78" s="239">
        <v>0</v>
      </c>
      <c r="CN78" s="239">
        <v>0</v>
      </c>
      <c r="CO78" s="239">
        <v>0</v>
      </c>
      <c r="CP78" s="239">
        <v>0</v>
      </c>
      <c r="CQ78" s="239">
        <v>0</v>
      </c>
      <c r="CR78" s="239">
        <v>0</v>
      </c>
      <c r="CS78" s="239">
        <v>0</v>
      </c>
      <c r="CT78" s="239">
        <v>0</v>
      </c>
      <c r="CU78" s="239">
        <v>0</v>
      </c>
      <c r="CV78" s="239">
        <v>-2319</v>
      </c>
      <c r="CW78" s="239">
        <v>0</v>
      </c>
      <c r="CX78" s="239">
        <v>-2319</v>
      </c>
      <c r="CY78" s="239">
        <v>0</v>
      </c>
      <c r="CZ78" s="239">
        <v>0</v>
      </c>
      <c r="DA78" s="239">
        <v>0</v>
      </c>
      <c r="DB78" s="239">
        <v>-2500</v>
      </c>
      <c r="DC78" s="239">
        <v>0</v>
      </c>
      <c r="DD78" s="239">
        <v>-2500</v>
      </c>
      <c r="DE78" s="239">
        <v>0</v>
      </c>
      <c r="DF78" s="239">
        <v>0</v>
      </c>
      <c r="DG78" s="239">
        <v>0</v>
      </c>
      <c r="DH78" s="239">
        <v>0</v>
      </c>
      <c r="DI78" s="239">
        <v>0</v>
      </c>
      <c r="DJ78" s="239">
        <v>-204547</v>
      </c>
      <c r="DK78" s="239">
        <v>0</v>
      </c>
      <c r="DL78" s="239">
        <v>-204547</v>
      </c>
      <c r="DM78" s="239">
        <v>0</v>
      </c>
      <c r="DN78" s="239">
        <v>0</v>
      </c>
      <c r="DO78" s="239">
        <v>0</v>
      </c>
      <c r="DP78" s="239">
        <v>0</v>
      </c>
      <c r="DQ78" s="239">
        <v>0</v>
      </c>
      <c r="DR78" s="239">
        <v>0</v>
      </c>
      <c r="DS78" s="239">
        <v>-1903</v>
      </c>
      <c r="DT78" s="239">
        <v>0</v>
      </c>
      <c r="DU78" s="239">
        <v>-1903</v>
      </c>
      <c r="DV78" s="239">
        <v>267</v>
      </c>
      <c r="DW78" s="239">
        <v>0</v>
      </c>
      <c r="DX78" s="239">
        <v>267</v>
      </c>
      <c r="DY78" s="239">
        <v>0</v>
      </c>
      <c r="DZ78" s="239">
        <v>0</v>
      </c>
      <c r="EA78" s="239">
        <v>0</v>
      </c>
      <c r="EB78" s="239">
        <v>5918</v>
      </c>
      <c r="EC78" s="239">
        <v>0</v>
      </c>
      <c r="ED78" s="239">
        <v>5918</v>
      </c>
      <c r="EE78" s="239">
        <v>0</v>
      </c>
      <c r="EF78" s="239">
        <v>0</v>
      </c>
      <c r="EG78" s="239">
        <v>0</v>
      </c>
      <c r="EH78" s="239">
        <v>0</v>
      </c>
      <c r="EI78" s="239">
        <v>0</v>
      </c>
      <c r="EJ78" s="239">
        <v>0</v>
      </c>
      <c r="EK78" s="239">
        <v>-122</v>
      </c>
      <c r="EL78" s="239">
        <v>0</v>
      </c>
      <c r="EM78" s="239">
        <v>-122</v>
      </c>
      <c r="EN78" s="239">
        <v>0</v>
      </c>
      <c r="EO78" s="239">
        <v>0</v>
      </c>
      <c r="EP78" s="239">
        <v>0</v>
      </c>
      <c r="EQ78" s="239">
        <v>4160</v>
      </c>
      <c r="ER78" s="239">
        <v>0</v>
      </c>
      <c r="ES78" s="239">
        <v>4160</v>
      </c>
      <c r="ET78" s="239">
        <v>0</v>
      </c>
      <c r="EU78" s="239">
        <v>0</v>
      </c>
      <c r="EV78" s="239">
        <v>0</v>
      </c>
      <c r="EW78" s="239">
        <v>0</v>
      </c>
      <c r="EX78" s="239">
        <v>0</v>
      </c>
      <c r="EY78" s="239">
        <v>0</v>
      </c>
      <c r="EZ78" s="239">
        <v>0</v>
      </c>
      <c r="FA78" s="239">
        <v>0</v>
      </c>
      <c r="FB78" s="239">
        <v>0</v>
      </c>
      <c r="FC78" s="239">
        <v>93443531</v>
      </c>
      <c r="FD78" s="239">
        <v>0</v>
      </c>
      <c r="FE78" s="239">
        <v>93443531</v>
      </c>
      <c r="FF78" s="239">
        <v>92892</v>
      </c>
      <c r="FG78" s="239">
        <v>0</v>
      </c>
      <c r="FH78" s="239">
        <v>92892</v>
      </c>
      <c r="FI78" s="239">
        <v>-2124146</v>
      </c>
      <c r="FJ78" s="239">
        <v>0</v>
      </c>
      <c r="FK78" s="239">
        <v>-2124146</v>
      </c>
      <c r="FL78" s="239">
        <v>-2110407</v>
      </c>
      <c r="FM78" s="239">
        <v>0</v>
      </c>
      <c r="FN78" s="239">
        <v>-2110407</v>
      </c>
      <c r="FO78" s="239">
        <v>-204547</v>
      </c>
      <c r="FP78" s="239">
        <v>0</v>
      </c>
      <c r="FQ78" s="239">
        <v>-204547</v>
      </c>
      <c r="FR78" s="239">
        <v>4160</v>
      </c>
      <c r="FS78" s="239">
        <v>0</v>
      </c>
      <c r="FT78" s="239">
        <v>4160</v>
      </c>
      <c r="FU78" s="239">
        <v>0</v>
      </c>
      <c r="FV78" s="239">
        <v>0</v>
      </c>
      <c r="FW78" s="239">
        <v>0</v>
      </c>
      <c r="FX78" s="239">
        <v>-4342048</v>
      </c>
      <c r="FY78" s="239">
        <v>0</v>
      </c>
      <c r="FZ78" s="239">
        <v>-4342048</v>
      </c>
      <c r="GA78" s="239">
        <v>89101483</v>
      </c>
      <c r="GB78" s="239">
        <v>0</v>
      </c>
      <c r="GC78" s="239">
        <v>89101483</v>
      </c>
      <c r="GD78" s="214" t="s">
        <v>1190</v>
      </c>
    </row>
    <row r="79" spans="1:186" s="214" customFormat="1" x14ac:dyDescent="0.2">
      <c r="B79" s="609" t="s">
        <v>240</v>
      </c>
      <c r="C79" s="609" t="s">
        <v>239</v>
      </c>
      <c r="D79" s="239">
        <v>0</v>
      </c>
      <c r="E79" s="239">
        <v>0</v>
      </c>
      <c r="F79" s="239">
        <v>0</v>
      </c>
      <c r="G79" s="239">
        <v>29363</v>
      </c>
      <c r="H79" s="239">
        <v>0</v>
      </c>
      <c r="I79" s="239">
        <v>29363</v>
      </c>
      <c r="J79" s="239">
        <v>0</v>
      </c>
      <c r="K79" s="239">
        <v>0</v>
      </c>
      <c r="L79" s="239">
        <v>0</v>
      </c>
      <c r="M79" s="239">
        <v>10596</v>
      </c>
      <c r="N79" s="239">
        <v>0</v>
      </c>
      <c r="O79" s="239">
        <v>10596</v>
      </c>
      <c r="P79" s="239">
        <v>39959</v>
      </c>
      <c r="Q79" s="239">
        <v>0</v>
      </c>
      <c r="R79" s="239">
        <v>39959</v>
      </c>
      <c r="S79" s="239">
        <v>-1789296</v>
      </c>
      <c r="T79" s="239">
        <v>0</v>
      </c>
      <c r="U79" s="239">
        <v>-1789296</v>
      </c>
      <c r="V79" s="239">
        <v>0</v>
      </c>
      <c r="W79" s="239">
        <v>0</v>
      </c>
      <c r="X79" s="239">
        <v>0</v>
      </c>
      <c r="Y79" s="239">
        <v>-33815</v>
      </c>
      <c r="Z79" s="239">
        <v>0</v>
      </c>
      <c r="AA79" s="239">
        <v>-33815</v>
      </c>
      <c r="AB79" s="239">
        <v>-33815</v>
      </c>
      <c r="AC79" s="239">
        <v>0</v>
      </c>
      <c r="AD79" s="239">
        <v>-33815</v>
      </c>
      <c r="AE79" s="239">
        <v>0</v>
      </c>
      <c r="AF79" s="239">
        <v>0</v>
      </c>
      <c r="AG79" s="239">
        <v>0</v>
      </c>
      <c r="AH79" s="239">
        <v>1198941</v>
      </c>
      <c r="AI79" s="239">
        <v>0</v>
      </c>
      <c r="AJ79" s="239">
        <v>1198941</v>
      </c>
      <c r="AK79" s="239">
        <v>-10129</v>
      </c>
      <c r="AL79" s="239">
        <v>0</v>
      </c>
      <c r="AM79" s="239">
        <v>-10129</v>
      </c>
      <c r="AN79" s="239">
        <v>-1769794</v>
      </c>
      <c r="AO79" s="239">
        <v>0</v>
      </c>
      <c r="AP79" s="239">
        <v>-1769794</v>
      </c>
      <c r="AQ79" s="239">
        <v>47334</v>
      </c>
      <c r="AR79" s="239">
        <v>0</v>
      </c>
      <c r="AS79" s="239">
        <v>47334</v>
      </c>
      <c r="AT79" s="239">
        <v>-36788</v>
      </c>
      <c r="AU79" s="239">
        <v>0</v>
      </c>
      <c r="AV79" s="239">
        <v>-36788</v>
      </c>
      <c r="AW79" s="239">
        <v>-34</v>
      </c>
      <c r="AX79" s="239">
        <v>0</v>
      </c>
      <c r="AY79" s="239">
        <v>-34</v>
      </c>
      <c r="AZ79" s="239">
        <v>-40093</v>
      </c>
      <c r="BA79" s="239">
        <v>0</v>
      </c>
      <c r="BB79" s="239">
        <v>-40093</v>
      </c>
      <c r="BC79" s="239">
        <v>2100</v>
      </c>
      <c r="BD79" s="239">
        <v>0</v>
      </c>
      <c r="BE79" s="239">
        <v>2100</v>
      </c>
      <c r="BF79" s="239">
        <v>-2431574</v>
      </c>
      <c r="BG79" s="239">
        <v>0</v>
      </c>
      <c r="BH79" s="239">
        <v>-2431574</v>
      </c>
      <c r="BI79" s="239">
        <v>-264034</v>
      </c>
      <c r="BJ79" s="239">
        <v>0</v>
      </c>
      <c r="BK79" s="239">
        <v>-264034</v>
      </c>
      <c r="BL79" s="239">
        <v>-6103</v>
      </c>
      <c r="BM79" s="239">
        <v>0</v>
      </c>
      <c r="BN79" s="239">
        <v>-6103</v>
      </c>
      <c r="BO79" s="239">
        <v>-1230100</v>
      </c>
      <c r="BP79" s="239">
        <v>0</v>
      </c>
      <c r="BQ79" s="239">
        <v>-1230100</v>
      </c>
      <c r="BR79" s="239">
        <v>-196606</v>
      </c>
      <c r="BS79" s="239">
        <v>0</v>
      </c>
      <c r="BT79" s="239">
        <v>-196606</v>
      </c>
      <c r="BU79" s="239">
        <v>-1696843</v>
      </c>
      <c r="BV79" s="239">
        <v>0</v>
      </c>
      <c r="BW79" s="239">
        <v>-1696843</v>
      </c>
      <c r="BX79" s="239">
        <v>-40185</v>
      </c>
      <c r="BY79" s="239">
        <v>0</v>
      </c>
      <c r="BZ79" s="239">
        <v>-40185</v>
      </c>
      <c r="CA79" s="239">
        <v>1379</v>
      </c>
      <c r="CB79" s="239">
        <v>0</v>
      </c>
      <c r="CC79" s="239">
        <v>1379</v>
      </c>
      <c r="CD79" s="239">
        <v>-12709</v>
      </c>
      <c r="CE79" s="239">
        <v>0</v>
      </c>
      <c r="CF79" s="239">
        <v>-12709</v>
      </c>
      <c r="CG79" s="239">
        <v>0</v>
      </c>
      <c r="CH79" s="239">
        <v>0</v>
      </c>
      <c r="CI79" s="239">
        <v>0</v>
      </c>
      <c r="CJ79" s="239">
        <v>-393</v>
      </c>
      <c r="CK79" s="239">
        <v>0</v>
      </c>
      <c r="CL79" s="239">
        <v>-393</v>
      </c>
      <c r="CM79" s="239">
        <v>0</v>
      </c>
      <c r="CN79" s="239">
        <v>0</v>
      </c>
      <c r="CO79" s="239">
        <v>0</v>
      </c>
      <c r="CP79" s="239">
        <v>-7748</v>
      </c>
      <c r="CQ79" s="239">
        <v>0</v>
      </c>
      <c r="CR79" s="239">
        <v>-7748</v>
      </c>
      <c r="CS79" s="239">
        <v>0</v>
      </c>
      <c r="CT79" s="239">
        <v>0</v>
      </c>
      <c r="CU79" s="239">
        <v>0</v>
      </c>
      <c r="CV79" s="239">
        <v>0</v>
      </c>
      <c r="CW79" s="239">
        <v>0</v>
      </c>
      <c r="CX79" s="239">
        <v>0</v>
      </c>
      <c r="CY79" s="239">
        <v>0</v>
      </c>
      <c r="CZ79" s="239">
        <v>0</v>
      </c>
      <c r="DA79" s="239">
        <v>0</v>
      </c>
      <c r="DB79" s="239">
        <v>0</v>
      </c>
      <c r="DC79" s="239">
        <v>0</v>
      </c>
      <c r="DD79" s="239">
        <v>0</v>
      </c>
      <c r="DE79" s="239">
        <v>0</v>
      </c>
      <c r="DF79" s="239">
        <v>0</v>
      </c>
      <c r="DG79" s="239">
        <v>0</v>
      </c>
      <c r="DH79" s="239">
        <v>0</v>
      </c>
      <c r="DI79" s="239">
        <v>0</v>
      </c>
      <c r="DJ79" s="239">
        <v>-59656</v>
      </c>
      <c r="DK79" s="239">
        <v>0</v>
      </c>
      <c r="DL79" s="239">
        <v>-59656</v>
      </c>
      <c r="DM79" s="239">
        <v>0</v>
      </c>
      <c r="DN79" s="239">
        <v>0</v>
      </c>
      <c r="DO79" s="239">
        <v>0</v>
      </c>
      <c r="DP79" s="239">
        <v>0</v>
      </c>
      <c r="DQ79" s="239">
        <v>0</v>
      </c>
      <c r="DR79" s="239">
        <v>0</v>
      </c>
      <c r="DS79" s="239">
        <v>0</v>
      </c>
      <c r="DT79" s="239">
        <v>0</v>
      </c>
      <c r="DU79" s="239">
        <v>0</v>
      </c>
      <c r="DV79" s="239">
        <v>0</v>
      </c>
      <c r="DW79" s="239">
        <v>0</v>
      </c>
      <c r="DX79" s="239">
        <v>0</v>
      </c>
      <c r="DY79" s="239">
        <v>0</v>
      </c>
      <c r="DZ79" s="239">
        <v>0</v>
      </c>
      <c r="EA79" s="239">
        <v>0</v>
      </c>
      <c r="EB79" s="239">
        <v>80</v>
      </c>
      <c r="EC79" s="239">
        <v>0</v>
      </c>
      <c r="ED79" s="239">
        <v>80</v>
      </c>
      <c r="EE79" s="239">
        <v>0</v>
      </c>
      <c r="EF79" s="239">
        <v>0</v>
      </c>
      <c r="EG79" s="239">
        <v>0</v>
      </c>
      <c r="EH79" s="239">
        <v>0</v>
      </c>
      <c r="EI79" s="239">
        <v>0</v>
      </c>
      <c r="EJ79" s="239">
        <v>0</v>
      </c>
      <c r="EK79" s="239">
        <v>0</v>
      </c>
      <c r="EL79" s="239">
        <v>0</v>
      </c>
      <c r="EM79" s="239">
        <v>0</v>
      </c>
      <c r="EN79" s="239">
        <v>322</v>
      </c>
      <c r="EO79" s="239">
        <v>0</v>
      </c>
      <c r="EP79" s="239">
        <v>322</v>
      </c>
      <c r="EQ79" s="239">
        <v>402</v>
      </c>
      <c r="ER79" s="239">
        <v>0</v>
      </c>
      <c r="ES79" s="239">
        <v>402</v>
      </c>
      <c r="ET79" s="239">
        <v>0</v>
      </c>
      <c r="EU79" s="239">
        <v>0</v>
      </c>
      <c r="EV79" s="239">
        <v>0</v>
      </c>
      <c r="EW79" s="239">
        <v>0</v>
      </c>
      <c r="EX79" s="239">
        <v>0</v>
      </c>
      <c r="EY79" s="239">
        <v>0</v>
      </c>
      <c r="EZ79" s="239">
        <v>0</v>
      </c>
      <c r="FA79" s="239">
        <v>0</v>
      </c>
      <c r="FB79" s="239">
        <v>0</v>
      </c>
      <c r="FC79" s="239">
        <v>49596870</v>
      </c>
      <c r="FD79" s="239">
        <v>0</v>
      </c>
      <c r="FE79" s="239">
        <v>49596870</v>
      </c>
      <c r="FF79" s="239">
        <v>39959</v>
      </c>
      <c r="FG79" s="239">
        <v>0</v>
      </c>
      <c r="FH79" s="239">
        <v>39959</v>
      </c>
      <c r="FI79" s="239">
        <v>-2431574</v>
      </c>
      <c r="FJ79" s="239">
        <v>0</v>
      </c>
      <c r="FK79" s="239">
        <v>-2431574</v>
      </c>
      <c r="FL79" s="239">
        <v>-1696843</v>
      </c>
      <c r="FM79" s="239">
        <v>0</v>
      </c>
      <c r="FN79" s="239">
        <v>-1696843</v>
      </c>
      <c r="FO79" s="239">
        <v>-59656</v>
      </c>
      <c r="FP79" s="239">
        <v>0</v>
      </c>
      <c r="FQ79" s="239">
        <v>-59656</v>
      </c>
      <c r="FR79" s="239">
        <v>402</v>
      </c>
      <c r="FS79" s="239">
        <v>0</v>
      </c>
      <c r="FT79" s="239">
        <v>402</v>
      </c>
      <c r="FU79" s="239">
        <v>0</v>
      </c>
      <c r="FV79" s="239">
        <v>0</v>
      </c>
      <c r="FW79" s="239">
        <v>0</v>
      </c>
      <c r="FX79" s="239">
        <v>-4147712</v>
      </c>
      <c r="FY79" s="239">
        <v>0</v>
      </c>
      <c r="FZ79" s="239">
        <v>-4147712</v>
      </c>
      <c r="GA79" s="239">
        <v>45449158</v>
      </c>
      <c r="GB79" s="239">
        <v>0</v>
      </c>
      <c r="GC79" s="239">
        <v>45449158</v>
      </c>
      <c r="GD79" s="214" t="s">
        <v>1190</v>
      </c>
    </row>
    <row r="80" spans="1:186" s="214" customFormat="1" x14ac:dyDescent="0.2">
      <c r="B80" s="609" t="s">
        <v>242</v>
      </c>
      <c r="C80" s="609" t="s">
        <v>241</v>
      </c>
      <c r="D80" s="239">
        <v>0</v>
      </c>
      <c r="E80" s="239">
        <v>0</v>
      </c>
      <c r="F80" s="239">
        <v>0</v>
      </c>
      <c r="G80" s="239">
        <v>81858</v>
      </c>
      <c r="H80" s="239">
        <v>0</v>
      </c>
      <c r="I80" s="239">
        <v>81858</v>
      </c>
      <c r="J80" s="239">
        <v>0</v>
      </c>
      <c r="K80" s="239">
        <v>0</v>
      </c>
      <c r="L80" s="239">
        <v>0</v>
      </c>
      <c r="M80" s="239">
        <v>68171</v>
      </c>
      <c r="N80" s="239">
        <v>0</v>
      </c>
      <c r="O80" s="239">
        <v>68171</v>
      </c>
      <c r="P80" s="239">
        <v>150029</v>
      </c>
      <c r="Q80" s="239">
        <v>0</v>
      </c>
      <c r="R80" s="239">
        <v>150029</v>
      </c>
      <c r="S80" s="239">
        <v>-4392211</v>
      </c>
      <c r="T80" s="239">
        <v>-3086</v>
      </c>
      <c r="U80" s="239">
        <v>-4395297</v>
      </c>
      <c r="V80" s="239">
        <v>0</v>
      </c>
      <c r="W80" s="239">
        <v>0</v>
      </c>
      <c r="X80" s="239">
        <v>0</v>
      </c>
      <c r="Y80" s="239">
        <v>-82845</v>
      </c>
      <c r="Z80" s="239">
        <v>0</v>
      </c>
      <c r="AA80" s="239">
        <v>-82845</v>
      </c>
      <c r="AB80" s="239">
        <v>-67952</v>
      </c>
      <c r="AC80" s="239">
        <v>0</v>
      </c>
      <c r="AD80" s="239">
        <v>-67952</v>
      </c>
      <c r="AE80" s="239">
        <v>0</v>
      </c>
      <c r="AF80" s="239">
        <v>0</v>
      </c>
      <c r="AG80" s="239">
        <v>0</v>
      </c>
      <c r="AH80" s="239">
        <v>2460193</v>
      </c>
      <c r="AI80" s="239">
        <v>854</v>
      </c>
      <c r="AJ80" s="239">
        <v>2461047</v>
      </c>
      <c r="AK80" s="239">
        <v>-76187</v>
      </c>
      <c r="AL80" s="239">
        <v>0</v>
      </c>
      <c r="AM80" s="239">
        <v>-76187</v>
      </c>
      <c r="AN80" s="239">
        <v>-5802038</v>
      </c>
      <c r="AO80" s="239">
        <v>0</v>
      </c>
      <c r="AP80" s="239">
        <v>-5802038</v>
      </c>
      <c r="AQ80" s="239">
        <v>84042</v>
      </c>
      <c r="AR80" s="239">
        <v>0</v>
      </c>
      <c r="AS80" s="239">
        <v>84042</v>
      </c>
      <c r="AT80" s="239">
        <v>-37096</v>
      </c>
      <c r="AU80" s="239">
        <v>0</v>
      </c>
      <c r="AV80" s="239">
        <v>-37096</v>
      </c>
      <c r="AW80" s="239">
        <v>0</v>
      </c>
      <c r="AX80" s="239">
        <v>0</v>
      </c>
      <c r="AY80" s="239">
        <v>0</v>
      </c>
      <c r="AZ80" s="239">
        <v>0</v>
      </c>
      <c r="BA80" s="239">
        <v>0</v>
      </c>
      <c r="BB80" s="239">
        <v>0</v>
      </c>
      <c r="BC80" s="239">
        <v>0</v>
      </c>
      <c r="BD80" s="239">
        <v>0</v>
      </c>
      <c r="BE80" s="239">
        <v>0</v>
      </c>
      <c r="BF80" s="239">
        <v>-7846142</v>
      </c>
      <c r="BG80" s="239">
        <v>-2232</v>
      </c>
      <c r="BH80" s="239">
        <v>-7848374</v>
      </c>
      <c r="BI80" s="239">
        <v>-303138</v>
      </c>
      <c r="BJ80" s="239">
        <v>0</v>
      </c>
      <c r="BK80" s="239">
        <v>-303138</v>
      </c>
      <c r="BL80" s="239">
        <v>44240</v>
      </c>
      <c r="BM80" s="239">
        <v>0</v>
      </c>
      <c r="BN80" s="239">
        <v>44240</v>
      </c>
      <c r="BO80" s="239">
        <v>-2840323</v>
      </c>
      <c r="BP80" s="239">
        <v>-797</v>
      </c>
      <c r="BQ80" s="239">
        <v>-2841120</v>
      </c>
      <c r="BR80" s="239">
        <v>-259396</v>
      </c>
      <c r="BS80" s="239">
        <v>0</v>
      </c>
      <c r="BT80" s="239">
        <v>-259396</v>
      </c>
      <c r="BU80" s="239">
        <v>-3358617</v>
      </c>
      <c r="BV80" s="239">
        <v>-797</v>
      </c>
      <c r="BW80" s="239">
        <v>-3359414</v>
      </c>
      <c r="BX80" s="239">
        <v>-65364</v>
      </c>
      <c r="BY80" s="239">
        <v>0</v>
      </c>
      <c r="BZ80" s="239">
        <v>-65364</v>
      </c>
      <c r="CA80" s="239">
        <v>-77</v>
      </c>
      <c r="CB80" s="239">
        <v>0</v>
      </c>
      <c r="CC80" s="239">
        <v>-77</v>
      </c>
      <c r="CD80" s="239">
        <v>-166370</v>
      </c>
      <c r="CE80" s="239">
        <v>0</v>
      </c>
      <c r="CF80" s="239">
        <v>-166370</v>
      </c>
      <c r="CG80" s="239">
        <v>-570</v>
      </c>
      <c r="CH80" s="239">
        <v>0</v>
      </c>
      <c r="CI80" s="239">
        <v>-570</v>
      </c>
      <c r="CJ80" s="239">
        <v>-8697</v>
      </c>
      <c r="CK80" s="239">
        <v>0</v>
      </c>
      <c r="CL80" s="239">
        <v>-8697</v>
      </c>
      <c r="CM80" s="239">
        <v>0</v>
      </c>
      <c r="CN80" s="239">
        <v>0</v>
      </c>
      <c r="CO80" s="239">
        <v>0</v>
      </c>
      <c r="CP80" s="239">
        <v>0</v>
      </c>
      <c r="CQ80" s="239">
        <v>0</v>
      </c>
      <c r="CR80" s="239">
        <v>0</v>
      </c>
      <c r="CS80" s="239">
        <v>0</v>
      </c>
      <c r="CT80" s="239">
        <v>0</v>
      </c>
      <c r="CU80" s="239">
        <v>0</v>
      </c>
      <c r="CV80" s="239">
        <v>0</v>
      </c>
      <c r="CW80" s="239">
        <v>0</v>
      </c>
      <c r="CX80" s="239">
        <v>0</v>
      </c>
      <c r="CY80" s="239">
        <v>0</v>
      </c>
      <c r="CZ80" s="239">
        <v>0</v>
      </c>
      <c r="DA80" s="239">
        <v>0</v>
      </c>
      <c r="DB80" s="239">
        <v>0</v>
      </c>
      <c r="DC80" s="239">
        <v>-22066</v>
      </c>
      <c r="DD80" s="239">
        <v>-22066</v>
      </c>
      <c r="DE80" s="239">
        <v>0</v>
      </c>
      <c r="DF80" s="239">
        <v>0</v>
      </c>
      <c r="DG80" s="239">
        <v>0</v>
      </c>
      <c r="DH80" s="239">
        <v>-22066</v>
      </c>
      <c r="DI80" s="239">
        <v>0</v>
      </c>
      <c r="DJ80" s="239">
        <v>-241078</v>
      </c>
      <c r="DK80" s="239">
        <v>-22066</v>
      </c>
      <c r="DL80" s="239">
        <v>-263144</v>
      </c>
      <c r="DM80" s="239">
        <v>-9847</v>
      </c>
      <c r="DN80" s="239">
        <v>0</v>
      </c>
      <c r="DO80" s="239">
        <v>-9847</v>
      </c>
      <c r="DP80" s="239">
        <v>-25115</v>
      </c>
      <c r="DQ80" s="239">
        <v>0</v>
      </c>
      <c r="DR80" s="239">
        <v>-25115</v>
      </c>
      <c r="DS80" s="239">
        <v>-4593</v>
      </c>
      <c r="DT80" s="239">
        <v>0</v>
      </c>
      <c r="DU80" s="239">
        <v>-4593</v>
      </c>
      <c r="DV80" s="239">
        <v>-12545</v>
      </c>
      <c r="DW80" s="239">
        <v>0</v>
      </c>
      <c r="DX80" s="239">
        <v>-12545</v>
      </c>
      <c r="DY80" s="239">
        <v>0</v>
      </c>
      <c r="DZ80" s="239">
        <v>0</v>
      </c>
      <c r="EA80" s="239">
        <v>0</v>
      </c>
      <c r="EB80" s="239">
        <v>14528</v>
      </c>
      <c r="EC80" s="239">
        <v>0</v>
      </c>
      <c r="ED80" s="239">
        <v>14528</v>
      </c>
      <c r="EE80" s="239">
        <v>0</v>
      </c>
      <c r="EF80" s="239">
        <v>0</v>
      </c>
      <c r="EG80" s="239">
        <v>0</v>
      </c>
      <c r="EH80" s="239">
        <v>0</v>
      </c>
      <c r="EI80" s="239">
        <v>0</v>
      </c>
      <c r="EJ80" s="239">
        <v>0</v>
      </c>
      <c r="EK80" s="239">
        <v>-4556</v>
      </c>
      <c r="EL80" s="239">
        <v>0</v>
      </c>
      <c r="EM80" s="239">
        <v>-4556</v>
      </c>
      <c r="EN80" s="239">
        <v>5476</v>
      </c>
      <c r="EO80" s="239">
        <v>0</v>
      </c>
      <c r="EP80" s="239">
        <v>5476</v>
      </c>
      <c r="EQ80" s="239">
        <v>-36652</v>
      </c>
      <c r="ER80" s="239">
        <v>0</v>
      </c>
      <c r="ES80" s="239">
        <v>-36652</v>
      </c>
      <c r="ET80" s="239">
        <v>0</v>
      </c>
      <c r="EU80" s="239">
        <v>0</v>
      </c>
      <c r="EV80" s="239">
        <v>0</v>
      </c>
      <c r="EW80" s="239">
        <v>-436</v>
      </c>
      <c r="EX80" s="239">
        <v>0</v>
      </c>
      <c r="EY80" s="239">
        <v>-436</v>
      </c>
      <c r="EZ80" s="239">
        <v>-436</v>
      </c>
      <c r="FA80" s="239">
        <v>0</v>
      </c>
      <c r="FB80" s="239">
        <v>-436</v>
      </c>
      <c r="FC80" s="239">
        <v>101095005</v>
      </c>
      <c r="FD80" s="239">
        <v>89033</v>
      </c>
      <c r="FE80" s="239">
        <v>101184038</v>
      </c>
      <c r="FF80" s="239">
        <v>150029</v>
      </c>
      <c r="FG80" s="239">
        <v>0</v>
      </c>
      <c r="FH80" s="239">
        <v>150029</v>
      </c>
      <c r="FI80" s="239">
        <v>-7846142</v>
      </c>
      <c r="FJ80" s="239">
        <v>-2232</v>
      </c>
      <c r="FK80" s="239">
        <v>-7848374</v>
      </c>
      <c r="FL80" s="239">
        <v>-3358617</v>
      </c>
      <c r="FM80" s="239">
        <v>-797</v>
      </c>
      <c r="FN80" s="239">
        <v>-3359414</v>
      </c>
      <c r="FO80" s="239">
        <v>-241078</v>
      </c>
      <c r="FP80" s="239">
        <v>-22066</v>
      </c>
      <c r="FQ80" s="239">
        <v>-263144</v>
      </c>
      <c r="FR80" s="239">
        <v>-36652</v>
      </c>
      <c r="FS80" s="239">
        <v>0</v>
      </c>
      <c r="FT80" s="239">
        <v>-36652</v>
      </c>
      <c r="FU80" s="239">
        <v>-436</v>
      </c>
      <c r="FV80" s="239">
        <v>0</v>
      </c>
      <c r="FW80" s="239">
        <v>-436</v>
      </c>
      <c r="FX80" s="239">
        <v>-11332896</v>
      </c>
      <c r="FY80" s="239">
        <v>-25095</v>
      </c>
      <c r="FZ80" s="239">
        <v>-11357991</v>
      </c>
      <c r="GA80" s="239">
        <v>89762109</v>
      </c>
      <c r="GB80" s="239">
        <v>63938</v>
      </c>
      <c r="GC80" s="239">
        <v>89826047</v>
      </c>
      <c r="GD80" s="214" t="s">
        <v>747</v>
      </c>
    </row>
    <row r="81" spans="2:186" s="214" customFormat="1" x14ac:dyDescent="0.2">
      <c r="B81" s="609" t="s">
        <v>244</v>
      </c>
      <c r="C81" s="609" t="s">
        <v>243</v>
      </c>
      <c r="D81" s="239">
        <v>0</v>
      </c>
      <c r="E81" s="239">
        <v>0</v>
      </c>
      <c r="F81" s="239">
        <v>0</v>
      </c>
      <c r="G81" s="239">
        <v>30064</v>
      </c>
      <c r="H81" s="239">
        <v>0</v>
      </c>
      <c r="I81" s="239">
        <v>30064</v>
      </c>
      <c r="J81" s="239">
        <v>0</v>
      </c>
      <c r="K81" s="239">
        <v>0</v>
      </c>
      <c r="L81" s="239">
        <v>0</v>
      </c>
      <c r="M81" s="239">
        <v>-56647</v>
      </c>
      <c r="N81" s="239">
        <v>0</v>
      </c>
      <c r="O81" s="239">
        <v>-56647</v>
      </c>
      <c r="P81" s="239">
        <v>-26583</v>
      </c>
      <c r="Q81" s="239">
        <v>0</v>
      </c>
      <c r="R81" s="239">
        <v>-26583</v>
      </c>
      <c r="S81" s="239">
        <v>-2875862</v>
      </c>
      <c r="T81" s="239">
        <v>0</v>
      </c>
      <c r="U81" s="239">
        <v>-2875862</v>
      </c>
      <c r="V81" s="239">
        <v>0</v>
      </c>
      <c r="W81" s="239">
        <v>0</v>
      </c>
      <c r="X81" s="239">
        <v>0</v>
      </c>
      <c r="Y81" s="239">
        <v>-321226</v>
      </c>
      <c r="Z81" s="239">
        <v>0</v>
      </c>
      <c r="AA81" s="239">
        <v>-321226</v>
      </c>
      <c r="AB81" s="239">
        <v>-212161</v>
      </c>
      <c r="AC81" s="239">
        <v>0</v>
      </c>
      <c r="AD81" s="239">
        <v>-212161</v>
      </c>
      <c r="AE81" s="239">
        <v>0</v>
      </c>
      <c r="AF81" s="239">
        <v>0</v>
      </c>
      <c r="AG81" s="239">
        <v>0</v>
      </c>
      <c r="AH81" s="239">
        <v>409716</v>
      </c>
      <c r="AI81" s="239">
        <v>0</v>
      </c>
      <c r="AJ81" s="239">
        <v>409716</v>
      </c>
      <c r="AK81" s="239">
        <v>-20235</v>
      </c>
      <c r="AL81" s="239">
        <v>0</v>
      </c>
      <c r="AM81" s="239">
        <v>-20235</v>
      </c>
      <c r="AN81" s="239">
        <v>-1067524</v>
      </c>
      <c r="AO81" s="239">
        <v>0</v>
      </c>
      <c r="AP81" s="239">
        <v>-1067524</v>
      </c>
      <c r="AQ81" s="239">
        <v>-15051</v>
      </c>
      <c r="AR81" s="239">
        <v>0</v>
      </c>
      <c r="AS81" s="239">
        <v>-15051</v>
      </c>
      <c r="AT81" s="239">
        <v>-20476</v>
      </c>
      <c r="AU81" s="239">
        <v>0</v>
      </c>
      <c r="AV81" s="239">
        <v>-20476</v>
      </c>
      <c r="AW81" s="239">
        <v>0</v>
      </c>
      <c r="AX81" s="239">
        <v>0</v>
      </c>
      <c r="AY81" s="239">
        <v>0</v>
      </c>
      <c r="AZ81" s="239">
        <v>-61968</v>
      </c>
      <c r="BA81" s="239">
        <v>0</v>
      </c>
      <c r="BB81" s="239">
        <v>-61968</v>
      </c>
      <c r="BC81" s="239">
        <v>-1017</v>
      </c>
      <c r="BD81" s="239">
        <v>0</v>
      </c>
      <c r="BE81" s="239">
        <v>-1017</v>
      </c>
      <c r="BF81" s="239">
        <v>-3973643</v>
      </c>
      <c r="BG81" s="239">
        <v>0</v>
      </c>
      <c r="BH81" s="239">
        <v>-3973643</v>
      </c>
      <c r="BI81" s="239">
        <v>-1157</v>
      </c>
      <c r="BJ81" s="239">
        <v>0</v>
      </c>
      <c r="BK81" s="239">
        <v>-1157</v>
      </c>
      <c r="BL81" s="239">
        <v>1939</v>
      </c>
      <c r="BM81" s="239">
        <v>0</v>
      </c>
      <c r="BN81" s="239">
        <v>1939</v>
      </c>
      <c r="BO81" s="239">
        <v>-357563</v>
      </c>
      <c r="BP81" s="239">
        <v>0</v>
      </c>
      <c r="BQ81" s="239">
        <v>-357563</v>
      </c>
      <c r="BR81" s="239">
        <v>46946</v>
      </c>
      <c r="BS81" s="239">
        <v>0</v>
      </c>
      <c r="BT81" s="239">
        <v>46946</v>
      </c>
      <c r="BU81" s="239">
        <v>-309835</v>
      </c>
      <c r="BV81" s="239">
        <v>0</v>
      </c>
      <c r="BW81" s="239">
        <v>-309835</v>
      </c>
      <c r="BX81" s="239">
        <v>-116607</v>
      </c>
      <c r="BY81" s="239">
        <v>0</v>
      </c>
      <c r="BZ81" s="239">
        <v>-116607</v>
      </c>
      <c r="CA81" s="239">
        <v>-774</v>
      </c>
      <c r="CB81" s="239">
        <v>0</v>
      </c>
      <c r="CC81" s="239">
        <v>-774</v>
      </c>
      <c r="CD81" s="239">
        <v>-125572</v>
      </c>
      <c r="CE81" s="239">
        <v>0</v>
      </c>
      <c r="CF81" s="239">
        <v>-125572</v>
      </c>
      <c r="CG81" s="239">
        <v>-259</v>
      </c>
      <c r="CH81" s="239">
        <v>0</v>
      </c>
      <c r="CI81" s="239">
        <v>-259</v>
      </c>
      <c r="CJ81" s="239">
        <v>-3578</v>
      </c>
      <c r="CK81" s="239">
        <v>0</v>
      </c>
      <c r="CL81" s="239">
        <v>-3578</v>
      </c>
      <c r="CM81" s="239">
        <v>0</v>
      </c>
      <c r="CN81" s="239">
        <v>0</v>
      </c>
      <c r="CO81" s="239">
        <v>0</v>
      </c>
      <c r="CP81" s="239">
        <v>-61968</v>
      </c>
      <c r="CQ81" s="239">
        <v>0</v>
      </c>
      <c r="CR81" s="239">
        <v>-61968</v>
      </c>
      <c r="CS81" s="239">
        <v>-1017</v>
      </c>
      <c r="CT81" s="239">
        <v>0</v>
      </c>
      <c r="CU81" s="239">
        <v>-1017</v>
      </c>
      <c r="CV81" s="239">
        <v>-9414</v>
      </c>
      <c r="CW81" s="239">
        <v>0</v>
      </c>
      <c r="CX81" s="239">
        <v>-9414</v>
      </c>
      <c r="CY81" s="239">
        <v>0</v>
      </c>
      <c r="CZ81" s="239">
        <v>0</v>
      </c>
      <c r="DA81" s="239">
        <v>0</v>
      </c>
      <c r="DB81" s="239">
        <v>0</v>
      </c>
      <c r="DC81" s="239">
        <v>0</v>
      </c>
      <c r="DD81" s="239">
        <v>0</v>
      </c>
      <c r="DE81" s="239">
        <v>0</v>
      </c>
      <c r="DF81" s="239">
        <v>0</v>
      </c>
      <c r="DG81" s="239">
        <v>0</v>
      </c>
      <c r="DH81" s="239">
        <v>0</v>
      </c>
      <c r="DI81" s="239">
        <v>0</v>
      </c>
      <c r="DJ81" s="239">
        <v>-319189</v>
      </c>
      <c r="DK81" s="239">
        <v>0</v>
      </c>
      <c r="DL81" s="239">
        <v>-319189</v>
      </c>
      <c r="DM81" s="239">
        <v>0</v>
      </c>
      <c r="DN81" s="239">
        <v>0</v>
      </c>
      <c r="DO81" s="239">
        <v>0</v>
      </c>
      <c r="DP81" s="239">
        <v>0</v>
      </c>
      <c r="DQ81" s="239">
        <v>0</v>
      </c>
      <c r="DR81" s="239">
        <v>0</v>
      </c>
      <c r="DS81" s="239">
        <v>0</v>
      </c>
      <c r="DT81" s="239">
        <v>0</v>
      </c>
      <c r="DU81" s="239">
        <v>0</v>
      </c>
      <c r="DV81" s="239">
        <v>0</v>
      </c>
      <c r="DW81" s="239">
        <v>0</v>
      </c>
      <c r="DX81" s="239">
        <v>0</v>
      </c>
      <c r="DY81" s="239">
        <v>0</v>
      </c>
      <c r="DZ81" s="239">
        <v>0</v>
      </c>
      <c r="EA81" s="239">
        <v>0</v>
      </c>
      <c r="EB81" s="239">
        <v>15122</v>
      </c>
      <c r="EC81" s="239">
        <v>0</v>
      </c>
      <c r="ED81" s="239">
        <v>15122</v>
      </c>
      <c r="EE81" s="239">
        <v>0</v>
      </c>
      <c r="EF81" s="239">
        <v>0</v>
      </c>
      <c r="EG81" s="239">
        <v>0</v>
      </c>
      <c r="EH81" s="239">
        <v>0</v>
      </c>
      <c r="EI81" s="239">
        <v>0</v>
      </c>
      <c r="EJ81" s="239">
        <v>0</v>
      </c>
      <c r="EK81" s="239">
        <v>-10130</v>
      </c>
      <c r="EL81" s="239">
        <v>0</v>
      </c>
      <c r="EM81" s="239">
        <v>-10130</v>
      </c>
      <c r="EN81" s="239">
        <v>0</v>
      </c>
      <c r="EO81" s="239">
        <v>0</v>
      </c>
      <c r="EP81" s="239">
        <v>0</v>
      </c>
      <c r="EQ81" s="239">
        <v>4992</v>
      </c>
      <c r="ER81" s="239">
        <v>0</v>
      </c>
      <c r="ES81" s="239">
        <v>4992</v>
      </c>
      <c r="ET81" s="239">
        <v>0</v>
      </c>
      <c r="EU81" s="239">
        <v>0</v>
      </c>
      <c r="EV81" s="239">
        <v>0</v>
      </c>
      <c r="EW81" s="239">
        <v>-1402</v>
      </c>
      <c r="EX81" s="239">
        <v>0</v>
      </c>
      <c r="EY81" s="239">
        <v>-1402</v>
      </c>
      <c r="EZ81" s="239">
        <v>-1402</v>
      </c>
      <c r="FA81" s="239">
        <v>0</v>
      </c>
      <c r="FB81" s="239">
        <v>-1402</v>
      </c>
      <c r="FC81" s="239">
        <v>21729032</v>
      </c>
      <c r="FD81" s="239">
        <v>0</v>
      </c>
      <c r="FE81" s="239">
        <v>21729032</v>
      </c>
      <c r="FF81" s="239">
        <v>-26583</v>
      </c>
      <c r="FG81" s="239">
        <v>0</v>
      </c>
      <c r="FH81" s="239">
        <v>-26583</v>
      </c>
      <c r="FI81" s="239">
        <v>-3973643</v>
      </c>
      <c r="FJ81" s="239">
        <v>0</v>
      </c>
      <c r="FK81" s="239">
        <v>-3973643</v>
      </c>
      <c r="FL81" s="239">
        <v>-309835</v>
      </c>
      <c r="FM81" s="239">
        <v>0</v>
      </c>
      <c r="FN81" s="239">
        <v>-309835</v>
      </c>
      <c r="FO81" s="239">
        <v>-319189</v>
      </c>
      <c r="FP81" s="239">
        <v>0</v>
      </c>
      <c r="FQ81" s="239">
        <v>-319189</v>
      </c>
      <c r="FR81" s="239">
        <v>4992</v>
      </c>
      <c r="FS81" s="239">
        <v>0</v>
      </c>
      <c r="FT81" s="239">
        <v>4992</v>
      </c>
      <c r="FU81" s="239">
        <v>-1402</v>
      </c>
      <c r="FV81" s="239">
        <v>0</v>
      </c>
      <c r="FW81" s="239">
        <v>-1402</v>
      </c>
      <c r="FX81" s="239">
        <v>-4625660</v>
      </c>
      <c r="FY81" s="239">
        <v>0</v>
      </c>
      <c r="FZ81" s="239">
        <v>-4625660</v>
      </c>
      <c r="GA81" s="239">
        <v>17103372</v>
      </c>
      <c r="GB81" s="239">
        <v>0</v>
      </c>
      <c r="GC81" s="239">
        <v>17103372</v>
      </c>
      <c r="GD81" s="214" t="s">
        <v>1190</v>
      </c>
    </row>
    <row r="82" spans="2:186" s="214" customFormat="1" x14ac:dyDescent="0.2">
      <c r="B82" s="609" t="s">
        <v>246</v>
      </c>
      <c r="C82" s="609" t="s">
        <v>245</v>
      </c>
      <c r="D82" s="239">
        <v>0</v>
      </c>
      <c r="E82" s="239">
        <v>0</v>
      </c>
      <c r="F82" s="239">
        <v>0</v>
      </c>
      <c r="G82" s="239">
        <v>73763</v>
      </c>
      <c r="H82" s="239">
        <v>0</v>
      </c>
      <c r="I82" s="239">
        <v>73763</v>
      </c>
      <c r="J82" s="239">
        <v>0</v>
      </c>
      <c r="K82" s="239">
        <v>0</v>
      </c>
      <c r="L82" s="239">
        <v>0</v>
      </c>
      <c r="M82" s="239">
        <v>45451</v>
      </c>
      <c r="N82" s="239">
        <v>0</v>
      </c>
      <c r="O82" s="239">
        <v>45451</v>
      </c>
      <c r="P82" s="239">
        <v>119214</v>
      </c>
      <c r="Q82" s="239">
        <v>0</v>
      </c>
      <c r="R82" s="239">
        <v>119214</v>
      </c>
      <c r="S82" s="239">
        <v>-6421985</v>
      </c>
      <c r="T82" s="239">
        <v>0</v>
      </c>
      <c r="U82" s="239">
        <v>-6421985</v>
      </c>
      <c r="V82" s="239">
        <v>-38734</v>
      </c>
      <c r="W82" s="239">
        <v>0</v>
      </c>
      <c r="X82" s="239">
        <v>-38734</v>
      </c>
      <c r="Y82" s="239">
        <v>-135901</v>
      </c>
      <c r="Z82" s="239">
        <v>0</v>
      </c>
      <c r="AA82" s="239">
        <v>-135901</v>
      </c>
      <c r="AB82" s="239">
        <v>-125310</v>
      </c>
      <c r="AC82" s="239">
        <v>0</v>
      </c>
      <c r="AD82" s="239">
        <v>-125310</v>
      </c>
      <c r="AE82" s="239">
        <v>-10592</v>
      </c>
      <c r="AF82" s="239">
        <v>0</v>
      </c>
      <c r="AG82" s="239">
        <v>-10592</v>
      </c>
      <c r="AH82" s="239">
        <v>2602422</v>
      </c>
      <c r="AI82" s="239">
        <v>0</v>
      </c>
      <c r="AJ82" s="239">
        <v>2602422</v>
      </c>
      <c r="AK82" s="239">
        <v>-469</v>
      </c>
      <c r="AL82" s="239">
        <v>0</v>
      </c>
      <c r="AM82" s="239">
        <v>-469</v>
      </c>
      <c r="AN82" s="239">
        <v>-6129111</v>
      </c>
      <c r="AO82" s="239">
        <v>0</v>
      </c>
      <c r="AP82" s="239">
        <v>-6129111</v>
      </c>
      <c r="AQ82" s="239">
        <v>-169422</v>
      </c>
      <c r="AR82" s="239">
        <v>0</v>
      </c>
      <c r="AS82" s="239">
        <v>-169422</v>
      </c>
      <c r="AT82" s="239">
        <v>-50730</v>
      </c>
      <c r="AU82" s="239">
        <v>0</v>
      </c>
      <c r="AV82" s="239">
        <v>-50730</v>
      </c>
      <c r="AW82" s="239">
        <v>-74808</v>
      </c>
      <c r="AX82" s="239">
        <v>0</v>
      </c>
      <c r="AY82" s="239">
        <v>-74808</v>
      </c>
      <c r="AZ82" s="239">
        <v>-9282</v>
      </c>
      <c r="BA82" s="239">
        <v>0</v>
      </c>
      <c r="BB82" s="239">
        <v>-9282</v>
      </c>
      <c r="BC82" s="239">
        <v>-16823</v>
      </c>
      <c r="BD82" s="239">
        <v>0</v>
      </c>
      <c r="BE82" s="239">
        <v>-16823</v>
      </c>
      <c r="BF82" s="239">
        <v>-10406109</v>
      </c>
      <c r="BG82" s="239">
        <v>0</v>
      </c>
      <c r="BH82" s="239">
        <v>-10406109</v>
      </c>
      <c r="BI82" s="239">
        <v>-73720</v>
      </c>
      <c r="BJ82" s="239">
        <v>0</v>
      </c>
      <c r="BK82" s="239">
        <v>-73720</v>
      </c>
      <c r="BL82" s="239">
        <v>3954</v>
      </c>
      <c r="BM82" s="239">
        <v>0</v>
      </c>
      <c r="BN82" s="239">
        <v>3954</v>
      </c>
      <c r="BO82" s="239">
        <v>-3340997</v>
      </c>
      <c r="BP82" s="239">
        <v>0</v>
      </c>
      <c r="BQ82" s="239">
        <v>-3340997</v>
      </c>
      <c r="BR82" s="239">
        <v>-196337</v>
      </c>
      <c r="BS82" s="239">
        <v>0</v>
      </c>
      <c r="BT82" s="239">
        <v>-196337</v>
      </c>
      <c r="BU82" s="239">
        <v>-3607100</v>
      </c>
      <c r="BV82" s="239">
        <v>0</v>
      </c>
      <c r="BW82" s="239">
        <v>-3607100</v>
      </c>
      <c r="BX82" s="239">
        <v>-337347</v>
      </c>
      <c r="BY82" s="239">
        <v>0</v>
      </c>
      <c r="BZ82" s="239">
        <v>-337347</v>
      </c>
      <c r="CA82" s="239">
        <v>-13353</v>
      </c>
      <c r="CB82" s="239">
        <v>0</v>
      </c>
      <c r="CC82" s="239">
        <v>-13353</v>
      </c>
      <c r="CD82" s="239">
        <v>-179346</v>
      </c>
      <c r="CE82" s="239">
        <v>0</v>
      </c>
      <c r="CF82" s="239">
        <v>-179346</v>
      </c>
      <c r="CG82" s="239">
        <v>17353</v>
      </c>
      <c r="CH82" s="239">
        <v>0</v>
      </c>
      <c r="CI82" s="239">
        <v>17353</v>
      </c>
      <c r="CJ82" s="239">
        <v>0</v>
      </c>
      <c r="CK82" s="239">
        <v>0</v>
      </c>
      <c r="CL82" s="239">
        <v>0</v>
      </c>
      <c r="CM82" s="239">
        <v>0</v>
      </c>
      <c r="CN82" s="239">
        <v>0</v>
      </c>
      <c r="CO82" s="239">
        <v>0</v>
      </c>
      <c r="CP82" s="239">
        <v>-1273</v>
      </c>
      <c r="CQ82" s="239">
        <v>0</v>
      </c>
      <c r="CR82" s="239">
        <v>-1273</v>
      </c>
      <c r="CS82" s="239">
        <v>0</v>
      </c>
      <c r="CT82" s="239">
        <v>0</v>
      </c>
      <c r="CU82" s="239">
        <v>0</v>
      </c>
      <c r="CV82" s="239">
        <v>0</v>
      </c>
      <c r="CW82" s="239">
        <v>0</v>
      </c>
      <c r="CX82" s="239">
        <v>0</v>
      </c>
      <c r="CY82" s="239">
        <v>0</v>
      </c>
      <c r="CZ82" s="239">
        <v>0</v>
      </c>
      <c r="DA82" s="239">
        <v>0</v>
      </c>
      <c r="DB82" s="239">
        <v>0</v>
      </c>
      <c r="DC82" s="239">
        <v>0</v>
      </c>
      <c r="DD82" s="239">
        <v>0</v>
      </c>
      <c r="DE82" s="239">
        <v>0</v>
      </c>
      <c r="DF82" s="239">
        <v>0</v>
      </c>
      <c r="DG82" s="239">
        <v>0</v>
      </c>
      <c r="DH82" s="239">
        <v>0</v>
      </c>
      <c r="DI82" s="239">
        <v>0</v>
      </c>
      <c r="DJ82" s="239">
        <v>-513966</v>
      </c>
      <c r="DK82" s="239">
        <v>0</v>
      </c>
      <c r="DL82" s="239">
        <v>-513966</v>
      </c>
      <c r="DM82" s="239">
        <v>-193301</v>
      </c>
      <c r="DN82" s="239">
        <v>0</v>
      </c>
      <c r="DO82" s="239">
        <v>-193301</v>
      </c>
      <c r="DP82" s="239">
        <v>11415</v>
      </c>
      <c r="DQ82" s="239">
        <v>0</v>
      </c>
      <c r="DR82" s="239">
        <v>11415</v>
      </c>
      <c r="DS82" s="239">
        <v>-32731</v>
      </c>
      <c r="DT82" s="239">
        <v>0</v>
      </c>
      <c r="DU82" s="239">
        <v>-32731</v>
      </c>
      <c r="DV82" s="239">
        <v>-25294</v>
      </c>
      <c r="DW82" s="239">
        <v>0</v>
      </c>
      <c r="DX82" s="239">
        <v>-25294</v>
      </c>
      <c r="DY82" s="239">
        <v>0</v>
      </c>
      <c r="DZ82" s="239">
        <v>0</v>
      </c>
      <c r="EA82" s="239">
        <v>0</v>
      </c>
      <c r="EB82" s="239">
        <v>-51304</v>
      </c>
      <c r="EC82" s="239">
        <v>0</v>
      </c>
      <c r="ED82" s="239">
        <v>-51304</v>
      </c>
      <c r="EE82" s="239">
        <v>0</v>
      </c>
      <c r="EF82" s="239">
        <v>0</v>
      </c>
      <c r="EG82" s="239">
        <v>0</v>
      </c>
      <c r="EH82" s="239">
        <v>0</v>
      </c>
      <c r="EI82" s="239">
        <v>0</v>
      </c>
      <c r="EJ82" s="239">
        <v>0</v>
      </c>
      <c r="EK82" s="239">
        <v>-19826</v>
      </c>
      <c r="EL82" s="239">
        <v>0</v>
      </c>
      <c r="EM82" s="239">
        <v>-19826</v>
      </c>
      <c r="EN82" s="239">
        <v>-768</v>
      </c>
      <c r="EO82" s="239">
        <v>0</v>
      </c>
      <c r="EP82" s="239">
        <v>-768</v>
      </c>
      <c r="EQ82" s="239">
        <v>-311809</v>
      </c>
      <c r="ER82" s="239">
        <v>0</v>
      </c>
      <c r="ES82" s="239">
        <v>-311809</v>
      </c>
      <c r="ET82" s="239">
        <v>0</v>
      </c>
      <c r="EU82" s="239">
        <v>0</v>
      </c>
      <c r="EV82" s="239">
        <v>0</v>
      </c>
      <c r="EW82" s="239">
        <v>0</v>
      </c>
      <c r="EX82" s="239">
        <v>0</v>
      </c>
      <c r="EY82" s="239">
        <v>0</v>
      </c>
      <c r="EZ82" s="239">
        <v>0</v>
      </c>
      <c r="FA82" s="239">
        <v>0</v>
      </c>
      <c r="FB82" s="239">
        <v>0</v>
      </c>
      <c r="FC82" s="239">
        <v>109755541</v>
      </c>
      <c r="FD82" s="239">
        <v>0</v>
      </c>
      <c r="FE82" s="239">
        <v>109755541</v>
      </c>
      <c r="FF82" s="239">
        <v>119214</v>
      </c>
      <c r="FG82" s="239">
        <v>0</v>
      </c>
      <c r="FH82" s="239">
        <v>119214</v>
      </c>
      <c r="FI82" s="239">
        <v>-10406109</v>
      </c>
      <c r="FJ82" s="239">
        <v>0</v>
      </c>
      <c r="FK82" s="239">
        <v>-10406109</v>
      </c>
      <c r="FL82" s="239">
        <v>-3607100</v>
      </c>
      <c r="FM82" s="239">
        <v>0</v>
      </c>
      <c r="FN82" s="239">
        <v>-3607100</v>
      </c>
      <c r="FO82" s="239">
        <v>-513966</v>
      </c>
      <c r="FP82" s="239">
        <v>0</v>
      </c>
      <c r="FQ82" s="239">
        <v>-513966</v>
      </c>
      <c r="FR82" s="239">
        <v>-311809</v>
      </c>
      <c r="FS82" s="239">
        <v>0</v>
      </c>
      <c r="FT82" s="239">
        <v>-311809</v>
      </c>
      <c r="FU82" s="239">
        <v>0</v>
      </c>
      <c r="FV82" s="239">
        <v>0</v>
      </c>
      <c r="FW82" s="239">
        <v>0</v>
      </c>
      <c r="FX82" s="239">
        <v>-14719770</v>
      </c>
      <c r="FY82" s="239">
        <v>0</v>
      </c>
      <c r="FZ82" s="239">
        <v>-14719770</v>
      </c>
      <c r="GA82" s="239">
        <v>95035771</v>
      </c>
      <c r="GB82" s="239">
        <v>0</v>
      </c>
      <c r="GC82" s="239">
        <v>95035771</v>
      </c>
      <c r="GD82" s="214" t="s">
        <v>1192</v>
      </c>
    </row>
    <row r="83" spans="2:186" s="214" customFormat="1" x14ac:dyDescent="0.2">
      <c r="B83" s="609" t="s">
        <v>248</v>
      </c>
      <c r="C83" s="609" t="s">
        <v>247</v>
      </c>
      <c r="D83" s="239">
        <v>0</v>
      </c>
      <c r="E83" s="239">
        <v>0</v>
      </c>
      <c r="F83" s="239">
        <v>0</v>
      </c>
      <c r="G83" s="239">
        <v>-1452</v>
      </c>
      <c r="H83" s="239">
        <v>0</v>
      </c>
      <c r="I83" s="239">
        <v>-1452</v>
      </c>
      <c r="J83" s="239">
        <v>0</v>
      </c>
      <c r="K83" s="239">
        <v>0</v>
      </c>
      <c r="L83" s="239">
        <v>0</v>
      </c>
      <c r="M83" s="239">
        <v>9573</v>
      </c>
      <c r="N83" s="239">
        <v>0</v>
      </c>
      <c r="O83" s="239">
        <v>9573</v>
      </c>
      <c r="P83" s="239">
        <v>8121</v>
      </c>
      <c r="Q83" s="239">
        <v>0</v>
      </c>
      <c r="R83" s="239">
        <v>8121</v>
      </c>
      <c r="S83" s="239">
        <v>-2660732</v>
      </c>
      <c r="T83" s="239">
        <v>0</v>
      </c>
      <c r="U83" s="239">
        <v>-2660732</v>
      </c>
      <c r="V83" s="239">
        <v>-9506</v>
      </c>
      <c r="W83" s="239">
        <v>0</v>
      </c>
      <c r="X83" s="239">
        <v>-9506</v>
      </c>
      <c r="Y83" s="239">
        <v>-97964.81</v>
      </c>
      <c r="Z83" s="239">
        <v>0</v>
      </c>
      <c r="AA83" s="239">
        <v>-97964.81</v>
      </c>
      <c r="AB83" s="239">
        <v>-64110</v>
      </c>
      <c r="AC83" s="239">
        <v>0</v>
      </c>
      <c r="AD83" s="239">
        <v>-64110</v>
      </c>
      <c r="AE83" s="239">
        <v>0</v>
      </c>
      <c r="AF83" s="239">
        <v>0</v>
      </c>
      <c r="AG83" s="239">
        <v>0</v>
      </c>
      <c r="AH83" s="239">
        <v>971236</v>
      </c>
      <c r="AI83" s="239">
        <v>0</v>
      </c>
      <c r="AJ83" s="239">
        <v>971236</v>
      </c>
      <c r="AK83" s="239">
        <v>-47351</v>
      </c>
      <c r="AL83" s="239">
        <v>0</v>
      </c>
      <c r="AM83" s="239">
        <v>-47351</v>
      </c>
      <c r="AN83" s="239">
        <v>-2407067</v>
      </c>
      <c r="AO83" s="239">
        <v>0</v>
      </c>
      <c r="AP83" s="239">
        <v>-2407067</v>
      </c>
      <c r="AQ83" s="239">
        <v>20651</v>
      </c>
      <c r="AR83" s="239">
        <v>0</v>
      </c>
      <c r="AS83" s="239">
        <v>20651</v>
      </c>
      <c r="AT83" s="239">
        <v>-36718</v>
      </c>
      <c r="AU83" s="239">
        <v>0</v>
      </c>
      <c r="AV83" s="239">
        <v>-36718</v>
      </c>
      <c r="AW83" s="239">
        <v>0</v>
      </c>
      <c r="AX83" s="239">
        <v>0</v>
      </c>
      <c r="AY83" s="239">
        <v>0</v>
      </c>
      <c r="AZ83" s="239">
        <v>-27028</v>
      </c>
      <c r="BA83" s="239">
        <v>0</v>
      </c>
      <c r="BB83" s="239">
        <v>-27028</v>
      </c>
      <c r="BC83" s="239">
        <v>-3238</v>
      </c>
      <c r="BD83" s="239">
        <v>0</v>
      </c>
      <c r="BE83" s="239">
        <v>-3238</v>
      </c>
      <c r="BF83" s="239">
        <v>-4288212</v>
      </c>
      <c r="BG83" s="239">
        <v>0</v>
      </c>
      <c r="BH83" s="239">
        <v>-4288212</v>
      </c>
      <c r="BI83" s="239">
        <v>0</v>
      </c>
      <c r="BJ83" s="239">
        <v>0</v>
      </c>
      <c r="BK83" s="239">
        <v>0</v>
      </c>
      <c r="BL83" s="239">
        <v>897166</v>
      </c>
      <c r="BM83" s="239">
        <v>0</v>
      </c>
      <c r="BN83" s="239">
        <v>897166</v>
      </c>
      <c r="BO83" s="239">
        <v>-1038459</v>
      </c>
      <c r="BP83" s="239">
        <v>0</v>
      </c>
      <c r="BQ83" s="239">
        <v>-1038459</v>
      </c>
      <c r="BR83" s="239">
        <v>95051</v>
      </c>
      <c r="BS83" s="239">
        <v>0</v>
      </c>
      <c r="BT83" s="239">
        <v>95051</v>
      </c>
      <c r="BU83" s="239">
        <v>-46242</v>
      </c>
      <c r="BV83" s="239">
        <v>0</v>
      </c>
      <c r="BW83" s="239">
        <v>-46242</v>
      </c>
      <c r="BX83" s="239">
        <v>-146065</v>
      </c>
      <c r="BY83" s="239">
        <v>0</v>
      </c>
      <c r="BZ83" s="239">
        <v>-146065</v>
      </c>
      <c r="CA83" s="239">
        <v>768</v>
      </c>
      <c r="CB83" s="239">
        <v>0</v>
      </c>
      <c r="CC83" s="239">
        <v>768</v>
      </c>
      <c r="CD83" s="239">
        <v>-24352</v>
      </c>
      <c r="CE83" s="239">
        <v>0</v>
      </c>
      <c r="CF83" s="239">
        <v>-24352</v>
      </c>
      <c r="CG83" s="239">
        <v>5505</v>
      </c>
      <c r="CH83" s="239">
        <v>0</v>
      </c>
      <c r="CI83" s="239">
        <v>5505</v>
      </c>
      <c r="CJ83" s="239">
        <v>0</v>
      </c>
      <c r="CK83" s="239">
        <v>0</v>
      </c>
      <c r="CL83" s="239">
        <v>0</v>
      </c>
      <c r="CM83" s="239">
        <v>0</v>
      </c>
      <c r="CN83" s="239">
        <v>0</v>
      </c>
      <c r="CO83" s="239">
        <v>0</v>
      </c>
      <c r="CP83" s="239">
        <v>0</v>
      </c>
      <c r="CQ83" s="239">
        <v>0</v>
      </c>
      <c r="CR83" s="239">
        <v>0</v>
      </c>
      <c r="CS83" s="239">
        <v>0</v>
      </c>
      <c r="CT83" s="239">
        <v>0</v>
      </c>
      <c r="CU83" s="239">
        <v>0</v>
      </c>
      <c r="CV83" s="239">
        <v>0</v>
      </c>
      <c r="CW83" s="239">
        <v>0</v>
      </c>
      <c r="CX83" s="239">
        <v>0</v>
      </c>
      <c r="CY83" s="239">
        <v>0</v>
      </c>
      <c r="CZ83" s="239">
        <v>0</v>
      </c>
      <c r="DA83" s="239">
        <v>0</v>
      </c>
      <c r="DB83" s="239">
        <v>-2708889</v>
      </c>
      <c r="DC83" s="239">
        <v>0</v>
      </c>
      <c r="DD83" s="239">
        <v>-2708889</v>
      </c>
      <c r="DE83" s="239">
        <v>-41371</v>
      </c>
      <c r="DF83" s="239">
        <v>0</v>
      </c>
      <c r="DG83" s="239">
        <v>-41371</v>
      </c>
      <c r="DH83" s="239">
        <v>0</v>
      </c>
      <c r="DI83" s="239">
        <v>-2750260</v>
      </c>
      <c r="DJ83" s="239">
        <v>-2914404</v>
      </c>
      <c r="DK83" s="239">
        <v>0</v>
      </c>
      <c r="DL83" s="239">
        <v>-2914404</v>
      </c>
      <c r="DM83" s="239">
        <v>-26264</v>
      </c>
      <c r="DN83" s="239">
        <v>0</v>
      </c>
      <c r="DO83" s="239">
        <v>-26264</v>
      </c>
      <c r="DP83" s="239">
        <v>-2920</v>
      </c>
      <c r="DQ83" s="239">
        <v>0</v>
      </c>
      <c r="DR83" s="239">
        <v>-2920</v>
      </c>
      <c r="DS83" s="239">
        <v>-14266</v>
      </c>
      <c r="DT83" s="239">
        <v>0</v>
      </c>
      <c r="DU83" s="239">
        <v>-14266</v>
      </c>
      <c r="DV83" s="239">
        <v>-4027</v>
      </c>
      <c r="DW83" s="239">
        <v>0</v>
      </c>
      <c r="DX83" s="239">
        <v>-4027</v>
      </c>
      <c r="DY83" s="239">
        <v>0</v>
      </c>
      <c r="DZ83" s="239">
        <v>0</v>
      </c>
      <c r="EA83" s="239">
        <v>0</v>
      </c>
      <c r="EB83" s="239">
        <v>5216</v>
      </c>
      <c r="EC83" s="239">
        <v>0</v>
      </c>
      <c r="ED83" s="239">
        <v>5216</v>
      </c>
      <c r="EE83" s="239">
        <v>0</v>
      </c>
      <c r="EF83" s="239">
        <v>0</v>
      </c>
      <c r="EG83" s="239">
        <v>0</v>
      </c>
      <c r="EH83" s="239">
        <v>0</v>
      </c>
      <c r="EI83" s="239">
        <v>0</v>
      </c>
      <c r="EJ83" s="239">
        <v>0</v>
      </c>
      <c r="EK83" s="239">
        <v>-7642</v>
      </c>
      <c r="EL83" s="239">
        <v>0</v>
      </c>
      <c r="EM83" s="239">
        <v>-7642</v>
      </c>
      <c r="EN83" s="239">
        <v>0</v>
      </c>
      <c r="EO83" s="239">
        <v>0</v>
      </c>
      <c r="EP83" s="239">
        <v>0</v>
      </c>
      <c r="EQ83" s="239">
        <v>-49903</v>
      </c>
      <c r="ER83" s="239">
        <v>0</v>
      </c>
      <c r="ES83" s="239">
        <v>-49903</v>
      </c>
      <c r="ET83" s="239">
        <v>0</v>
      </c>
      <c r="EU83" s="239">
        <v>0</v>
      </c>
      <c r="EV83" s="239">
        <v>0</v>
      </c>
      <c r="EW83" s="239">
        <v>0</v>
      </c>
      <c r="EX83" s="239">
        <v>0</v>
      </c>
      <c r="EY83" s="239">
        <v>0</v>
      </c>
      <c r="EZ83" s="239">
        <v>0</v>
      </c>
      <c r="FA83" s="239">
        <v>0</v>
      </c>
      <c r="FB83" s="239">
        <v>0</v>
      </c>
      <c r="FC83" s="239">
        <v>42132807</v>
      </c>
      <c r="FD83" s="239">
        <v>0</v>
      </c>
      <c r="FE83" s="239">
        <v>42132807</v>
      </c>
      <c r="FF83" s="239">
        <v>8121</v>
      </c>
      <c r="FG83" s="239">
        <v>0</v>
      </c>
      <c r="FH83" s="239">
        <v>8121</v>
      </c>
      <c r="FI83" s="239">
        <v>-4288212</v>
      </c>
      <c r="FJ83" s="239">
        <v>0</v>
      </c>
      <c r="FK83" s="239">
        <v>-4288212</v>
      </c>
      <c r="FL83" s="239">
        <v>-46242</v>
      </c>
      <c r="FM83" s="239">
        <v>0</v>
      </c>
      <c r="FN83" s="239">
        <v>-46242</v>
      </c>
      <c r="FO83" s="239">
        <v>-2914404</v>
      </c>
      <c r="FP83" s="239">
        <v>0</v>
      </c>
      <c r="FQ83" s="239">
        <v>-2914404</v>
      </c>
      <c r="FR83" s="239">
        <v>-49903</v>
      </c>
      <c r="FS83" s="239">
        <v>0</v>
      </c>
      <c r="FT83" s="239">
        <v>-49903</v>
      </c>
      <c r="FU83" s="239">
        <v>0</v>
      </c>
      <c r="FV83" s="239">
        <v>0</v>
      </c>
      <c r="FW83" s="239">
        <v>0</v>
      </c>
      <c r="FX83" s="239">
        <v>-7290640</v>
      </c>
      <c r="FY83" s="239">
        <v>0</v>
      </c>
      <c r="FZ83" s="239">
        <v>-7290640</v>
      </c>
      <c r="GA83" s="239">
        <v>34842167</v>
      </c>
      <c r="GB83" s="239">
        <v>0</v>
      </c>
      <c r="GC83" s="239">
        <v>34842167</v>
      </c>
      <c r="GD83" s="214" t="s">
        <v>1190</v>
      </c>
    </row>
    <row r="84" spans="2:186" s="214" customFormat="1" x14ac:dyDescent="0.2">
      <c r="B84" s="609" t="s">
        <v>250</v>
      </c>
      <c r="C84" s="609" t="s">
        <v>249</v>
      </c>
      <c r="D84" s="239">
        <v>0</v>
      </c>
      <c r="E84" s="239">
        <v>0</v>
      </c>
      <c r="F84" s="239">
        <v>0</v>
      </c>
      <c r="G84" s="239">
        <v>366315</v>
      </c>
      <c r="H84" s="239">
        <v>0</v>
      </c>
      <c r="I84" s="239">
        <v>366315</v>
      </c>
      <c r="J84" s="239">
        <v>0</v>
      </c>
      <c r="K84" s="239">
        <v>0</v>
      </c>
      <c r="L84" s="239">
        <v>0</v>
      </c>
      <c r="M84" s="239">
        <v>382663</v>
      </c>
      <c r="N84" s="239">
        <v>0</v>
      </c>
      <c r="O84" s="239">
        <v>382663</v>
      </c>
      <c r="P84" s="239">
        <v>748978</v>
      </c>
      <c r="Q84" s="239">
        <v>0</v>
      </c>
      <c r="R84" s="239">
        <v>748978</v>
      </c>
      <c r="S84" s="239">
        <v>-7445205</v>
      </c>
      <c r="T84" s="239">
        <v>0</v>
      </c>
      <c r="U84" s="239">
        <v>-7445205</v>
      </c>
      <c r="V84" s="239">
        <v>-27364</v>
      </c>
      <c r="W84" s="239">
        <v>0</v>
      </c>
      <c r="X84" s="239">
        <v>-27364</v>
      </c>
      <c r="Y84" s="239">
        <v>-370643</v>
      </c>
      <c r="Z84" s="239">
        <v>0</v>
      </c>
      <c r="AA84" s="239">
        <v>-370643</v>
      </c>
      <c r="AB84" s="239">
        <v>-296912</v>
      </c>
      <c r="AC84" s="239">
        <v>0</v>
      </c>
      <c r="AD84" s="239">
        <v>-296912</v>
      </c>
      <c r="AE84" s="239">
        <v>-5893</v>
      </c>
      <c r="AF84" s="239">
        <v>0</v>
      </c>
      <c r="AG84" s="239">
        <v>-5893</v>
      </c>
      <c r="AH84" s="239">
        <v>2623952</v>
      </c>
      <c r="AI84" s="239">
        <v>0</v>
      </c>
      <c r="AJ84" s="239">
        <v>2623952</v>
      </c>
      <c r="AK84" s="239">
        <v>8547</v>
      </c>
      <c r="AL84" s="239">
        <v>0</v>
      </c>
      <c r="AM84" s="239">
        <v>8547</v>
      </c>
      <c r="AN84" s="239">
        <v>-5157660</v>
      </c>
      <c r="AO84" s="239">
        <v>0</v>
      </c>
      <c r="AP84" s="239">
        <v>-5157660</v>
      </c>
      <c r="AQ84" s="239">
        <v>-56888</v>
      </c>
      <c r="AR84" s="239">
        <v>0</v>
      </c>
      <c r="AS84" s="239">
        <v>-56888</v>
      </c>
      <c r="AT84" s="239">
        <v>-36162</v>
      </c>
      <c r="AU84" s="239">
        <v>0</v>
      </c>
      <c r="AV84" s="239">
        <v>-36162</v>
      </c>
      <c r="AW84" s="239">
        <v>0</v>
      </c>
      <c r="AX84" s="239">
        <v>0</v>
      </c>
      <c r="AY84" s="239">
        <v>0</v>
      </c>
      <c r="AZ84" s="239">
        <v>0</v>
      </c>
      <c r="BA84" s="239">
        <v>0</v>
      </c>
      <c r="BB84" s="239">
        <v>0</v>
      </c>
      <c r="BC84" s="239">
        <v>0</v>
      </c>
      <c r="BD84" s="239">
        <v>0</v>
      </c>
      <c r="BE84" s="239">
        <v>0</v>
      </c>
      <c r="BF84" s="239">
        <v>-10434059</v>
      </c>
      <c r="BG84" s="239">
        <v>0</v>
      </c>
      <c r="BH84" s="239">
        <v>-10434059</v>
      </c>
      <c r="BI84" s="239">
        <v>-25222</v>
      </c>
      <c r="BJ84" s="239">
        <v>0</v>
      </c>
      <c r="BK84" s="239">
        <v>-25222</v>
      </c>
      <c r="BL84" s="239">
        <v>4486</v>
      </c>
      <c r="BM84" s="239">
        <v>0</v>
      </c>
      <c r="BN84" s="239">
        <v>4486</v>
      </c>
      <c r="BO84" s="239">
        <v>-4838327</v>
      </c>
      <c r="BP84" s="239">
        <v>0</v>
      </c>
      <c r="BQ84" s="239">
        <v>-4838327</v>
      </c>
      <c r="BR84" s="239">
        <v>1710987</v>
      </c>
      <c r="BS84" s="239">
        <v>0</v>
      </c>
      <c r="BT84" s="239">
        <v>1710987</v>
      </c>
      <c r="BU84" s="239">
        <v>-3148076</v>
      </c>
      <c r="BV84" s="239">
        <v>0</v>
      </c>
      <c r="BW84" s="239">
        <v>-3148076</v>
      </c>
      <c r="BX84" s="239">
        <v>-501390</v>
      </c>
      <c r="BY84" s="239">
        <v>0</v>
      </c>
      <c r="BZ84" s="239">
        <v>-501390</v>
      </c>
      <c r="CA84" s="239">
        <v>-76</v>
      </c>
      <c r="CB84" s="239">
        <v>0</v>
      </c>
      <c r="CC84" s="239">
        <v>-76</v>
      </c>
      <c r="CD84" s="239">
        <v>-96855</v>
      </c>
      <c r="CE84" s="239">
        <v>0</v>
      </c>
      <c r="CF84" s="239">
        <v>-96855</v>
      </c>
      <c r="CG84" s="239">
        <v>-18326</v>
      </c>
      <c r="CH84" s="239">
        <v>0</v>
      </c>
      <c r="CI84" s="239">
        <v>-18326</v>
      </c>
      <c r="CJ84" s="239">
        <v>-9040</v>
      </c>
      <c r="CK84" s="239">
        <v>0</v>
      </c>
      <c r="CL84" s="239">
        <v>-9040</v>
      </c>
      <c r="CM84" s="239">
        <v>0</v>
      </c>
      <c r="CN84" s="239">
        <v>0</v>
      </c>
      <c r="CO84" s="239">
        <v>0</v>
      </c>
      <c r="CP84" s="239">
        <v>0</v>
      </c>
      <c r="CQ84" s="239">
        <v>0</v>
      </c>
      <c r="CR84" s="239">
        <v>0</v>
      </c>
      <c r="CS84" s="239">
        <v>0</v>
      </c>
      <c r="CT84" s="239">
        <v>0</v>
      </c>
      <c r="CU84" s="239">
        <v>0</v>
      </c>
      <c r="CV84" s="239">
        <v>0</v>
      </c>
      <c r="CW84" s="239">
        <v>0</v>
      </c>
      <c r="CX84" s="239">
        <v>0</v>
      </c>
      <c r="CY84" s="239">
        <v>0</v>
      </c>
      <c r="CZ84" s="239">
        <v>0</v>
      </c>
      <c r="DA84" s="239">
        <v>0</v>
      </c>
      <c r="DB84" s="239">
        <v>-30729</v>
      </c>
      <c r="DC84" s="239">
        <v>0</v>
      </c>
      <c r="DD84" s="239">
        <v>-30729</v>
      </c>
      <c r="DE84" s="239">
        <v>0</v>
      </c>
      <c r="DF84" s="239">
        <v>0</v>
      </c>
      <c r="DG84" s="239">
        <v>0</v>
      </c>
      <c r="DH84" s="239">
        <v>0</v>
      </c>
      <c r="DI84" s="239">
        <v>0</v>
      </c>
      <c r="DJ84" s="239">
        <v>-656416</v>
      </c>
      <c r="DK84" s="239">
        <v>0</v>
      </c>
      <c r="DL84" s="239">
        <v>-656416</v>
      </c>
      <c r="DM84" s="239">
        <v>0</v>
      </c>
      <c r="DN84" s="239">
        <v>0</v>
      </c>
      <c r="DO84" s="239">
        <v>0</v>
      </c>
      <c r="DP84" s="239">
        <v>-7319</v>
      </c>
      <c r="DQ84" s="239">
        <v>0</v>
      </c>
      <c r="DR84" s="239">
        <v>-7319</v>
      </c>
      <c r="DS84" s="239">
        <v>-38032</v>
      </c>
      <c r="DT84" s="239">
        <v>0</v>
      </c>
      <c r="DU84" s="239">
        <v>-38032</v>
      </c>
      <c r="DV84" s="239">
        <v>-2322</v>
      </c>
      <c r="DW84" s="239">
        <v>0</v>
      </c>
      <c r="DX84" s="239">
        <v>-2322</v>
      </c>
      <c r="DY84" s="239">
        <v>0</v>
      </c>
      <c r="DZ84" s="239">
        <v>0</v>
      </c>
      <c r="EA84" s="239">
        <v>0</v>
      </c>
      <c r="EB84" s="239">
        <v>-5644</v>
      </c>
      <c r="EC84" s="239">
        <v>0</v>
      </c>
      <c r="ED84" s="239">
        <v>-5644</v>
      </c>
      <c r="EE84" s="239">
        <v>0</v>
      </c>
      <c r="EF84" s="239">
        <v>0</v>
      </c>
      <c r="EG84" s="239">
        <v>0</v>
      </c>
      <c r="EH84" s="239">
        <v>0</v>
      </c>
      <c r="EI84" s="239">
        <v>0</v>
      </c>
      <c r="EJ84" s="239">
        <v>0</v>
      </c>
      <c r="EK84" s="239">
        <v>-6626</v>
      </c>
      <c r="EL84" s="239">
        <v>0</v>
      </c>
      <c r="EM84" s="239">
        <v>-6626</v>
      </c>
      <c r="EN84" s="239">
        <v>0</v>
      </c>
      <c r="EO84" s="239">
        <v>0</v>
      </c>
      <c r="EP84" s="239">
        <v>0</v>
      </c>
      <c r="EQ84" s="239">
        <v>-59943</v>
      </c>
      <c r="ER84" s="239">
        <v>0</v>
      </c>
      <c r="ES84" s="239">
        <v>-59943</v>
      </c>
      <c r="ET84" s="239">
        <v>0</v>
      </c>
      <c r="EU84" s="239">
        <v>0</v>
      </c>
      <c r="EV84" s="239">
        <v>0</v>
      </c>
      <c r="EW84" s="239">
        <v>0</v>
      </c>
      <c r="EX84" s="239">
        <v>0</v>
      </c>
      <c r="EY84" s="239">
        <v>0</v>
      </c>
      <c r="EZ84" s="239">
        <v>0</v>
      </c>
      <c r="FA84" s="239">
        <v>0</v>
      </c>
      <c r="FB84" s="239">
        <v>0</v>
      </c>
      <c r="FC84" s="239">
        <v>112152942</v>
      </c>
      <c r="FD84" s="239">
        <v>0</v>
      </c>
      <c r="FE84" s="239">
        <v>112152942</v>
      </c>
      <c r="FF84" s="239">
        <v>748978</v>
      </c>
      <c r="FG84" s="239">
        <v>0</v>
      </c>
      <c r="FH84" s="239">
        <v>748978</v>
      </c>
      <c r="FI84" s="239">
        <v>-10434059</v>
      </c>
      <c r="FJ84" s="239">
        <v>0</v>
      </c>
      <c r="FK84" s="239">
        <v>-10434059</v>
      </c>
      <c r="FL84" s="239">
        <v>-3148076</v>
      </c>
      <c r="FM84" s="239">
        <v>0</v>
      </c>
      <c r="FN84" s="239">
        <v>-3148076</v>
      </c>
      <c r="FO84" s="239">
        <v>-656416</v>
      </c>
      <c r="FP84" s="239">
        <v>0</v>
      </c>
      <c r="FQ84" s="239">
        <v>-656416</v>
      </c>
      <c r="FR84" s="239">
        <v>-59943</v>
      </c>
      <c r="FS84" s="239">
        <v>0</v>
      </c>
      <c r="FT84" s="239">
        <v>-59943</v>
      </c>
      <c r="FU84" s="239">
        <v>0</v>
      </c>
      <c r="FV84" s="239">
        <v>0</v>
      </c>
      <c r="FW84" s="239">
        <v>0</v>
      </c>
      <c r="FX84" s="239">
        <v>-13549516</v>
      </c>
      <c r="FY84" s="239">
        <v>0</v>
      </c>
      <c r="FZ84" s="239">
        <v>-13549516</v>
      </c>
      <c r="GA84" s="239">
        <v>98603426</v>
      </c>
      <c r="GB84" s="239">
        <v>0</v>
      </c>
      <c r="GC84" s="239">
        <v>98603426</v>
      </c>
      <c r="GD84" s="214" t="s">
        <v>1192</v>
      </c>
    </row>
    <row r="85" spans="2:186" s="214" customFormat="1" x14ac:dyDescent="0.2">
      <c r="B85" s="609" t="s">
        <v>252</v>
      </c>
      <c r="C85" s="609" t="s">
        <v>251</v>
      </c>
      <c r="D85" s="239">
        <v>0</v>
      </c>
      <c r="E85" s="239">
        <v>0</v>
      </c>
      <c r="F85" s="239">
        <v>0</v>
      </c>
      <c r="G85" s="239">
        <v>60155</v>
      </c>
      <c r="H85" s="239">
        <v>0</v>
      </c>
      <c r="I85" s="239">
        <v>60155</v>
      </c>
      <c r="J85" s="239">
        <v>0</v>
      </c>
      <c r="K85" s="239">
        <v>0</v>
      </c>
      <c r="L85" s="239">
        <v>0</v>
      </c>
      <c r="M85" s="239">
        <v>81664</v>
      </c>
      <c r="N85" s="239">
        <v>0</v>
      </c>
      <c r="O85" s="239">
        <v>81664</v>
      </c>
      <c r="P85" s="239">
        <v>141819</v>
      </c>
      <c r="Q85" s="239">
        <v>0</v>
      </c>
      <c r="R85" s="239">
        <v>141819</v>
      </c>
      <c r="S85" s="239">
        <v>-10200374</v>
      </c>
      <c r="T85" s="239">
        <v>0</v>
      </c>
      <c r="U85" s="239">
        <v>-10200374</v>
      </c>
      <c r="V85" s="239">
        <v>-45862</v>
      </c>
      <c r="W85" s="239">
        <v>0</v>
      </c>
      <c r="X85" s="239">
        <v>-45862</v>
      </c>
      <c r="Y85" s="239">
        <v>-285908</v>
      </c>
      <c r="Z85" s="239">
        <v>0</v>
      </c>
      <c r="AA85" s="239">
        <v>-285908</v>
      </c>
      <c r="AB85" s="239">
        <v>-224785</v>
      </c>
      <c r="AC85" s="239">
        <v>0</v>
      </c>
      <c r="AD85" s="239">
        <v>-224785</v>
      </c>
      <c r="AE85" s="239">
        <v>-3382</v>
      </c>
      <c r="AF85" s="239">
        <v>0</v>
      </c>
      <c r="AG85" s="239">
        <v>-3382</v>
      </c>
      <c r="AH85" s="239">
        <v>3306652</v>
      </c>
      <c r="AI85" s="239">
        <v>0</v>
      </c>
      <c r="AJ85" s="239">
        <v>3306652</v>
      </c>
      <c r="AK85" s="239">
        <v>-110642</v>
      </c>
      <c r="AL85" s="239">
        <v>0</v>
      </c>
      <c r="AM85" s="239">
        <v>-110642</v>
      </c>
      <c r="AN85" s="239">
        <v>-10736733</v>
      </c>
      <c r="AO85" s="239">
        <v>0</v>
      </c>
      <c r="AP85" s="239">
        <v>-10736733</v>
      </c>
      <c r="AQ85" s="239">
        <v>28123</v>
      </c>
      <c r="AR85" s="239">
        <v>0</v>
      </c>
      <c r="AS85" s="239">
        <v>28123</v>
      </c>
      <c r="AT85" s="239">
        <v>-226838</v>
      </c>
      <c r="AU85" s="239">
        <v>0</v>
      </c>
      <c r="AV85" s="239">
        <v>-226838</v>
      </c>
      <c r="AW85" s="239">
        <v>-22284</v>
      </c>
      <c r="AX85" s="239">
        <v>0</v>
      </c>
      <c r="AY85" s="239">
        <v>-22284</v>
      </c>
      <c r="AZ85" s="239">
        <v>-94507</v>
      </c>
      <c r="BA85" s="239">
        <v>0</v>
      </c>
      <c r="BB85" s="239">
        <v>-94507</v>
      </c>
      <c r="BC85" s="239">
        <v>-236</v>
      </c>
      <c r="BD85" s="239">
        <v>0</v>
      </c>
      <c r="BE85" s="239">
        <v>-236</v>
      </c>
      <c r="BF85" s="239">
        <v>-18342747</v>
      </c>
      <c r="BG85" s="239">
        <v>0</v>
      </c>
      <c r="BH85" s="239">
        <v>-18342747</v>
      </c>
      <c r="BI85" s="239">
        <v>-669858</v>
      </c>
      <c r="BJ85" s="239">
        <v>0</v>
      </c>
      <c r="BK85" s="239">
        <v>-669858</v>
      </c>
      <c r="BL85" s="239">
        <v>-53571</v>
      </c>
      <c r="BM85" s="239">
        <v>0</v>
      </c>
      <c r="BN85" s="239">
        <v>-53571</v>
      </c>
      <c r="BO85" s="239">
        <v>-5258814</v>
      </c>
      <c r="BP85" s="239">
        <v>0</v>
      </c>
      <c r="BQ85" s="239">
        <v>-5258814</v>
      </c>
      <c r="BR85" s="239">
        <v>-464288</v>
      </c>
      <c r="BS85" s="239">
        <v>0</v>
      </c>
      <c r="BT85" s="239">
        <v>-464288</v>
      </c>
      <c r="BU85" s="239">
        <v>-6446531</v>
      </c>
      <c r="BV85" s="239">
        <v>0</v>
      </c>
      <c r="BW85" s="239">
        <v>-6446531</v>
      </c>
      <c r="BX85" s="239">
        <v>-556643</v>
      </c>
      <c r="BY85" s="239">
        <v>0</v>
      </c>
      <c r="BZ85" s="239">
        <v>-556643</v>
      </c>
      <c r="CA85" s="239">
        <v>-5418</v>
      </c>
      <c r="CB85" s="239">
        <v>0</v>
      </c>
      <c r="CC85" s="239">
        <v>-5418</v>
      </c>
      <c r="CD85" s="239">
        <v>-180320</v>
      </c>
      <c r="CE85" s="239">
        <v>0</v>
      </c>
      <c r="CF85" s="239">
        <v>-180320</v>
      </c>
      <c r="CG85" s="239">
        <v>18335</v>
      </c>
      <c r="CH85" s="239">
        <v>0</v>
      </c>
      <c r="CI85" s="239">
        <v>18335</v>
      </c>
      <c r="CJ85" s="239">
        <v>0</v>
      </c>
      <c r="CK85" s="239">
        <v>0</v>
      </c>
      <c r="CL85" s="239">
        <v>0</v>
      </c>
      <c r="CM85" s="239">
        <v>0</v>
      </c>
      <c r="CN85" s="239">
        <v>0</v>
      </c>
      <c r="CO85" s="239">
        <v>0</v>
      </c>
      <c r="CP85" s="239">
        <v>-77321</v>
      </c>
      <c r="CQ85" s="239">
        <v>0</v>
      </c>
      <c r="CR85" s="239">
        <v>-77321</v>
      </c>
      <c r="CS85" s="239">
        <v>-1157</v>
      </c>
      <c r="CT85" s="239">
        <v>0</v>
      </c>
      <c r="CU85" s="239">
        <v>-1157</v>
      </c>
      <c r="CV85" s="239">
        <v>-2118</v>
      </c>
      <c r="CW85" s="239">
        <v>0</v>
      </c>
      <c r="CX85" s="239">
        <v>-2118</v>
      </c>
      <c r="CY85" s="239">
        <v>0</v>
      </c>
      <c r="CZ85" s="239">
        <v>0</v>
      </c>
      <c r="DA85" s="239">
        <v>0</v>
      </c>
      <c r="DB85" s="239">
        <v>0</v>
      </c>
      <c r="DC85" s="239">
        <v>0</v>
      </c>
      <c r="DD85" s="239">
        <v>0</v>
      </c>
      <c r="DE85" s="239">
        <v>0</v>
      </c>
      <c r="DF85" s="239">
        <v>0</v>
      </c>
      <c r="DG85" s="239">
        <v>0</v>
      </c>
      <c r="DH85" s="239">
        <v>0</v>
      </c>
      <c r="DI85" s="239">
        <v>0</v>
      </c>
      <c r="DJ85" s="239">
        <v>-804642</v>
      </c>
      <c r="DK85" s="239">
        <v>0</v>
      </c>
      <c r="DL85" s="239">
        <v>-804642</v>
      </c>
      <c r="DM85" s="239">
        <v>-5891</v>
      </c>
      <c r="DN85" s="239">
        <v>0</v>
      </c>
      <c r="DO85" s="239">
        <v>-5891</v>
      </c>
      <c r="DP85" s="239">
        <v>5649</v>
      </c>
      <c r="DQ85" s="239">
        <v>0</v>
      </c>
      <c r="DR85" s="239">
        <v>5649</v>
      </c>
      <c r="DS85" s="239">
        <v>-45343</v>
      </c>
      <c r="DT85" s="239">
        <v>0</v>
      </c>
      <c r="DU85" s="239">
        <v>-45343</v>
      </c>
      <c r="DV85" s="239">
        <v>-6865</v>
      </c>
      <c r="DW85" s="239">
        <v>0</v>
      </c>
      <c r="DX85" s="239">
        <v>-6865</v>
      </c>
      <c r="DY85" s="239">
        <v>0</v>
      </c>
      <c r="DZ85" s="239">
        <v>0</v>
      </c>
      <c r="EA85" s="239">
        <v>0</v>
      </c>
      <c r="EB85" s="239">
        <v>-23235</v>
      </c>
      <c r="EC85" s="239">
        <v>0</v>
      </c>
      <c r="ED85" s="239">
        <v>-23235</v>
      </c>
      <c r="EE85" s="239">
        <v>0</v>
      </c>
      <c r="EF85" s="239">
        <v>0</v>
      </c>
      <c r="EG85" s="239">
        <v>0</v>
      </c>
      <c r="EH85" s="239">
        <v>-1730</v>
      </c>
      <c r="EI85" s="239">
        <v>0</v>
      </c>
      <c r="EJ85" s="239">
        <v>-1730</v>
      </c>
      <c r="EK85" s="239">
        <v>-38463</v>
      </c>
      <c r="EL85" s="239">
        <v>0</v>
      </c>
      <c r="EM85" s="239">
        <v>-38463</v>
      </c>
      <c r="EN85" s="239">
        <v>5241</v>
      </c>
      <c r="EO85" s="239">
        <v>0</v>
      </c>
      <c r="EP85" s="239">
        <v>5241</v>
      </c>
      <c r="EQ85" s="239">
        <v>-110637</v>
      </c>
      <c r="ER85" s="239">
        <v>0</v>
      </c>
      <c r="ES85" s="239">
        <v>-110637</v>
      </c>
      <c r="ET85" s="239">
        <v>-62026</v>
      </c>
      <c r="EU85" s="239">
        <v>0</v>
      </c>
      <c r="EV85" s="239">
        <v>-62026</v>
      </c>
      <c r="EW85" s="239">
        <v>0</v>
      </c>
      <c r="EX85" s="239">
        <v>0</v>
      </c>
      <c r="EY85" s="239">
        <v>0</v>
      </c>
      <c r="EZ85" s="239">
        <v>-62026</v>
      </c>
      <c r="FA85" s="239">
        <v>0</v>
      </c>
      <c r="FB85" s="239">
        <v>-62026</v>
      </c>
      <c r="FC85" s="239">
        <v>143957113</v>
      </c>
      <c r="FD85" s="239">
        <v>0</v>
      </c>
      <c r="FE85" s="239">
        <v>143957113</v>
      </c>
      <c r="FF85" s="239">
        <v>141819</v>
      </c>
      <c r="FG85" s="239">
        <v>0</v>
      </c>
      <c r="FH85" s="239">
        <v>141819</v>
      </c>
      <c r="FI85" s="239">
        <v>-18342747</v>
      </c>
      <c r="FJ85" s="239">
        <v>0</v>
      </c>
      <c r="FK85" s="239">
        <v>-18342747</v>
      </c>
      <c r="FL85" s="239">
        <v>-6446531</v>
      </c>
      <c r="FM85" s="239">
        <v>0</v>
      </c>
      <c r="FN85" s="239">
        <v>-6446531</v>
      </c>
      <c r="FO85" s="239">
        <v>-804642</v>
      </c>
      <c r="FP85" s="239">
        <v>0</v>
      </c>
      <c r="FQ85" s="239">
        <v>-804642</v>
      </c>
      <c r="FR85" s="239">
        <v>-110637</v>
      </c>
      <c r="FS85" s="239">
        <v>0</v>
      </c>
      <c r="FT85" s="239">
        <v>-110637</v>
      </c>
      <c r="FU85" s="239">
        <v>-62026</v>
      </c>
      <c r="FV85" s="239">
        <v>0</v>
      </c>
      <c r="FW85" s="239">
        <v>-62026</v>
      </c>
      <c r="FX85" s="239">
        <v>-25624764</v>
      </c>
      <c r="FY85" s="239">
        <v>0</v>
      </c>
      <c r="FZ85" s="239">
        <v>-25624764</v>
      </c>
      <c r="GA85" s="239">
        <v>118332349</v>
      </c>
      <c r="GB85" s="239">
        <v>0</v>
      </c>
      <c r="GC85" s="239">
        <v>118332349</v>
      </c>
      <c r="GD85" s="214" t="s">
        <v>747</v>
      </c>
    </row>
    <row r="86" spans="2:186" s="214" customFormat="1" x14ac:dyDescent="0.2">
      <c r="B86" s="609" t="s">
        <v>254</v>
      </c>
      <c r="C86" s="609" t="s">
        <v>253</v>
      </c>
      <c r="D86" s="239">
        <v>0</v>
      </c>
      <c r="E86" s="239">
        <v>0</v>
      </c>
      <c r="F86" s="239">
        <v>0</v>
      </c>
      <c r="G86" s="239">
        <v>201562</v>
      </c>
      <c r="H86" s="239">
        <v>0</v>
      </c>
      <c r="I86" s="239">
        <v>201562</v>
      </c>
      <c r="J86" s="239">
        <v>0</v>
      </c>
      <c r="K86" s="239">
        <v>0</v>
      </c>
      <c r="L86" s="239">
        <v>0</v>
      </c>
      <c r="M86" s="239">
        <v>259366</v>
      </c>
      <c r="N86" s="239">
        <v>0</v>
      </c>
      <c r="O86" s="239">
        <v>259366</v>
      </c>
      <c r="P86" s="239">
        <v>460928</v>
      </c>
      <c r="Q86" s="239">
        <v>0</v>
      </c>
      <c r="R86" s="239">
        <v>460928</v>
      </c>
      <c r="S86" s="239">
        <v>-5179140</v>
      </c>
      <c r="T86" s="239">
        <v>0</v>
      </c>
      <c r="U86" s="239">
        <v>-5179140</v>
      </c>
      <c r="V86" s="239">
        <v>-25700</v>
      </c>
      <c r="W86" s="239">
        <v>0</v>
      </c>
      <c r="X86" s="239">
        <v>-25700</v>
      </c>
      <c r="Y86" s="239">
        <v>-361625</v>
      </c>
      <c r="Z86" s="239">
        <v>0</v>
      </c>
      <c r="AA86" s="239">
        <v>-361625</v>
      </c>
      <c r="AB86" s="239">
        <v>-273099</v>
      </c>
      <c r="AC86" s="239">
        <v>0</v>
      </c>
      <c r="AD86" s="239">
        <v>-273099</v>
      </c>
      <c r="AE86" s="239">
        <v>2753</v>
      </c>
      <c r="AF86" s="239">
        <v>0</v>
      </c>
      <c r="AG86" s="239">
        <v>2753</v>
      </c>
      <c r="AH86" s="239">
        <v>3805532</v>
      </c>
      <c r="AI86" s="239">
        <v>0</v>
      </c>
      <c r="AJ86" s="239">
        <v>3805532</v>
      </c>
      <c r="AK86" s="239">
        <v>32720</v>
      </c>
      <c r="AL86" s="239">
        <v>0</v>
      </c>
      <c r="AM86" s="239">
        <v>32720</v>
      </c>
      <c r="AN86" s="239">
        <v>-7750340</v>
      </c>
      <c r="AO86" s="239">
        <v>0</v>
      </c>
      <c r="AP86" s="239">
        <v>-7750340</v>
      </c>
      <c r="AQ86" s="239">
        <v>-442995</v>
      </c>
      <c r="AR86" s="239">
        <v>0</v>
      </c>
      <c r="AS86" s="239">
        <v>-442995</v>
      </c>
      <c r="AT86" s="239">
        <v>-26039</v>
      </c>
      <c r="AU86" s="239">
        <v>0</v>
      </c>
      <c r="AV86" s="239">
        <v>-26039</v>
      </c>
      <c r="AW86" s="239">
        <v>0</v>
      </c>
      <c r="AX86" s="239">
        <v>0</v>
      </c>
      <c r="AY86" s="239">
        <v>0</v>
      </c>
      <c r="AZ86" s="239">
        <v>0</v>
      </c>
      <c r="BA86" s="239">
        <v>0</v>
      </c>
      <c r="BB86" s="239">
        <v>0</v>
      </c>
      <c r="BC86" s="239">
        <v>0</v>
      </c>
      <c r="BD86" s="239">
        <v>0</v>
      </c>
      <c r="BE86" s="239">
        <v>0</v>
      </c>
      <c r="BF86" s="239">
        <v>-9921887</v>
      </c>
      <c r="BG86" s="239">
        <v>0</v>
      </c>
      <c r="BH86" s="239">
        <v>-9921887</v>
      </c>
      <c r="BI86" s="239">
        <v>0</v>
      </c>
      <c r="BJ86" s="239">
        <v>0</v>
      </c>
      <c r="BK86" s="239">
        <v>0</v>
      </c>
      <c r="BL86" s="239">
        <v>-34593</v>
      </c>
      <c r="BM86" s="239">
        <v>0</v>
      </c>
      <c r="BN86" s="239">
        <v>-34593</v>
      </c>
      <c r="BO86" s="239">
        <v>-5841417</v>
      </c>
      <c r="BP86" s="239">
        <v>0</v>
      </c>
      <c r="BQ86" s="239">
        <v>-5841417</v>
      </c>
      <c r="BR86" s="239">
        <v>-1293377</v>
      </c>
      <c r="BS86" s="239">
        <v>0</v>
      </c>
      <c r="BT86" s="239">
        <v>-1293377</v>
      </c>
      <c r="BU86" s="239">
        <v>-7169387</v>
      </c>
      <c r="BV86" s="239">
        <v>0</v>
      </c>
      <c r="BW86" s="239">
        <v>-7169387</v>
      </c>
      <c r="BX86" s="239">
        <v>-169591</v>
      </c>
      <c r="BY86" s="239">
        <v>0</v>
      </c>
      <c r="BZ86" s="239">
        <v>-169591</v>
      </c>
      <c r="CA86" s="239">
        <v>10245</v>
      </c>
      <c r="CB86" s="239">
        <v>0</v>
      </c>
      <c r="CC86" s="239">
        <v>10245</v>
      </c>
      <c r="CD86" s="239">
        <v>-341604</v>
      </c>
      <c r="CE86" s="239">
        <v>0</v>
      </c>
      <c r="CF86" s="239">
        <v>-341604</v>
      </c>
      <c r="CG86" s="239">
        <v>7240</v>
      </c>
      <c r="CH86" s="239">
        <v>0</v>
      </c>
      <c r="CI86" s="239">
        <v>7240</v>
      </c>
      <c r="CJ86" s="239">
        <v>0</v>
      </c>
      <c r="CK86" s="239">
        <v>0</v>
      </c>
      <c r="CL86" s="239">
        <v>0</v>
      </c>
      <c r="CM86" s="239">
        <v>0</v>
      </c>
      <c r="CN86" s="239">
        <v>0</v>
      </c>
      <c r="CO86" s="239">
        <v>0</v>
      </c>
      <c r="CP86" s="239">
        <v>0</v>
      </c>
      <c r="CQ86" s="239">
        <v>0</v>
      </c>
      <c r="CR86" s="239">
        <v>0</v>
      </c>
      <c r="CS86" s="239">
        <v>0</v>
      </c>
      <c r="CT86" s="239">
        <v>0</v>
      </c>
      <c r="CU86" s="239">
        <v>0</v>
      </c>
      <c r="CV86" s="239">
        <v>0</v>
      </c>
      <c r="CW86" s="239">
        <v>0</v>
      </c>
      <c r="CX86" s="239">
        <v>0</v>
      </c>
      <c r="CY86" s="239">
        <v>0</v>
      </c>
      <c r="CZ86" s="239">
        <v>0</v>
      </c>
      <c r="DA86" s="239">
        <v>0</v>
      </c>
      <c r="DB86" s="239">
        <v>-56146</v>
      </c>
      <c r="DC86" s="239">
        <v>0</v>
      </c>
      <c r="DD86" s="239">
        <v>-56146</v>
      </c>
      <c r="DE86" s="239">
        <v>-128550</v>
      </c>
      <c r="DF86" s="239">
        <v>0</v>
      </c>
      <c r="DG86" s="239">
        <v>-128550</v>
      </c>
      <c r="DH86" s="239">
        <v>0</v>
      </c>
      <c r="DI86" s="239">
        <v>0</v>
      </c>
      <c r="DJ86" s="239">
        <v>-678406</v>
      </c>
      <c r="DK86" s="239">
        <v>0</v>
      </c>
      <c r="DL86" s="239">
        <v>-678406</v>
      </c>
      <c r="DM86" s="239">
        <v>-106017</v>
      </c>
      <c r="DN86" s="239">
        <v>0</v>
      </c>
      <c r="DO86" s="239">
        <v>-106017</v>
      </c>
      <c r="DP86" s="239">
        <v>154529</v>
      </c>
      <c r="DQ86" s="239">
        <v>0</v>
      </c>
      <c r="DR86" s="239">
        <v>154529</v>
      </c>
      <c r="DS86" s="239">
        <v>-48514</v>
      </c>
      <c r="DT86" s="239">
        <v>0</v>
      </c>
      <c r="DU86" s="239">
        <v>-48514</v>
      </c>
      <c r="DV86" s="239">
        <v>-21942</v>
      </c>
      <c r="DW86" s="239">
        <v>0</v>
      </c>
      <c r="DX86" s="239">
        <v>-21942</v>
      </c>
      <c r="DY86" s="239">
        <v>0</v>
      </c>
      <c r="DZ86" s="239">
        <v>0</v>
      </c>
      <c r="EA86" s="239">
        <v>0</v>
      </c>
      <c r="EB86" s="239">
        <v>13724</v>
      </c>
      <c r="EC86" s="239">
        <v>0</v>
      </c>
      <c r="ED86" s="239">
        <v>13724</v>
      </c>
      <c r="EE86" s="239">
        <v>0</v>
      </c>
      <c r="EF86" s="239">
        <v>0</v>
      </c>
      <c r="EG86" s="239">
        <v>0</v>
      </c>
      <c r="EH86" s="239">
        <v>0</v>
      </c>
      <c r="EI86" s="239">
        <v>0</v>
      </c>
      <c r="EJ86" s="239">
        <v>0</v>
      </c>
      <c r="EK86" s="239">
        <v>0</v>
      </c>
      <c r="EL86" s="239">
        <v>0</v>
      </c>
      <c r="EM86" s="239">
        <v>0</v>
      </c>
      <c r="EN86" s="239">
        <v>0</v>
      </c>
      <c r="EO86" s="239">
        <v>0</v>
      </c>
      <c r="EP86" s="239">
        <v>0</v>
      </c>
      <c r="EQ86" s="239">
        <v>-8220</v>
      </c>
      <c r="ER86" s="239">
        <v>0</v>
      </c>
      <c r="ES86" s="239">
        <v>-8220</v>
      </c>
      <c r="ET86" s="239">
        <v>0</v>
      </c>
      <c r="EU86" s="239">
        <v>0</v>
      </c>
      <c r="EV86" s="239">
        <v>0</v>
      </c>
      <c r="EW86" s="239">
        <v>122</v>
      </c>
      <c r="EX86" s="239">
        <v>0</v>
      </c>
      <c r="EY86" s="239">
        <v>122</v>
      </c>
      <c r="EZ86" s="239">
        <v>122</v>
      </c>
      <c r="FA86" s="239">
        <v>0</v>
      </c>
      <c r="FB86" s="239">
        <v>122</v>
      </c>
      <c r="FC86" s="239">
        <v>166134973</v>
      </c>
      <c r="FD86" s="239">
        <v>0</v>
      </c>
      <c r="FE86" s="239">
        <v>166134973</v>
      </c>
      <c r="FF86" s="239">
        <v>460928</v>
      </c>
      <c r="FG86" s="239">
        <v>0</v>
      </c>
      <c r="FH86" s="239">
        <v>460928</v>
      </c>
      <c r="FI86" s="239">
        <v>-9921887</v>
      </c>
      <c r="FJ86" s="239">
        <v>0</v>
      </c>
      <c r="FK86" s="239">
        <v>-9921887</v>
      </c>
      <c r="FL86" s="239">
        <v>-7169387</v>
      </c>
      <c r="FM86" s="239">
        <v>0</v>
      </c>
      <c r="FN86" s="239">
        <v>-7169387</v>
      </c>
      <c r="FO86" s="239">
        <v>-678406</v>
      </c>
      <c r="FP86" s="239">
        <v>0</v>
      </c>
      <c r="FQ86" s="239">
        <v>-678406</v>
      </c>
      <c r="FR86" s="239">
        <v>-8220</v>
      </c>
      <c r="FS86" s="239">
        <v>0</v>
      </c>
      <c r="FT86" s="239">
        <v>-8220</v>
      </c>
      <c r="FU86" s="239">
        <v>122</v>
      </c>
      <c r="FV86" s="239">
        <v>0</v>
      </c>
      <c r="FW86" s="239">
        <v>122</v>
      </c>
      <c r="FX86" s="239">
        <v>-17316850</v>
      </c>
      <c r="FY86" s="239">
        <v>0</v>
      </c>
      <c r="FZ86" s="239">
        <v>-17316850</v>
      </c>
      <c r="GA86" s="239">
        <v>148818123</v>
      </c>
      <c r="GB86" s="239">
        <v>0</v>
      </c>
      <c r="GC86" s="239">
        <v>148818123</v>
      </c>
      <c r="GD86" s="214" t="s">
        <v>1191</v>
      </c>
    </row>
    <row r="87" spans="2:186" s="214" customFormat="1" x14ac:dyDescent="0.2">
      <c r="B87" s="609" t="s">
        <v>256</v>
      </c>
      <c r="C87" s="609" t="s">
        <v>255</v>
      </c>
      <c r="D87" s="239">
        <v>0</v>
      </c>
      <c r="E87" s="239">
        <v>0</v>
      </c>
      <c r="F87" s="239">
        <v>0</v>
      </c>
      <c r="G87" s="239">
        <v>-2812</v>
      </c>
      <c r="H87" s="239">
        <v>0</v>
      </c>
      <c r="I87" s="239">
        <v>-2812</v>
      </c>
      <c r="J87" s="239">
        <v>0</v>
      </c>
      <c r="K87" s="239">
        <v>0</v>
      </c>
      <c r="L87" s="239">
        <v>0</v>
      </c>
      <c r="M87" s="239">
        <v>-9982</v>
      </c>
      <c r="N87" s="239">
        <v>0</v>
      </c>
      <c r="O87" s="239">
        <v>-9982</v>
      </c>
      <c r="P87" s="239">
        <v>-12794</v>
      </c>
      <c r="Q87" s="239">
        <v>0</v>
      </c>
      <c r="R87" s="239">
        <v>-12794</v>
      </c>
      <c r="S87" s="239">
        <v>-1651384</v>
      </c>
      <c r="T87" s="239">
        <v>0</v>
      </c>
      <c r="U87" s="239">
        <v>-1651384</v>
      </c>
      <c r="V87" s="239">
        <v>0</v>
      </c>
      <c r="W87" s="239">
        <v>0</v>
      </c>
      <c r="X87" s="239">
        <v>0</v>
      </c>
      <c r="Y87" s="239">
        <v>-47626</v>
      </c>
      <c r="Z87" s="239">
        <v>0</v>
      </c>
      <c r="AA87" s="239">
        <v>-47626</v>
      </c>
      <c r="AB87" s="239">
        <v>-17626</v>
      </c>
      <c r="AC87" s="239">
        <v>0</v>
      </c>
      <c r="AD87" s="239">
        <v>-17626</v>
      </c>
      <c r="AE87" s="239">
        <v>1741</v>
      </c>
      <c r="AF87" s="239">
        <v>0</v>
      </c>
      <c r="AG87" s="239">
        <v>1741</v>
      </c>
      <c r="AH87" s="239">
        <v>493597</v>
      </c>
      <c r="AI87" s="239">
        <v>5005</v>
      </c>
      <c r="AJ87" s="239">
        <v>498602</v>
      </c>
      <c r="AK87" s="239">
        <v>3134</v>
      </c>
      <c r="AL87" s="239">
        <v>0</v>
      </c>
      <c r="AM87" s="239">
        <v>3134</v>
      </c>
      <c r="AN87" s="239">
        <v>-1647101</v>
      </c>
      <c r="AO87" s="239">
        <v>0</v>
      </c>
      <c r="AP87" s="239">
        <v>-1647101</v>
      </c>
      <c r="AQ87" s="239">
        <v>-17663</v>
      </c>
      <c r="AR87" s="239">
        <v>0</v>
      </c>
      <c r="AS87" s="239">
        <v>-17663</v>
      </c>
      <c r="AT87" s="239">
        <v>-23796</v>
      </c>
      <c r="AU87" s="239">
        <v>0</v>
      </c>
      <c r="AV87" s="239">
        <v>-23796</v>
      </c>
      <c r="AW87" s="239">
        <v>0</v>
      </c>
      <c r="AX87" s="239">
        <v>0</v>
      </c>
      <c r="AY87" s="239">
        <v>0</v>
      </c>
      <c r="AZ87" s="239">
        <v>-36638</v>
      </c>
      <c r="BA87" s="239">
        <v>0</v>
      </c>
      <c r="BB87" s="239">
        <v>-36638</v>
      </c>
      <c r="BC87" s="239">
        <v>-5453</v>
      </c>
      <c r="BD87" s="239">
        <v>0</v>
      </c>
      <c r="BE87" s="239">
        <v>-5453</v>
      </c>
      <c r="BF87" s="239">
        <v>-2932930</v>
      </c>
      <c r="BG87" s="239">
        <v>5005</v>
      </c>
      <c r="BH87" s="239">
        <v>-2927925</v>
      </c>
      <c r="BI87" s="239">
        <v>0</v>
      </c>
      <c r="BJ87" s="239">
        <v>0</v>
      </c>
      <c r="BK87" s="239">
        <v>0</v>
      </c>
      <c r="BL87" s="239">
        <v>0</v>
      </c>
      <c r="BM87" s="239">
        <v>0</v>
      </c>
      <c r="BN87" s="239">
        <v>0</v>
      </c>
      <c r="BO87" s="239">
        <v>-455751</v>
      </c>
      <c r="BP87" s="239">
        <v>0</v>
      </c>
      <c r="BQ87" s="239">
        <v>-455751</v>
      </c>
      <c r="BR87" s="239">
        <v>-55550</v>
      </c>
      <c r="BS87" s="239">
        <v>0</v>
      </c>
      <c r="BT87" s="239">
        <v>-55550</v>
      </c>
      <c r="BU87" s="239">
        <v>-511301</v>
      </c>
      <c r="BV87" s="239">
        <v>0</v>
      </c>
      <c r="BW87" s="239">
        <v>-511301</v>
      </c>
      <c r="BX87" s="239">
        <v>-34014</v>
      </c>
      <c r="BY87" s="239">
        <v>0</v>
      </c>
      <c r="BZ87" s="239">
        <v>-34014</v>
      </c>
      <c r="CA87" s="239">
        <v>54</v>
      </c>
      <c r="CB87" s="239">
        <v>0</v>
      </c>
      <c r="CC87" s="239">
        <v>54</v>
      </c>
      <c r="CD87" s="239">
        <v>-13812</v>
      </c>
      <c r="CE87" s="239">
        <v>0</v>
      </c>
      <c r="CF87" s="239">
        <v>-13812</v>
      </c>
      <c r="CG87" s="239">
        <v>297</v>
      </c>
      <c r="CH87" s="239">
        <v>0</v>
      </c>
      <c r="CI87" s="239">
        <v>297</v>
      </c>
      <c r="CJ87" s="239">
        <v>-4893</v>
      </c>
      <c r="CK87" s="239">
        <v>0</v>
      </c>
      <c r="CL87" s="239">
        <v>-4893</v>
      </c>
      <c r="CM87" s="239">
        <v>0</v>
      </c>
      <c r="CN87" s="239">
        <v>0</v>
      </c>
      <c r="CO87" s="239">
        <v>0</v>
      </c>
      <c r="CP87" s="239">
        <v>-8089</v>
      </c>
      <c r="CQ87" s="239">
        <v>0</v>
      </c>
      <c r="CR87" s="239">
        <v>-8089</v>
      </c>
      <c r="CS87" s="239">
        <v>0</v>
      </c>
      <c r="CT87" s="239">
        <v>0</v>
      </c>
      <c r="CU87" s="239">
        <v>0</v>
      </c>
      <c r="CV87" s="239">
        <v>0</v>
      </c>
      <c r="CW87" s="239">
        <v>0</v>
      </c>
      <c r="CX87" s="239">
        <v>0</v>
      </c>
      <c r="CY87" s="239">
        <v>0</v>
      </c>
      <c r="CZ87" s="239">
        <v>0</v>
      </c>
      <c r="DA87" s="239">
        <v>0</v>
      </c>
      <c r="DB87" s="239">
        <v>0</v>
      </c>
      <c r="DC87" s="239">
        <v>0</v>
      </c>
      <c r="DD87" s="239">
        <v>0</v>
      </c>
      <c r="DE87" s="239">
        <v>0</v>
      </c>
      <c r="DF87" s="239">
        <v>0</v>
      </c>
      <c r="DG87" s="239">
        <v>0</v>
      </c>
      <c r="DH87" s="239">
        <v>0</v>
      </c>
      <c r="DI87" s="239">
        <v>0</v>
      </c>
      <c r="DJ87" s="239">
        <v>-60457</v>
      </c>
      <c r="DK87" s="239">
        <v>0</v>
      </c>
      <c r="DL87" s="239">
        <v>-60457</v>
      </c>
      <c r="DM87" s="239">
        <v>-4339</v>
      </c>
      <c r="DN87" s="239">
        <v>0</v>
      </c>
      <c r="DO87" s="239">
        <v>-4339</v>
      </c>
      <c r="DP87" s="239">
        <v>-1799</v>
      </c>
      <c r="DQ87" s="239">
        <v>0</v>
      </c>
      <c r="DR87" s="239">
        <v>-1799</v>
      </c>
      <c r="DS87" s="239">
        <v>0</v>
      </c>
      <c r="DT87" s="239">
        <v>0</v>
      </c>
      <c r="DU87" s="239">
        <v>0</v>
      </c>
      <c r="DV87" s="239">
        <v>0</v>
      </c>
      <c r="DW87" s="239">
        <v>0</v>
      </c>
      <c r="DX87" s="239">
        <v>0</v>
      </c>
      <c r="DY87" s="239">
        <v>0</v>
      </c>
      <c r="DZ87" s="239">
        <v>0</v>
      </c>
      <c r="EA87" s="239">
        <v>0</v>
      </c>
      <c r="EB87" s="239">
        <v>-2439</v>
      </c>
      <c r="EC87" s="239">
        <v>0</v>
      </c>
      <c r="ED87" s="239">
        <v>-2439</v>
      </c>
      <c r="EE87" s="239">
        <v>0</v>
      </c>
      <c r="EF87" s="239">
        <v>0</v>
      </c>
      <c r="EG87" s="239">
        <v>0</v>
      </c>
      <c r="EH87" s="239">
        <v>0</v>
      </c>
      <c r="EI87" s="239">
        <v>0</v>
      </c>
      <c r="EJ87" s="239">
        <v>0</v>
      </c>
      <c r="EK87" s="239">
        <v>-3976</v>
      </c>
      <c r="EL87" s="239">
        <v>0</v>
      </c>
      <c r="EM87" s="239">
        <v>-3976</v>
      </c>
      <c r="EN87" s="239">
        <v>525</v>
      </c>
      <c r="EO87" s="239">
        <v>0</v>
      </c>
      <c r="EP87" s="239">
        <v>525</v>
      </c>
      <c r="EQ87" s="239">
        <v>-12028</v>
      </c>
      <c r="ER87" s="239">
        <v>0</v>
      </c>
      <c r="ES87" s="239">
        <v>-12028</v>
      </c>
      <c r="ET87" s="239">
        <v>-42258</v>
      </c>
      <c r="EU87" s="239">
        <v>0</v>
      </c>
      <c r="EV87" s="239">
        <v>-42258</v>
      </c>
      <c r="EW87" s="239">
        <v>-3386</v>
      </c>
      <c r="EX87" s="239">
        <v>0</v>
      </c>
      <c r="EY87" s="239">
        <v>-3386</v>
      </c>
      <c r="EZ87" s="239">
        <v>-45644</v>
      </c>
      <c r="FA87" s="239">
        <v>0</v>
      </c>
      <c r="FB87" s="239">
        <v>-45644</v>
      </c>
      <c r="FC87" s="239">
        <v>23278966</v>
      </c>
      <c r="FD87" s="239">
        <v>186340</v>
      </c>
      <c r="FE87" s="239">
        <v>23465306</v>
      </c>
      <c r="FF87" s="239">
        <v>-12794</v>
      </c>
      <c r="FG87" s="239">
        <v>0</v>
      </c>
      <c r="FH87" s="239">
        <v>-12794</v>
      </c>
      <c r="FI87" s="239">
        <v>-2932930</v>
      </c>
      <c r="FJ87" s="239">
        <v>5005</v>
      </c>
      <c r="FK87" s="239">
        <v>-2927925</v>
      </c>
      <c r="FL87" s="239">
        <v>-511301</v>
      </c>
      <c r="FM87" s="239">
        <v>0</v>
      </c>
      <c r="FN87" s="239">
        <v>-511301</v>
      </c>
      <c r="FO87" s="239">
        <v>-60457</v>
      </c>
      <c r="FP87" s="239">
        <v>0</v>
      </c>
      <c r="FQ87" s="239">
        <v>-60457</v>
      </c>
      <c r="FR87" s="239">
        <v>-12028</v>
      </c>
      <c r="FS87" s="239">
        <v>0</v>
      </c>
      <c r="FT87" s="239">
        <v>-12028</v>
      </c>
      <c r="FU87" s="239">
        <v>-45644</v>
      </c>
      <c r="FV87" s="239">
        <v>0</v>
      </c>
      <c r="FW87" s="239">
        <v>-45644</v>
      </c>
      <c r="FX87" s="239">
        <v>-3575154</v>
      </c>
      <c r="FY87" s="239">
        <v>5005</v>
      </c>
      <c r="FZ87" s="239">
        <v>-3570149</v>
      </c>
      <c r="GA87" s="239">
        <v>19703812</v>
      </c>
      <c r="GB87" s="239">
        <v>191345</v>
      </c>
      <c r="GC87" s="239">
        <v>19895157</v>
      </c>
      <c r="GD87" s="214" t="s">
        <v>1190</v>
      </c>
    </row>
    <row r="88" spans="2:186" s="214" customFormat="1" x14ac:dyDescent="0.2">
      <c r="B88" s="609" t="s">
        <v>258</v>
      </c>
      <c r="C88" s="609" t="s">
        <v>257</v>
      </c>
      <c r="D88" s="239">
        <v>0</v>
      </c>
      <c r="E88" s="239">
        <v>0</v>
      </c>
      <c r="F88" s="239">
        <v>0</v>
      </c>
      <c r="G88" s="239">
        <v>140179</v>
      </c>
      <c r="H88" s="239">
        <v>0</v>
      </c>
      <c r="I88" s="239">
        <v>140179</v>
      </c>
      <c r="J88" s="239">
        <v>0</v>
      </c>
      <c r="K88" s="239">
        <v>0</v>
      </c>
      <c r="L88" s="239">
        <v>0</v>
      </c>
      <c r="M88" s="239">
        <v>28122.93</v>
      </c>
      <c r="N88" s="239">
        <v>0</v>
      </c>
      <c r="O88" s="239">
        <v>28122.93</v>
      </c>
      <c r="P88" s="239">
        <v>168302</v>
      </c>
      <c r="Q88" s="239">
        <v>0</v>
      </c>
      <c r="R88" s="239">
        <v>168302</v>
      </c>
      <c r="S88" s="239">
        <v>-4630316</v>
      </c>
      <c r="T88" s="239">
        <v>0</v>
      </c>
      <c r="U88" s="239">
        <v>-4630316</v>
      </c>
      <c r="V88" s="239">
        <v>0</v>
      </c>
      <c r="W88" s="239">
        <v>0</v>
      </c>
      <c r="X88" s="239">
        <v>0</v>
      </c>
      <c r="Y88" s="239">
        <v>-190088</v>
      </c>
      <c r="Z88" s="239">
        <v>0</v>
      </c>
      <c r="AA88" s="239">
        <v>-190088</v>
      </c>
      <c r="AB88" s="239">
        <v>-150558</v>
      </c>
      <c r="AC88" s="239">
        <v>0</v>
      </c>
      <c r="AD88" s="239">
        <v>-150558</v>
      </c>
      <c r="AE88" s="239">
        <v>0</v>
      </c>
      <c r="AF88" s="239">
        <v>0</v>
      </c>
      <c r="AG88" s="239">
        <v>0</v>
      </c>
      <c r="AH88" s="239">
        <v>855349</v>
      </c>
      <c r="AI88" s="239">
        <v>0</v>
      </c>
      <c r="AJ88" s="239">
        <v>855349</v>
      </c>
      <c r="AK88" s="239">
        <v>-27659</v>
      </c>
      <c r="AL88" s="239">
        <v>0</v>
      </c>
      <c r="AM88" s="239">
        <v>-27659</v>
      </c>
      <c r="AN88" s="239">
        <v>-2525399</v>
      </c>
      <c r="AO88" s="239">
        <v>0</v>
      </c>
      <c r="AP88" s="239">
        <v>-2525399</v>
      </c>
      <c r="AQ88" s="239">
        <v>-156118</v>
      </c>
      <c r="AR88" s="239">
        <v>0</v>
      </c>
      <c r="AS88" s="239">
        <v>-156118</v>
      </c>
      <c r="AT88" s="239">
        <v>-444173</v>
      </c>
      <c r="AU88" s="239">
        <v>0</v>
      </c>
      <c r="AV88" s="239">
        <v>-444173</v>
      </c>
      <c r="AW88" s="239">
        <v>-2130</v>
      </c>
      <c r="AX88" s="239">
        <v>0</v>
      </c>
      <c r="AY88" s="239">
        <v>-2130</v>
      </c>
      <c r="AZ88" s="239">
        <v>-44797</v>
      </c>
      <c r="BA88" s="239">
        <v>0</v>
      </c>
      <c r="BB88" s="239">
        <v>-44797</v>
      </c>
      <c r="BC88" s="239">
        <v>269</v>
      </c>
      <c r="BD88" s="239">
        <v>0</v>
      </c>
      <c r="BE88" s="239">
        <v>269</v>
      </c>
      <c r="BF88" s="239">
        <v>-7165062</v>
      </c>
      <c r="BG88" s="239">
        <v>0</v>
      </c>
      <c r="BH88" s="239">
        <v>-7165062</v>
      </c>
      <c r="BI88" s="239">
        <v>-5909</v>
      </c>
      <c r="BJ88" s="239">
        <v>0</v>
      </c>
      <c r="BK88" s="239">
        <v>-5909</v>
      </c>
      <c r="BL88" s="239">
        <v>0</v>
      </c>
      <c r="BM88" s="239">
        <v>0</v>
      </c>
      <c r="BN88" s="239">
        <v>0</v>
      </c>
      <c r="BO88" s="239">
        <v>-1254115</v>
      </c>
      <c r="BP88" s="239">
        <v>0</v>
      </c>
      <c r="BQ88" s="239">
        <v>-1254115</v>
      </c>
      <c r="BR88" s="239">
        <v>65763</v>
      </c>
      <c r="BS88" s="239">
        <v>0</v>
      </c>
      <c r="BT88" s="239">
        <v>65763</v>
      </c>
      <c r="BU88" s="239">
        <v>-1194261</v>
      </c>
      <c r="BV88" s="239">
        <v>0</v>
      </c>
      <c r="BW88" s="239">
        <v>-1194261</v>
      </c>
      <c r="BX88" s="239">
        <v>-111482</v>
      </c>
      <c r="BY88" s="239">
        <v>0</v>
      </c>
      <c r="BZ88" s="239">
        <v>-111482</v>
      </c>
      <c r="CA88" s="239">
        <v>-749</v>
      </c>
      <c r="CB88" s="239">
        <v>0</v>
      </c>
      <c r="CC88" s="239">
        <v>-749</v>
      </c>
      <c r="CD88" s="239">
        <v>-339</v>
      </c>
      <c r="CE88" s="239">
        <v>0</v>
      </c>
      <c r="CF88" s="239">
        <v>-339</v>
      </c>
      <c r="CG88" s="239">
        <v>0</v>
      </c>
      <c r="CH88" s="239">
        <v>0</v>
      </c>
      <c r="CI88" s="239">
        <v>0</v>
      </c>
      <c r="CJ88" s="239">
        <v>-82374</v>
      </c>
      <c r="CK88" s="239">
        <v>0</v>
      </c>
      <c r="CL88" s="239">
        <v>-82374</v>
      </c>
      <c r="CM88" s="239">
        <v>-532</v>
      </c>
      <c r="CN88" s="239">
        <v>0</v>
      </c>
      <c r="CO88" s="239">
        <v>-532</v>
      </c>
      <c r="CP88" s="239">
        <v>-15061</v>
      </c>
      <c r="CQ88" s="239">
        <v>0</v>
      </c>
      <c r="CR88" s="239">
        <v>-15061</v>
      </c>
      <c r="CS88" s="239">
        <v>-3502</v>
      </c>
      <c r="CT88" s="239">
        <v>0</v>
      </c>
      <c r="CU88" s="239">
        <v>-3502</v>
      </c>
      <c r="CV88" s="239">
        <v>0</v>
      </c>
      <c r="CW88" s="239">
        <v>0</v>
      </c>
      <c r="CX88" s="239">
        <v>0</v>
      </c>
      <c r="CY88" s="239">
        <v>0</v>
      </c>
      <c r="CZ88" s="239">
        <v>0</v>
      </c>
      <c r="DA88" s="239">
        <v>0</v>
      </c>
      <c r="DB88" s="239">
        <v>0</v>
      </c>
      <c r="DC88" s="239">
        <v>0</v>
      </c>
      <c r="DD88" s="239">
        <v>0</v>
      </c>
      <c r="DE88" s="239">
        <v>0</v>
      </c>
      <c r="DF88" s="239">
        <v>0</v>
      </c>
      <c r="DG88" s="239">
        <v>0</v>
      </c>
      <c r="DH88" s="239">
        <v>0</v>
      </c>
      <c r="DI88" s="239">
        <v>0</v>
      </c>
      <c r="DJ88" s="239">
        <v>-214039</v>
      </c>
      <c r="DK88" s="239">
        <v>0</v>
      </c>
      <c r="DL88" s="239">
        <v>-214039</v>
      </c>
      <c r="DM88" s="239">
        <v>-84514</v>
      </c>
      <c r="DN88" s="239">
        <v>0</v>
      </c>
      <c r="DO88" s="239">
        <v>-84514</v>
      </c>
      <c r="DP88" s="239">
        <v>-64667</v>
      </c>
      <c r="DQ88" s="239">
        <v>0</v>
      </c>
      <c r="DR88" s="239">
        <v>-64667</v>
      </c>
      <c r="DS88" s="239">
        <v>-2460</v>
      </c>
      <c r="DT88" s="239">
        <v>0</v>
      </c>
      <c r="DU88" s="239">
        <v>-2460</v>
      </c>
      <c r="DV88" s="239">
        <v>0</v>
      </c>
      <c r="DW88" s="239">
        <v>0</v>
      </c>
      <c r="DX88" s="239">
        <v>0</v>
      </c>
      <c r="DY88" s="239">
        <v>0</v>
      </c>
      <c r="DZ88" s="239">
        <v>0</v>
      </c>
      <c r="EA88" s="239">
        <v>0</v>
      </c>
      <c r="EB88" s="239">
        <v>-8461</v>
      </c>
      <c r="EC88" s="239">
        <v>0</v>
      </c>
      <c r="ED88" s="239">
        <v>-8461</v>
      </c>
      <c r="EE88" s="239">
        <v>0</v>
      </c>
      <c r="EF88" s="239">
        <v>0</v>
      </c>
      <c r="EG88" s="239">
        <v>0</v>
      </c>
      <c r="EH88" s="239">
        <v>0</v>
      </c>
      <c r="EI88" s="239">
        <v>0</v>
      </c>
      <c r="EJ88" s="239">
        <v>0</v>
      </c>
      <c r="EK88" s="239">
        <v>-32649</v>
      </c>
      <c r="EL88" s="239">
        <v>0</v>
      </c>
      <c r="EM88" s="239">
        <v>-32649</v>
      </c>
      <c r="EN88" s="239">
        <v>162</v>
      </c>
      <c r="EO88" s="239">
        <v>0</v>
      </c>
      <c r="EP88" s="239">
        <v>162</v>
      </c>
      <c r="EQ88" s="239">
        <v>-192589</v>
      </c>
      <c r="ER88" s="239">
        <v>0</v>
      </c>
      <c r="ES88" s="239">
        <v>-192589</v>
      </c>
      <c r="ET88" s="239">
        <v>0</v>
      </c>
      <c r="EU88" s="239">
        <v>0</v>
      </c>
      <c r="EV88" s="239">
        <v>0</v>
      </c>
      <c r="EW88" s="239">
        <v>0</v>
      </c>
      <c r="EX88" s="239">
        <v>0</v>
      </c>
      <c r="EY88" s="239">
        <v>0</v>
      </c>
      <c r="EZ88" s="239">
        <v>0</v>
      </c>
      <c r="FA88" s="239">
        <v>0</v>
      </c>
      <c r="FB88" s="239">
        <v>0</v>
      </c>
      <c r="FC88" s="239">
        <v>41999725</v>
      </c>
      <c r="FD88" s="239">
        <v>0</v>
      </c>
      <c r="FE88" s="239">
        <v>41999725</v>
      </c>
      <c r="FF88" s="239">
        <v>168302</v>
      </c>
      <c r="FG88" s="239">
        <v>0</v>
      </c>
      <c r="FH88" s="239">
        <v>168302</v>
      </c>
      <c r="FI88" s="239">
        <v>-7165062</v>
      </c>
      <c r="FJ88" s="239">
        <v>0</v>
      </c>
      <c r="FK88" s="239">
        <v>-7165062</v>
      </c>
      <c r="FL88" s="239">
        <v>-1194261</v>
      </c>
      <c r="FM88" s="239">
        <v>0</v>
      </c>
      <c r="FN88" s="239">
        <v>-1194261</v>
      </c>
      <c r="FO88" s="239">
        <v>-214039</v>
      </c>
      <c r="FP88" s="239">
        <v>0</v>
      </c>
      <c r="FQ88" s="239">
        <v>-214039</v>
      </c>
      <c r="FR88" s="239">
        <v>-192589</v>
      </c>
      <c r="FS88" s="239">
        <v>0</v>
      </c>
      <c r="FT88" s="239">
        <v>-192589</v>
      </c>
      <c r="FU88" s="239">
        <v>0</v>
      </c>
      <c r="FV88" s="239">
        <v>0</v>
      </c>
      <c r="FW88" s="239">
        <v>0</v>
      </c>
      <c r="FX88" s="239">
        <v>-8597649</v>
      </c>
      <c r="FY88" s="239">
        <v>0</v>
      </c>
      <c r="FZ88" s="239">
        <v>-8597649</v>
      </c>
      <c r="GA88" s="239">
        <v>33402076</v>
      </c>
      <c r="GB88" s="239">
        <v>0</v>
      </c>
      <c r="GC88" s="239">
        <v>33402076</v>
      </c>
      <c r="GD88" s="214" t="s">
        <v>1190</v>
      </c>
    </row>
    <row r="89" spans="2:186" s="214" customFormat="1" x14ac:dyDescent="0.2">
      <c r="B89" s="609" t="s">
        <v>260</v>
      </c>
      <c r="C89" s="609" t="s">
        <v>259</v>
      </c>
      <c r="D89" s="239">
        <v>0</v>
      </c>
      <c r="E89" s="239">
        <v>0</v>
      </c>
      <c r="F89" s="239">
        <v>0</v>
      </c>
      <c r="G89" s="239">
        <v>503</v>
      </c>
      <c r="H89" s="239">
        <v>0</v>
      </c>
      <c r="I89" s="239">
        <v>503</v>
      </c>
      <c r="J89" s="239">
        <v>0</v>
      </c>
      <c r="K89" s="239">
        <v>0</v>
      </c>
      <c r="L89" s="239">
        <v>0</v>
      </c>
      <c r="M89" s="239">
        <v>-8029</v>
      </c>
      <c r="N89" s="239">
        <v>0</v>
      </c>
      <c r="O89" s="239">
        <v>-8029</v>
      </c>
      <c r="P89" s="239">
        <v>-7526</v>
      </c>
      <c r="Q89" s="239">
        <v>0</v>
      </c>
      <c r="R89" s="239">
        <v>-7526</v>
      </c>
      <c r="S89" s="239">
        <v>-2140656</v>
      </c>
      <c r="T89" s="239">
        <v>0</v>
      </c>
      <c r="U89" s="239">
        <v>-2140656</v>
      </c>
      <c r="V89" s="239">
        <v>-1984</v>
      </c>
      <c r="W89" s="239">
        <v>0</v>
      </c>
      <c r="X89" s="239">
        <v>-1984</v>
      </c>
      <c r="Y89" s="239">
        <v>-74308</v>
      </c>
      <c r="Z89" s="239">
        <v>0</v>
      </c>
      <c r="AA89" s="239">
        <v>-74308</v>
      </c>
      <c r="AB89" s="239">
        <v>-53902</v>
      </c>
      <c r="AC89" s="239">
        <v>0</v>
      </c>
      <c r="AD89" s="239">
        <v>-53902</v>
      </c>
      <c r="AE89" s="239">
        <v>1224</v>
      </c>
      <c r="AF89" s="239">
        <v>0</v>
      </c>
      <c r="AG89" s="239">
        <v>1224</v>
      </c>
      <c r="AH89" s="239">
        <v>541756</v>
      </c>
      <c r="AI89" s="239">
        <v>0</v>
      </c>
      <c r="AJ89" s="239">
        <v>541756</v>
      </c>
      <c r="AK89" s="239">
        <v>-16483</v>
      </c>
      <c r="AL89" s="239">
        <v>0</v>
      </c>
      <c r="AM89" s="239">
        <v>-16483</v>
      </c>
      <c r="AN89" s="239">
        <v>-1323247</v>
      </c>
      <c r="AO89" s="239">
        <v>0</v>
      </c>
      <c r="AP89" s="239">
        <v>-1323247</v>
      </c>
      <c r="AQ89" s="239">
        <v>6401</v>
      </c>
      <c r="AR89" s="239">
        <v>0</v>
      </c>
      <c r="AS89" s="239">
        <v>6401</v>
      </c>
      <c r="AT89" s="239">
        <v>-38044</v>
      </c>
      <c r="AU89" s="239">
        <v>0</v>
      </c>
      <c r="AV89" s="239">
        <v>-38044</v>
      </c>
      <c r="AW89" s="239">
        <v>99</v>
      </c>
      <c r="AX89" s="239">
        <v>0</v>
      </c>
      <c r="AY89" s="239">
        <v>99</v>
      </c>
      <c r="AZ89" s="239">
        <v>-13028</v>
      </c>
      <c r="BA89" s="239">
        <v>0</v>
      </c>
      <c r="BB89" s="239">
        <v>-13028</v>
      </c>
      <c r="BC89" s="239">
        <v>700</v>
      </c>
      <c r="BD89" s="239">
        <v>0</v>
      </c>
      <c r="BE89" s="239">
        <v>700</v>
      </c>
      <c r="BF89" s="239">
        <v>-3056810</v>
      </c>
      <c r="BG89" s="239">
        <v>0</v>
      </c>
      <c r="BH89" s="239">
        <v>-3056810</v>
      </c>
      <c r="BI89" s="239">
        <v>-46160</v>
      </c>
      <c r="BJ89" s="239">
        <v>0</v>
      </c>
      <c r="BK89" s="239">
        <v>-46160</v>
      </c>
      <c r="BL89" s="239">
        <v>-2771</v>
      </c>
      <c r="BM89" s="239">
        <v>0</v>
      </c>
      <c r="BN89" s="239">
        <v>-2771</v>
      </c>
      <c r="BO89" s="239">
        <v>-591809</v>
      </c>
      <c r="BP89" s="239">
        <v>0</v>
      </c>
      <c r="BQ89" s="239">
        <v>-591809</v>
      </c>
      <c r="BR89" s="239">
        <v>-31432</v>
      </c>
      <c r="BS89" s="239">
        <v>0</v>
      </c>
      <c r="BT89" s="239">
        <v>-31432</v>
      </c>
      <c r="BU89" s="239">
        <v>-672172</v>
      </c>
      <c r="BV89" s="239">
        <v>0</v>
      </c>
      <c r="BW89" s="239">
        <v>-672172</v>
      </c>
      <c r="BX89" s="239">
        <v>-27272</v>
      </c>
      <c r="BY89" s="239">
        <v>0</v>
      </c>
      <c r="BZ89" s="239">
        <v>-27272</v>
      </c>
      <c r="CA89" s="239">
        <v>1951</v>
      </c>
      <c r="CB89" s="239">
        <v>0</v>
      </c>
      <c r="CC89" s="239">
        <v>1951</v>
      </c>
      <c r="CD89" s="239">
        <v>-7336</v>
      </c>
      <c r="CE89" s="239">
        <v>0</v>
      </c>
      <c r="CF89" s="239">
        <v>-7336</v>
      </c>
      <c r="CG89" s="239">
        <v>-3978</v>
      </c>
      <c r="CH89" s="239">
        <v>0</v>
      </c>
      <c r="CI89" s="239">
        <v>-3978</v>
      </c>
      <c r="CJ89" s="239">
        <v>0</v>
      </c>
      <c r="CK89" s="239">
        <v>0</v>
      </c>
      <c r="CL89" s="239">
        <v>0</v>
      </c>
      <c r="CM89" s="239">
        <v>0</v>
      </c>
      <c r="CN89" s="239">
        <v>0</v>
      </c>
      <c r="CO89" s="239">
        <v>0</v>
      </c>
      <c r="CP89" s="239">
        <v>-6871</v>
      </c>
      <c r="CQ89" s="239">
        <v>0</v>
      </c>
      <c r="CR89" s="239">
        <v>-6871</v>
      </c>
      <c r="CS89" s="239">
        <v>443</v>
      </c>
      <c r="CT89" s="239">
        <v>0</v>
      </c>
      <c r="CU89" s="239">
        <v>443</v>
      </c>
      <c r="CV89" s="239">
        <v>0</v>
      </c>
      <c r="CW89" s="239">
        <v>0</v>
      </c>
      <c r="CX89" s="239">
        <v>0</v>
      </c>
      <c r="CY89" s="239">
        <v>0</v>
      </c>
      <c r="CZ89" s="239">
        <v>0</v>
      </c>
      <c r="DA89" s="239">
        <v>0</v>
      </c>
      <c r="DB89" s="239">
        <v>0</v>
      </c>
      <c r="DC89" s="239">
        <v>0</v>
      </c>
      <c r="DD89" s="239">
        <v>0</v>
      </c>
      <c r="DE89" s="239">
        <v>0</v>
      </c>
      <c r="DF89" s="239">
        <v>0</v>
      </c>
      <c r="DG89" s="239">
        <v>0</v>
      </c>
      <c r="DH89" s="239">
        <v>0</v>
      </c>
      <c r="DI89" s="239">
        <v>0</v>
      </c>
      <c r="DJ89" s="239">
        <v>-43063</v>
      </c>
      <c r="DK89" s="239">
        <v>0</v>
      </c>
      <c r="DL89" s="239">
        <v>-43063</v>
      </c>
      <c r="DM89" s="239">
        <v>-8221</v>
      </c>
      <c r="DN89" s="239">
        <v>0</v>
      </c>
      <c r="DO89" s="239">
        <v>-8221</v>
      </c>
      <c r="DP89" s="239">
        <v>0</v>
      </c>
      <c r="DQ89" s="239">
        <v>0</v>
      </c>
      <c r="DR89" s="239">
        <v>0</v>
      </c>
      <c r="DS89" s="239">
        <v>0</v>
      </c>
      <c r="DT89" s="239">
        <v>0</v>
      </c>
      <c r="DU89" s="239">
        <v>0</v>
      </c>
      <c r="DV89" s="239">
        <v>-8705</v>
      </c>
      <c r="DW89" s="239">
        <v>0</v>
      </c>
      <c r="DX89" s="239">
        <v>-8705</v>
      </c>
      <c r="DY89" s="239">
        <v>0</v>
      </c>
      <c r="DZ89" s="239">
        <v>0</v>
      </c>
      <c r="EA89" s="239">
        <v>0</v>
      </c>
      <c r="EB89" s="239">
        <v>-2601</v>
      </c>
      <c r="EC89" s="239">
        <v>0</v>
      </c>
      <c r="ED89" s="239">
        <v>-2601</v>
      </c>
      <c r="EE89" s="239">
        <v>0</v>
      </c>
      <c r="EF89" s="239">
        <v>0</v>
      </c>
      <c r="EG89" s="239">
        <v>0</v>
      </c>
      <c r="EH89" s="239">
        <v>1278</v>
      </c>
      <c r="EI89" s="239">
        <v>0</v>
      </c>
      <c r="EJ89" s="239">
        <v>1278</v>
      </c>
      <c r="EK89" s="239">
        <v>-6722</v>
      </c>
      <c r="EL89" s="239">
        <v>0</v>
      </c>
      <c r="EM89" s="239">
        <v>-6722</v>
      </c>
      <c r="EN89" s="239">
        <v>0</v>
      </c>
      <c r="EO89" s="239">
        <v>0</v>
      </c>
      <c r="EP89" s="239">
        <v>0</v>
      </c>
      <c r="EQ89" s="239">
        <v>-24971</v>
      </c>
      <c r="ER89" s="239">
        <v>0</v>
      </c>
      <c r="ES89" s="239">
        <v>-24971</v>
      </c>
      <c r="ET89" s="239">
        <v>0</v>
      </c>
      <c r="EU89" s="239">
        <v>0</v>
      </c>
      <c r="EV89" s="239">
        <v>0</v>
      </c>
      <c r="EW89" s="239">
        <v>0</v>
      </c>
      <c r="EX89" s="239">
        <v>0</v>
      </c>
      <c r="EY89" s="239">
        <v>0</v>
      </c>
      <c r="EZ89" s="239">
        <v>0</v>
      </c>
      <c r="FA89" s="239">
        <v>0</v>
      </c>
      <c r="FB89" s="239">
        <v>0</v>
      </c>
      <c r="FC89" s="239">
        <v>25509752</v>
      </c>
      <c r="FD89" s="239">
        <v>0</v>
      </c>
      <c r="FE89" s="239">
        <v>25509752</v>
      </c>
      <c r="FF89" s="239">
        <v>-7526</v>
      </c>
      <c r="FG89" s="239">
        <v>0</v>
      </c>
      <c r="FH89" s="239">
        <v>-7526</v>
      </c>
      <c r="FI89" s="239">
        <v>-3056810</v>
      </c>
      <c r="FJ89" s="239">
        <v>0</v>
      </c>
      <c r="FK89" s="239">
        <v>-3056810</v>
      </c>
      <c r="FL89" s="239">
        <v>-672172</v>
      </c>
      <c r="FM89" s="239">
        <v>0</v>
      </c>
      <c r="FN89" s="239">
        <v>-672172</v>
      </c>
      <c r="FO89" s="239">
        <v>-43063</v>
      </c>
      <c r="FP89" s="239">
        <v>0</v>
      </c>
      <c r="FQ89" s="239">
        <v>-43063</v>
      </c>
      <c r="FR89" s="239">
        <v>-24971</v>
      </c>
      <c r="FS89" s="239">
        <v>0</v>
      </c>
      <c r="FT89" s="239">
        <v>-24971</v>
      </c>
      <c r="FU89" s="239">
        <v>0</v>
      </c>
      <c r="FV89" s="239">
        <v>0</v>
      </c>
      <c r="FW89" s="239">
        <v>0</v>
      </c>
      <c r="FX89" s="239">
        <v>-3804542</v>
      </c>
      <c r="FY89" s="239">
        <v>0</v>
      </c>
      <c r="FZ89" s="239">
        <v>-3804542</v>
      </c>
      <c r="GA89" s="239">
        <v>21705210</v>
      </c>
      <c r="GB89" s="239">
        <v>0</v>
      </c>
      <c r="GC89" s="239">
        <v>21705210</v>
      </c>
      <c r="GD89" s="214" t="s">
        <v>1190</v>
      </c>
    </row>
    <row r="90" spans="2:186" s="214" customFormat="1" x14ac:dyDescent="0.2">
      <c r="B90" s="609" t="s">
        <v>262</v>
      </c>
      <c r="C90" s="609" t="s">
        <v>261</v>
      </c>
      <c r="D90" s="239">
        <v>0</v>
      </c>
      <c r="E90" s="239">
        <v>0</v>
      </c>
      <c r="F90" s="239">
        <v>0</v>
      </c>
      <c r="G90" s="239">
        <v>692370</v>
      </c>
      <c r="H90" s="239">
        <v>0</v>
      </c>
      <c r="I90" s="239">
        <v>692370</v>
      </c>
      <c r="J90" s="239">
        <v>0</v>
      </c>
      <c r="K90" s="239">
        <v>0</v>
      </c>
      <c r="L90" s="239">
        <v>0</v>
      </c>
      <c r="M90" s="239">
        <v>11322</v>
      </c>
      <c r="N90" s="239">
        <v>0</v>
      </c>
      <c r="O90" s="239">
        <v>11322</v>
      </c>
      <c r="P90" s="239">
        <v>703692</v>
      </c>
      <c r="Q90" s="239">
        <v>0</v>
      </c>
      <c r="R90" s="239">
        <v>703692</v>
      </c>
      <c r="S90" s="239">
        <v>-2666720</v>
      </c>
      <c r="T90" s="239">
        <v>0</v>
      </c>
      <c r="U90" s="239">
        <v>-2666720</v>
      </c>
      <c r="V90" s="239">
        <v>-35378</v>
      </c>
      <c r="W90" s="239">
        <v>0</v>
      </c>
      <c r="X90" s="239">
        <v>-35378</v>
      </c>
      <c r="Y90" s="239">
        <v>-83430</v>
      </c>
      <c r="Z90" s="239">
        <v>0</v>
      </c>
      <c r="AA90" s="239">
        <v>-83430</v>
      </c>
      <c r="AB90" s="239">
        <v>-65340</v>
      </c>
      <c r="AC90" s="239">
        <v>0</v>
      </c>
      <c r="AD90" s="239">
        <v>-65340</v>
      </c>
      <c r="AE90" s="239">
        <v>-3070</v>
      </c>
      <c r="AF90" s="239">
        <v>0</v>
      </c>
      <c r="AG90" s="239">
        <v>-3070</v>
      </c>
      <c r="AH90" s="239">
        <v>772538</v>
      </c>
      <c r="AI90" s="239">
        <v>0</v>
      </c>
      <c r="AJ90" s="239">
        <v>772538</v>
      </c>
      <c r="AK90" s="239">
        <v>-35578</v>
      </c>
      <c r="AL90" s="239">
        <v>0</v>
      </c>
      <c r="AM90" s="239">
        <v>-35578</v>
      </c>
      <c r="AN90" s="239">
        <v>-2573443</v>
      </c>
      <c r="AO90" s="239">
        <v>0</v>
      </c>
      <c r="AP90" s="239">
        <v>-2573443</v>
      </c>
      <c r="AQ90" s="239">
        <v>-49097</v>
      </c>
      <c r="AR90" s="239">
        <v>0</v>
      </c>
      <c r="AS90" s="239">
        <v>-49097</v>
      </c>
      <c r="AT90" s="239">
        <v>-32891</v>
      </c>
      <c r="AU90" s="239">
        <v>0</v>
      </c>
      <c r="AV90" s="239">
        <v>-32891</v>
      </c>
      <c r="AW90" s="239">
        <v>0</v>
      </c>
      <c r="AX90" s="239">
        <v>0</v>
      </c>
      <c r="AY90" s="239">
        <v>0</v>
      </c>
      <c r="AZ90" s="239">
        <v>-29794</v>
      </c>
      <c r="BA90" s="239">
        <v>0</v>
      </c>
      <c r="BB90" s="239">
        <v>-29794</v>
      </c>
      <c r="BC90" s="239">
        <v>0</v>
      </c>
      <c r="BD90" s="239">
        <v>0</v>
      </c>
      <c r="BE90" s="239">
        <v>0</v>
      </c>
      <c r="BF90" s="239">
        <v>-4698415</v>
      </c>
      <c r="BG90" s="239">
        <v>0</v>
      </c>
      <c r="BH90" s="239">
        <v>-4698415</v>
      </c>
      <c r="BI90" s="239">
        <v>-284548</v>
      </c>
      <c r="BJ90" s="239">
        <v>0</v>
      </c>
      <c r="BK90" s="239">
        <v>-284548</v>
      </c>
      <c r="BL90" s="239">
        <v>11051</v>
      </c>
      <c r="BM90" s="239">
        <v>0</v>
      </c>
      <c r="BN90" s="239">
        <v>11051</v>
      </c>
      <c r="BO90" s="239">
        <v>-804863</v>
      </c>
      <c r="BP90" s="239">
        <v>0</v>
      </c>
      <c r="BQ90" s="239">
        <v>-804863</v>
      </c>
      <c r="BR90" s="239">
        <v>80278</v>
      </c>
      <c r="BS90" s="239">
        <v>0</v>
      </c>
      <c r="BT90" s="239">
        <v>80278</v>
      </c>
      <c r="BU90" s="239">
        <v>-998082</v>
      </c>
      <c r="BV90" s="239">
        <v>0</v>
      </c>
      <c r="BW90" s="239">
        <v>-998082</v>
      </c>
      <c r="BX90" s="239">
        <v>-128698</v>
      </c>
      <c r="BY90" s="239">
        <v>0</v>
      </c>
      <c r="BZ90" s="239">
        <v>-128698</v>
      </c>
      <c r="CA90" s="239">
        <v>-1496</v>
      </c>
      <c r="CB90" s="239">
        <v>0</v>
      </c>
      <c r="CC90" s="239">
        <v>-1496</v>
      </c>
      <c r="CD90" s="239">
        <v>-2278</v>
      </c>
      <c r="CE90" s="239">
        <v>0</v>
      </c>
      <c r="CF90" s="239">
        <v>-2278</v>
      </c>
      <c r="CG90" s="239">
        <v>-3801</v>
      </c>
      <c r="CH90" s="239">
        <v>0</v>
      </c>
      <c r="CI90" s="239">
        <v>-3801</v>
      </c>
      <c r="CJ90" s="239">
        <v>-4111</v>
      </c>
      <c r="CK90" s="239">
        <v>0</v>
      </c>
      <c r="CL90" s="239">
        <v>-4111</v>
      </c>
      <c r="CM90" s="239">
        <v>0</v>
      </c>
      <c r="CN90" s="239">
        <v>0</v>
      </c>
      <c r="CO90" s="239">
        <v>0</v>
      </c>
      <c r="CP90" s="239">
        <v>-29794</v>
      </c>
      <c r="CQ90" s="239">
        <v>0</v>
      </c>
      <c r="CR90" s="239">
        <v>-29794</v>
      </c>
      <c r="CS90" s="239">
        <v>0</v>
      </c>
      <c r="CT90" s="239">
        <v>0</v>
      </c>
      <c r="CU90" s="239">
        <v>0</v>
      </c>
      <c r="CV90" s="239">
        <v>0</v>
      </c>
      <c r="CW90" s="239">
        <v>0</v>
      </c>
      <c r="CX90" s="239">
        <v>0</v>
      </c>
      <c r="CY90" s="239">
        <v>0</v>
      </c>
      <c r="CZ90" s="239">
        <v>0</v>
      </c>
      <c r="DA90" s="239">
        <v>0</v>
      </c>
      <c r="DB90" s="239">
        <v>0</v>
      </c>
      <c r="DC90" s="239">
        <v>0</v>
      </c>
      <c r="DD90" s="239">
        <v>0</v>
      </c>
      <c r="DE90" s="239">
        <v>0</v>
      </c>
      <c r="DF90" s="239">
        <v>0</v>
      </c>
      <c r="DG90" s="239">
        <v>0</v>
      </c>
      <c r="DH90" s="239">
        <v>0</v>
      </c>
      <c r="DI90" s="239">
        <v>0</v>
      </c>
      <c r="DJ90" s="239">
        <v>-170178</v>
      </c>
      <c r="DK90" s="239">
        <v>0</v>
      </c>
      <c r="DL90" s="239">
        <v>-170178</v>
      </c>
      <c r="DM90" s="239">
        <v>-1582</v>
      </c>
      <c r="DN90" s="239">
        <v>0</v>
      </c>
      <c r="DO90" s="239">
        <v>-1582</v>
      </c>
      <c r="DP90" s="239">
        <v>-2881</v>
      </c>
      <c r="DQ90" s="239">
        <v>0</v>
      </c>
      <c r="DR90" s="239">
        <v>-2881</v>
      </c>
      <c r="DS90" s="239">
        <v>-34560</v>
      </c>
      <c r="DT90" s="239">
        <v>0</v>
      </c>
      <c r="DU90" s="239">
        <v>-34560</v>
      </c>
      <c r="DV90" s="239">
        <v>-3508</v>
      </c>
      <c r="DW90" s="239">
        <v>0</v>
      </c>
      <c r="DX90" s="239">
        <v>-3508</v>
      </c>
      <c r="DY90" s="239">
        <v>0</v>
      </c>
      <c r="DZ90" s="239">
        <v>0</v>
      </c>
      <c r="EA90" s="239">
        <v>0</v>
      </c>
      <c r="EB90" s="239">
        <v>-11734</v>
      </c>
      <c r="EC90" s="239">
        <v>0</v>
      </c>
      <c r="ED90" s="239">
        <v>-11734</v>
      </c>
      <c r="EE90" s="239">
        <v>0</v>
      </c>
      <c r="EF90" s="239">
        <v>0</v>
      </c>
      <c r="EG90" s="239">
        <v>0</v>
      </c>
      <c r="EH90" s="239">
        <v>1258</v>
      </c>
      <c r="EI90" s="239">
        <v>0</v>
      </c>
      <c r="EJ90" s="239">
        <v>1258</v>
      </c>
      <c r="EK90" s="239">
        <v>-3045</v>
      </c>
      <c r="EL90" s="239">
        <v>0</v>
      </c>
      <c r="EM90" s="239">
        <v>-3045</v>
      </c>
      <c r="EN90" s="239">
        <v>9058</v>
      </c>
      <c r="EO90" s="239">
        <v>0</v>
      </c>
      <c r="EP90" s="239">
        <v>9058</v>
      </c>
      <c r="EQ90" s="239">
        <v>-46994</v>
      </c>
      <c r="ER90" s="239">
        <v>0</v>
      </c>
      <c r="ES90" s="239">
        <v>-46994</v>
      </c>
      <c r="ET90" s="239">
        <v>-13852</v>
      </c>
      <c r="EU90" s="239">
        <v>0</v>
      </c>
      <c r="EV90" s="239">
        <v>-13852</v>
      </c>
      <c r="EW90" s="239">
        <v>0</v>
      </c>
      <c r="EX90" s="239">
        <v>0</v>
      </c>
      <c r="EY90" s="239">
        <v>0</v>
      </c>
      <c r="EZ90" s="239">
        <v>-13852</v>
      </c>
      <c r="FA90" s="239">
        <v>0</v>
      </c>
      <c r="FB90" s="239">
        <v>-13852</v>
      </c>
      <c r="FC90" s="239">
        <v>34262750</v>
      </c>
      <c r="FD90" s="239">
        <v>0</v>
      </c>
      <c r="FE90" s="239">
        <v>34262750</v>
      </c>
      <c r="FF90" s="239">
        <v>703692</v>
      </c>
      <c r="FG90" s="239">
        <v>0</v>
      </c>
      <c r="FH90" s="239">
        <v>703692</v>
      </c>
      <c r="FI90" s="239">
        <v>-4698415</v>
      </c>
      <c r="FJ90" s="239">
        <v>0</v>
      </c>
      <c r="FK90" s="239">
        <v>-4698415</v>
      </c>
      <c r="FL90" s="239">
        <v>-998082</v>
      </c>
      <c r="FM90" s="239">
        <v>0</v>
      </c>
      <c r="FN90" s="239">
        <v>-998082</v>
      </c>
      <c r="FO90" s="239">
        <v>-170178</v>
      </c>
      <c r="FP90" s="239">
        <v>0</v>
      </c>
      <c r="FQ90" s="239">
        <v>-170178</v>
      </c>
      <c r="FR90" s="239">
        <v>-46994</v>
      </c>
      <c r="FS90" s="239">
        <v>0</v>
      </c>
      <c r="FT90" s="239">
        <v>-46994</v>
      </c>
      <c r="FU90" s="239">
        <v>-13852</v>
      </c>
      <c r="FV90" s="239">
        <v>0</v>
      </c>
      <c r="FW90" s="239">
        <v>-13852</v>
      </c>
      <c r="FX90" s="239">
        <v>-5223829</v>
      </c>
      <c r="FY90" s="239">
        <v>0</v>
      </c>
      <c r="FZ90" s="239">
        <v>-5223829</v>
      </c>
      <c r="GA90" s="239">
        <v>29038921</v>
      </c>
      <c r="GB90" s="239">
        <v>0</v>
      </c>
      <c r="GC90" s="239">
        <v>29038921</v>
      </c>
      <c r="GD90" s="214" t="s">
        <v>1190</v>
      </c>
    </row>
    <row r="91" spans="2:186" s="214" customFormat="1" x14ac:dyDescent="0.2">
      <c r="B91" s="609" t="s">
        <v>264</v>
      </c>
      <c r="C91" s="609" t="s">
        <v>263</v>
      </c>
      <c r="D91" s="239">
        <v>0</v>
      </c>
      <c r="E91" s="239">
        <v>0</v>
      </c>
      <c r="F91" s="239">
        <v>0</v>
      </c>
      <c r="G91" s="239">
        <v>90893</v>
      </c>
      <c r="H91" s="239">
        <v>0</v>
      </c>
      <c r="I91" s="239">
        <v>90893</v>
      </c>
      <c r="J91" s="239">
        <v>0</v>
      </c>
      <c r="K91" s="239">
        <v>0</v>
      </c>
      <c r="L91" s="239">
        <v>0</v>
      </c>
      <c r="M91" s="239">
        <v>218331</v>
      </c>
      <c r="N91" s="239">
        <v>0</v>
      </c>
      <c r="O91" s="239">
        <v>218331</v>
      </c>
      <c r="P91" s="239">
        <v>309224</v>
      </c>
      <c r="Q91" s="239">
        <v>0</v>
      </c>
      <c r="R91" s="239">
        <v>309224</v>
      </c>
      <c r="S91" s="239">
        <v>-2806318</v>
      </c>
      <c r="T91" s="239">
        <v>0</v>
      </c>
      <c r="U91" s="239">
        <v>-2806318</v>
      </c>
      <c r="V91" s="239">
        <v>0</v>
      </c>
      <c r="W91" s="239">
        <v>0</v>
      </c>
      <c r="X91" s="239">
        <v>0</v>
      </c>
      <c r="Y91" s="239">
        <v>-121707</v>
      </c>
      <c r="Z91" s="239">
        <v>0</v>
      </c>
      <c r="AA91" s="239">
        <v>-121707</v>
      </c>
      <c r="AB91" s="239">
        <v>0</v>
      </c>
      <c r="AC91" s="239">
        <v>0</v>
      </c>
      <c r="AD91" s="239">
        <v>0</v>
      </c>
      <c r="AE91" s="239">
        <v>0</v>
      </c>
      <c r="AF91" s="239">
        <v>0</v>
      </c>
      <c r="AG91" s="239">
        <v>0</v>
      </c>
      <c r="AH91" s="239">
        <v>1220329</v>
      </c>
      <c r="AI91" s="239">
        <v>0</v>
      </c>
      <c r="AJ91" s="239">
        <v>1220329</v>
      </c>
      <c r="AK91" s="239">
        <v>-32167</v>
      </c>
      <c r="AL91" s="239">
        <v>0</v>
      </c>
      <c r="AM91" s="239">
        <v>-32167</v>
      </c>
      <c r="AN91" s="239">
        <v>-4162099</v>
      </c>
      <c r="AO91" s="239">
        <v>0</v>
      </c>
      <c r="AP91" s="239">
        <v>-4162099</v>
      </c>
      <c r="AQ91" s="239">
        <v>135653</v>
      </c>
      <c r="AR91" s="239">
        <v>0</v>
      </c>
      <c r="AS91" s="239">
        <v>135653</v>
      </c>
      <c r="AT91" s="239">
        <v>-68338</v>
      </c>
      <c r="AU91" s="239">
        <v>0</v>
      </c>
      <c r="AV91" s="239">
        <v>-68338</v>
      </c>
      <c r="AW91" s="239">
        <v>789</v>
      </c>
      <c r="AX91" s="239">
        <v>0</v>
      </c>
      <c r="AY91" s="239">
        <v>789</v>
      </c>
      <c r="AZ91" s="239">
        <v>-49365</v>
      </c>
      <c r="BA91" s="239">
        <v>0</v>
      </c>
      <c r="BB91" s="239">
        <v>-49365</v>
      </c>
      <c r="BC91" s="239">
        <v>-12269</v>
      </c>
      <c r="BD91" s="239">
        <v>0</v>
      </c>
      <c r="BE91" s="239">
        <v>-12269</v>
      </c>
      <c r="BF91" s="239">
        <v>-5895492</v>
      </c>
      <c r="BG91" s="239">
        <v>0</v>
      </c>
      <c r="BH91" s="239">
        <v>-5895492</v>
      </c>
      <c r="BI91" s="239">
        <v>-51129</v>
      </c>
      <c r="BJ91" s="239">
        <v>0</v>
      </c>
      <c r="BK91" s="239">
        <v>-51129</v>
      </c>
      <c r="BL91" s="239">
        <v>18773</v>
      </c>
      <c r="BM91" s="239">
        <v>0</v>
      </c>
      <c r="BN91" s="239">
        <v>18773</v>
      </c>
      <c r="BO91" s="239">
        <v>-1866095</v>
      </c>
      <c r="BP91" s="239">
        <v>0</v>
      </c>
      <c r="BQ91" s="239">
        <v>-1866095</v>
      </c>
      <c r="BR91" s="239">
        <v>-251353</v>
      </c>
      <c r="BS91" s="239">
        <v>0</v>
      </c>
      <c r="BT91" s="239">
        <v>-251353</v>
      </c>
      <c r="BU91" s="239">
        <v>-2149804</v>
      </c>
      <c r="BV91" s="239">
        <v>0</v>
      </c>
      <c r="BW91" s="239">
        <v>-2149804</v>
      </c>
      <c r="BX91" s="239">
        <v>-174005</v>
      </c>
      <c r="BY91" s="239">
        <v>0</v>
      </c>
      <c r="BZ91" s="239">
        <v>-174005</v>
      </c>
      <c r="CA91" s="239">
        <v>776</v>
      </c>
      <c r="CB91" s="239">
        <v>0</v>
      </c>
      <c r="CC91" s="239">
        <v>776</v>
      </c>
      <c r="CD91" s="239">
        <v>-48607</v>
      </c>
      <c r="CE91" s="239">
        <v>0</v>
      </c>
      <c r="CF91" s="239">
        <v>-48607</v>
      </c>
      <c r="CG91" s="239">
        <v>1548</v>
      </c>
      <c r="CH91" s="239">
        <v>0</v>
      </c>
      <c r="CI91" s="239">
        <v>1548</v>
      </c>
      <c r="CJ91" s="239">
        <v>0</v>
      </c>
      <c r="CK91" s="239">
        <v>0</v>
      </c>
      <c r="CL91" s="239">
        <v>0</v>
      </c>
      <c r="CM91" s="239">
        <v>0</v>
      </c>
      <c r="CN91" s="239">
        <v>0</v>
      </c>
      <c r="CO91" s="239">
        <v>0</v>
      </c>
      <c r="CP91" s="239">
        <v>-20226</v>
      </c>
      <c r="CQ91" s="239">
        <v>0</v>
      </c>
      <c r="CR91" s="239">
        <v>-20226</v>
      </c>
      <c r="CS91" s="239">
        <v>135</v>
      </c>
      <c r="CT91" s="239">
        <v>0</v>
      </c>
      <c r="CU91" s="239">
        <v>135</v>
      </c>
      <c r="CV91" s="239">
        <v>-3721</v>
      </c>
      <c r="CW91" s="239">
        <v>0</v>
      </c>
      <c r="CX91" s="239">
        <v>-3721</v>
      </c>
      <c r="CY91" s="239">
        <v>0</v>
      </c>
      <c r="CZ91" s="239">
        <v>0</v>
      </c>
      <c r="DA91" s="239">
        <v>0</v>
      </c>
      <c r="DB91" s="239">
        <v>0</v>
      </c>
      <c r="DC91" s="239">
        <v>0</v>
      </c>
      <c r="DD91" s="239">
        <v>0</v>
      </c>
      <c r="DE91" s="239">
        <v>0</v>
      </c>
      <c r="DF91" s="239">
        <v>0</v>
      </c>
      <c r="DG91" s="239">
        <v>0</v>
      </c>
      <c r="DH91" s="239">
        <v>0</v>
      </c>
      <c r="DI91" s="239">
        <v>0</v>
      </c>
      <c r="DJ91" s="239">
        <v>-244100</v>
      </c>
      <c r="DK91" s="239">
        <v>0</v>
      </c>
      <c r="DL91" s="239">
        <v>-244100</v>
      </c>
      <c r="DM91" s="239">
        <v>-44498</v>
      </c>
      <c r="DN91" s="239">
        <v>0</v>
      </c>
      <c r="DO91" s="239">
        <v>-44498</v>
      </c>
      <c r="DP91" s="239">
        <v>138</v>
      </c>
      <c r="DQ91" s="239">
        <v>0</v>
      </c>
      <c r="DR91" s="239">
        <v>138</v>
      </c>
      <c r="DS91" s="239">
        <v>-36968</v>
      </c>
      <c r="DT91" s="239">
        <v>0</v>
      </c>
      <c r="DU91" s="239">
        <v>-36968</v>
      </c>
      <c r="DV91" s="239">
        <v>407</v>
      </c>
      <c r="DW91" s="239">
        <v>0</v>
      </c>
      <c r="DX91" s="239">
        <v>407</v>
      </c>
      <c r="DY91" s="239">
        <v>0</v>
      </c>
      <c r="DZ91" s="239">
        <v>0</v>
      </c>
      <c r="EA91" s="239">
        <v>0</v>
      </c>
      <c r="EB91" s="239">
        <v>-16960</v>
      </c>
      <c r="EC91" s="239">
        <v>0</v>
      </c>
      <c r="ED91" s="239">
        <v>-16960</v>
      </c>
      <c r="EE91" s="239">
        <v>0</v>
      </c>
      <c r="EF91" s="239">
        <v>0</v>
      </c>
      <c r="EG91" s="239">
        <v>0</v>
      </c>
      <c r="EH91" s="239">
        <v>0</v>
      </c>
      <c r="EI91" s="239">
        <v>0</v>
      </c>
      <c r="EJ91" s="239">
        <v>0</v>
      </c>
      <c r="EK91" s="239">
        <v>-2126</v>
      </c>
      <c r="EL91" s="239">
        <v>0</v>
      </c>
      <c r="EM91" s="239">
        <v>-2126</v>
      </c>
      <c r="EN91" s="239">
        <v>0</v>
      </c>
      <c r="EO91" s="239">
        <v>0</v>
      </c>
      <c r="EP91" s="239">
        <v>0</v>
      </c>
      <c r="EQ91" s="239">
        <v>-100007</v>
      </c>
      <c r="ER91" s="239">
        <v>0</v>
      </c>
      <c r="ES91" s="239">
        <v>-100007</v>
      </c>
      <c r="ET91" s="239">
        <v>0</v>
      </c>
      <c r="EU91" s="239">
        <v>0</v>
      </c>
      <c r="EV91" s="239">
        <v>0</v>
      </c>
      <c r="EW91" s="239">
        <v>0</v>
      </c>
      <c r="EX91" s="239">
        <v>0</v>
      </c>
      <c r="EY91" s="239">
        <v>0</v>
      </c>
      <c r="EZ91" s="239">
        <v>0</v>
      </c>
      <c r="FA91" s="239">
        <v>0</v>
      </c>
      <c r="FB91" s="239">
        <v>0</v>
      </c>
      <c r="FC91" s="239">
        <v>53642675</v>
      </c>
      <c r="FD91" s="239">
        <v>0</v>
      </c>
      <c r="FE91" s="239">
        <v>53642675</v>
      </c>
      <c r="FF91" s="239">
        <v>309224</v>
      </c>
      <c r="FG91" s="239">
        <v>0</v>
      </c>
      <c r="FH91" s="239">
        <v>309224</v>
      </c>
      <c r="FI91" s="239">
        <v>-5895492</v>
      </c>
      <c r="FJ91" s="239">
        <v>0</v>
      </c>
      <c r="FK91" s="239">
        <v>-5895492</v>
      </c>
      <c r="FL91" s="239">
        <v>-2149804</v>
      </c>
      <c r="FM91" s="239">
        <v>0</v>
      </c>
      <c r="FN91" s="239">
        <v>-2149804</v>
      </c>
      <c r="FO91" s="239">
        <v>-244100</v>
      </c>
      <c r="FP91" s="239">
        <v>0</v>
      </c>
      <c r="FQ91" s="239">
        <v>-244100</v>
      </c>
      <c r="FR91" s="239">
        <v>-100007</v>
      </c>
      <c r="FS91" s="239">
        <v>0</v>
      </c>
      <c r="FT91" s="239">
        <v>-100007</v>
      </c>
      <c r="FU91" s="239">
        <v>0</v>
      </c>
      <c r="FV91" s="239">
        <v>0</v>
      </c>
      <c r="FW91" s="239">
        <v>0</v>
      </c>
      <c r="FX91" s="239">
        <v>-8080179</v>
      </c>
      <c r="FY91" s="239">
        <v>0</v>
      </c>
      <c r="FZ91" s="239">
        <v>-8080179</v>
      </c>
      <c r="GA91" s="239">
        <v>45562496</v>
      </c>
      <c r="GB91" s="239">
        <v>0</v>
      </c>
      <c r="GC91" s="239">
        <v>45562496</v>
      </c>
      <c r="GD91" s="214" t="s">
        <v>1190</v>
      </c>
    </row>
    <row r="92" spans="2:186" s="214" customFormat="1" x14ac:dyDescent="0.2">
      <c r="B92" s="609" t="s">
        <v>266</v>
      </c>
      <c r="C92" s="609" t="s">
        <v>265</v>
      </c>
      <c r="D92" s="239">
        <v>0</v>
      </c>
      <c r="E92" s="239">
        <v>0</v>
      </c>
      <c r="F92" s="239">
        <v>0</v>
      </c>
      <c r="G92" s="239">
        <v>17266</v>
      </c>
      <c r="H92" s="239">
        <v>0</v>
      </c>
      <c r="I92" s="239">
        <v>17266</v>
      </c>
      <c r="J92" s="239">
        <v>0</v>
      </c>
      <c r="K92" s="239">
        <v>0</v>
      </c>
      <c r="L92" s="239">
        <v>0</v>
      </c>
      <c r="M92" s="239">
        <v>33435</v>
      </c>
      <c r="N92" s="239">
        <v>0</v>
      </c>
      <c r="O92" s="239">
        <v>33435</v>
      </c>
      <c r="P92" s="239">
        <v>50701</v>
      </c>
      <c r="Q92" s="239">
        <v>0</v>
      </c>
      <c r="R92" s="239">
        <v>50701</v>
      </c>
      <c r="S92" s="239">
        <v>-4907206</v>
      </c>
      <c r="T92" s="239">
        <v>0</v>
      </c>
      <c r="U92" s="239">
        <v>-4907206</v>
      </c>
      <c r="V92" s="239">
        <v>-3008</v>
      </c>
      <c r="W92" s="239">
        <v>0</v>
      </c>
      <c r="X92" s="239">
        <v>-3008</v>
      </c>
      <c r="Y92" s="239">
        <v>-193728</v>
      </c>
      <c r="Z92" s="239">
        <v>0</v>
      </c>
      <c r="AA92" s="239">
        <v>-193728</v>
      </c>
      <c r="AB92" s="239">
        <v>-192221</v>
      </c>
      <c r="AC92" s="239">
        <v>0</v>
      </c>
      <c r="AD92" s="239">
        <v>-192221</v>
      </c>
      <c r="AE92" s="239">
        <v>-1507</v>
      </c>
      <c r="AF92" s="239">
        <v>0</v>
      </c>
      <c r="AG92" s="239">
        <v>-1507</v>
      </c>
      <c r="AH92" s="239">
        <v>875474</v>
      </c>
      <c r="AI92" s="239">
        <v>0</v>
      </c>
      <c r="AJ92" s="239">
        <v>875474</v>
      </c>
      <c r="AK92" s="239">
        <v>7416</v>
      </c>
      <c r="AL92" s="239">
        <v>0</v>
      </c>
      <c r="AM92" s="239">
        <v>7416</v>
      </c>
      <c r="AN92" s="239">
        <v>-2643330</v>
      </c>
      <c r="AO92" s="239">
        <v>0</v>
      </c>
      <c r="AP92" s="239">
        <v>-2643330</v>
      </c>
      <c r="AQ92" s="239">
        <v>-115985</v>
      </c>
      <c r="AR92" s="239">
        <v>0</v>
      </c>
      <c r="AS92" s="239">
        <v>-115985</v>
      </c>
      <c r="AT92" s="239">
        <v>-81641</v>
      </c>
      <c r="AU92" s="239">
        <v>0</v>
      </c>
      <c r="AV92" s="239">
        <v>-81641</v>
      </c>
      <c r="AW92" s="239">
        <v>-67</v>
      </c>
      <c r="AX92" s="239">
        <v>0</v>
      </c>
      <c r="AY92" s="239">
        <v>-67</v>
      </c>
      <c r="AZ92" s="239">
        <v>-117818</v>
      </c>
      <c r="BA92" s="239">
        <v>0</v>
      </c>
      <c r="BB92" s="239">
        <v>-117818</v>
      </c>
      <c r="BC92" s="239">
        <v>-3816</v>
      </c>
      <c r="BD92" s="239">
        <v>0</v>
      </c>
      <c r="BE92" s="239">
        <v>-3816</v>
      </c>
      <c r="BF92" s="239">
        <v>-7180701</v>
      </c>
      <c r="BG92" s="239">
        <v>0</v>
      </c>
      <c r="BH92" s="239">
        <v>-7180701</v>
      </c>
      <c r="BI92" s="239">
        <v>0</v>
      </c>
      <c r="BJ92" s="239">
        <v>0</v>
      </c>
      <c r="BK92" s="239">
        <v>0</v>
      </c>
      <c r="BL92" s="239">
        <v>0</v>
      </c>
      <c r="BM92" s="239">
        <v>0</v>
      </c>
      <c r="BN92" s="239">
        <v>0</v>
      </c>
      <c r="BO92" s="239">
        <v>-646631</v>
      </c>
      <c r="BP92" s="239">
        <v>0</v>
      </c>
      <c r="BQ92" s="239">
        <v>-646631</v>
      </c>
      <c r="BR92" s="239">
        <v>63647</v>
      </c>
      <c r="BS92" s="239">
        <v>0</v>
      </c>
      <c r="BT92" s="239">
        <v>63647</v>
      </c>
      <c r="BU92" s="239">
        <v>-582984</v>
      </c>
      <c r="BV92" s="239">
        <v>0</v>
      </c>
      <c r="BW92" s="239">
        <v>-582984</v>
      </c>
      <c r="BX92" s="239">
        <v>-79880</v>
      </c>
      <c r="BY92" s="239">
        <v>0</v>
      </c>
      <c r="BZ92" s="239">
        <v>-79880</v>
      </c>
      <c r="CA92" s="239">
        <v>-466</v>
      </c>
      <c r="CB92" s="239">
        <v>0</v>
      </c>
      <c r="CC92" s="239">
        <v>-466</v>
      </c>
      <c r="CD92" s="239">
        <v>-6202</v>
      </c>
      <c r="CE92" s="239">
        <v>0</v>
      </c>
      <c r="CF92" s="239">
        <v>-6202</v>
      </c>
      <c r="CG92" s="239">
        <v>-733</v>
      </c>
      <c r="CH92" s="239">
        <v>0</v>
      </c>
      <c r="CI92" s="239">
        <v>-733</v>
      </c>
      <c r="CJ92" s="239">
        <v>-9846</v>
      </c>
      <c r="CK92" s="239">
        <v>0</v>
      </c>
      <c r="CL92" s="239">
        <v>-9846</v>
      </c>
      <c r="CM92" s="239">
        <v>-518</v>
      </c>
      <c r="CN92" s="239">
        <v>0</v>
      </c>
      <c r="CO92" s="239">
        <v>-518</v>
      </c>
      <c r="CP92" s="239">
        <v>-26130</v>
      </c>
      <c r="CQ92" s="239">
        <v>0</v>
      </c>
      <c r="CR92" s="239">
        <v>-26130</v>
      </c>
      <c r="CS92" s="239">
        <v>-82</v>
      </c>
      <c r="CT92" s="239">
        <v>0</v>
      </c>
      <c r="CU92" s="239">
        <v>-82</v>
      </c>
      <c r="CV92" s="239">
        <v>0</v>
      </c>
      <c r="CW92" s="239">
        <v>0</v>
      </c>
      <c r="CX92" s="239">
        <v>0</v>
      </c>
      <c r="CY92" s="239">
        <v>0</v>
      </c>
      <c r="CZ92" s="239">
        <v>0</v>
      </c>
      <c r="DA92" s="239">
        <v>0</v>
      </c>
      <c r="DB92" s="239">
        <v>0</v>
      </c>
      <c r="DC92" s="239">
        <v>0</v>
      </c>
      <c r="DD92" s="239">
        <v>0</v>
      </c>
      <c r="DE92" s="239">
        <v>0</v>
      </c>
      <c r="DF92" s="239">
        <v>0</v>
      </c>
      <c r="DG92" s="239">
        <v>0</v>
      </c>
      <c r="DH92" s="239">
        <v>0</v>
      </c>
      <c r="DI92" s="239">
        <v>0</v>
      </c>
      <c r="DJ92" s="239">
        <v>-123857</v>
      </c>
      <c r="DK92" s="239">
        <v>0</v>
      </c>
      <c r="DL92" s="239">
        <v>-123857</v>
      </c>
      <c r="DM92" s="239">
        <v>0</v>
      </c>
      <c r="DN92" s="239">
        <v>0</v>
      </c>
      <c r="DO92" s="239">
        <v>0</v>
      </c>
      <c r="DP92" s="239">
        <v>0</v>
      </c>
      <c r="DQ92" s="239">
        <v>0</v>
      </c>
      <c r="DR92" s="239">
        <v>0</v>
      </c>
      <c r="DS92" s="239">
        <v>-849</v>
      </c>
      <c r="DT92" s="239">
        <v>0</v>
      </c>
      <c r="DU92" s="239">
        <v>-849</v>
      </c>
      <c r="DV92" s="239">
        <v>0</v>
      </c>
      <c r="DW92" s="239">
        <v>0</v>
      </c>
      <c r="DX92" s="239">
        <v>0</v>
      </c>
      <c r="DY92" s="239">
        <v>0</v>
      </c>
      <c r="DZ92" s="239">
        <v>0</v>
      </c>
      <c r="EA92" s="239">
        <v>0</v>
      </c>
      <c r="EB92" s="239">
        <v>-469</v>
      </c>
      <c r="EC92" s="239">
        <v>0</v>
      </c>
      <c r="ED92" s="239">
        <v>-469</v>
      </c>
      <c r="EE92" s="239">
        <v>0</v>
      </c>
      <c r="EF92" s="239">
        <v>0</v>
      </c>
      <c r="EG92" s="239">
        <v>0</v>
      </c>
      <c r="EH92" s="239">
        <v>0</v>
      </c>
      <c r="EI92" s="239">
        <v>0</v>
      </c>
      <c r="EJ92" s="239">
        <v>0</v>
      </c>
      <c r="EK92" s="239">
        <v>-10848</v>
      </c>
      <c r="EL92" s="239">
        <v>0</v>
      </c>
      <c r="EM92" s="239">
        <v>-10848</v>
      </c>
      <c r="EN92" s="239">
        <v>-5082</v>
      </c>
      <c r="EO92" s="239">
        <v>0</v>
      </c>
      <c r="EP92" s="239">
        <v>-5082</v>
      </c>
      <c r="EQ92" s="239">
        <v>-17248</v>
      </c>
      <c r="ER92" s="239">
        <v>0</v>
      </c>
      <c r="ES92" s="239">
        <v>-17248</v>
      </c>
      <c r="ET92" s="239">
        <v>0</v>
      </c>
      <c r="EU92" s="239">
        <v>0</v>
      </c>
      <c r="EV92" s="239">
        <v>0</v>
      </c>
      <c r="EW92" s="239">
        <v>0</v>
      </c>
      <c r="EX92" s="239">
        <v>0</v>
      </c>
      <c r="EY92" s="239">
        <v>0</v>
      </c>
      <c r="EZ92" s="239">
        <v>0</v>
      </c>
      <c r="FA92" s="239">
        <v>0</v>
      </c>
      <c r="FB92" s="239">
        <v>0</v>
      </c>
      <c r="FC92" s="239">
        <v>44071231</v>
      </c>
      <c r="FD92" s="239">
        <v>0</v>
      </c>
      <c r="FE92" s="239">
        <v>44071231</v>
      </c>
      <c r="FF92" s="239">
        <v>50701</v>
      </c>
      <c r="FG92" s="239">
        <v>0</v>
      </c>
      <c r="FH92" s="239">
        <v>50701</v>
      </c>
      <c r="FI92" s="239">
        <v>-7180701</v>
      </c>
      <c r="FJ92" s="239">
        <v>0</v>
      </c>
      <c r="FK92" s="239">
        <v>-7180701</v>
      </c>
      <c r="FL92" s="239">
        <v>-582984</v>
      </c>
      <c r="FM92" s="239">
        <v>0</v>
      </c>
      <c r="FN92" s="239">
        <v>-582984</v>
      </c>
      <c r="FO92" s="239">
        <v>-123857</v>
      </c>
      <c r="FP92" s="239">
        <v>0</v>
      </c>
      <c r="FQ92" s="239">
        <v>-123857</v>
      </c>
      <c r="FR92" s="239">
        <v>-17248</v>
      </c>
      <c r="FS92" s="239">
        <v>0</v>
      </c>
      <c r="FT92" s="239">
        <v>-17248</v>
      </c>
      <c r="FU92" s="239">
        <v>0</v>
      </c>
      <c r="FV92" s="239">
        <v>0</v>
      </c>
      <c r="FW92" s="239">
        <v>0</v>
      </c>
      <c r="FX92" s="239">
        <v>-7854089</v>
      </c>
      <c r="FY92" s="239">
        <v>0</v>
      </c>
      <c r="FZ92" s="239">
        <v>-7854089</v>
      </c>
      <c r="GA92" s="239">
        <v>36217142</v>
      </c>
      <c r="GB92" s="239">
        <v>0</v>
      </c>
      <c r="GC92" s="239">
        <v>36217142</v>
      </c>
      <c r="GD92" s="214" t="s">
        <v>1190</v>
      </c>
    </row>
    <row r="93" spans="2:186" s="214" customFormat="1" x14ac:dyDescent="0.2">
      <c r="B93" s="609" t="s">
        <v>268</v>
      </c>
      <c r="C93" s="609" t="s">
        <v>267</v>
      </c>
      <c r="D93" s="239">
        <v>0</v>
      </c>
      <c r="E93" s="239">
        <v>0</v>
      </c>
      <c r="F93" s="239">
        <v>0</v>
      </c>
      <c r="G93" s="239">
        <v>24767</v>
      </c>
      <c r="H93" s="239">
        <v>0</v>
      </c>
      <c r="I93" s="239">
        <v>24767</v>
      </c>
      <c r="J93" s="239">
        <v>0</v>
      </c>
      <c r="K93" s="239">
        <v>0</v>
      </c>
      <c r="L93" s="239">
        <v>0</v>
      </c>
      <c r="M93" s="239">
        <v>1001</v>
      </c>
      <c r="N93" s="239">
        <v>0</v>
      </c>
      <c r="O93" s="239">
        <v>1001</v>
      </c>
      <c r="P93" s="239">
        <v>25768</v>
      </c>
      <c r="Q93" s="239">
        <v>0</v>
      </c>
      <c r="R93" s="239">
        <v>25768</v>
      </c>
      <c r="S93" s="239">
        <v>-1998550</v>
      </c>
      <c r="T93" s="239">
        <v>0</v>
      </c>
      <c r="U93" s="239">
        <v>-1998550</v>
      </c>
      <c r="V93" s="239">
        <v>-7559</v>
      </c>
      <c r="W93" s="239">
        <v>0</v>
      </c>
      <c r="X93" s="239">
        <v>-7559</v>
      </c>
      <c r="Y93" s="239">
        <v>-32303</v>
      </c>
      <c r="Z93" s="239">
        <v>0</v>
      </c>
      <c r="AA93" s="239">
        <v>-32303</v>
      </c>
      <c r="AB93" s="239">
        <v>0</v>
      </c>
      <c r="AC93" s="239">
        <v>0</v>
      </c>
      <c r="AD93" s="239">
        <v>0</v>
      </c>
      <c r="AE93" s="239">
        <v>-2908</v>
      </c>
      <c r="AF93" s="239">
        <v>0</v>
      </c>
      <c r="AG93" s="239">
        <v>-2908</v>
      </c>
      <c r="AH93" s="239">
        <v>686928</v>
      </c>
      <c r="AI93" s="239">
        <v>0</v>
      </c>
      <c r="AJ93" s="239">
        <v>686928</v>
      </c>
      <c r="AK93" s="239">
        <v>-36370</v>
      </c>
      <c r="AL93" s="239">
        <v>0</v>
      </c>
      <c r="AM93" s="239">
        <v>-36370</v>
      </c>
      <c r="AN93" s="239">
        <v>-1796881</v>
      </c>
      <c r="AO93" s="239">
        <v>0</v>
      </c>
      <c r="AP93" s="239">
        <v>-1796881</v>
      </c>
      <c r="AQ93" s="239">
        <v>9103</v>
      </c>
      <c r="AR93" s="239">
        <v>0</v>
      </c>
      <c r="AS93" s="239">
        <v>9103</v>
      </c>
      <c r="AT93" s="239">
        <v>-15397</v>
      </c>
      <c r="AU93" s="239">
        <v>0</v>
      </c>
      <c r="AV93" s="239">
        <v>-15397</v>
      </c>
      <c r="AW93" s="239">
        <v>0</v>
      </c>
      <c r="AX93" s="239">
        <v>0</v>
      </c>
      <c r="AY93" s="239">
        <v>0</v>
      </c>
      <c r="AZ93" s="239">
        <v>-36066</v>
      </c>
      <c r="BA93" s="239">
        <v>0</v>
      </c>
      <c r="BB93" s="239">
        <v>-36066</v>
      </c>
      <c r="BC93" s="239">
        <v>3</v>
      </c>
      <c r="BD93" s="239">
        <v>0</v>
      </c>
      <c r="BE93" s="239">
        <v>3</v>
      </c>
      <c r="BF93" s="239">
        <v>-3219533</v>
      </c>
      <c r="BG93" s="239">
        <v>0</v>
      </c>
      <c r="BH93" s="239">
        <v>-3219533</v>
      </c>
      <c r="BI93" s="239">
        <v>-34477</v>
      </c>
      <c r="BJ93" s="239">
        <v>0</v>
      </c>
      <c r="BK93" s="239">
        <v>-34477</v>
      </c>
      <c r="BL93" s="239">
        <v>-166453</v>
      </c>
      <c r="BM93" s="239">
        <v>0</v>
      </c>
      <c r="BN93" s="239">
        <v>-166453</v>
      </c>
      <c r="BO93" s="239">
        <v>-853755</v>
      </c>
      <c r="BP93" s="239">
        <v>0</v>
      </c>
      <c r="BQ93" s="239">
        <v>-853755</v>
      </c>
      <c r="BR93" s="239">
        <v>1299</v>
      </c>
      <c r="BS93" s="239">
        <v>0</v>
      </c>
      <c r="BT93" s="239">
        <v>1299</v>
      </c>
      <c r="BU93" s="239">
        <v>-1053386</v>
      </c>
      <c r="BV93" s="239">
        <v>0</v>
      </c>
      <c r="BW93" s="239">
        <v>-1053386</v>
      </c>
      <c r="BX93" s="239">
        <v>-88163</v>
      </c>
      <c r="BY93" s="239">
        <v>0</v>
      </c>
      <c r="BZ93" s="239">
        <v>-88163</v>
      </c>
      <c r="CA93" s="239">
        <v>-1775</v>
      </c>
      <c r="CB93" s="239">
        <v>0</v>
      </c>
      <c r="CC93" s="239">
        <v>-1775</v>
      </c>
      <c r="CD93" s="239">
        <v>-66807</v>
      </c>
      <c r="CE93" s="239">
        <v>0</v>
      </c>
      <c r="CF93" s="239">
        <v>-66807</v>
      </c>
      <c r="CG93" s="239">
        <v>242</v>
      </c>
      <c r="CH93" s="239">
        <v>0</v>
      </c>
      <c r="CI93" s="239">
        <v>242</v>
      </c>
      <c r="CJ93" s="239">
        <v>-3849</v>
      </c>
      <c r="CK93" s="239">
        <v>0</v>
      </c>
      <c r="CL93" s="239">
        <v>-3849</v>
      </c>
      <c r="CM93" s="239">
        <v>0</v>
      </c>
      <c r="CN93" s="239">
        <v>0</v>
      </c>
      <c r="CO93" s="239">
        <v>0</v>
      </c>
      <c r="CP93" s="239">
        <v>-20189</v>
      </c>
      <c r="CQ93" s="239">
        <v>0</v>
      </c>
      <c r="CR93" s="239">
        <v>-20189</v>
      </c>
      <c r="CS93" s="239">
        <v>3</v>
      </c>
      <c r="CT93" s="239">
        <v>0</v>
      </c>
      <c r="CU93" s="239">
        <v>3</v>
      </c>
      <c r="CV93" s="239">
        <v>-56439</v>
      </c>
      <c r="CW93" s="239">
        <v>0</v>
      </c>
      <c r="CX93" s="239">
        <v>-56439</v>
      </c>
      <c r="CY93" s="239">
        <v>0</v>
      </c>
      <c r="CZ93" s="239">
        <v>0</v>
      </c>
      <c r="DA93" s="239">
        <v>0</v>
      </c>
      <c r="DB93" s="239">
        <v>0</v>
      </c>
      <c r="DC93" s="239">
        <v>0</v>
      </c>
      <c r="DD93" s="239">
        <v>0</v>
      </c>
      <c r="DE93" s="239">
        <v>0</v>
      </c>
      <c r="DF93" s="239">
        <v>0</v>
      </c>
      <c r="DG93" s="239">
        <v>0</v>
      </c>
      <c r="DH93" s="239">
        <v>0</v>
      </c>
      <c r="DI93" s="239">
        <v>0</v>
      </c>
      <c r="DJ93" s="239">
        <v>-236977</v>
      </c>
      <c r="DK93" s="239">
        <v>0</v>
      </c>
      <c r="DL93" s="239">
        <v>-236977</v>
      </c>
      <c r="DM93" s="239">
        <v>-1544</v>
      </c>
      <c r="DN93" s="239">
        <v>0</v>
      </c>
      <c r="DO93" s="239">
        <v>-1544</v>
      </c>
      <c r="DP93" s="239">
        <v>0</v>
      </c>
      <c r="DQ93" s="239">
        <v>0</v>
      </c>
      <c r="DR93" s="239">
        <v>0</v>
      </c>
      <c r="DS93" s="239">
        <v>0</v>
      </c>
      <c r="DT93" s="239">
        <v>0</v>
      </c>
      <c r="DU93" s="239">
        <v>0</v>
      </c>
      <c r="DV93" s="239">
        <v>0</v>
      </c>
      <c r="DW93" s="239">
        <v>0</v>
      </c>
      <c r="DX93" s="239">
        <v>0</v>
      </c>
      <c r="DY93" s="239">
        <v>0</v>
      </c>
      <c r="DZ93" s="239">
        <v>0</v>
      </c>
      <c r="EA93" s="239">
        <v>0</v>
      </c>
      <c r="EB93" s="239">
        <v>3113</v>
      </c>
      <c r="EC93" s="239">
        <v>0</v>
      </c>
      <c r="ED93" s="239">
        <v>3113</v>
      </c>
      <c r="EE93" s="239">
        <v>0</v>
      </c>
      <c r="EF93" s="239">
        <v>0</v>
      </c>
      <c r="EG93" s="239">
        <v>0</v>
      </c>
      <c r="EH93" s="239">
        <v>0</v>
      </c>
      <c r="EI93" s="239">
        <v>0</v>
      </c>
      <c r="EJ93" s="239">
        <v>0</v>
      </c>
      <c r="EK93" s="239">
        <v>0</v>
      </c>
      <c r="EL93" s="239">
        <v>0</v>
      </c>
      <c r="EM93" s="239">
        <v>0</v>
      </c>
      <c r="EN93" s="239">
        <v>0</v>
      </c>
      <c r="EO93" s="239">
        <v>0</v>
      </c>
      <c r="EP93" s="239">
        <v>0</v>
      </c>
      <c r="EQ93" s="239">
        <v>1569</v>
      </c>
      <c r="ER93" s="239">
        <v>0</v>
      </c>
      <c r="ES93" s="239">
        <v>1569</v>
      </c>
      <c r="ET93" s="239">
        <v>0</v>
      </c>
      <c r="EU93" s="239">
        <v>0</v>
      </c>
      <c r="EV93" s="239">
        <v>0</v>
      </c>
      <c r="EW93" s="239">
        <v>0</v>
      </c>
      <c r="EX93" s="239">
        <v>0</v>
      </c>
      <c r="EY93" s="239">
        <v>0</v>
      </c>
      <c r="EZ93" s="239">
        <v>0</v>
      </c>
      <c r="FA93" s="239">
        <v>0</v>
      </c>
      <c r="FB93" s="239">
        <v>0</v>
      </c>
      <c r="FC93" s="239">
        <v>28840349</v>
      </c>
      <c r="FD93" s="239">
        <v>0</v>
      </c>
      <c r="FE93" s="239">
        <v>28840349</v>
      </c>
      <c r="FF93" s="239">
        <v>25768</v>
      </c>
      <c r="FG93" s="239">
        <v>0</v>
      </c>
      <c r="FH93" s="239">
        <v>25768</v>
      </c>
      <c r="FI93" s="239">
        <v>-3219533</v>
      </c>
      <c r="FJ93" s="239">
        <v>0</v>
      </c>
      <c r="FK93" s="239">
        <v>-3219533</v>
      </c>
      <c r="FL93" s="239">
        <v>-1053386</v>
      </c>
      <c r="FM93" s="239">
        <v>0</v>
      </c>
      <c r="FN93" s="239">
        <v>-1053386</v>
      </c>
      <c r="FO93" s="239">
        <v>-236977</v>
      </c>
      <c r="FP93" s="239">
        <v>0</v>
      </c>
      <c r="FQ93" s="239">
        <v>-236977</v>
      </c>
      <c r="FR93" s="239">
        <v>1569</v>
      </c>
      <c r="FS93" s="239">
        <v>0</v>
      </c>
      <c r="FT93" s="239">
        <v>1569</v>
      </c>
      <c r="FU93" s="239">
        <v>0</v>
      </c>
      <c r="FV93" s="239">
        <v>0</v>
      </c>
      <c r="FW93" s="239">
        <v>0</v>
      </c>
      <c r="FX93" s="239">
        <v>-4482559</v>
      </c>
      <c r="FY93" s="239">
        <v>0</v>
      </c>
      <c r="FZ93" s="239">
        <v>-4482559</v>
      </c>
      <c r="GA93" s="239">
        <v>24357790</v>
      </c>
      <c r="GB93" s="239">
        <v>0</v>
      </c>
      <c r="GC93" s="239">
        <v>24357790</v>
      </c>
      <c r="GD93" s="214" t="s">
        <v>1190</v>
      </c>
    </row>
    <row r="94" spans="2:186" s="214" customFormat="1" x14ac:dyDescent="0.2">
      <c r="B94" s="609" t="s">
        <v>270</v>
      </c>
      <c r="C94" s="609" t="s">
        <v>269</v>
      </c>
      <c r="D94" s="239">
        <v>0</v>
      </c>
      <c r="E94" s="239">
        <v>0</v>
      </c>
      <c r="F94" s="239">
        <v>0</v>
      </c>
      <c r="G94" s="239">
        <v>165190.98000000001</v>
      </c>
      <c r="H94" s="239">
        <v>0</v>
      </c>
      <c r="I94" s="239">
        <v>165190.98000000001</v>
      </c>
      <c r="J94" s="239">
        <v>0</v>
      </c>
      <c r="K94" s="239">
        <v>0</v>
      </c>
      <c r="L94" s="239">
        <v>0</v>
      </c>
      <c r="M94" s="239">
        <v>-56821.75</v>
      </c>
      <c r="N94" s="239">
        <v>0</v>
      </c>
      <c r="O94" s="239">
        <v>-56821.75</v>
      </c>
      <c r="P94" s="239">
        <v>108369</v>
      </c>
      <c r="Q94" s="239">
        <v>0</v>
      </c>
      <c r="R94" s="239">
        <v>108369</v>
      </c>
      <c r="S94" s="239">
        <v>-8451385</v>
      </c>
      <c r="T94" s="239">
        <v>0</v>
      </c>
      <c r="U94" s="239">
        <v>-8451385</v>
      </c>
      <c r="V94" s="239">
        <v>0</v>
      </c>
      <c r="W94" s="239">
        <v>0</v>
      </c>
      <c r="X94" s="239">
        <v>0</v>
      </c>
      <c r="Y94" s="239">
        <v>-695472</v>
      </c>
      <c r="Z94" s="239">
        <v>0</v>
      </c>
      <c r="AA94" s="239">
        <v>-695472</v>
      </c>
      <c r="AB94" s="239">
        <v>-695472</v>
      </c>
      <c r="AC94" s="239">
        <v>0</v>
      </c>
      <c r="AD94" s="239">
        <v>-695472</v>
      </c>
      <c r="AE94" s="239">
        <v>0</v>
      </c>
      <c r="AF94" s="239">
        <v>0</v>
      </c>
      <c r="AG94" s="239">
        <v>0</v>
      </c>
      <c r="AH94" s="239">
        <v>2773944</v>
      </c>
      <c r="AI94" s="239">
        <v>2600</v>
      </c>
      <c r="AJ94" s="239">
        <v>2776544</v>
      </c>
      <c r="AK94" s="239">
        <v>40083</v>
      </c>
      <c r="AL94" s="239">
        <v>0</v>
      </c>
      <c r="AM94" s="239">
        <v>40083</v>
      </c>
      <c r="AN94" s="239">
        <v>-3416063</v>
      </c>
      <c r="AO94" s="239">
        <v>0</v>
      </c>
      <c r="AP94" s="239">
        <v>-3416063</v>
      </c>
      <c r="AQ94" s="239">
        <v>12542</v>
      </c>
      <c r="AR94" s="239">
        <v>0</v>
      </c>
      <c r="AS94" s="239">
        <v>12542</v>
      </c>
      <c r="AT94" s="239">
        <v>-43406</v>
      </c>
      <c r="AU94" s="239">
        <v>0</v>
      </c>
      <c r="AV94" s="239">
        <v>-43406</v>
      </c>
      <c r="AW94" s="239">
        <v>2069</v>
      </c>
      <c r="AX94" s="239">
        <v>0</v>
      </c>
      <c r="AY94" s="239">
        <v>2069</v>
      </c>
      <c r="AZ94" s="239">
        <v>-108100</v>
      </c>
      <c r="BA94" s="239">
        <v>0</v>
      </c>
      <c r="BB94" s="239">
        <v>-108100</v>
      </c>
      <c r="BC94" s="239">
        <v>5439</v>
      </c>
      <c r="BD94" s="239">
        <v>0</v>
      </c>
      <c r="BE94" s="239">
        <v>5439</v>
      </c>
      <c r="BF94" s="239">
        <v>-9880349</v>
      </c>
      <c r="BG94" s="239">
        <v>2600</v>
      </c>
      <c r="BH94" s="239">
        <v>-9877749</v>
      </c>
      <c r="BI94" s="239">
        <v>-96820</v>
      </c>
      <c r="BJ94" s="239">
        <v>0</v>
      </c>
      <c r="BK94" s="239">
        <v>-96820</v>
      </c>
      <c r="BL94" s="239">
        <v>-17563</v>
      </c>
      <c r="BM94" s="239">
        <v>0</v>
      </c>
      <c r="BN94" s="239">
        <v>-17563</v>
      </c>
      <c r="BO94" s="239">
        <v>-2490571</v>
      </c>
      <c r="BP94" s="239">
        <v>0</v>
      </c>
      <c r="BQ94" s="239">
        <v>-2490571</v>
      </c>
      <c r="BR94" s="239">
        <v>-318077</v>
      </c>
      <c r="BS94" s="239">
        <v>0</v>
      </c>
      <c r="BT94" s="239">
        <v>-318077</v>
      </c>
      <c r="BU94" s="239">
        <v>-2923031</v>
      </c>
      <c r="BV94" s="239">
        <v>0</v>
      </c>
      <c r="BW94" s="239">
        <v>-2923031</v>
      </c>
      <c r="BX94" s="239">
        <v>-121663</v>
      </c>
      <c r="BY94" s="239">
        <v>0</v>
      </c>
      <c r="BZ94" s="239">
        <v>-121663</v>
      </c>
      <c r="CA94" s="239">
        <v>1349</v>
      </c>
      <c r="CB94" s="239">
        <v>0</v>
      </c>
      <c r="CC94" s="239">
        <v>1349</v>
      </c>
      <c r="CD94" s="239">
        <v>-413082</v>
      </c>
      <c r="CE94" s="239">
        <v>0</v>
      </c>
      <c r="CF94" s="239">
        <v>-413082</v>
      </c>
      <c r="CG94" s="239">
        <v>46</v>
      </c>
      <c r="CH94" s="239">
        <v>0</v>
      </c>
      <c r="CI94" s="239">
        <v>46</v>
      </c>
      <c r="CJ94" s="239">
        <v>-9517</v>
      </c>
      <c r="CK94" s="239">
        <v>0</v>
      </c>
      <c r="CL94" s="239">
        <v>-9517</v>
      </c>
      <c r="CM94" s="239">
        <v>378</v>
      </c>
      <c r="CN94" s="239">
        <v>0</v>
      </c>
      <c r="CO94" s="239">
        <v>378</v>
      </c>
      <c r="CP94" s="239">
        <v>-36540</v>
      </c>
      <c r="CQ94" s="239">
        <v>0</v>
      </c>
      <c r="CR94" s="239">
        <v>-36540</v>
      </c>
      <c r="CS94" s="239">
        <v>1176</v>
      </c>
      <c r="CT94" s="239">
        <v>0</v>
      </c>
      <c r="CU94" s="239">
        <v>1176</v>
      </c>
      <c r="CV94" s="239">
        <v>-53582</v>
      </c>
      <c r="CW94" s="239">
        <v>0</v>
      </c>
      <c r="CX94" s="239">
        <v>-53582</v>
      </c>
      <c r="CY94" s="239">
        <v>-2437</v>
      </c>
      <c r="CZ94" s="239">
        <v>0</v>
      </c>
      <c r="DA94" s="239">
        <v>-2437</v>
      </c>
      <c r="DB94" s="239">
        <v>-208216</v>
      </c>
      <c r="DC94" s="239">
        <v>0</v>
      </c>
      <c r="DD94" s="239">
        <v>-208216</v>
      </c>
      <c r="DE94" s="239">
        <v>16984</v>
      </c>
      <c r="DF94" s="239">
        <v>0</v>
      </c>
      <c r="DG94" s="239">
        <v>16984</v>
      </c>
      <c r="DH94" s="239">
        <v>0</v>
      </c>
      <c r="DI94" s="239">
        <v>-191231</v>
      </c>
      <c r="DJ94" s="239">
        <v>-825104</v>
      </c>
      <c r="DK94" s="239">
        <v>0</v>
      </c>
      <c r="DL94" s="239">
        <v>-825104</v>
      </c>
      <c r="DM94" s="239">
        <v>0</v>
      </c>
      <c r="DN94" s="239">
        <v>0</v>
      </c>
      <c r="DO94" s="239">
        <v>0</v>
      </c>
      <c r="DP94" s="239">
        <v>0</v>
      </c>
      <c r="DQ94" s="239">
        <v>0</v>
      </c>
      <c r="DR94" s="239">
        <v>0</v>
      </c>
      <c r="DS94" s="239">
        <v>-36129</v>
      </c>
      <c r="DT94" s="239">
        <v>0</v>
      </c>
      <c r="DU94" s="239">
        <v>-36129</v>
      </c>
      <c r="DV94" s="239">
        <v>-16158</v>
      </c>
      <c r="DW94" s="239">
        <v>0</v>
      </c>
      <c r="DX94" s="239">
        <v>-16158</v>
      </c>
      <c r="DY94" s="239">
        <v>0</v>
      </c>
      <c r="DZ94" s="239">
        <v>0</v>
      </c>
      <c r="EA94" s="239">
        <v>0</v>
      </c>
      <c r="EB94" s="239">
        <v>39130</v>
      </c>
      <c r="EC94" s="239">
        <v>0</v>
      </c>
      <c r="ED94" s="239">
        <v>39130</v>
      </c>
      <c r="EE94" s="239">
        <v>0</v>
      </c>
      <c r="EF94" s="239">
        <v>0</v>
      </c>
      <c r="EG94" s="239">
        <v>0</v>
      </c>
      <c r="EH94" s="239">
        <v>63</v>
      </c>
      <c r="EI94" s="239">
        <v>0</v>
      </c>
      <c r="EJ94" s="239">
        <v>63</v>
      </c>
      <c r="EK94" s="239">
        <v>0</v>
      </c>
      <c r="EL94" s="239">
        <v>0</v>
      </c>
      <c r="EM94" s="239">
        <v>0</v>
      </c>
      <c r="EN94" s="239">
        <v>0</v>
      </c>
      <c r="EO94" s="239">
        <v>0</v>
      </c>
      <c r="EP94" s="239">
        <v>0</v>
      </c>
      <c r="EQ94" s="239">
        <v>-13094</v>
      </c>
      <c r="ER94" s="239">
        <v>0</v>
      </c>
      <c r="ES94" s="239">
        <v>-13094</v>
      </c>
      <c r="ET94" s="239">
        <v>-13295</v>
      </c>
      <c r="EU94" s="239">
        <v>0</v>
      </c>
      <c r="EV94" s="239">
        <v>-13295</v>
      </c>
      <c r="EW94" s="239">
        <v>-217055</v>
      </c>
      <c r="EX94" s="239">
        <v>0</v>
      </c>
      <c r="EY94" s="239">
        <v>-217055</v>
      </c>
      <c r="EZ94" s="239">
        <v>-230350</v>
      </c>
      <c r="FA94" s="239">
        <v>0</v>
      </c>
      <c r="FB94" s="239">
        <v>-230350</v>
      </c>
      <c r="FC94" s="239">
        <v>123562657</v>
      </c>
      <c r="FD94" s="239">
        <v>96800</v>
      </c>
      <c r="FE94" s="239">
        <v>123659457</v>
      </c>
      <c r="FF94" s="239">
        <v>108369</v>
      </c>
      <c r="FG94" s="239">
        <v>0</v>
      </c>
      <c r="FH94" s="239">
        <v>108369</v>
      </c>
      <c r="FI94" s="239">
        <v>-9880349</v>
      </c>
      <c r="FJ94" s="239">
        <v>2600</v>
      </c>
      <c r="FK94" s="239">
        <v>-9877749</v>
      </c>
      <c r="FL94" s="239">
        <v>-2923031</v>
      </c>
      <c r="FM94" s="239">
        <v>0</v>
      </c>
      <c r="FN94" s="239">
        <v>-2923031</v>
      </c>
      <c r="FO94" s="239">
        <v>-825104</v>
      </c>
      <c r="FP94" s="239">
        <v>0</v>
      </c>
      <c r="FQ94" s="239">
        <v>-825104</v>
      </c>
      <c r="FR94" s="239">
        <v>-13094</v>
      </c>
      <c r="FS94" s="239">
        <v>0</v>
      </c>
      <c r="FT94" s="239">
        <v>-13094</v>
      </c>
      <c r="FU94" s="239">
        <v>-230350</v>
      </c>
      <c r="FV94" s="239">
        <v>0</v>
      </c>
      <c r="FW94" s="239">
        <v>-230350</v>
      </c>
      <c r="FX94" s="239">
        <v>-13763559</v>
      </c>
      <c r="FY94" s="239">
        <v>2600</v>
      </c>
      <c r="FZ94" s="239">
        <v>-13760959</v>
      </c>
      <c r="GA94" s="239">
        <v>109799098</v>
      </c>
      <c r="GB94" s="239">
        <v>99400</v>
      </c>
      <c r="GC94" s="239">
        <v>109898498</v>
      </c>
      <c r="GD94" s="214" t="s">
        <v>747</v>
      </c>
    </row>
    <row r="95" spans="2:186" s="214" customFormat="1" x14ac:dyDescent="0.2">
      <c r="B95" s="609" t="s">
        <v>272</v>
      </c>
      <c r="C95" s="609" t="s">
        <v>271</v>
      </c>
      <c r="D95" s="239">
        <v>0</v>
      </c>
      <c r="E95" s="239">
        <v>0</v>
      </c>
      <c r="F95" s="239">
        <v>0</v>
      </c>
      <c r="G95" s="239">
        <v>33890</v>
      </c>
      <c r="H95" s="239">
        <v>0</v>
      </c>
      <c r="I95" s="239">
        <v>33890</v>
      </c>
      <c r="J95" s="239">
        <v>0</v>
      </c>
      <c r="K95" s="239">
        <v>0</v>
      </c>
      <c r="L95" s="239">
        <v>0</v>
      </c>
      <c r="M95" s="239">
        <v>146003</v>
      </c>
      <c r="N95" s="239">
        <v>0</v>
      </c>
      <c r="O95" s="239">
        <v>146003</v>
      </c>
      <c r="P95" s="239">
        <v>179893</v>
      </c>
      <c r="Q95" s="239">
        <v>0</v>
      </c>
      <c r="R95" s="239">
        <v>179893</v>
      </c>
      <c r="S95" s="239">
        <v>-2820981</v>
      </c>
      <c r="T95" s="239">
        <v>0</v>
      </c>
      <c r="U95" s="239">
        <v>-2820981</v>
      </c>
      <c r="V95" s="239">
        <v>-2476</v>
      </c>
      <c r="W95" s="239">
        <v>0</v>
      </c>
      <c r="X95" s="239">
        <v>-2476</v>
      </c>
      <c r="Y95" s="239">
        <v>-62927</v>
      </c>
      <c r="Z95" s="239">
        <v>0</v>
      </c>
      <c r="AA95" s="239">
        <v>-62927</v>
      </c>
      <c r="AB95" s="239">
        <v>-60367</v>
      </c>
      <c r="AC95" s="239">
        <v>0</v>
      </c>
      <c r="AD95" s="239">
        <v>-60367</v>
      </c>
      <c r="AE95" s="239">
        <v>-2560</v>
      </c>
      <c r="AF95" s="239">
        <v>0</v>
      </c>
      <c r="AG95" s="239">
        <v>-2560</v>
      </c>
      <c r="AH95" s="239">
        <v>1530643</v>
      </c>
      <c r="AI95" s="239">
        <v>0</v>
      </c>
      <c r="AJ95" s="239">
        <v>1530643</v>
      </c>
      <c r="AK95" s="239">
        <v>-35254</v>
      </c>
      <c r="AL95" s="239">
        <v>0</v>
      </c>
      <c r="AM95" s="239">
        <v>-35254</v>
      </c>
      <c r="AN95" s="239">
        <v>-2000007</v>
      </c>
      <c r="AO95" s="239">
        <v>0</v>
      </c>
      <c r="AP95" s="239">
        <v>-2000007</v>
      </c>
      <c r="AQ95" s="239">
        <v>4917</v>
      </c>
      <c r="AR95" s="239">
        <v>0</v>
      </c>
      <c r="AS95" s="239">
        <v>4917</v>
      </c>
      <c r="AT95" s="239">
        <v>-58825</v>
      </c>
      <c r="AU95" s="239">
        <v>0</v>
      </c>
      <c r="AV95" s="239">
        <v>-58825</v>
      </c>
      <c r="AW95" s="239">
        <v>0</v>
      </c>
      <c r="AX95" s="239">
        <v>0</v>
      </c>
      <c r="AY95" s="239">
        <v>0</v>
      </c>
      <c r="AZ95" s="239">
        <v>-4075</v>
      </c>
      <c r="BA95" s="239">
        <v>0</v>
      </c>
      <c r="BB95" s="239">
        <v>-4075</v>
      </c>
      <c r="BC95" s="239">
        <v>2021</v>
      </c>
      <c r="BD95" s="239">
        <v>0</v>
      </c>
      <c r="BE95" s="239">
        <v>2021</v>
      </c>
      <c r="BF95" s="239">
        <v>-3444488</v>
      </c>
      <c r="BG95" s="239">
        <v>0</v>
      </c>
      <c r="BH95" s="239">
        <v>-3444488</v>
      </c>
      <c r="BI95" s="239">
        <v>-40080</v>
      </c>
      <c r="BJ95" s="239">
        <v>0</v>
      </c>
      <c r="BK95" s="239">
        <v>-40080</v>
      </c>
      <c r="BL95" s="239">
        <v>-20754</v>
      </c>
      <c r="BM95" s="239">
        <v>0</v>
      </c>
      <c r="BN95" s="239">
        <v>-20754</v>
      </c>
      <c r="BO95" s="239">
        <v>-2240773</v>
      </c>
      <c r="BP95" s="239">
        <v>0</v>
      </c>
      <c r="BQ95" s="239">
        <v>-2240773</v>
      </c>
      <c r="BR95" s="239">
        <v>81757</v>
      </c>
      <c r="BS95" s="239">
        <v>0</v>
      </c>
      <c r="BT95" s="239">
        <v>81757</v>
      </c>
      <c r="BU95" s="239">
        <v>-2219850</v>
      </c>
      <c r="BV95" s="239">
        <v>0</v>
      </c>
      <c r="BW95" s="239">
        <v>-2219850</v>
      </c>
      <c r="BX95" s="239">
        <v>-68018</v>
      </c>
      <c r="BY95" s="239">
        <v>0</v>
      </c>
      <c r="BZ95" s="239">
        <v>-68018</v>
      </c>
      <c r="CA95" s="239">
        <v>-5620</v>
      </c>
      <c r="CB95" s="239">
        <v>0</v>
      </c>
      <c r="CC95" s="239">
        <v>-5620</v>
      </c>
      <c r="CD95" s="239">
        <v>-28130</v>
      </c>
      <c r="CE95" s="239">
        <v>0</v>
      </c>
      <c r="CF95" s="239">
        <v>-28130</v>
      </c>
      <c r="CG95" s="239">
        <v>1824</v>
      </c>
      <c r="CH95" s="239">
        <v>0</v>
      </c>
      <c r="CI95" s="239">
        <v>1824</v>
      </c>
      <c r="CJ95" s="239">
        <v>-5718</v>
      </c>
      <c r="CK95" s="239">
        <v>0</v>
      </c>
      <c r="CL95" s="239">
        <v>-5718</v>
      </c>
      <c r="CM95" s="239">
        <v>0</v>
      </c>
      <c r="CN95" s="239">
        <v>0</v>
      </c>
      <c r="CO95" s="239">
        <v>0</v>
      </c>
      <c r="CP95" s="239">
        <v>0</v>
      </c>
      <c r="CQ95" s="239">
        <v>0</v>
      </c>
      <c r="CR95" s="239">
        <v>0</v>
      </c>
      <c r="CS95" s="239">
        <v>0</v>
      </c>
      <c r="CT95" s="239">
        <v>0</v>
      </c>
      <c r="CU95" s="239">
        <v>0</v>
      </c>
      <c r="CV95" s="239">
        <v>0</v>
      </c>
      <c r="CW95" s="239">
        <v>0</v>
      </c>
      <c r="CX95" s="239">
        <v>0</v>
      </c>
      <c r="CY95" s="239">
        <v>0</v>
      </c>
      <c r="CZ95" s="239">
        <v>0</v>
      </c>
      <c r="DA95" s="239">
        <v>0</v>
      </c>
      <c r="DB95" s="239">
        <v>0</v>
      </c>
      <c r="DC95" s="239">
        <v>0</v>
      </c>
      <c r="DD95" s="239">
        <v>0</v>
      </c>
      <c r="DE95" s="239">
        <v>0</v>
      </c>
      <c r="DF95" s="239">
        <v>0</v>
      </c>
      <c r="DG95" s="239">
        <v>0</v>
      </c>
      <c r="DH95" s="239">
        <v>0</v>
      </c>
      <c r="DI95" s="239">
        <v>0</v>
      </c>
      <c r="DJ95" s="239">
        <v>-105662</v>
      </c>
      <c r="DK95" s="239">
        <v>0</v>
      </c>
      <c r="DL95" s="239">
        <v>-105662</v>
      </c>
      <c r="DM95" s="239">
        <v>0</v>
      </c>
      <c r="DN95" s="239">
        <v>0</v>
      </c>
      <c r="DO95" s="239">
        <v>0</v>
      </c>
      <c r="DP95" s="239">
        <v>0</v>
      </c>
      <c r="DQ95" s="239">
        <v>0</v>
      </c>
      <c r="DR95" s="239">
        <v>0</v>
      </c>
      <c r="DS95" s="239">
        <v>-6918</v>
      </c>
      <c r="DT95" s="239">
        <v>0</v>
      </c>
      <c r="DU95" s="239">
        <v>-6918</v>
      </c>
      <c r="DV95" s="239">
        <v>-3798</v>
      </c>
      <c r="DW95" s="239">
        <v>0</v>
      </c>
      <c r="DX95" s="239">
        <v>-3798</v>
      </c>
      <c r="DY95" s="239">
        <v>0</v>
      </c>
      <c r="DZ95" s="239">
        <v>0</v>
      </c>
      <c r="EA95" s="239">
        <v>0</v>
      </c>
      <c r="EB95" s="239">
        <v>-20705</v>
      </c>
      <c r="EC95" s="239">
        <v>0</v>
      </c>
      <c r="ED95" s="239">
        <v>-20705</v>
      </c>
      <c r="EE95" s="239">
        <v>0</v>
      </c>
      <c r="EF95" s="239">
        <v>0</v>
      </c>
      <c r="EG95" s="239">
        <v>0</v>
      </c>
      <c r="EH95" s="239">
        <v>0</v>
      </c>
      <c r="EI95" s="239">
        <v>0</v>
      </c>
      <c r="EJ95" s="239">
        <v>0</v>
      </c>
      <c r="EK95" s="239">
        <v>0</v>
      </c>
      <c r="EL95" s="239">
        <v>0</v>
      </c>
      <c r="EM95" s="239">
        <v>0</v>
      </c>
      <c r="EN95" s="239">
        <v>0</v>
      </c>
      <c r="EO95" s="239">
        <v>0</v>
      </c>
      <c r="EP95" s="239">
        <v>0</v>
      </c>
      <c r="EQ95" s="239">
        <v>-31421</v>
      </c>
      <c r="ER95" s="239">
        <v>0</v>
      </c>
      <c r="ES95" s="239">
        <v>-31421</v>
      </c>
      <c r="ET95" s="239">
        <v>0</v>
      </c>
      <c r="EU95" s="239">
        <v>0</v>
      </c>
      <c r="EV95" s="239">
        <v>0</v>
      </c>
      <c r="EW95" s="239">
        <v>0</v>
      </c>
      <c r="EX95" s="239">
        <v>0</v>
      </c>
      <c r="EY95" s="239">
        <v>0</v>
      </c>
      <c r="EZ95" s="239">
        <v>0</v>
      </c>
      <c r="FA95" s="239">
        <v>0</v>
      </c>
      <c r="FB95" s="239">
        <v>0</v>
      </c>
      <c r="FC95" s="239">
        <v>63022458</v>
      </c>
      <c r="FD95" s="239">
        <v>0</v>
      </c>
      <c r="FE95" s="239">
        <v>63022458</v>
      </c>
      <c r="FF95" s="239">
        <v>179893</v>
      </c>
      <c r="FG95" s="239">
        <v>0</v>
      </c>
      <c r="FH95" s="239">
        <v>179893</v>
      </c>
      <c r="FI95" s="239">
        <v>-3444488</v>
      </c>
      <c r="FJ95" s="239">
        <v>0</v>
      </c>
      <c r="FK95" s="239">
        <v>-3444488</v>
      </c>
      <c r="FL95" s="239">
        <v>-2219850</v>
      </c>
      <c r="FM95" s="239">
        <v>0</v>
      </c>
      <c r="FN95" s="239">
        <v>-2219850</v>
      </c>
      <c r="FO95" s="239">
        <v>-105662</v>
      </c>
      <c r="FP95" s="239">
        <v>0</v>
      </c>
      <c r="FQ95" s="239">
        <v>-105662</v>
      </c>
      <c r="FR95" s="239">
        <v>-31421</v>
      </c>
      <c r="FS95" s="239">
        <v>0</v>
      </c>
      <c r="FT95" s="239">
        <v>-31421</v>
      </c>
      <c r="FU95" s="239">
        <v>0</v>
      </c>
      <c r="FV95" s="239">
        <v>0</v>
      </c>
      <c r="FW95" s="239">
        <v>0</v>
      </c>
      <c r="FX95" s="239">
        <v>-5621528</v>
      </c>
      <c r="FY95" s="239">
        <v>0</v>
      </c>
      <c r="FZ95" s="239">
        <v>-5621528</v>
      </c>
      <c r="GA95" s="239">
        <v>57400930</v>
      </c>
      <c r="GB95" s="239">
        <v>0</v>
      </c>
      <c r="GC95" s="239">
        <v>57400930</v>
      </c>
      <c r="GD95" s="214" t="s">
        <v>1190</v>
      </c>
    </row>
    <row r="96" spans="2:186" s="214" customFormat="1" x14ac:dyDescent="0.2">
      <c r="B96" s="609" t="s">
        <v>274</v>
      </c>
      <c r="C96" s="609" t="s">
        <v>273</v>
      </c>
      <c r="D96" s="239">
        <v>0</v>
      </c>
      <c r="E96" s="239">
        <v>0</v>
      </c>
      <c r="F96" s="239">
        <v>0</v>
      </c>
      <c r="G96" s="239">
        <v>90027</v>
      </c>
      <c r="H96" s="239">
        <v>0</v>
      </c>
      <c r="I96" s="239">
        <v>90027</v>
      </c>
      <c r="J96" s="239">
        <v>0</v>
      </c>
      <c r="K96" s="239">
        <v>0</v>
      </c>
      <c r="L96" s="239">
        <v>0</v>
      </c>
      <c r="M96" s="239">
        <v>117811</v>
      </c>
      <c r="N96" s="239">
        <v>0</v>
      </c>
      <c r="O96" s="239">
        <v>117811</v>
      </c>
      <c r="P96" s="239">
        <v>207838</v>
      </c>
      <c r="Q96" s="239">
        <v>0</v>
      </c>
      <c r="R96" s="239">
        <v>207838</v>
      </c>
      <c r="S96" s="239">
        <v>-2120638</v>
      </c>
      <c r="T96" s="239">
        <v>0</v>
      </c>
      <c r="U96" s="239">
        <v>-2120638</v>
      </c>
      <c r="V96" s="239">
        <v>0</v>
      </c>
      <c r="W96" s="239">
        <v>0</v>
      </c>
      <c r="X96" s="239">
        <v>0</v>
      </c>
      <c r="Y96" s="239">
        <v>-105415</v>
      </c>
      <c r="Z96" s="239">
        <v>0</v>
      </c>
      <c r="AA96" s="239">
        <v>-105415</v>
      </c>
      <c r="AB96" s="239">
        <v>0</v>
      </c>
      <c r="AC96" s="239">
        <v>0</v>
      </c>
      <c r="AD96" s="239">
        <v>0</v>
      </c>
      <c r="AE96" s="239">
        <v>0</v>
      </c>
      <c r="AF96" s="239">
        <v>0</v>
      </c>
      <c r="AG96" s="239">
        <v>0</v>
      </c>
      <c r="AH96" s="239">
        <v>916833</v>
      </c>
      <c r="AI96" s="239">
        <v>0</v>
      </c>
      <c r="AJ96" s="239">
        <v>916833</v>
      </c>
      <c r="AK96" s="239">
        <v>-39712</v>
      </c>
      <c r="AL96" s="239">
        <v>0</v>
      </c>
      <c r="AM96" s="239">
        <v>-39712</v>
      </c>
      <c r="AN96" s="239">
        <v>-2922345</v>
      </c>
      <c r="AO96" s="239">
        <v>0</v>
      </c>
      <c r="AP96" s="239">
        <v>-2922345</v>
      </c>
      <c r="AQ96" s="239">
        <v>-257650</v>
      </c>
      <c r="AR96" s="239">
        <v>0</v>
      </c>
      <c r="AS96" s="239">
        <v>-257650</v>
      </c>
      <c r="AT96" s="239">
        <v>-121318</v>
      </c>
      <c r="AU96" s="239">
        <v>0</v>
      </c>
      <c r="AV96" s="239">
        <v>-121318</v>
      </c>
      <c r="AW96" s="239">
        <v>-9022</v>
      </c>
      <c r="AX96" s="239">
        <v>0</v>
      </c>
      <c r="AY96" s="239">
        <v>-9022</v>
      </c>
      <c r="AZ96" s="239">
        <v>0</v>
      </c>
      <c r="BA96" s="239">
        <v>0</v>
      </c>
      <c r="BB96" s="239">
        <v>0</v>
      </c>
      <c r="BC96" s="239">
        <v>0</v>
      </c>
      <c r="BD96" s="239">
        <v>0</v>
      </c>
      <c r="BE96" s="239">
        <v>0</v>
      </c>
      <c r="BF96" s="239">
        <v>-4659267</v>
      </c>
      <c r="BG96" s="239">
        <v>0</v>
      </c>
      <c r="BH96" s="239">
        <v>-4659267</v>
      </c>
      <c r="BI96" s="239">
        <v>0</v>
      </c>
      <c r="BJ96" s="239">
        <v>0</v>
      </c>
      <c r="BK96" s="239">
        <v>0</v>
      </c>
      <c r="BL96" s="239">
        <v>139</v>
      </c>
      <c r="BM96" s="239">
        <v>0</v>
      </c>
      <c r="BN96" s="239">
        <v>139</v>
      </c>
      <c r="BO96" s="239">
        <v>-827799</v>
      </c>
      <c r="BP96" s="239">
        <v>0</v>
      </c>
      <c r="BQ96" s="239">
        <v>-827799</v>
      </c>
      <c r="BR96" s="239">
        <v>-69688</v>
      </c>
      <c r="BS96" s="239">
        <v>0</v>
      </c>
      <c r="BT96" s="239">
        <v>-69688</v>
      </c>
      <c r="BU96" s="239">
        <v>-897348</v>
      </c>
      <c r="BV96" s="239">
        <v>0</v>
      </c>
      <c r="BW96" s="239">
        <v>-897348</v>
      </c>
      <c r="BX96" s="239">
        <v>-49495</v>
      </c>
      <c r="BY96" s="239">
        <v>0</v>
      </c>
      <c r="BZ96" s="239">
        <v>-49495</v>
      </c>
      <c r="CA96" s="239">
        <v>845</v>
      </c>
      <c r="CB96" s="239">
        <v>0</v>
      </c>
      <c r="CC96" s="239">
        <v>845</v>
      </c>
      <c r="CD96" s="239">
        <v>-38989</v>
      </c>
      <c r="CE96" s="239">
        <v>0</v>
      </c>
      <c r="CF96" s="239">
        <v>-38989</v>
      </c>
      <c r="CG96" s="239">
        <v>-26640</v>
      </c>
      <c r="CH96" s="239">
        <v>0</v>
      </c>
      <c r="CI96" s="239">
        <v>-26640</v>
      </c>
      <c r="CJ96" s="239">
        <v>0</v>
      </c>
      <c r="CK96" s="239">
        <v>0</v>
      </c>
      <c r="CL96" s="239">
        <v>0</v>
      </c>
      <c r="CM96" s="239">
        <v>0</v>
      </c>
      <c r="CN96" s="239">
        <v>0</v>
      </c>
      <c r="CO96" s="239">
        <v>0</v>
      </c>
      <c r="CP96" s="239">
        <v>0</v>
      </c>
      <c r="CQ96" s="239">
        <v>0</v>
      </c>
      <c r="CR96" s="239">
        <v>0</v>
      </c>
      <c r="CS96" s="239">
        <v>0</v>
      </c>
      <c r="CT96" s="239">
        <v>0</v>
      </c>
      <c r="CU96" s="239">
        <v>0</v>
      </c>
      <c r="CV96" s="239">
        <v>0</v>
      </c>
      <c r="CW96" s="239">
        <v>0</v>
      </c>
      <c r="CX96" s="239">
        <v>0</v>
      </c>
      <c r="CY96" s="239">
        <v>0</v>
      </c>
      <c r="CZ96" s="239">
        <v>0</v>
      </c>
      <c r="DA96" s="239">
        <v>0</v>
      </c>
      <c r="DB96" s="239">
        <v>0</v>
      </c>
      <c r="DC96" s="239">
        <v>0</v>
      </c>
      <c r="DD96" s="239">
        <v>0</v>
      </c>
      <c r="DE96" s="239">
        <v>0</v>
      </c>
      <c r="DF96" s="239">
        <v>0</v>
      </c>
      <c r="DG96" s="239">
        <v>0</v>
      </c>
      <c r="DH96" s="239">
        <v>0</v>
      </c>
      <c r="DI96" s="239">
        <v>0</v>
      </c>
      <c r="DJ96" s="239">
        <v>-114279</v>
      </c>
      <c r="DK96" s="239">
        <v>0</v>
      </c>
      <c r="DL96" s="239">
        <v>-114279</v>
      </c>
      <c r="DM96" s="239">
        <v>0</v>
      </c>
      <c r="DN96" s="239">
        <v>0</v>
      </c>
      <c r="DO96" s="239">
        <v>0</v>
      </c>
      <c r="DP96" s="239">
        <v>0</v>
      </c>
      <c r="DQ96" s="239">
        <v>0</v>
      </c>
      <c r="DR96" s="239">
        <v>0</v>
      </c>
      <c r="DS96" s="239">
        <v>-4326</v>
      </c>
      <c r="DT96" s="239">
        <v>0</v>
      </c>
      <c r="DU96" s="239">
        <v>-4326</v>
      </c>
      <c r="DV96" s="239">
        <v>1512</v>
      </c>
      <c r="DW96" s="239">
        <v>0</v>
      </c>
      <c r="DX96" s="239">
        <v>1512</v>
      </c>
      <c r="DY96" s="239">
        <v>0</v>
      </c>
      <c r="DZ96" s="239">
        <v>0</v>
      </c>
      <c r="EA96" s="239">
        <v>0</v>
      </c>
      <c r="EB96" s="239">
        <v>-27100</v>
      </c>
      <c r="EC96" s="239">
        <v>0</v>
      </c>
      <c r="ED96" s="239">
        <v>-27100</v>
      </c>
      <c r="EE96" s="239">
        <v>0</v>
      </c>
      <c r="EF96" s="239">
        <v>0</v>
      </c>
      <c r="EG96" s="239">
        <v>0</v>
      </c>
      <c r="EH96" s="239">
        <v>0</v>
      </c>
      <c r="EI96" s="239">
        <v>0</v>
      </c>
      <c r="EJ96" s="239">
        <v>0</v>
      </c>
      <c r="EK96" s="239">
        <v>-10645</v>
      </c>
      <c r="EL96" s="239">
        <v>0</v>
      </c>
      <c r="EM96" s="239">
        <v>-10645</v>
      </c>
      <c r="EN96" s="239">
        <v>456</v>
      </c>
      <c r="EO96" s="239">
        <v>0</v>
      </c>
      <c r="EP96" s="239">
        <v>456</v>
      </c>
      <c r="EQ96" s="239">
        <v>-40103</v>
      </c>
      <c r="ER96" s="239">
        <v>0</v>
      </c>
      <c r="ES96" s="239">
        <v>-40103</v>
      </c>
      <c r="ET96" s="239">
        <v>-5208</v>
      </c>
      <c r="EU96" s="239">
        <v>0</v>
      </c>
      <c r="EV96" s="239">
        <v>-5208</v>
      </c>
      <c r="EW96" s="239">
        <v>0</v>
      </c>
      <c r="EX96" s="239">
        <v>0</v>
      </c>
      <c r="EY96" s="239">
        <v>0</v>
      </c>
      <c r="EZ96" s="239">
        <v>-5208</v>
      </c>
      <c r="FA96" s="239">
        <v>0</v>
      </c>
      <c r="FB96" s="239">
        <v>-5208</v>
      </c>
      <c r="FC96" s="239">
        <v>38153613</v>
      </c>
      <c r="FD96" s="239">
        <v>0</v>
      </c>
      <c r="FE96" s="239">
        <v>38153613</v>
      </c>
      <c r="FF96" s="239">
        <v>207838</v>
      </c>
      <c r="FG96" s="239">
        <v>0</v>
      </c>
      <c r="FH96" s="239">
        <v>207838</v>
      </c>
      <c r="FI96" s="239">
        <v>-4659267</v>
      </c>
      <c r="FJ96" s="239">
        <v>0</v>
      </c>
      <c r="FK96" s="239">
        <v>-4659267</v>
      </c>
      <c r="FL96" s="239">
        <v>-897348</v>
      </c>
      <c r="FM96" s="239">
        <v>0</v>
      </c>
      <c r="FN96" s="239">
        <v>-897348</v>
      </c>
      <c r="FO96" s="239">
        <v>-114279</v>
      </c>
      <c r="FP96" s="239">
        <v>0</v>
      </c>
      <c r="FQ96" s="239">
        <v>-114279</v>
      </c>
      <c r="FR96" s="239">
        <v>-40103</v>
      </c>
      <c r="FS96" s="239">
        <v>0</v>
      </c>
      <c r="FT96" s="239">
        <v>-40103</v>
      </c>
      <c r="FU96" s="239">
        <v>-5208</v>
      </c>
      <c r="FV96" s="239">
        <v>0</v>
      </c>
      <c r="FW96" s="239">
        <v>-5208</v>
      </c>
      <c r="FX96" s="239">
        <v>-5508367</v>
      </c>
      <c r="FY96" s="239">
        <v>0</v>
      </c>
      <c r="FZ96" s="239">
        <v>-5508367</v>
      </c>
      <c r="GA96" s="239">
        <v>32645246</v>
      </c>
      <c r="GB96" s="239">
        <v>0</v>
      </c>
      <c r="GC96" s="239">
        <v>32645246</v>
      </c>
      <c r="GD96" s="214" t="s">
        <v>1190</v>
      </c>
    </row>
    <row r="97" spans="1:186" s="214" customFormat="1" x14ac:dyDescent="0.2">
      <c r="A97" s="215" t="s">
        <v>1211</v>
      </c>
      <c r="B97" s="609" t="s">
        <v>276</v>
      </c>
      <c r="C97" s="609" t="s">
        <v>275</v>
      </c>
      <c r="D97" s="239">
        <v>0</v>
      </c>
      <c r="E97" s="239">
        <v>0</v>
      </c>
      <c r="F97" s="239">
        <v>0</v>
      </c>
      <c r="G97" s="239">
        <v>267519</v>
      </c>
      <c r="H97" s="239">
        <v>0</v>
      </c>
      <c r="I97" s="239">
        <v>267519</v>
      </c>
      <c r="J97" s="239">
        <v>0</v>
      </c>
      <c r="K97" s="239">
        <v>0</v>
      </c>
      <c r="L97" s="239">
        <v>0</v>
      </c>
      <c r="M97" s="239">
        <v>14918</v>
      </c>
      <c r="N97" s="239">
        <v>0</v>
      </c>
      <c r="O97" s="239">
        <v>14918</v>
      </c>
      <c r="P97" s="239">
        <v>282437</v>
      </c>
      <c r="Q97" s="239">
        <v>0</v>
      </c>
      <c r="R97" s="239">
        <v>282437</v>
      </c>
      <c r="S97" s="239">
        <v>-1767835</v>
      </c>
      <c r="T97" s="239">
        <v>0</v>
      </c>
      <c r="U97" s="239">
        <v>-1767835</v>
      </c>
      <c r="V97" s="239">
        <v>-2799.75</v>
      </c>
      <c r="W97" s="239">
        <v>0</v>
      </c>
      <c r="X97" s="239">
        <v>-2799.75</v>
      </c>
      <c r="Y97" s="239">
        <v>-109265.61</v>
      </c>
      <c r="Z97" s="239">
        <v>0</v>
      </c>
      <c r="AA97" s="239">
        <v>-109265.61</v>
      </c>
      <c r="AB97" s="239">
        <v>0</v>
      </c>
      <c r="AC97" s="239">
        <v>0</v>
      </c>
      <c r="AD97" s="239">
        <v>0</v>
      </c>
      <c r="AE97" s="239">
        <v>0</v>
      </c>
      <c r="AF97" s="239">
        <v>0</v>
      </c>
      <c r="AG97" s="239">
        <v>0</v>
      </c>
      <c r="AH97" s="239">
        <v>1571401</v>
      </c>
      <c r="AI97" s="239">
        <v>0</v>
      </c>
      <c r="AJ97" s="239">
        <v>1571401</v>
      </c>
      <c r="AK97" s="239">
        <v>-37089</v>
      </c>
      <c r="AL97" s="239">
        <v>0</v>
      </c>
      <c r="AM97" s="239">
        <v>-37089</v>
      </c>
      <c r="AN97" s="239">
        <v>-2199995</v>
      </c>
      <c r="AO97" s="239">
        <v>0</v>
      </c>
      <c r="AP97" s="239">
        <v>-2199995</v>
      </c>
      <c r="AQ97" s="239">
        <v>9334</v>
      </c>
      <c r="AR97" s="239">
        <v>0</v>
      </c>
      <c r="AS97" s="239">
        <v>9334</v>
      </c>
      <c r="AT97" s="239">
        <v>0</v>
      </c>
      <c r="AU97" s="239">
        <v>0</v>
      </c>
      <c r="AV97" s="239">
        <v>0</v>
      </c>
      <c r="AW97" s="239">
        <v>0</v>
      </c>
      <c r="AX97" s="239">
        <v>0</v>
      </c>
      <c r="AY97" s="239">
        <v>0</v>
      </c>
      <c r="AZ97" s="239">
        <v>0</v>
      </c>
      <c r="BA97" s="239">
        <v>0</v>
      </c>
      <c r="BB97" s="239">
        <v>0</v>
      </c>
      <c r="BC97" s="239">
        <v>0</v>
      </c>
      <c r="BD97" s="239">
        <v>0</v>
      </c>
      <c r="BE97" s="239">
        <v>0</v>
      </c>
      <c r="BF97" s="239">
        <v>-2533450</v>
      </c>
      <c r="BG97" s="239">
        <v>0</v>
      </c>
      <c r="BH97" s="239">
        <v>-2533450</v>
      </c>
      <c r="BI97" s="239">
        <v>-3830</v>
      </c>
      <c r="BJ97" s="239">
        <v>0</v>
      </c>
      <c r="BK97" s="239">
        <v>-3830</v>
      </c>
      <c r="BL97" s="239">
        <v>0</v>
      </c>
      <c r="BM97" s="239">
        <v>0</v>
      </c>
      <c r="BN97" s="239">
        <v>0</v>
      </c>
      <c r="BO97" s="239">
        <v>-983077</v>
      </c>
      <c r="BP97" s="239">
        <v>0</v>
      </c>
      <c r="BQ97" s="239">
        <v>-983077</v>
      </c>
      <c r="BR97" s="239">
        <v>63076.03</v>
      </c>
      <c r="BS97" s="239">
        <v>0</v>
      </c>
      <c r="BT97" s="239">
        <v>63076.03</v>
      </c>
      <c r="BU97" s="239">
        <v>-923831</v>
      </c>
      <c r="BV97" s="239">
        <v>0</v>
      </c>
      <c r="BW97" s="239">
        <v>-923831</v>
      </c>
      <c r="BX97" s="239">
        <v>-47954</v>
      </c>
      <c r="BY97" s="239">
        <v>0</v>
      </c>
      <c r="BZ97" s="239">
        <v>-47954</v>
      </c>
      <c r="CA97" s="239">
        <v>-25</v>
      </c>
      <c r="CB97" s="239">
        <v>0</v>
      </c>
      <c r="CC97" s="239">
        <v>-25</v>
      </c>
      <c r="CD97" s="239">
        <v>-135184</v>
      </c>
      <c r="CE97" s="239">
        <v>0</v>
      </c>
      <c r="CF97" s="239">
        <v>-135184</v>
      </c>
      <c r="CG97" s="239">
        <v>0</v>
      </c>
      <c r="CH97" s="239">
        <v>0</v>
      </c>
      <c r="CI97" s="239">
        <v>0</v>
      </c>
      <c r="CJ97" s="239">
        <v>0</v>
      </c>
      <c r="CK97" s="239">
        <v>0</v>
      </c>
      <c r="CL97" s="239">
        <v>0</v>
      </c>
      <c r="CM97" s="239">
        <v>0</v>
      </c>
      <c r="CN97" s="239">
        <v>0</v>
      </c>
      <c r="CO97" s="239">
        <v>0</v>
      </c>
      <c r="CP97" s="239">
        <v>0</v>
      </c>
      <c r="CQ97" s="239">
        <v>0</v>
      </c>
      <c r="CR97" s="239">
        <v>0</v>
      </c>
      <c r="CS97" s="239">
        <v>0</v>
      </c>
      <c r="CT97" s="239">
        <v>0</v>
      </c>
      <c r="CU97" s="239">
        <v>0</v>
      </c>
      <c r="CV97" s="239">
        <v>0</v>
      </c>
      <c r="CW97" s="239">
        <v>0</v>
      </c>
      <c r="CX97" s="239">
        <v>0</v>
      </c>
      <c r="CY97" s="239">
        <v>0</v>
      </c>
      <c r="CZ97" s="239">
        <v>0</v>
      </c>
      <c r="DA97" s="239">
        <v>0</v>
      </c>
      <c r="DB97" s="239">
        <v>0</v>
      </c>
      <c r="DC97" s="239">
        <v>0</v>
      </c>
      <c r="DD97" s="239">
        <v>0</v>
      </c>
      <c r="DE97" s="239">
        <v>0</v>
      </c>
      <c r="DF97" s="239">
        <v>0</v>
      </c>
      <c r="DG97" s="239">
        <v>0</v>
      </c>
      <c r="DH97" s="239">
        <v>0</v>
      </c>
      <c r="DI97" s="239">
        <v>0</v>
      </c>
      <c r="DJ97" s="239">
        <v>-183163</v>
      </c>
      <c r="DK97" s="239">
        <v>0</v>
      </c>
      <c r="DL97" s="239">
        <v>-183163</v>
      </c>
      <c r="DM97" s="239">
        <v>0</v>
      </c>
      <c r="DN97" s="239">
        <v>0</v>
      </c>
      <c r="DO97" s="239">
        <v>0</v>
      </c>
      <c r="DP97" s="239">
        <v>0</v>
      </c>
      <c r="DQ97" s="239">
        <v>0</v>
      </c>
      <c r="DR97" s="239">
        <v>0</v>
      </c>
      <c r="DS97" s="239">
        <v>-3933</v>
      </c>
      <c r="DT97" s="239">
        <v>0</v>
      </c>
      <c r="DU97" s="239">
        <v>-3933</v>
      </c>
      <c r="DV97" s="239">
        <v>0</v>
      </c>
      <c r="DW97" s="239">
        <v>0</v>
      </c>
      <c r="DX97" s="239">
        <v>0</v>
      </c>
      <c r="DY97" s="239">
        <v>0</v>
      </c>
      <c r="DZ97" s="239">
        <v>0</v>
      </c>
      <c r="EA97" s="239">
        <v>0</v>
      </c>
      <c r="EB97" s="239">
        <v>630</v>
      </c>
      <c r="EC97" s="239">
        <v>0</v>
      </c>
      <c r="ED97" s="239">
        <v>630</v>
      </c>
      <c r="EE97" s="239">
        <v>0</v>
      </c>
      <c r="EF97" s="239">
        <v>0</v>
      </c>
      <c r="EG97" s="239">
        <v>0</v>
      </c>
      <c r="EH97" s="239">
        <v>0</v>
      </c>
      <c r="EI97" s="239">
        <v>0</v>
      </c>
      <c r="EJ97" s="239">
        <v>0</v>
      </c>
      <c r="EK97" s="239">
        <v>-800</v>
      </c>
      <c r="EL97" s="239">
        <v>0</v>
      </c>
      <c r="EM97" s="239">
        <v>-800</v>
      </c>
      <c r="EN97" s="239">
        <v>4</v>
      </c>
      <c r="EO97" s="239">
        <v>0</v>
      </c>
      <c r="EP97" s="239">
        <v>4</v>
      </c>
      <c r="EQ97" s="239">
        <v>-4099</v>
      </c>
      <c r="ER97" s="239">
        <v>0</v>
      </c>
      <c r="ES97" s="239">
        <v>-4099</v>
      </c>
      <c r="ET97" s="239">
        <v>0</v>
      </c>
      <c r="EU97" s="239">
        <v>0</v>
      </c>
      <c r="EV97" s="239">
        <v>0</v>
      </c>
      <c r="EW97" s="239">
        <v>0</v>
      </c>
      <c r="EX97" s="239">
        <v>0</v>
      </c>
      <c r="EY97" s="239">
        <v>0</v>
      </c>
      <c r="EZ97" s="239">
        <v>0</v>
      </c>
      <c r="FA97" s="239">
        <v>0</v>
      </c>
      <c r="FB97" s="239">
        <v>0</v>
      </c>
      <c r="FC97" s="239">
        <v>62895824</v>
      </c>
      <c r="FD97" s="239">
        <v>0</v>
      </c>
      <c r="FE97" s="239">
        <v>62895824</v>
      </c>
      <c r="FF97" s="239">
        <v>282437</v>
      </c>
      <c r="FG97" s="239">
        <v>0</v>
      </c>
      <c r="FH97" s="239">
        <v>282437</v>
      </c>
      <c r="FI97" s="239">
        <v>-2533450</v>
      </c>
      <c r="FJ97" s="239">
        <v>0</v>
      </c>
      <c r="FK97" s="239">
        <v>-2533450</v>
      </c>
      <c r="FL97" s="239">
        <v>-923831</v>
      </c>
      <c r="FM97" s="239">
        <v>0</v>
      </c>
      <c r="FN97" s="239">
        <v>-923831</v>
      </c>
      <c r="FO97" s="239">
        <v>-183163</v>
      </c>
      <c r="FP97" s="239">
        <v>0</v>
      </c>
      <c r="FQ97" s="239">
        <v>-183163</v>
      </c>
      <c r="FR97" s="239">
        <v>-4099</v>
      </c>
      <c r="FS97" s="239">
        <v>0</v>
      </c>
      <c r="FT97" s="239">
        <v>-4099</v>
      </c>
      <c r="FU97" s="239">
        <v>0</v>
      </c>
      <c r="FV97" s="239">
        <v>0</v>
      </c>
      <c r="FW97" s="239">
        <v>0</v>
      </c>
      <c r="FX97" s="239">
        <v>-3362106</v>
      </c>
      <c r="FY97" s="239">
        <v>0</v>
      </c>
      <c r="FZ97" s="239">
        <v>-3362106</v>
      </c>
      <c r="GA97" s="239">
        <v>59533718</v>
      </c>
      <c r="GB97" s="239">
        <v>0</v>
      </c>
      <c r="GC97" s="239">
        <v>59533718</v>
      </c>
      <c r="GD97" s="214" t="s">
        <v>1190</v>
      </c>
    </row>
    <row r="98" spans="1:186" s="214" customFormat="1" x14ac:dyDescent="0.2">
      <c r="B98" s="609" t="s">
        <v>278</v>
      </c>
      <c r="C98" s="609" t="s">
        <v>277</v>
      </c>
      <c r="D98" s="239">
        <v>0</v>
      </c>
      <c r="E98" s="239">
        <v>0</v>
      </c>
      <c r="F98" s="239">
        <v>0</v>
      </c>
      <c r="G98" s="239">
        <v>55436</v>
      </c>
      <c r="H98" s="239">
        <v>0</v>
      </c>
      <c r="I98" s="239">
        <v>55436</v>
      </c>
      <c r="J98" s="239">
        <v>0</v>
      </c>
      <c r="K98" s="239">
        <v>0</v>
      </c>
      <c r="L98" s="239">
        <v>0</v>
      </c>
      <c r="M98" s="239">
        <v>56011</v>
      </c>
      <c r="N98" s="239">
        <v>0</v>
      </c>
      <c r="O98" s="239">
        <v>56011</v>
      </c>
      <c r="P98" s="239">
        <v>111447</v>
      </c>
      <c r="Q98" s="239">
        <v>0</v>
      </c>
      <c r="R98" s="239">
        <v>111447</v>
      </c>
      <c r="S98" s="239">
        <v>-2341524</v>
      </c>
      <c r="T98" s="239">
        <v>0</v>
      </c>
      <c r="U98" s="239">
        <v>-2341524</v>
      </c>
      <c r="V98" s="239">
        <v>0</v>
      </c>
      <c r="W98" s="239">
        <v>0</v>
      </c>
      <c r="X98" s="239">
        <v>0</v>
      </c>
      <c r="Y98" s="239">
        <v>-259340</v>
      </c>
      <c r="Z98" s="239">
        <v>0</v>
      </c>
      <c r="AA98" s="239">
        <v>-259340</v>
      </c>
      <c r="AB98" s="239">
        <v>-259340</v>
      </c>
      <c r="AC98" s="239">
        <v>0</v>
      </c>
      <c r="AD98" s="239">
        <v>-259340</v>
      </c>
      <c r="AE98" s="239">
        <v>0</v>
      </c>
      <c r="AF98" s="239">
        <v>0</v>
      </c>
      <c r="AG98" s="239">
        <v>0</v>
      </c>
      <c r="AH98" s="239">
        <v>531030</v>
      </c>
      <c r="AI98" s="239">
        <v>0</v>
      </c>
      <c r="AJ98" s="239">
        <v>531030</v>
      </c>
      <c r="AK98" s="239">
        <v>-62837</v>
      </c>
      <c r="AL98" s="239">
        <v>0</v>
      </c>
      <c r="AM98" s="239">
        <v>-62837</v>
      </c>
      <c r="AN98" s="239">
        <v>-1313659</v>
      </c>
      <c r="AO98" s="239">
        <v>0</v>
      </c>
      <c r="AP98" s="239">
        <v>-1313659</v>
      </c>
      <c r="AQ98" s="239">
        <v>8761</v>
      </c>
      <c r="AR98" s="239">
        <v>0</v>
      </c>
      <c r="AS98" s="239">
        <v>8761</v>
      </c>
      <c r="AT98" s="239">
        <v>-79384</v>
      </c>
      <c r="AU98" s="239">
        <v>0</v>
      </c>
      <c r="AV98" s="239">
        <v>-79384</v>
      </c>
      <c r="AW98" s="239">
        <v>-413</v>
      </c>
      <c r="AX98" s="239">
        <v>0</v>
      </c>
      <c r="AY98" s="239">
        <v>-413</v>
      </c>
      <c r="AZ98" s="239">
        <v>-70770</v>
      </c>
      <c r="BA98" s="239">
        <v>0</v>
      </c>
      <c r="BB98" s="239">
        <v>-70770</v>
      </c>
      <c r="BC98" s="239">
        <v>-6901</v>
      </c>
      <c r="BD98" s="239">
        <v>0</v>
      </c>
      <c r="BE98" s="239">
        <v>-6901</v>
      </c>
      <c r="BF98" s="239">
        <v>-3595037</v>
      </c>
      <c r="BG98" s="239">
        <v>0</v>
      </c>
      <c r="BH98" s="239">
        <v>-3595037</v>
      </c>
      <c r="BI98" s="239">
        <v>0</v>
      </c>
      <c r="BJ98" s="239">
        <v>0</v>
      </c>
      <c r="BK98" s="239">
        <v>0</v>
      </c>
      <c r="BL98" s="239">
        <v>-11596</v>
      </c>
      <c r="BM98" s="239">
        <v>0</v>
      </c>
      <c r="BN98" s="239">
        <v>-11596</v>
      </c>
      <c r="BO98" s="239">
        <v>-544222</v>
      </c>
      <c r="BP98" s="239">
        <v>0</v>
      </c>
      <c r="BQ98" s="239">
        <v>-544222</v>
      </c>
      <c r="BR98" s="239">
        <v>59326</v>
      </c>
      <c r="BS98" s="239">
        <v>0</v>
      </c>
      <c r="BT98" s="239">
        <v>59326</v>
      </c>
      <c r="BU98" s="239">
        <v>-496492</v>
      </c>
      <c r="BV98" s="239">
        <v>0</v>
      </c>
      <c r="BW98" s="239">
        <v>-496492</v>
      </c>
      <c r="BX98" s="239">
        <v>-50559</v>
      </c>
      <c r="BY98" s="239">
        <v>0</v>
      </c>
      <c r="BZ98" s="239">
        <v>-50559</v>
      </c>
      <c r="CA98" s="239">
        <v>-5654</v>
      </c>
      <c r="CB98" s="239">
        <v>0</v>
      </c>
      <c r="CC98" s="239">
        <v>-5654</v>
      </c>
      <c r="CD98" s="239">
        <v>-35375</v>
      </c>
      <c r="CE98" s="239">
        <v>0</v>
      </c>
      <c r="CF98" s="239">
        <v>-35375</v>
      </c>
      <c r="CG98" s="239">
        <v>28708</v>
      </c>
      <c r="CH98" s="239">
        <v>0</v>
      </c>
      <c r="CI98" s="239">
        <v>28708</v>
      </c>
      <c r="CJ98" s="239">
        <v>-1558</v>
      </c>
      <c r="CK98" s="239">
        <v>0</v>
      </c>
      <c r="CL98" s="239">
        <v>-1558</v>
      </c>
      <c r="CM98" s="239">
        <v>0</v>
      </c>
      <c r="CN98" s="239">
        <v>0</v>
      </c>
      <c r="CO98" s="239">
        <v>0</v>
      </c>
      <c r="CP98" s="239">
        <v>-34305</v>
      </c>
      <c r="CQ98" s="239">
        <v>0</v>
      </c>
      <c r="CR98" s="239">
        <v>-34305</v>
      </c>
      <c r="CS98" s="239">
        <v>-1680</v>
      </c>
      <c r="CT98" s="239">
        <v>0</v>
      </c>
      <c r="CU98" s="239">
        <v>-1680</v>
      </c>
      <c r="CV98" s="239">
        <v>-3209</v>
      </c>
      <c r="CW98" s="239">
        <v>0</v>
      </c>
      <c r="CX98" s="239">
        <v>-3209</v>
      </c>
      <c r="CY98" s="239">
        <v>397</v>
      </c>
      <c r="CZ98" s="239">
        <v>0</v>
      </c>
      <c r="DA98" s="239">
        <v>397</v>
      </c>
      <c r="DB98" s="239">
        <v>0</v>
      </c>
      <c r="DC98" s="239">
        <v>0</v>
      </c>
      <c r="DD98" s="239">
        <v>0</v>
      </c>
      <c r="DE98" s="239">
        <v>0</v>
      </c>
      <c r="DF98" s="239">
        <v>0</v>
      </c>
      <c r="DG98" s="239">
        <v>0</v>
      </c>
      <c r="DH98" s="239">
        <v>0</v>
      </c>
      <c r="DI98" s="239">
        <v>0</v>
      </c>
      <c r="DJ98" s="239">
        <v>-103235</v>
      </c>
      <c r="DK98" s="239">
        <v>0</v>
      </c>
      <c r="DL98" s="239">
        <v>-103235</v>
      </c>
      <c r="DM98" s="239">
        <v>0</v>
      </c>
      <c r="DN98" s="239">
        <v>0</v>
      </c>
      <c r="DO98" s="239">
        <v>0</v>
      </c>
      <c r="DP98" s="239">
        <v>0</v>
      </c>
      <c r="DQ98" s="239">
        <v>0</v>
      </c>
      <c r="DR98" s="239">
        <v>0</v>
      </c>
      <c r="DS98" s="239">
        <v>-12235</v>
      </c>
      <c r="DT98" s="239">
        <v>0</v>
      </c>
      <c r="DU98" s="239">
        <v>-12235</v>
      </c>
      <c r="DV98" s="239">
        <v>-6912</v>
      </c>
      <c r="DW98" s="239">
        <v>0</v>
      </c>
      <c r="DX98" s="239">
        <v>-6912</v>
      </c>
      <c r="DY98" s="239">
        <v>0</v>
      </c>
      <c r="DZ98" s="239">
        <v>0</v>
      </c>
      <c r="EA98" s="239">
        <v>0</v>
      </c>
      <c r="EB98" s="239">
        <v>2903</v>
      </c>
      <c r="EC98" s="239">
        <v>0</v>
      </c>
      <c r="ED98" s="239">
        <v>2903</v>
      </c>
      <c r="EE98" s="239">
        <v>-47434</v>
      </c>
      <c r="EF98" s="239">
        <v>0</v>
      </c>
      <c r="EG98" s="239">
        <v>-47434</v>
      </c>
      <c r="EH98" s="239">
        <v>-17790</v>
      </c>
      <c r="EI98" s="239">
        <v>0</v>
      </c>
      <c r="EJ98" s="239">
        <v>-17790</v>
      </c>
      <c r="EK98" s="239">
        <v>-9108</v>
      </c>
      <c r="EL98" s="239">
        <v>0</v>
      </c>
      <c r="EM98" s="239">
        <v>-9108</v>
      </c>
      <c r="EN98" s="239">
        <v>1420</v>
      </c>
      <c r="EO98" s="239">
        <v>0</v>
      </c>
      <c r="EP98" s="239">
        <v>1420</v>
      </c>
      <c r="EQ98" s="239">
        <v>-89156</v>
      </c>
      <c r="ER98" s="239">
        <v>0</v>
      </c>
      <c r="ES98" s="239">
        <v>-89156</v>
      </c>
      <c r="ET98" s="239">
        <v>0</v>
      </c>
      <c r="EU98" s="239">
        <v>0</v>
      </c>
      <c r="EV98" s="239">
        <v>0</v>
      </c>
      <c r="EW98" s="239">
        <v>0</v>
      </c>
      <c r="EX98" s="239">
        <v>0</v>
      </c>
      <c r="EY98" s="239">
        <v>0</v>
      </c>
      <c r="EZ98" s="239">
        <v>0</v>
      </c>
      <c r="FA98" s="239">
        <v>0</v>
      </c>
      <c r="FB98" s="239">
        <v>0</v>
      </c>
      <c r="FC98" s="239">
        <v>22550865</v>
      </c>
      <c r="FD98" s="239">
        <v>0</v>
      </c>
      <c r="FE98" s="239">
        <v>22550865</v>
      </c>
      <c r="FF98" s="239">
        <v>111447</v>
      </c>
      <c r="FG98" s="239">
        <v>0</v>
      </c>
      <c r="FH98" s="239">
        <v>111447</v>
      </c>
      <c r="FI98" s="239">
        <v>-3595037</v>
      </c>
      <c r="FJ98" s="239">
        <v>0</v>
      </c>
      <c r="FK98" s="239">
        <v>-3595037</v>
      </c>
      <c r="FL98" s="239">
        <v>-496492</v>
      </c>
      <c r="FM98" s="239">
        <v>0</v>
      </c>
      <c r="FN98" s="239">
        <v>-496492</v>
      </c>
      <c r="FO98" s="239">
        <v>-103235</v>
      </c>
      <c r="FP98" s="239">
        <v>0</v>
      </c>
      <c r="FQ98" s="239">
        <v>-103235</v>
      </c>
      <c r="FR98" s="239">
        <v>-89156</v>
      </c>
      <c r="FS98" s="239">
        <v>0</v>
      </c>
      <c r="FT98" s="239">
        <v>-89156</v>
      </c>
      <c r="FU98" s="239">
        <v>0</v>
      </c>
      <c r="FV98" s="239">
        <v>0</v>
      </c>
      <c r="FW98" s="239">
        <v>0</v>
      </c>
      <c r="FX98" s="239">
        <v>-4172473</v>
      </c>
      <c r="FY98" s="239">
        <v>0</v>
      </c>
      <c r="FZ98" s="239">
        <v>-4172473</v>
      </c>
      <c r="GA98" s="239">
        <v>18378392</v>
      </c>
      <c r="GB98" s="239">
        <v>0</v>
      </c>
      <c r="GC98" s="239">
        <v>18378392</v>
      </c>
      <c r="GD98" s="214" t="s">
        <v>1190</v>
      </c>
    </row>
    <row r="99" spans="1:186" s="214" customFormat="1" x14ac:dyDescent="0.2">
      <c r="B99" s="609" t="s">
        <v>280</v>
      </c>
      <c r="C99" s="609" t="s">
        <v>279</v>
      </c>
      <c r="D99" s="239">
        <v>0</v>
      </c>
      <c r="E99" s="239">
        <v>0</v>
      </c>
      <c r="F99" s="239">
        <v>0</v>
      </c>
      <c r="G99" s="239">
        <v>-23884</v>
      </c>
      <c r="H99" s="239">
        <v>0</v>
      </c>
      <c r="I99" s="239">
        <v>-23884</v>
      </c>
      <c r="J99" s="239">
        <v>0</v>
      </c>
      <c r="K99" s="239">
        <v>0</v>
      </c>
      <c r="L99" s="239">
        <v>0</v>
      </c>
      <c r="M99" s="239">
        <v>-103922</v>
      </c>
      <c r="N99" s="239">
        <v>0</v>
      </c>
      <c r="O99" s="239">
        <v>-103922</v>
      </c>
      <c r="P99" s="239">
        <v>-127806</v>
      </c>
      <c r="Q99" s="239">
        <v>0</v>
      </c>
      <c r="R99" s="239">
        <v>-127806</v>
      </c>
      <c r="S99" s="239">
        <v>-2011536</v>
      </c>
      <c r="T99" s="239">
        <v>0</v>
      </c>
      <c r="U99" s="239">
        <v>-2011536</v>
      </c>
      <c r="V99" s="239">
        <v>-465</v>
      </c>
      <c r="W99" s="239">
        <v>0</v>
      </c>
      <c r="X99" s="239">
        <v>-465</v>
      </c>
      <c r="Y99" s="239">
        <v>-232488</v>
      </c>
      <c r="Z99" s="239">
        <v>0</v>
      </c>
      <c r="AA99" s="239">
        <v>-232488</v>
      </c>
      <c r="AB99" s="239">
        <v>-176506</v>
      </c>
      <c r="AC99" s="239">
        <v>0</v>
      </c>
      <c r="AD99" s="239">
        <v>-176506</v>
      </c>
      <c r="AE99" s="239">
        <v>0</v>
      </c>
      <c r="AF99" s="239">
        <v>0</v>
      </c>
      <c r="AG99" s="239">
        <v>0</v>
      </c>
      <c r="AH99" s="239">
        <v>1553160</v>
      </c>
      <c r="AI99" s="239">
        <v>0</v>
      </c>
      <c r="AJ99" s="239">
        <v>1553160</v>
      </c>
      <c r="AK99" s="239">
        <v>-9168</v>
      </c>
      <c r="AL99" s="239">
        <v>0</v>
      </c>
      <c r="AM99" s="239">
        <v>-9168</v>
      </c>
      <c r="AN99" s="239">
        <v>-3715716</v>
      </c>
      <c r="AO99" s="239">
        <v>0</v>
      </c>
      <c r="AP99" s="239">
        <v>-3715716</v>
      </c>
      <c r="AQ99" s="239">
        <v>-105420</v>
      </c>
      <c r="AR99" s="239">
        <v>0</v>
      </c>
      <c r="AS99" s="239">
        <v>-105420</v>
      </c>
      <c r="AT99" s="239">
        <v>-54312</v>
      </c>
      <c r="AU99" s="239">
        <v>0</v>
      </c>
      <c r="AV99" s="239">
        <v>-54312</v>
      </c>
      <c r="AW99" s="239">
        <v>0</v>
      </c>
      <c r="AX99" s="239">
        <v>0</v>
      </c>
      <c r="AY99" s="239">
        <v>0</v>
      </c>
      <c r="AZ99" s="239">
        <v>0</v>
      </c>
      <c r="BA99" s="239">
        <v>0</v>
      </c>
      <c r="BB99" s="239">
        <v>0</v>
      </c>
      <c r="BC99" s="239">
        <v>0</v>
      </c>
      <c r="BD99" s="239">
        <v>0</v>
      </c>
      <c r="BE99" s="239">
        <v>0</v>
      </c>
      <c r="BF99" s="239">
        <v>-4575480</v>
      </c>
      <c r="BG99" s="239">
        <v>0</v>
      </c>
      <c r="BH99" s="239">
        <v>-4575480</v>
      </c>
      <c r="BI99" s="239">
        <v>-128273</v>
      </c>
      <c r="BJ99" s="239">
        <v>0</v>
      </c>
      <c r="BK99" s="239">
        <v>-128273</v>
      </c>
      <c r="BL99" s="239">
        <v>-26501</v>
      </c>
      <c r="BM99" s="239">
        <v>0</v>
      </c>
      <c r="BN99" s="239">
        <v>-26501</v>
      </c>
      <c r="BO99" s="239">
        <v>-1774993</v>
      </c>
      <c r="BP99" s="239">
        <v>0</v>
      </c>
      <c r="BQ99" s="239">
        <v>-1774993</v>
      </c>
      <c r="BR99" s="239">
        <v>-134714</v>
      </c>
      <c r="BS99" s="239">
        <v>0</v>
      </c>
      <c r="BT99" s="239">
        <v>-134714</v>
      </c>
      <c r="BU99" s="239">
        <v>-2064481</v>
      </c>
      <c r="BV99" s="239">
        <v>0</v>
      </c>
      <c r="BW99" s="239">
        <v>-2064481</v>
      </c>
      <c r="BX99" s="239">
        <v>-107105</v>
      </c>
      <c r="BY99" s="239">
        <v>0</v>
      </c>
      <c r="BZ99" s="239">
        <v>-107105</v>
      </c>
      <c r="CA99" s="239">
        <v>0</v>
      </c>
      <c r="CB99" s="239">
        <v>0</v>
      </c>
      <c r="CC99" s="239">
        <v>0</v>
      </c>
      <c r="CD99" s="239">
        <v>-327149</v>
      </c>
      <c r="CE99" s="239">
        <v>0</v>
      </c>
      <c r="CF99" s="239">
        <v>-327149</v>
      </c>
      <c r="CG99" s="239">
        <v>0</v>
      </c>
      <c r="CH99" s="239">
        <v>0</v>
      </c>
      <c r="CI99" s="239">
        <v>0</v>
      </c>
      <c r="CJ99" s="239">
        <v>0</v>
      </c>
      <c r="CK99" s="239">
        <v>0</v>
      </c>
      <c r="CL99" s="239">
        <v>0</v>
      </c>
      <c r="CM99" s="239">
        <v>0</v>
      </c>
      <c r="CN99" s="239">
        <v>0</v>
      </c>
      <c r="CO99" s="239">
        <v>0</v>
      </c>
      <c r="CP99" s="239">
        <v>0</v>
      </c>
      <c r="CQ99" s="239">
        <v>0</v>
      </c>
      <c r="CR99" s="239">
        <v>0</v>
      </c>
      <c r="CS99" s="239">
        <v>0</v>
      </c>
      <c r="CT99" s="239">
        <v>0</v>
      </c>
      <c r="CU99" s="239">
        <v>0</v>
      </c>
      <c r="CV99" s="239">
        <v>0</v>
      </c>
      <c r="CW99" s="239">
        <v>0</v>
      </c>
      <c r="CX99" s="239">
        <v>0</v>
      </c>
      <c r="CY99" s="239">
        <v>0</v>
      </c>
      <c r="CZ99" s="239">
        <v>0</v>
      </c>
      <c r="DA99" s="239">
        <v>0</v>
      </c>
      <c r="DB99" s="239">
        <v>0</v>
      </c>
      <c r="DC99" s="239">
        <v>0</v>
      </c>
      <c r="DD99" s="239">
        <v>0</v>
      </c>
      <c r="DE99" s="239">
        <v>0</v>
      </c>
      <c r="DF99" s="239">
        <v>0</v>
      </c>
      <c r="DG99" s="239">
        <v>0</v>
      </c>
      <c r="DH99" s="239">
        <v>0</v>
      </c>
      <c r="DI99" s="239">
        <v>0</v>
      </c>
      <c r="DJ99" s="239">
        <v>-434254</v>
      </c>
      <c r="DK99" s="239">
        <v>0</v>
      </c>
      <c r="DL99" s="239">
        <v>-434254</v>
      </c>
      <c r="DM99" s="239">
        <v>0</v>
      </c>
      <c r="DN99" s="239">
        <v>0</v>
      </c>
      <c r="DO99" s="239">
        <v>0</v>
      </c>
      <c r="DP99" s="239">
        <v>461</v>
      </c>
      <c r="DQ99" s="239">
        <v>0</v>
      </c>
      <c r="DR99" s="239">
        <v>461</v>
      </c>
      <c r="DS99" s="239">
        <v>-15475</v>
      </c>
      <c r="DT99" s="239">
        <v>0</v>
      </c>
      <c r="DU99" s="239">
        <v>-15475</v>
      </c>
      <c r="DV99" s="239">
        <v>-2770</v>
      </c>
      <c r="DW99" s="239">
        <v>0</v>
      </c>
      <c r="DX99" s="239">
        <v>-2770</v>
      </c>
      <c r="DY99" s="239">
        <v>0</v>
      </c>
      <c r="DZ99" s="239">
        <v>0</v>
      </c>
      <c r="EA99" s="239">
        <v>0</v>
      </c>
      <c r="EB99" s="239">
        <v>1249</v>
      </c>
      <c r="EC99" s="239">
        <v>0</v>
      </c>
      <c r="ED99" s="239">
        <v>1249</v>
      </c>
      <c r="EE99" s="239">
        <v>0</v>
      </c>
      <c r="EF99" s="239">
        <v>0</v>
      </c>
      <c r="EG99" s="239">
        <v>0</v>
      </c>
      <c r="EH99" s="239">
        <v>-2204</v>
      </c>
      <c r="EI99" s="239">
        <v>0</v>
      </c>
      <c r="EJ99" s="239">
        <v>-2204</v>
      </c>
      <c r="EK99" s="239">
        <v>-1378</v>
      </c>
      <c r="EL99" s="239">
        <v>0</v>
      </c>
      <c r="EM99" s="239">
        <v>-1378</v>
      </c>
      <c r="EN99" s="239">
        <v>1560</v>
      </c>
      <c r="EO99" s="239">
        <v>0</v>
      </c>
      <c r="EP99" s="239">
        <v>1560</v>
      </c>
      <c r="EQ99" s="239">
        <v>-18557</v>
      </c>
      <c r="ER99" s="239">
        <v>0</v>
      </c>
      <c r="ES99" s="239">
        <v>-18557</v>
      </c>
      <c r="ET99" s="239">
        <v>0</v>
      </c>
      <c r="EU99" s="239">
        <v>0</v>
      </c>
      <c r="EV99" s="239">
        <v>0</v>
      </c>
      <c r="EW99" s="239">
        <v>0</v>
      </c>
      <c r="EX99" s="239">
        <v>0</v>
      </c>
      <c r="EY99" s="239">
        <v>0</v>
      </c>
      <c r="EZ99" s="239">
        <v>0</v>
      </c>
      <c r="FA99" s="239">
        <v>0</v>
      </c>
      <c r="FB99" s="239">
        <v>0</v>
      </c>
      <c r="FC99" s="239">
        <v>64789884</v>
      </c>
      <c r="FD99" s="239">
        <v>0</v>
      </c>
      <c r="FE99" s="239">
        <v>64789884</v>
      </c>
      <c r="FF99" s="239">
        <v>-127806</v>
      </c>
      <c r="FG99" s="239">
        <v>0</v>
      </c>
      <c r="FH99" s="239">
        <v>-127806</v>
      </c>
      <c r="FI99" s="239">
        <v>-4575480</v>
      </c>
      <c r="FJ99" s="239">
        <v>0</v>
      </c>
      <c r="FK99" s="239">
        <v>-4575480</v>
      </c>
      <c r="FL99" s="239">
        <v>-2064481</v>
      </c>
      <c r="FM99" s="239">
        <v>0</v>
      </c>
      <c r="FN99" s="239">
        <v>-2064481</v>
      </c>
      <c r="FO99" s="239">
        <v>-434254</v>
      </c>
      <c r="FP99" s="239">
        <v>0</v>
      </c>
      <c r="FQ99" s="239">
        <v>-434254</v>
      </c>
      <c r="FR99" s="239">
        <v>-18557</v>
      </c>
      <c r="FS99" s="239">
        <v>0</v>
      </c>
      <c r="FT99" s="239">
        <v>-18557</v>
      </c>
      <c r="FU99" s="239">
        <v>0</v>
      </c>
      <c r="FV99" s="239">
        <v>0</v>
      </c>
      <c r="FW99" s="239">
        <v>0</v>
      </c>
      <c r="FX99" s="239">
        <v>-7220578</v>
      </c>
      <c r="FY99" s="239">
        <v>0</v>
      </c>
      <c r="FZ99" s="239">
        <v>-7220578</v>
      </c>
      <c r="GA99" s="239">
        <v>57569306</v>
      </c>
      <c r="GB99" s="239">
        <v>0</v>
      </c>
      <c r="GC99" s="239">
        <v>57569306</v>
      </c>
      <c r="GD99" s="214" t="s">
        <v>1190</v>
      </c>
    </row>
    <row r="100" spans="1:186" s="214" customFormat="1" x14ac:dyDescent="0.2">
      <c r="B100" s="609" t="s">
        <v>282</v>
      </c>
      <c r="C100" s="609" t="s">
        <v>281</v>
      </c>
      <c r="D100" s="239">
        <v>0</v>
      </c>
      <c r="E100" s="239">
        <v>0</v>
      </c>
      <c r="F100" s="239">
        <v>0</v>
      </c>
      <c r="G100" s="239">
        <v>85706</v>
      </c>
      <c r="H100" s="239">
        <v>0</v>
      </c>
      <c r="I100" s="239">
        <v>85706</v>
      </c>
      <c r="J100" s="239">
        <v>0</v>
      </c>
      <c r="K100" s="239">
        <v>0</v>
      </c>
      <c r="L100" s="239">
        <v>0</v>
      </c>
      <c r="M100" s="239">
        <v>246351</v>
      </c>
      <c r="N100" s="239">
        <v>0</v>
      </c>
      <c r="O100" s="239">
        <v>246351</v>
      </c>
      <c r="P100" s="239">
        <v>332057</v>
      </c>
      <c r="Q100" s="239">
        <v>0</v>
      </c>
      <c r="R100" s="239">
        <v>332057</v>
      </c>
      <c r="S100" s="239">
        <v>-3941858</v>
      </c>
      <c r="T100" s="239">
        <v>0</v>
      </c>
      <c r="U100" s="239">
        <v>-3941858</v>
      </c>
      <c r="V100" s="239">
        <v>0</v>
      </c>
      <c r="W100" s="239">
        <v>0</v>
      </c>
      <c r="X100" s="239">
        <v>0</v>
      </c>
      <c r="Y100" s="239">
        <v>26494</v>
      </c>
      <c r="Z100" s="239">
        <v>0</v>
      </c>
      <c r="AA100" s="239">
        <v>26494</v>
      </c>
      <c r="AB100" s="239">
        <v>26494</v>
      </c>
      <c r="AC100" s="239">
        <v>0</v>
      </c>
      <c r="AD100" s="239">
        <v>26494</v>
      </c>
      <c r="AE100" s="239">
        <v>0</v>
      </c>
      <c r="AF100" s="239">
        <v>0</v>
      </c>
      <c r="AG100" s="239">
        <v>0</v>
      </c>
      <c r="AH100" s="239">
        <v>2762918</v>
      </c>
      <c r="AI100" s="239">
        <v>0</v>
      </c>
      <c r="AJ100" s="239">
        <v>2762918</v>
      </c>
      <c r="AK100" s="239">
        <v>-38207</v>
      </c>
      <c r="AL100" s="239">
        <v>0</v>
      </c>
      <c r="AM100" s="239">
        <v>-38207</v>
      </c>
      <c r="AN100" s="239">
        <v>-5709166</v>
      </c>
      <c r="AO100" s="239">
        <v>0</v>
      </c>
      <c r="AP100" s="239">
        <v>-5709166</v>
      </c>
      <c r="AQ100" s="239">
        <v>127344</v>
      </c>
      <c r="AR100" s="239">
        <v>0</v>
      </c>
      <c r="AS100" s="239">
        <v>127344</v>
      </c>
      <c r="AT100" s="239">
        <v>-117391</v>
      </c>
      <c r="AU100" s="239">
        <v>0</v>
      </c>
      <c r="AV100" s="239">
        <v>-117391</v>
      </c>
      <c r="AW100" s="239">
        <v>7331</v>
      </c>
      <c r="AX100" s="239">
        <v>0</v>
      </c>
      <c r="AY100" s="239">
        <v>7331</v>
      </c>
      <c r="AZ100" s="239">
        <v>0</v>
      </c>
      <c r="BA100" s="239">
        <v>0</v>
      </c>
      <c r="BB100" s="239">
        <v>0</v>
      </c>
      <c r="BC100" s="239">
        <v>0</v>
      </c>
      <c r="BD100" s="239">
        <v>0</v>
      </c>
      <c r="BE100" s="239">
        <v>0</v>
      </c>
      <c r="BF100" s="239">
        <v>-6882535</v>
      </c>
      <c r="BG100" s="239">
        <v>0</v>
      </c>
      <c r="BH100" s="239">
        <v>-6882535</v>
      </c>
      <c r="BI100" s="239">
        <v>0</v>
      </c>
      <c r="BJ100" s="239">
        <v>0</v>
      </c>
      <c r="BK100" s="239">
        <v>0</v>
      </c>
      <c r="BL100" s="239">
        <v>-114367</v>
      </c>
      <c r="BM100" s="239">
        <v>0</v>
      </c>
      <c r="BN100" s="239">
        <v>-114367</v>
      </c>
      <c r="BO100" s="239">
        <v>-3272089</v>
      </c>
      <c r="BP100" s="239">
        <v>0</v>
      </c>
      <c r="BQ100" s="239">
        <v>-3272089</v>
      </c>
      <c r="BR100" s="239">
        <v>-394004</v>
      </c>
      <c r="BS100" s="239">
        <v>0</v>
      </c>
      <c r="BT100" s="239">
        <v>-394004</v>
      </c>
      <c r="BU100" s="239">
        <v>-3780460</v>
      </c>
      <c r="BV100" s="239">
        <v>0</v>
      </c>
      <c r="BW100" s="239">
        <v>-3780460</v>
      </c>
      <c r="BX100" s="239">
        <v>-212411</v>
      </c>
      <c r="BY100" s="239">
        <v>0</v>
      </c>
      <c r="BZ100" s="239">
        <v>-212411</v>
      </c>
      <c r="CA100" s="239">
        <v>2415</v>
      </c>
      <c r="CB100" s="239">
        <v>0</v>
      </c>
      <c r="CC100" s="239">
        <v>2415</v>
      </c>
      <c r="CD100" s="239">
        <v>-193749</v>
      </c>
      <c r="CE100" s="239">
        <v>0</v>
      </c>
      <c r="CF100" s="239">
        <v>-193749</v>
      </c>
      <c r="CG100" s="239">
        <v>-2008</v>
      </c>
      <c r="CH100" s="239">
        <v>0</v>
      </c>
      <c r="CI100" s="239">
        <v>-2008</v>
      </c>
      <c r="CJ100" s="239">
        <v>0</v>
      </c>
      <c r="CK100" s="239">
        <v>0</v>
      </c>
      <c r="CL100" s="239">
        <v>0</v>
      </c>
      <c r="CM100" s="239">
        <v>0</v>
      </c>
      <c r="CN100" s="239">
        <v>0</v>
      </c>
      <c r="CO100" s="239">
        <v>0</v>
      </c>
      <c r="CP100" s="239">
        <v>0</v>
      </c>
      <c r="CQ100" s="239">
        <v>0</v>
      </c>
      <c r="CR100" s="239">
        <v>0</v>
      </c>
      <c r="CS100" s="239">
        <v>0</v>
      </c>
      <c r="CT100" s="239">
        <v>0</v>
      </c>
      <c r="CU100" s="239">
        <v>0</v>
      </c>
      <c r="CV100" s="239">
        <v>0</v>
      </c>
      <c r="CW100" s="239">
        <v>0</v>
      </c>
      <c r="CX100" s="239">
        <v>0</v>
      </c>
      <c r="CY100" s="239">
        <v>0</v>
      </c>
      <c r="CZ100" s="239">
        <v>0</v>
      </c>
      <c r="DA100" s="239">
        <v>0</v>
      </c>
      <c r="DB100" s="239">
        <v>0</v>
      </c>
      <c r="DC100" s="239">
        <v>0</v>
      </c>
      <c r="DD100" s="239">
        <v>0</v>
      </c>
      <c r="DE100" s="239">
        <v>0</v>
      </c>
      <c r="DF100" s="239">
        <v>0</v>
      </c>
      <c r="DG100" s="239">
        <v>0</v>
      </c>
      <c r="DH100" s="239">
        <v>0</v>
      </c>
      <c r="DI100" s="239">
        <v>0</v>
      </c>
      <c r="DJ100" s="239">
        <v>-405753</v>
      </c>
      <c r="DK100" s="239">
        <v>0</v>
      </c>
      <c r="DL100" s="239">
        <v>-405753</v>
      </c>
      <c r="DM100" s="239">
        <v>0</v>
      </c>
      <c r="DN100" s="239">
        <v>0</v>
      </c>
      <c r="DO100" s="239">
        <v>0</v>
      </c>
      <c r="DP100" s="239">
        <v>0</v>
      </c>
      <c r="DQ100" s="239">
        <v>0</v>
      </c>
      <c r="DR100" s="239">
        <v>0</v>
      </c>
      <c r="DS100" s="239">
        <v>-48338</v>
      </c>
      <c r="DT100" s="239">
        <v>0</v>
      </c>
      <c r="DU100" s="239">
        <v>-48338</v>
      </c>
      <c r="DV100" s="239">
        <v>-301</v>
      </c>
      <c r="DW100" s="239">
        <v>0</v>
      </c>
      <c r="DX100" s="239">
        <v>-301</v>
      </c>
      <c r="DY100" s="239">
        <v>0</v>
      </c>
      <c r="DZ100" s="239">
        <v>0</v>
      </c>
      <c r="EA100" s="239">
        <v>0</v>
      </c>
      <c r="EB100" s="239">
        <v>-13086</v>
      </c>
      <c r="EC100" s="239">
        <v>0</v>
      </c>
      <c r="ED100" s="239">
        <v>-13086</v>
      </c>
      <c r="EE100" s="239">
        <v>0</v>
      </c>
      <c r="EF100" s="239">
        <v>0</v>
      </c>
      <c r="EG100" s="239">
        <v>0</v>
      </c>
      <c r="EH100" s="239">
        <v>0</v>
      </c>
      <c r="EI100" s="239">
        <v>0</v>
      </c>
      <c r="EJ100" s="239">
        <v>0</v>
      </c>
      <c r="EK100" s="239">
        <v>-7313</v>
      </c>
      <c r="EL100" s="239">
        <v>0</v>
      </c>
      <c r="EM100" s="239">
        <v>-7313</v>
      </c>
      <c r="EN100" s="239">
        <v>26</v>
      </c>
      <c r="EO100" s="239">
        <v>0</v>
      </c>
      <c r="EP100" s="239">
        <v>26</v>
      </c>
      <c r="EQ100" s="239">
        <v>-69012</v>
      </c>
      <c r="ER100" s="239">
        <v>0</v>
      </c>
      <c r="ES100" s="239">
        <v>-69012</v>
      </c>
      <c r="ET100" s="239">
        <v>0</v>
      </c>
      <c r="EU100" s="239">
        <v>0</v>
      </c>
      <c r="EV100" s="239">
        <v>0</v>
      </c>
      <c r="EW100" s="239">
        <v>0</v>
      </c>
      <c r="EX100" s="239">
        <v>0</v>
      </c>
      <c r="EY100" s="239">
        <v>0</v>
      </c>
      <c r="EZ100" s="239">
        <v>0</v>
      </c>
      <c r="FA100" s="239">
        <v>0</v>
      </c>
      <c r="FB100" s="239">
        <v>0</v>
      </c>
      <c r="FC100" s="239">
        <v>122324268</v>
      </c>
      <c r="FD100" s="239">
        <v>0</v>
      </c>
      <c r="FE100" s="239">
        <v>122324268</v>
      </c>
      <c r="FF100" s="239">
        <v>332057</v>
      </c>
      <c r="FG100" s="239">
        <v>0</v>
      </c>
      <c r="FH100" s="239">
        <v>332057</v>
      </c>
      <c r="FI100" s="239">
        <v>-6882535</v>
      </c>
      <c r="FJ100" s="239">
        <v>0</v>
      </c>
      <c r="FK100" s="239">
        <v>-6882535</v>
      </c>
      <c r="FL100" s="239">
        <v>-3780460</v>
      </c>
      <c r="FM100" s="239">
        <v>0</v>
      </c>
      <c r="FN100" s="239">
        <v>-3780460</v>
      </c>
      <c r="FO100" s="239">
        <v>-405753</v>
      </c>
      <c r="FP100" s="239">
        <v>0</v>
      </c>
      <c r="FQ100" s="239">
        <v>-405753</v>
      </c>
      <c r="FR100" s="239">
        <v>-69012</v>
      </c>
      <c r="FS100" s="239">
        <v>0</v>
      </c>
      <c r="FT100" s="239">
        <v>-69012</v>
      </c>
      <c r="FU100" s="239">
        <v>0</v>
      </c>
      <c r="FV100" s="239">
        <v>0</v>
      </c>
      <c r="FW100" s="239">
        <v>0</v>
      </c>
      <c r="FX100" s="239">
        <v>-10805703</v>
      </c>
      <c r="FY100" s="239">
        <v>0</v>
      </c>
      <c r="FZ100" s="239">
        <v>-10805703</v>
      </c>
      <c r="GA100" s="239">
        <v>111518565</v>
      </c>
      <c r="GB100" s="239">
        <v>0</v>
      </c>
      <c r="GC100" s="239">
        <v>111518565</v>
      </c>
      <c r="GD100" s="214" t="s">
        <v>1191</v>
      </c>
    </row>
    <row r="101" spans="1:186" s="214" customFormat="1" x14ac:dyDescent="0.2">
      <c r="B101" s="609" t="s">
        <v>284</v>
      </c>
      <c r="C101" s="609" t="s">
        <v>283</v>
      </c>
      <c r="D101" s="239">
        <v>0</v>
      </c>
      <c r="E101" s="239">
        <v>0</v>
      </c>
      <c r="F101" s="239">
        <v>0</v>
      </c>
      <c r="G101" s="239">
        <v>49471</v>
      </c>
      <c r="H101" s="239">
        <v>0</v>
      </c>
      <c r="I101" s="239">
        <v>49471</v>
      </c>
      <c r="J101" s="239">
        <v>0</v>
      </c>
      <c r="K101" s="239">
        <v>0</v>
      </c>
      <c r="L101" s="239">
        <v>0</v>
      </c>
      <c r="M101" s="239">
        <v>-4785</v>
      </c>
      <c r="N101" s="239">
        <v>0</v>
      </c>
      <c r="O101" s="239">
        <v>-4785</v>
      </c>
      <c r="P101" s="239">
        <v>44686</v>
      </c>
      <c r="Q101" s="239">
        <v>0</v>
      </c>
      <c r="R101" s="239">
        <v>44686</v>
      </c>
      <c r="S101" s="239">
        <v>-2726041</v>
      </c>
      <c r="T101" s="239">
        <v>0</v>
      </c>
      <c r="U101" s="239">
        <v>-2726041</v>
      </c>
      <c r="V101" s="239">
        <v>-2148</v>
      </c>
      <c r="W101" s="239">
        <v>0</v>
      </c>
      <c r="X101" s="239">
        <v>-2148</v>
      </c>
      <c r="Y101" s="239">
        <v>-157160</v>
      </c>
      <c r="Z101" s="239">
        <v>0</v>
      </c>
      <c r="AA101" s="239">
        <v>-157160</v>
      </c>
      <c r="AB101" s="239">
        <v>-137814</v>
      </c>
      <c r="AC101" s="239">
        <v>0</v>
      </c>
      <c r="AD101" s="239">
        <v>-137814</v>
      </c>
      <c r="AE101" s="239">
        <v>0</v>
      </c>
      <c r="AF101" s="239">
        <v>0</v>
      </c>
      <c r="AG101" s="239">
        <v>0</v>
      </c>
      <c r="AH101" s="239">
        <v>864671</v>
      </c>
      <c r="AI101" s="239">
        <v>0</v>
      </c>
      <c r="AJ101" s="239">
        <v>864671</v>
      </c>
      <c r="AK101" s="239">
        <v>-12682</v>
      </c>
      <c r="AL101" s="239">
        <v>0</v>
      </c>
      <c r="AM101" s="239">
        <v>-12682</v>
      </c>
      <c r="AN101" s="239">
        <v>-2363249</v>
      </c>
      <c r="AO101" s="239">
        <v>0</v>
      </c>
      <c r="AP101" s="239">
        <v>-2363249</v>
      </c>
      <c r="AQ101" s="239">
        <v>25711</v>
      </c>
      <c r="AR101" s="239">
        <v>0</v>
      </c>
      <c r="AS101" s="239">
        <v>25711</v>
      </c>
      <c r="AT101" s="239">
        <v>-33836</v>
      </c>
      <c r="AU101" s="239">
        <v>0</v>
      </c>
      <c r="AV101" s="239">
        <v>-33836</v>
      </c>
      <c r="AW101" s="239">
        <v>0</v>
      </c>
      <c r="AX101" s="239">
        <v>0</v>
      </c>
      <c r="AY101" s="239">
        <v>0</v>
      </c>
      <c r="AZ101" s="239">
        <v>-9294</v>
      </c>
      <c r="BA101" s="239">
        <v>0</v>
      </c>
      <c r="BB101" s="239">
        <v>-9294</v>
      </c>
      <c r="BC101" s="239">
        <v>-484</v>
      </c>
      <c r="BD101" s="239">
        <v>0</v>
      </c>
      <c r="BE101" s="239">
        <v>-484</v>
      </c>
      <c r="BF101" s="239">
        <v>-4412364</v>
      </c>
      <c r="BG101" s="239">
        <v>0</v>
      </c>
      <c r="BH101" s="239">
        <v>-4412364</v>
      </c>
      <c r="BI101" s="239">
        <v>0</v>
      </c>
      <c r="BJ101" s="239">
        <v>0</v>
      </c>
      <c r="BK101" s="239">
        <v>0</v>
      </c>
      <c r="BL101" s="239">
        <v>-2236</v>
      </c>
      <c r="BM101" s="239">
        <v>0</v>
      </c>
      <c r="BN101" s="239">
        <v>-2236</v>
      </c>
      <c r="BO101" s="239">
        <v>-781463</v>
      </c>
      <c r="BP101" s="239">
        <v>0</v>
      </c>
      <c r="BQ101" s="239">
        <v>-781463</v>
      </c>
      <c r="BR101" s="239">
        <v>-28619</v>
      </c>
      <c r="BS101" s="239">
        <v>0</v>
      </c>
      <c r="BT101" s="239">
        <v>-28619</v>
      </c>
      <c r="BU101" s="239">
        <v>-812318</v>
      </c>
      <c r="BV101" s="239">
        <v>0</v>
      </c>
      <c r="BW101" s="239">
        <v>-812318</v>
      </c>
      <c r="BX101" s="239">
        <v>-18054</v>
      </c>
      <c r="BY101" s="239">
        <v>0</v>
      </c>
      <c r="BZ101" s="239">
        <v>-18054</v>
      </c>
      <c r="CA101" s="239">
        <v>0</v>
      </c>
      <c r="CB101" s="239">
        <v>0</v>
      </c>
      <c r="CC101" s="239">
        <v>0</v>
      </c>
      <c r="CD101" s="239">
        <v>-56452</v>
      </c>
      <c r="CE101" s="239">
        <v>0</v>
      </c>
      <c r="CF101" s="239">
        <v>-56452</v>
      </c>
      <c r="CG101" s="239">
        <v>4449</v>
      </c>
      <c r="CH101" s="239">
        <v>0</v>
      </c>
      <c r="CI101" s="239">
        <v>4449</v>
      </c>
      <c r="CJ101" s="239">
        <v>0</v>
      </c>
      <c r="CK101" s="239">
        <v>0</v>
      </c>
      <c r="CL101" s="239">
        <v>0</v>
      </c>
      <c r="CM101" s="239">
        <v>0</v>
      </c>
      <c r="CN101" s="239">
        <v>0</v>
      </c>
      <c r="CO101" s="239">
        <v>0</v>
      </c>
      <c r="CP101" s="239">
        <v>-5576</v>
      </c>
      <c r="CQ101" s="239">
        <v>0</v>
      </c>
      <c r="CR101" s="239">
        <v>-5576</v>
      </c>
      <c r="CS101" s="239">
        <v>-291</v>
      </c>
      <c r="CT101" s="239">
        <v>0</v>
      </c>
      <c r="CU101" s="239">
        <v>-291</v>
      </c>
      <c r="CV101" s="239">
        <v>-12235</v>
      </c>
      <c r="CW101" s="239">
        <v>0</v>
      </c>
      <c r="CX101" s="239">
        <v>-12235</v>
      </c>
      <c r="CY101" s="239">
        <v>-4449</v>
      </c>
      <c r="CZ101" s="239">
        <v>0</v>
      </c>
      <c r="DA101" s="239">
        <v>-4449</v>
      </c>
      <c r="DB101" s="239">
        <v>0</v>
      </c>
      <c r="DC101" s="239">
        <v>0</v>
      </c>
      <c r="DD101" s="239">
        <v>0</v>
      </c>
      <c r="DE101" s="239">
        <v>0</v>
      </c>
      <c r="DF101" s="239">
        <v>0</v>
      </c>
      <c r="DG101" s="239">
        <v>0</v>
      </c>
      <c r="DH101" s="239">
        <v>0</v>
      </c>
      <c r="DI101" s="239">
        <v>0</v>
      </c>
      <c r="DJ101" s="239">
        <v>-92608</v>
      </c>
      <c r="DK101" s="239">
        <v>0</v>
      </c>
      <c r="DL101" s="239">
        <v>-92608</v>
      </c>
      <c r="DM101" s="239">
        <v>-2335</v>
      </c>
      <c r="DN101" s="239">
        <v>0</v>
      </c>
      <c r="DO101" s="239">
        <v>-2335</v>
      </c>
      <c r="DP101" s="239">
        <v>0</v>
      </c>
      <c r="DQ101" s="239">
        <v>0</v>
      </c>
      <c r="DR101" s="239">
        <v>0</v>
      </c>
      <c r="DS101" s="239">
        <v>-6804</v>
      </c>
      <c r="DT101" s="239">
        <v>0</v>
      </c>
      <c r="DU101" s="239">
        <v>-6804</v>
      </c>
      <c r="DV101" s="239">
        <v>102</v>
      </c>
      <c r="DW101" s="239">
        <v>0</v>
      </c>
      <c r="DX101" s="239">
        <v>102</v>
      </c>
      <c r="DY101" s="239">
        <v>0</v>
      </c>
      <c r="DZ101" s="239">
        <v>0</v>
      </c>
      <c r="EA101" s="239">
        <v>0</v>
      </c>
      <c r="EB101" s="239">
        <v>3783</v>
      </c>
      <c r="EC101" s="239">
        <v>0</v>
      </c>
      <c r="ED101" s="239">
        <v>3783</v>
      </c>
      <c r="EE101" s="239">
        <v>0</v>
      </c>
      <c r="EF101" s="239">
        <v>0</v>
      </c>
      <c r="EG101" s="239">
        <v>0</v>
      </c>
      <c r="EH101" s="239">
        <v>0</v>
      </c>
      <c r="EI101" s="239">
        <v>0</v>
      </c>
      <c r="EJ101" s="239">
        <v>0</v>
      </c>
      <c r="EK101" s="239">
        <v>-29932</v>
      </c>
      <c r="EL101" s="239">
        <v>0</v>
      </c>
      <c r="EM101" s="239">
        <v>-29932</v>
      </c>
      <c r="EN101" s="239">
        <v>696</v>
      </c>
      <c r="EO101" s="239">
        <v>0</v>
      </c>
      <c r="EP101" s="239">
        <v>696</v>
      </c>
      <c r="EQ101" s="239">
        <v>-34490</v>
      </c>
      <c r="ER101" s="239">
        <v>0</v>
      </c>
      <c r="ES101" s="239">
        <v>-34490</v>
      </c>
      <c r="ET101" s="239">
        <v>0</v>
      </c>
      <c r="EU101" s="239">
        <v>0</v>
      </c>
      <c r="EV101" s="239">
        <v>0</v>
      </c>
      <c r="EW101" s="239">
        <v>0</v>
      </c>
      <c r="EX101" s="239">
        <v>0</v>
      </c>
      <c r="EY101" s="239">
        <v>0</v>
      </c>
      <c r="EZ101" s="239">
        <v>0</v>
      </c>
      <c r="FA101" s="239">
        <v>0</v>
      </c>
      <c r="FB101" s="239">
        <v>0</v>
      </c>
      <c r="FC101" s="239">
        <v>41488713</v>
      </c>
      <c r="FD101" s="239">
        <v>0</v>
      </c>
      <c r="FE101" s="239">
        <v>41488713</v>
      </c>
      <c r="FF101" s="239">
        <v>44686</v>
      </c>
      <c r="FG101" s="239">
        <v>0</v>
      </c>
      <c r="FH101" s="239">
        <v>44686</v>
      </c>
      <c r="FI101" s="239">
        <v>-4412364</v>
      </c>
      <c r="FJ101" s="239">
        <v>0</v>
      </c>
      <c r="FK101" s="239">
        <v>-4412364</v>
      </c>
      <c r="FL101" s="239">
        <v>-812318</v>
      </c>
      <c r="FM101" s="239">
        <v>0</v>
      </c>
      <c r="FN101" s="239">
        <v>-812318</v>
      </c>
      <c r="FO101" s="239">
        <v>-92608</v>
      </c>
      <c r="FP101" s="239">
        <v>0</v>
      </c>
      <c r="FQ101" s="239">
        <v>-92608</v>
      </c>
      <c r="FR101" s="239">
        <v>-34490</v>
      </c>
      <c r="FS101" s="239">
        <v>0</v>
      </c>
      <c r="FT101" s="239">
        <v>-34490</v>
      </c>
      <c r="FU101" s="239">
        <v>0</v>
      </c>
      <c r="FV101" s="239">
        <v>0</v>
      </c>
      <c r="FW101" s="239">
        <v>0</v>
      </c>
      <c r="FX101" s="239">
        <v>-5307094</v>
      </c>
      <c r="FY101" s="239">
        <v>0</v>
      </c>
      <c r="FZ101" s="239">
        <v>-5307094</v>
      </c>
      <c r="GA101" s="239">
        <v>36181619</v>
      </c>
      <c r="GB101" s="239">
        <v>0</v>
      </c>
      <c r="GC101" s="239">
        <v>36181619</v>
      </c>
      <c r="GD101" s="214" t="s">
        <v>1190</v>
      </c>
    </row>
    <row r="102" spans="1:186" s="214" customFormat="1" x14ac:dyDescent="0.2">
      <c r="B102" s="609" t="s">
        <v>286</v>
      </c>
      <c r="C102" s="609" t="s">
        <v>285</v>
      </c>
      <c r="D102" s="239">
        <v>0</v>
      </c>
      <c r="E102" s="239">
        <v>0</v>
      </c>
      <c r="F102" s="239">
        <v>0</v>
      </c>
      <c r="G102" s="239">
        <v>6439</v>
      </c>
      <c r="H102" s="239">
        <v>0</v>
      </c>
      <c r="I102" s="239">
        <v>6439</v>
      </c>
      <c r="J102" s="239">
        <v>0</v>
      </c>
      <c r="K102" s="239">
        <v>0</v>
      </c>
      <c r="L102" s="239">
        <v>0</v>
      </c>
      <c r="M102" s="239">
        <v>0</v>
      </c>
      <c r="N102" s="239">
        <v>0</v>
      </c>
      <c r="O102" s="239">
        <v>0</v>
      </c>
      <c r="P102" s="239">
        <v>6439</v>
      </c>
      <c r="Q102" s="239">
        <v>0</v>
      </c>
      <c r="R102" s="239">
        <v>6439</v>
      </c>
      <c r="S102" s="239">
        <v>-1119399</v>
      </c>
      <c r="T102" s="239">
        <v>0</v>
      </c>
      <c r="U102" s="239">
        <v>-1119399</v>
      </c>
      <c r="V102" s="239">
        <v>0</v>
      </c>
      <c r="W102" s="239">
        <v>0</v>
      </c>
      <c r="X102" s="239">
        <v>0</v>
      </c>
      <c r="Y102" s="239">
        <v>-34353</v>
      </c>
      <c r="Z102" s="239">
        <v>0</v>
      </c>
      <c r="AA102" s="239">
        <v>-34353</v>
      </c>
      <c r="AB102" s="239">
        <v>-31158</v>
      </c>
      <c r="AC102" s="239">
        <v>0</v>
      </c>
      <c r="AD102" s="239">
        <v>-31158</v>
      </c>
      <c r="AE102" s="239">
        <v>0</v>
      </c>
      <c r="AF102" s="239">
        <v>0</v>
      </c>
      <c r="AG102" s="239">
        <v>0</v>
      </c>
      <c r="AH102" s="239">
        <v>668384</v>
      </c>
      <c r="AI102" s="239">
        <v>0</v>
      </c>
      <c r="AJ102" s="239">
        <v>668384</v>
      </c>
      <c r="AK102" s="239">
        <v>-11183</v>
      </c>
      <c r="AL102" s="239">
        <v>0</v>
      </c>
      <c r="AM102" s="239">
        <v>-11183</v>
      </c>
      <c r="AN102" s="239">
        <v>-2862916</v>
      </c>
      <c r="AO102" s="239">
        <v>0</v>
      </c>
      <c r="AP102" s="239">
        <v>-2862916</v>
      </c>
      <c r="AQ102" s="239">
        <v>13787</v>
      </c>
      <c r="AR102" s="239">
        <v>0</v>
      </c>
      <c r="AS102" s="239">
        <v>13787</v>
      </c>
      <c r="AT102" s="239">
        <v>-50296</v>
      </c>
      <c r="AU102" s="239">
        <v>0</v>
      </c>
      <c r="AV102" s="239">
        <v>-50296</v>
      </c>
      <c r="AW102" s="239">
        <v>0</v>
      </c>
      <c r="AX102" s="239">
        <v>0</v>
      </c>
      <c r="AY102" s="239">
        <v>0</v>
      </c>
      <c r="AZ102" s="239">
        <v>0</v>
      </c>
      <c r="BA102" s="239">
        <v>0</v>
      </c>
      <c r="BB102" s="239">
        <v>0</v>
      </c>
      <c r="BC102" s="239">
        <v>0</v>
      </c>
      <c r="BD102" s="239">
        <v>0</v>
      </c>
      <c r="BE102" s="239">
        <v>0</v>
      </c>
      <c r="BF102" s="239">
        <v>-3395976</v>
      </c>
      <c r="BG102" s="239">
        <v>0</v>
      </c>
      <c r="BH102" s="239">
        <v>-3395976</v>
      </c>
      <c r="BI102" s="239">
        <v>-11517</v>
      </c>
      <c r="BJ102" s="239">
        <v>0</v>
      </c>
      <c r="BK102" s="239">
        <v>-11517</v>
      </c>
      <c r="BL102" s="239">
        <v>0</v>
      </c>
      <c r="BM102" s="239">
        <v>0</v>
      </c>
      <c r="BN102" s="239">
        <v>0</v>
      </c>
      <c r="BO102" s="239">
        <v>-851867</v>
      </c>
      <c r="BP102" s="239">
        <v>0</v>
      </c>
      <c r="BQ102" s="239">
        <v>-851867</v>
      </c>
      <c r="BR102" s="239">
        <v>26018</v>
      </c>
      <c r="BS102" s="239">
        <v>0</v>
      </c>
      <c r="BT102" s="239">
        <v>26018</v>
      </c>
      <c r="BU102" s="239">
        <v>-837366</v>
      </c>
      <c r="BV102" s="239">
        <v>0</v>
      </c>
      <c r="BW102" s="239">
        <v>-837366</v>
      </c>
      <c r="BX102" s="239">
        <v>-89892</v>
      </c>
      <c r="BY102" s="239">
        <v>0</v>
      </c>
      <c r="BZ102" s="239">
        <v>-89892</v>
      </c>
      <c r="CA102" s="239">
        <v>0</v>
      </c>
      <c r="CB102" s="239">
        <v>0</v>
      </c>
      <c r="CC102" s="239">
        <v>0</v>
      </c>
      <c r="CD102" s="239">
        <v>-590</v>
      </c>
      <c r="CE102" s="239">
        <v>0</v>
      </c>
      <c r="CF102" s="239">
        <v>-590</v>
      </c>
      <c r="CG102" s="239">
        <v>0</v>
      </c>
      <c r="CH102" s="239">
        <v>0</v>
      </c>
      <c r="CI102" s="239">
        <v>0</v>
      </c>
      <c r="CJ102" s="239">
        <v>-8817</v>
      </c>
      <c r="CK102" s="239">
        <v>0</v>
      </c>
      <c r="CL102" s="239">
        <v>-8817</v>
      </c>
      <c r="CM102" s="239">
        <v>0</v>
      </c>
      <c r="CN102" s="239">
        <v>0</v>
      </c>
      <c r="CO102" s="239">
        <v>0</v>
      </c>
      <c r="CP102" s="239">
        <v>0</v>
      </c>
      <c r="CQ102" s="239">
        <v>0</v>
      </c>
      <c r="CR102" s="239">
        <v>0</v>
      </c>
      <c r="CS102" s="239">
        <v>0</v>
      </c>
      <c r="CT102" s="239">
        <v>0</v>
      </c>
      <c r="CU102" s="239">
        <v>0</v>
      </c>
      <c r="CV102" s="239">
        <v>0</v>
      </c>
      <c r="CW102" s="239">
        <v>0</v>
      </c>
      <c r="CX102" s="239">
        <v>0</v>
      </c>
      <c r="CY102" s="239">
        <v>0</v>
      </c>
      <c r="CZ102" s="239">
        <v>0</v>
      </c>
      <c r="DA102" s="239">
        <v>0</v>
      </c>
      <c r="DB102" s="239">
        <v>0</v>
      </c>
      <c r="DC102" s="239">
        <v>0</v>
      </c>
      <c r="DD102" s="239">
        <v>0</v>
      </c>
      <c r="DE102" s="239">
        <v>0</v>
      </c>
      <c r="DF102" s="239">
        <v>0</v>
      </c>
      <c r="DG102" s="239">
        <v>0</v>
      </c>
      <c r="DH102" s="239">
        <v>0</v>
      </c>
      <c r="DI102" s="239">
        <v>0</v>
      </c>
      <c r="DJ102" s="239">
        <v>-99299</v>
      </c>
      <c r="DK102" s="239">
        <v>0</v>
      </c>
      <c r="DL102" s="239">
        <v>-99299</v>
      </c>
      <c r="DM102" s="239">
        <v>0</v>
      </c>
      <c r="DN102" s="239">
        <v>0</v>
      </c>
      <c r="DO102" s="239">
        <v>0</v>
      </c>
      <c r="DP102" s="239">
        <v>28740</v>
      </c>
      <c r="DQ102" s="239">
        <v>0</v>
      </c>
      <c r="DR102" s="239">
        <v>28740</v>
      </c>
      <c r="DS102" s="239">
        <v>0</v>
      </c>
      <c r="DT102" s="239">
        <v>0</v>
      </c>
      <c r="DU102" s="239">
        <v>0</v>
      </c>
      <c r="DV102" s="239">
        <v>247</v>
      </c>
      <c r="DW102" s="239">
        <v>0</v>
      </c>
      <c r="DX102" s="239">
        <v>247</v>
      </c>
      <c r="DY102" s="239">
        <v>0</v>
      </c>
      <c r="DZ102" s="239">
        <v>0</v>
      </c>
      <c r="EA102" s="239">
        <v>0</v>
      </c>
      <c r="EB102" s="239">
        <v>-1988</v>
      </c>
      <c r="EC102" s="239">
        <v>0</v>
      </c>
      <c r="ED102" s="239">
        <v>-1988</v>
      </c>
      <c r="EE102" s="239">
        <v>0</v>
      </c>
      <c r="EF102" s="239">
        <v>0</v>
      </c>
      <c r="EG102" s="239">
        <v>0</v>
      </c>
      <c r="EH102" s="239">
        <v>0</v>
      </c>
      <c r="EI102" s="239">
        <v>0</v>
      </c>
      <c r="EJ102" s="239">
        <v>0</v>
      </c>
      <c r="EK102" s="239">
        <v>-2555</v>
      </c>
      <c r="EL102" s="239">
        <v>0</v>
      </c>
      <c r="EM102" s="239">
        <v>-2555</v>
      </c>
      <c r="EN102" s="239">
        <v>0</v>
      </c>
      <c r="EO102" s="239">
        <v>0</v>
      </c>
      <c r="EP102" s="239">
        <v>0</v>
      </c>
      <c r="EQ102" s="239">
        <v>24444</v>
      </c>
      <c r="ER102" s="239">
        <v>0</v>
      </c>
      <c r="ES102" s="239">
        <v>24444</v>
      </c>
      <c r="ET102" s="239">
        <v>0</v>
      </c>
      <c r="EU102" s="239">
        <v>0</v>
      </c>
      <c r="EV102" s="239">
        <v>0</v>
      </c>
      <c r="EW102" s="239">
        <v>0</v>
      </c>
      <c r="EX102" s="239">
        <v>0</v>
      </c>
      <c r="EY102" s="239">
        <v>0</v>
      </c>
      <c r="EZ102" s="239">
        <v>0</v>
      </c>
      <c r="FA102" s="239">
        <v>0</v>
      </c>
      <c r="FB102" s="239">
        <v>0</v>
      </c>
      <c r="FC102" s="239">
        <v>27882689</v>
      </c>
      <c r="FD102" s="239">
        <v>0</v>
      </c>
      <c r="FE102" s="239">
        <v>27882689</v>
      </c>
      <c r="FF102" s="239">
        <v>6439</v>
      </c>
      <c r="FG102" s="239">
        <v>0</v>
      </c>
      <c r="FH102" s="239">
        <v>6439</v>
      </c>
      <c r="FI102" s="239">
        <v>-3395976</v>
      </c>
      <c r="FJ102" s="239">
        <v>0</v>
      </c>
      <c r="FK102" s="239">
        <v>-3395976</v>
      </c>
      <c r="FL102" s="239">
        <v>-837366</v>
      </c>
      <c r="FM102" s="239">
        <v>0</v>
      </c>
      <c r="FN102" s="239">
        <v>-837366</v>
      </c>
      <c r="FO102" s="239">
        <v>-99299</v>
      </c>
      <c r="FP102" s="239">
        <v>0</v>
      </c>
      <c r="FQ102" s="239">
        <v>-99299</v>
      </c>
      <c r="FR102" s="239">
        <v>24444</v>
      </c>
      <c r="FS102" s="239">
        <v>0</v>
      </c>
      <c r="FT102" s="239">
        <v>24444</v>
      </c>
      <c r="FU102" s="239">
        <v>0</v>
      </c>
      <c r="FV102" s="239">
        <v>0</v>
      </c>
      <c r="FW102" s="239">
        <v>0</v>
      </c>
      <c r="FX102" s="239">
        <v>-4301758</v>
      </c>
      <c r="FY102" s="239">
        <v>0</v>
      </c>
      <c r="FZ102" s="239">
        <v>-4301758</v>
      </c>
      <c r="GA102" s="239">
        <v>23580931</v>
      </c>
      <c r="GB102" s="239">
        <v>0</v>
      </c>
      <c r="GC102" s="239">
        <v>23580931</v>
      </c>
      <c r="GD102" s="214" t="s">
        <v>1190</v>
      </c>
    </row>
    <row r="103" spans="1:186" s="214" customFormat="1" x14ac:dyDescent="0.2">
      <c r="B103" s="609" t="s">
        <v>288</v>
      </c>
      <c r="C103" s="609" t="s">
        <v>287</v>
      </c>
      <c r="D103" s="239">
        <v>0</v>
      </c>
      <c r="E103" s="239">
        <v>0</v>
      </c>
      <c r="F103" s="239">
        <v>0</v>
      </c>
      <c r="G103" s="239">
        <v>12559</v>
      </c>
      <c r="H103" s="239">
        <v>0</v>
      </c>
      <c r="I103" s="239">
        <v>12559</v>
      </c>
      <c r="J103" s="239">
        <v>0</v>
      </c>
      <c r="K103" s="239">
        <v>0</v>
      </c>
      <c r="L103" s="239">
        <v>0</v>
      </c>
      <c r="M103" s="239">
        <v>-114584</v>
      </c>
      <c r="N103" s="239">
        <v>0</v>
      </c>
      <c r="O103" s="239">
        <v>-114584</v>
      </c>
      <c r="P103" s="239">
        <v>-102025</v>
      </c>
      <c r="Q103" s="239">
        <v>0</v>
      </c>
      <c r="R103" s="239">
        <v>-102025</v>
      </c>
      <c r="S103" s="239">
        <v>-2602214</v>
      </c>
      <c r="T103" s="239">
        <v>0</v>
      </c>
      <c r="U103" s="239">
        <v>-2602214</v>
      </c>
      <c r="V103" s="239">
        <v>0</v>
      </c>
      <c r="W103" s="239">
        <v>0</v>
      </c>
      <c r="X103" s="239">
        <v>0</v>
      </c>
      <c r="Y103" s="239">
        <v>-87137</v>
      </c>
      <c r="Z103" s="239">
        <v>0</v>
      </c>
      <c r="AA103" s="239">
        <v>-87137</v>
      </c>
      <c r="AB103" s="239">
        <v>-65334</v>
      </c>
      <c r="AC103" s="239">
        <v>0</v>
      </c>
      <c r="AD103" s="239">
        <v>-65334</v>
      </c>
      <c r="AE103" s="239">
        <v>0</v>
      </c>
      <c r="AF103" s="239">
        <v>0</v>
      </c>
      <c r="AG103" s="239">
        <v>0</v>
      </c>
      <c r="AH103" s="239">
        <v>639434</v>
      </c>
      <c r="AI103" s="239">
        <v>0</v>
      </c>
      <c r="AJ103" s="239">
        <v>639434</v>
      </c>
      <c r="AK103" s="239">
        <v>-34442</v>
      </c>
      <c r="AL103" s="239">
        <v>0</v>
      </c>
      <c r="AM103" s="239">
        <v>-34442</v>
      </c>
      <c r="AN103" s="239">
        <v>-1739482</v>
      </c>
      <c r="AO103" s="239">
        <v>0</v>
      </c>
      <c r="AP103" s="239">
        <v>-1739482</v>
      </c>
      <c r="AQ103" s="239">
        <v>-3902</v>
      </c>
      <c r="AR103" s="239">
        <v>0</v>
      </c>
      <c r="AS103" s="239">
        <v>-3902</v>
      </c>
      <c r="AT103" s="239">
        <v>-60892</v>
      </c>
      <c r="AU103" s="239">
        <v>0</v>
      </c>
      <c r="AV103" s="239">
        <v>-60892</v>
      </c>
      <c r="AW103" s="239">
        <v>2119</v>
      </c>
      <c r="AX103" s="239">
        <v>0</v>
      </c>
      <c r="AY103" s="239">
        <v>2119</v>
      </c>
      <c r="AZ103" s="239">
        <v>-1230</v>
      </c>
      <c r="BA103" s="239">
        <v>0</v>
      </c>
      <c r="BB103" s="239">
        <v>-1230</v>
      </c>
      <c r="BC103" s="239">
        <v>152</v>
      </c>
      <c r="BD103" s="239">
        <v>0</v>
      </c>
      <c r="BE103" s="239">
        <v>152</v>
      </c>
      <c r="BF103" s="239">
        <v>-3887594</v>
      </c>
      <c r="BG103" s="239">
        <v>0</v>
      </c>
      <c r="BH103" s="239">
        <v>-3887594</v>
      </c>
      <c r="BI103" s="239">
        <v>-3408</v>
      </c>
      <c r="BJ103" s="239">
        <v>0</v>
      </c>
      <c r="BK103" s="239">
        <v>-3408</v>
      </c>
      <c r="BL103" s="239">
        <v>473</v>
      </c>
      <c r="BM103" s="239">
        <v>0</v>
      </c>
      <c r="BN103" s="239">
        <v>473</v>
      </c>
      <c r="BO103" s="239">
        <v>-662025</v>
      </c>
      <c r="BP103" s="239">
        <v>0</v>
      </c>
      <c r="BQ103" s="239">
        <v>-662025</v>
      </c>
      <c r="BR103" s="239">
        <v>-11384</v>
      </c>
      <c r="BS103" s="239">
        <v>0</v>
      </c>
      <c r="BT103" s="239">
        <v>-11384</v>
      </c>
      <c r="BU103" s="239">
        <v>-676344</v>
      </c>
      <c r="BV103" s="239">
        <v>0</v>
      </c>
      <c r="BW103" s="239">
        <v>-676344</v>
      </c>
      <c r="BX103" s="239">
        <v>-18819</v>
      </c>
      <c r="BY103" s="239">
        <v>0</v>
      </c>
      <c r="BZ103" s="239">
        <v>-18819</v>
      </c>
      <c r="CA103" s="239">
        <v>-820</v>
      </c>
      <c r="CB103" s="239">
        <v>0</v>
      </c>
      <c r="CC103" s="239">
        <v>-820</v>
      </c>
      <c r="CD103" s="239">
        <v>-37439</v>
      </c>
      <c r="CE103" s="239">
        <v>0</v>
      </c>
      <c r="CF103" s="239">
        <v>-37439</v>
      </c>
      <c r="CG103" s="239">
        <v>-3055</v>
      </c>
      <c r="CH103" s="239">
        <v>0</v>
      </c>
      <c r="CI103" s="239">
        <v>-3055</v>
      </c>
      <c r="CJ103" s="239">
        <v>0</v>
      </c>
      <c r="CK103" s="239">
        <v>0</v>
      </c>
      <c r="CL103" s="239">
        <v>0</v>
      </c>
      <c r="CM103" s="239">
        <v>0</v>
      </c>
      <c r="CN103" s="239">
        <v>0</v>
      </c>
      <c r="CO103" s="239">
        <v>0</v>
      </c>
      <c r="CP103" s="239">
        <v>-1230</v>
      </c>
      <c r="CQ103" s="239">
        <v>0</v>
      </c>
      <c r="CR103" s="239">
        <v>-1230</v>
      </c>
      <c r="CS103" s="239">
        <v>0</v>
      </c>
      <c r="CT103" s="239">
        <v>0</v>
      </c>
      <c r="CU103" s="239">
        <v>0</v>
      </c>
      <c r="CV103" s="239">
        <v>0</v>
      </c>
      <c r="CW103" s="239">
        <v>0</v>
      </c>
      <c r="CX103" s="239">
        <v>0</v>
      </c>
      <c r="CY103" s="239">
        <v>0</v>
      </c>
      <c r="CZ103" s="239">
        <v>0</v>
      </c>
      <c r="DA103" s="239">
        <v>0</v>
      </c>
      <c r="DB103" s="239">
        <v>0</v>
      </c>
      <c r="DC103" s="239">
        <v>0</v>
      </c>
      <c r="DD103" s="239">
        <v>0</v>
      </c>
      <c r="DE103" s="239">
        <v>0</v>
      </c>
      <c r="DF103" s="239">
        <v>0</v>
      </c>
      <c r="DG103" s="239">
        <v>0</v>
      </c>
      <c r="DH103" s="239">
        <v>0</v>
      </c>
      <c r="DI103" s="239">
        <v>0</v>
      </c>
      <c r="DJ103" s="239">
        <v>-61363</v>
      </c>
      <c r="DK103" s="239">
        <v>0</v>
      </c>
      <c r="DL103" s="239">
        <v>-61363</v>
      </c>
      <c r="DM103" s="239">
        <v>-713</v>
      </c>
      <c r="DN103" s="239">
        <v>0</v>
      </c>
      <c r="DO103" s="239">
        <v>-713</v>
      </c>
      <c r="DP103" s="239">
        <v>-37</v>
      </c>
      <c r="DQ103" s="239">
        <v>0</v>
      </c>
      <c r="DR103" s="239">
        <v>-37</v>
      </c>
      <c r="DS103" s="239">
        <v>-8469</v>
      </c>
      <c r="DT103" s="239">
        <v>0</v>
      </c>
      <c r="DU103" s="239">
        <v>-8469</v>
      </c>
      <c r="DV103" s="239">
        <v>-1965</v>
      </c>
      <c r="DW103" s="239">
        <v>0</v>
      </c>
      <c r="DX103" s="239">
        <v>-1965</v>
      </c>
      <c r="DY103" s="239">
        <v>0</v>
      </c>
      <c r="DZ103" s="239">
        <v>0</v>
      </c>
      <c r="EA103" s="239">
        <v>0</v>
      </c>
      <c r="EB103" s="239">
        <v>-7914</v>
      </c>
      <c r="EC103" s="239">
        <v>0</v>
      </c>
      <c r="ED103" s="239">
        <v>-7914</v>
      </c>
      <c r="EE103" s="239">
        <v>0</v>
      </c>
      <c r="EF103" s="239">
        <v>0</v>
      </c>
      <c r="EG103" s="239">
        <v>0</v>
      </c>
      <c r="EH103" s="239">
        <v>0</v>
      </c>
      <c r="EI103" s="239">
        <v>0</v>
      </c>
      <c r="EJ103" s="239">
        <v>0</v>
      </c>
      <c r="EK103" s="239">
        <v>-1312</v>
      </c>
      <c r="EL103" s="239">
        <v>0</v>
      </c>
      <c r="EM103" s="239">
        <v>-1312</v>
      </c>
      <c r="EN103" s="239">
        <v>0</v>
      </c>
      <c r="EO103" s="239">
        <v>0</v>
      </c>
      <c r="EP103" s="239">
        <v>0</v>
      </c>
      <c r="EQ103" s="239">
        <v>-20410</v>
      </c>
      <c r="ER103" s="239">
        <v>0</v>
      </c>
      <c r="ES103" s="239">
        <v>-20410</v>
      </c>
      <c r="ET103" s="239">
        <v>0</v>
      </c>
      <c r="EU103" s="239">
        <v>0</v>
      </c>
      <c r="EV103" s="239">
        <v>0</v>
      </c>
      <c r="EW103" s="239">
        <v>0</v>
      </c>
      <c r="EX103" s="239">
        <v>0</v>
      </c>
      <c r="EY103" s="239">
        <v>0</v>
      </c>
      <c r="EZ103" s="239">
        <v>0</v>
      </c>
      <c r="FA103" s="239">
        <v>0</v>
      </c>
      <c r="FB103" s="239">
        <v>0</v>
      </c>
      <c r="FC103" s="239">
        <v>29262384</v>
      </c>
      <c r="FD103" s="239">
        <v>0</v>
      </c>
      <c r="FE103" s="239">
        <v>29262384</v>
      </c>
      <c r="FF103" s="239">
        <v>-102025</v>
      </c>
      <c r="FG103" s="239">
        <v>0</v>
      </c>
      <c r="FH103" s="239">
        <v>-102025</v>
      </c>
      <c r="FI103" s="239">
        <v>-3887594</v>
      </c>
      <c r="FJ103" s="239">
        <v>0</v>
      </c>
      <c r="FK103" s="239">
        <v>-3887594</v>
      </c>
      <c r="FL103" s="239">
        <v>-676344</v>
      </c>
      <c r="FM103" s="239">
        <v>0</v>
      </c>
      <c r="FN103" s="239">
        <v>-676344</v>
      </c>
      <c r="FO103" s="239">
        <v>-61363</v>
      </c>
      <c r="FP103" s="239">
        <v>0</v>
      </c>
      <c r="FQ103" s="239">
        <v>-61363</v>
      </c>
      <c r="FR103" s="239">
        <v>-20410</v>
      </c>
      <c r="FS103" s="239">
        <v>0</v>
      </c>
      <c r="FT103" s="239">
        <v>-20410</v>
      </c>
      <c r="FU103" s="239">
        <v>0</v>
      </c>
      <c r="FV103" s="239">
        <v>0</v>
      </c>
      <c r="FW103" s="239">
        <v>0</v>
      </c>
      <c r="FX103" s="239">
        <v>-4747736</v>
      </c>
      <c r="FY103" s="239">
        <v>0</v>
      </c>
      <c r="FZ103" s="239">
        <v>-4747736</v>
      </c>
      <c r="GA103" s="239">
        <v>24514648</v>
      </c>
      <c r="GB103" s="239">
        <v>0</v>
      </c>
      <c r="GC103" s="239">
        <v>24514648</v>
      </c>
      <c r="GD103" s="214" t="s">
        <v>1190</v>
      </c>
    </row>
    <row r="104" spans="1:186" s="214" customFormat="1" x14ac:dyDescent="0.2">
      <c r="B104" s="609" t="s">
        <v>290</v>
      </c>
      <c r="C104" s="609" t="s">
        <v>289</v>
      </c>
      <c r="D104" s="239">
        <v>0</v>
      </c>
      <c r="E104" s="239">
        <v>0</v>
      </c>
      <c r="F104" s="239">
        <v>0</v>
      </c>
      <c r="G104" s="239">
        <v>26978</v>
      </c>
      <c r="H104" s="239">
        <v>0</v>
      </c>
      <c r="I104" s="239">
        <v>26978</v>
      </c>
      <c r="J104" s="239">
        <v>0</v>
      </c>
      <c r="K104" s="239">
        <v>0</v>
      </c>
      <c r="L104" s="239">
        <v>0</v>
      </c>
      <c r="M104" s="239">
        <v>32463</v>
      </c>
      <c r="N104" s="239">
        <v>0</v>
      </c>
      <c r="O104" s="239">
        <v>32463</v>
      </c>
      <c r="P104" s="239">
        <v>59441</v>
      </c>
      <c r="Q104" s="239">
        <v>0</v>
      </c>
      <c r="R104" s="239">
        <v>59441</v>
      </c>
      <c r="S104" s="239">
        <v>-2307494</v>
      </c>
      <c r="T104" s="239">
        <v>0</v>
      </c>
      <c r="U104" s="239">
        <v>-2307494</v>
      </c>
      <c r="V104" s="239">
        <v>-12710</v>
      </c>
      <c r="W104" s="239">
        <v>0</v>
      </c>
      <c r="X104" s="239">
        <v>-12710</v>
      </c>
      <c r="Y104" s="239">
        <v>-110292</v>
      </c>
      <c r="Z104" s="239">
        <v>0</v>
      </c>
      <c r="AA104" s="239">
        <v>-110292</v>
      </c>
      <c r="AB104" s="239">
        <v>-82089</v>
      </c>
      <c r="AC104" s="239">
        <v>0</v>
      </c>
      <c r="AD104" s="239">
        <v>-82089</v>
      </c>
      <c r="AE104" s="239">
        <v>0</v>
      </c>
      <c r="AF104" s="239">
        <v>0</v>
      </c>
      <c r="AG104" s="239">
        <v>0</v>
      </c>
      <c r="AH104" s="239">
        <v>2204525</v>
      </c>
      <c r="AI104" s="239">
        <v>0</v>
      </c>
      <c r="AJ104" s="239">
        <v>2204525</v>
      </c>
      <c r="AK104" s="239">
        <v>-57957</v>
      </c>
      <c r="AL104" s="239">
        <v>0</v>
      </c>
      <c r="AM104" s="239">
        <v>-57957</v>
      </c>
      <c r="AN104" s="239">
        <v>-6459583</v>
      </c>
      <c r="AO104" s="239">
        <v>0</v>
      </c>
      <c r="AP104" s="239">
        <v>-6459583</v>
      </c>
      <c r="AQ104" s="239">
        <v>-43674</v>
      </c>
      <c r="AR104" s="239">
        <v>0</v>
      </c>
      <c r="AS104" s="239">
        <v>-43674</v>
      </c>
      <c r="AT104" s="239">
        <v>-36271</v>
      </c>
      <c r="AU104" s="239">
        <v>0</v>
      </c>
      <c r="AV104" s="239">
        <v>-36271</v>
      </c>
      <c r="AW104" s="239">
        <v>-971</v>
      </c>
      <c r="AX104" s="239">
        <v>0</v>
      </c>
      <c r="AY104" s="239">
        <v>-971</v>
      </c>
      <c r="AZ104" s="239">
        <v>0</v>
      </c>
      <c r="BA104" s="239">
        <v>0</v>
      </c>
      <c r="BB104" s="239">
        <v>0</v>
      </c>
      <c r="BC104" s="239">
        <v>0</v>
      </c>
      <c r="BD104" s="239">
        <v>0</v>
      </c>
      <c r="BE104" s="239">
        <v>0</v>
      </c>
      <c r="BF104" s="239">
        <v>-6811717</v>
      </c>
      <c r="BG104" s="239">
        <v>0</v>
      </c>
      <c r="BH104" s="239">
        <v>-6811717</v>
      </c>
      <c r="BI104" s="239">
        <v>-10533</v>
      </c>
      <c r="BJ104" s="239">
        <v>0</v>
      </c>
      <c r="BK104" s="239">
        <v>-10533</v>
      </c>
      <c r="BL104" s="239">
        <v>118</v>
      </c>
      <c r="BM104" s="239">
        <v>0</v>
      </c>
      <c r="BN104" s="239">
        <v>118</v>
      </c>
      <c r="BO104" s="239">
        <v>-1971284</v>
      </c>
      <c r="BP104" s="239">
        <v>0</v>
      </c>
      <c r="BQ104" s="239">
        <v>-1971284</v>
      </c>
      <c r="BR104" s="239">
        <v>76295</v>
      </c>
      <c r="BS104" s="239">
        <v>0</v>
      </c>
      <c r="BT104" s="239">
        <v>76295</v>
      </c>
      <c r="BU104" s="239">
        <v>-1905404</v>
      </c>
      <c r="BV104" s="239">
        <v>0</v>
      </c>
      <c r="BW104" s="239">
        <v>-1905404</v>
      </c>
      <c r="BX104" s="239">
        <v>-234740</v>
      </c>
      <c r="BY104" s="239">
        <v>0</v>
      </c>
      <c r="BZ104" s="239">
        <v>-234740</v>
      </c>
      <c r="CA104" s="239">
        <v>-94</v>
      </c>
      <c r="CB104" s="239">
        <v>0</v>
      </c>
      <c r="CC104" s="239">
        <v>-94</v>
      </c>
      <c r="CD104" s="239">
        <v>-56887</v>
      </c>
      <c r="CE104" s="239">
        <v>0</v>
      </c>
      <c r="CF104" s="239">
        <v>-56887</v>
      </c>
      <c r="CG104" s="239">
        <v>0</v>
      </c>
      <c r="CH104" s="239">
        <v>0</v>
      </c>
      <c r="CI104" s="239">
        <v>0</v>
      </c>
      <c r="CJ104" s="239">
        <v>-3412</v>
      </c>
      <c r="CK104" s="239">
        <v>0</v>
      </c>
      <c r="CL104" s="239">
        <v>-3412</v>
      </c>
      <c r="CM104" s="239">
        <v>-106</v>
      </c>
      <c r="CN104" s="239">
        <v>0</v>
      </c>
      <c r="CO104" s="239">
        <v>-106</v>
      </c>
      <c r="CP104" s="239">
        <v>0</v>
      </c>
      <c r="CQ104" s="239">
        <v>0</v>
      </c>
      <c r="CR104" s="239">
        <v>0</v>
      </c>
      <c r="CS104" s="239">
        <v>0</v>
      </c>
      <c r="CT104" s="239">
        <v>0</v>
      </c>
      <c r="CU104" s="239">
        <v>0</v>
      </c>
      <c r="CV104" s="239">
        <v>0</v>
      </c>
      <c r="CW104" s="239">
        <v>0</v>
      </c>
      <c r="CX104" s="239">
        <v>0</v>
      </c>
      <c r="CY104" s="239">
        <v>0</v>
      </c>
      <c r="CZ104" s="239">
        <v>0</v>
      </c>
      <c r="DA104" s="239">
        <v>0</v>
      </c>
      <c r="DB104" s="239">
        <v>0</v>
      </c>
      <c r="DC104" s="239">
        <v>0</v>
      </c>
      <c r="DD104" s="239">
        <v>0</v>
      </c>
      <c r="DE104" s="239">
        <v>0</v>
      </c>
      <c r="DF104" s="239">
        <v>0</v>
      </c>
      <c r="DG104" s="239">
        <v>0</v>
      </c>
      <c r="DH104" s="239">
        <v>0</v>
      </c>
      <c r="DI104" s="239">
        <v>0</v>
      </c>
      <c r="DJ104" s="239">
        <v>-295239</v>
      </c>
      <c r="DK104" s="239">
        <v>0</v>
      </c>
      <c r="DL104" s="239">
        <v>-295239</v>
      </c>
      <c r="DM104" s="239">
        <v>0</v>
      </c>
      <c r="DN104" s="239">
        <v>0</v>
      </c>
      <c r="DO104" s="239">
        <v>0</v>
      </c>
      <c r="DP104" s="239">
        <v>32</v>
      </c>
      <c r="DQ104" s="239">
        <v>0</v>
      </c>
      <c r="DR104" s="239">
        <v>32</v>
      </c>
      <c r="DS104" s="239">
        <v>-16295</v>
      </c>
      <c r="DT104" s="239">
        <v>0</v>
      </c>
      <c r="DU104" s="239">
        <v>-16295</v>
      </c>
      <c r="DV104" s="239">
        <v>0</v>
      </c>
      <c r="DW104" s="239">
        <v>0</v>
      </c>
      <c r="DX104" s="239">
        <v>0</v>
      </c>
      <c r="DY104" s="239">
        <v>0</v>
      </c>
      <c r="DZ104" s="239">
        <v>0</v>
      </c>
      <c r="EA104" s="239">
        <v>0</v>
      </c>
      <c r="EB104" s="239">
        <v>-2854</v>
      </c>
      <c r="EC104" s="239">
        <v>0</v>
      </c>
      <c r="ED104" s="239">
        <v>-2854</v>
      </c>
      <c r="EE104" s="239">
        <v>0</v>
      </c>
      <c r="EF104" s="239">
        <v>0</v>
      </c>
      <c r="EG104" s="239">
        <v>0</v>
      </c>
      <c r="EH104" s="239">
        <v>0</v>
      </c>
      <c r="EI104" s="239">
        <v>0</v>
      </c>
      <c r="EJ104" s="239">
        <v>0</v>
      </c>
      <c r="EK104" s="239">
        <v>-13004</v>
      </c>
      <c r="EL104" s="239">
        <v>0</v>
      </c>
      <c r="EM104" s="239">
        <v>-13004</v>
      </c>
      <c r="EN104" s="239">
        <v>1697</v>
      </c>
      <c r="EO104" s="239">
        <v>0</v>
      </c>
      <c r="EP104" s="239">
        <v>1697</v>
      </c>
      <c r="EQ104" s="239">
        <v>-30424</v>
      </c>
      <c r="ER104" s="239">
        <v>0</v>
      </c>
      <c r="ES104" s="239">
        <v>-30424</v>
      </c>
      <c r="ET104" s="239">
        <v>-2709</v>
      </c>
      <c r="EU104" s="239">
        <v>0</v>
      </c>
      <c r="EV104" s="239">
        <v>-2709</v>
      </c>
      <c r="EW104" s="239">
        <v>1411</v>
      </c>
      <c r="EX104" s="239">
        <v>0</v>
      </c>
      <c r="EY104" s="239">
        <v>1411</v>
      </c>
      <c r="EZ104" s="239">
        <v>-1298</v>
      </c>
      <c r="FA104" s="239">
        <v>0</v>
      </c>
      <c r="FB104" s="239">
        <v>-1298</v>
      </c>
      <c r="FC104" s="239">
        <v>87513574</v>
      </c>
      <c r="FD104" s="239">
        <v>0</v>
      </c>
      <c r="FE104" s="239">
        <v>87513574</v>
      </c>
      <c r="FF104" s="239">
        <v>59441</v>
      </c>
      <c r="FG104" s="239">
        <v>0</v>
      </c>
      <c r="FH104" s="239">
        <v>59441</v>
      </c>
      <c r="FI104" s="239">
        <v>-6811717</v>
      </c>
      <c r="FJ104" s="239">
        <v>0</v>
      </c>
      <c r="FK104" s="239">
        <v>-6811717</v>
      </c>
      <c r="FL104" s="239">
        <v>-1905404</v>
      </c>
      <c r="FM104" s="239">
        <v>0</v>
      </c>
      <c r="FN104" s="239">
        <v>-1905404</v>
      </c>
      <c r="FO104" s="239">
        <v>-295239</v>
      </c>
      <c r="FP104" s="239">
        <v>0</v>
      </c>
      <c r="FQ104" s="239">
        <v>-295239</v>
      </c>
      <c r="FR104" s="239">
        <v>-30424</v>
      </c>
      <c r="FS104" s="239">
        <v>0</v>
      </c>
      <c r="FT104" s="239">
        <v>-30424</v>
      </c>
      <c r="FU104" s="239">
        <v>-1298</v>
      </c>
      <c r="FV104" s="239">
        <v>0</v>
      </c>
      <c r="FW104" s="239">
        <v>-1298</v>
      </c>
      <c r="FX104" s="239">
        <v>-8984641</v>
      </c>
      <c r="FY104" s="239">
        <v>0</v>
      </c>
      <c r="FZ104" s="239">
        <v>-8984641</v>
      </c>
      <c r="GA104" s="239">
        <v>78528933</v>
      </c>
      <c r="GB104" s="239">
        <v>0</v>
      </c>
      <c r="GC104" s="239">
        <v>78528933</v>
      </c>
      <c r="GD104" s="214" t="s">
        <v>1190</v>
      </c>
    </row>
    <row r="105" spans="1:186" s="214" customFormat="1" x14ac:dyDescent="0.2">
      <c r="B105" s="609" t="s">
        <v>292</v>
      </c>
      <c r="C105" s="609" t="s">
        <v>291</v>
      </c>
      <c r="D105" s="239">
        <v>0</v>
      </c>
      <c r="E105" s="239">
        <v>0</v>
      </c>
      <c r="F105" s="239">
        <v>0</v>
      </c>
      <c r="G105" s="239">
        <v>27295</v>
      </c>
      <c r="H105" s="239">
        <v>0</v>
      </c>
      <c r="I105" s="239">
        <v>27295</v>
      </c>
      <c r="J105" s="239">
        <v>0</v>
      </c>
      <c r="K105" s="239">
        <v>0</v>
      </c>
      <c r="L105" s="239">
        <v>0</v>
      </c>
      <c r="M105" s="239">
        <v>6565</v>
      </c>
      <c r="N105" s="239">
        <v>0</v>
      </c>
      <c r="O105" s="239">
        <v>6565</v>
      </c>
      <c r="P105" s="239">
        <v>33860</v>
      </c>
      <c r="Q105" s="239">
        <v>0</v>
      </c>
      <c r="R105" s="239">
        <v>33860</v>
      </c>
      <c r="S105" s="239">
        <v>-1838648</v>
      </c>
      <c r="T105" s="239">
        <v>0</v>
      </c>
      <c r="U105" s="239">
        <v>-1838648</v>
      </c>
      <c r="V105" s="239">
        <v>-5286</v>
      </c>
      <c r="W105" s="239">
        <v>0</v>
      </c>
      <c r="X105" s="239">
        <v>-5286</v>
      </c>
      <c r="Y105" s="239">
        <v>-50507</v>
      </c>
      <c r="Z105" s="239">
        <v>0</v>
      </c>
      <c r="AA105" s="239">
        <v>-50507</v>
      </c>
      <c r="AB105" s="239">
        <v>-42433</v>
      </c>
      <c r="AC105" s="239">
        <v>0</v>
      </c>
      <c r="AD105" s="239">
        <v>-42433</v>
      </c>
      <c r="AE105" s="239">
        <v>-2620</v>
      </c>
      <c r="AF105" s="239">
        <v>0</v>
      </c>
      <c r="AG105" s="239">
        <v>-2620</v>
      </c>
      <c r="AH105" s="239">
        <v>1118571</v>
      </c>
      <c r="AI105" s="239">
        <v>12385</v>
      </c>
      <c r="AJ105" s="239">
        <v>1130956</v>
      </c>
      <c r="AK105" s="239">
        <v>-28207</v>
      </c>
      <c r="AL105" s="239">
        <v>0</v>
      </c>
      <c r="AM105" s="239">
        <v>-28207</v>
      </c>
      <c r="AN105" s="239">
        <v>-2743394</v>
      </c>
      <c r="AO105" s="239">
        <v>-24033</v>
      </c>
      <c r="AP105" s="239">
        <v>-2767427</v>
      </c>
      <c r="AQ105" s="239">
        <v>-10451</v>
      </c>
      <c r="AR105" s="239">
        <v>0</v>
      </c>
      <c r="AS105" s="239">
        <v>-10451</v>
      </c>
      <c r="AT105" s="239">
        <v>0</v>
      </c>
      <c r="AU105" s="239">
        <v>0</v>
      </c>
      <c r="AV105" s="239">
        <v>0</v>
      </c>
      <c r="AW105" s="239">
        <v>0</v>
      </c>
      <c r="AX105" s="239">
        <v>0</v>
      </c>
      <c r="AY105" s="239">
        <v>0</v>
      </c>
      <c r="AZ105" s="239">
        <v>0</v>
      </c>
      <c r="BA105" s="239">
        <v>0</v>
      </c>
      <c r="BB105" s="239">
        <v>0</v>
      </c>
      <c r="BC105" s="239">
        <v>0</v>
      </c>
      <c r="BD105" s="239">
        <v>0</v>
      </c>
      <c r="BE105" s="239">
        <v>0</v>
      </c>
      <c r="BF105" s="239">
        <v>-3552636</v>
      </c>
      <c r="BG105" s="239">
        <v>-11648</v>
      </c>
      <c r="BH105" s="239">
        <v>-3564284</v>
      </c>
      <c r="BI105" s="239">
        <v>-3251</v>
      </c>
      <c r="BJ105" s="239">
        <v>0</v>
      </c>
      <c r="BK105" s="239">
        <v>-3251</v>
      </c>
      <c r="BL105" s="239">
        <v>886</v>
      </c>
      <c r="BM105" s="239">
        <v>0</v>
      </c>
      <c r="BN105" s="239">
        <v>886</v>
      </c>
      <c r="BO105" s="239">
        <v>-1024873</v>
      </c>
      <c r="BP105" s="239">
        <v>-3973</v>
      </c>
      <c r="BQ105" s="239">
        <v>-1028846</v>
      </c>
      <c r="BR105" s="239">
        <v>-16844</v>
      </c>
      <c r="BS105" s="239">
        <v>0</v>
      </c>
      <c r="BT105" s="239">
        <v>-16844</v>
      </c>
      <c r="BU105" s="239">
        <v>-1044082</v>
      </c>
      <c r="BV105" s="239">
        <v>-3973</v>
      </c>
      <c r="BW105" s="239">
        <v>-1048055</v>
      </c>
      <c r="BX105" s="239">
        <v>-143840</v>
      </c>
      <c r="BY105" s="239">
        <v>-6008</v>
      </c>
      <c r="BZ105" s="239">
        <v>-149848</v>
      </c>
      <c r="CA105" s="239">
        <v>-1562</v>
      </c>
      <c r="CB105" s="239">
        <v>0</v>
      </c>
      <c r="CC105" s="239">
        <v>-1562</v>
      </c>
      <c r="CD105" s="239">
        <v>-460430</v>
      </c>
      <c r="CE105" s="239">
        <v>-17908</v>
      </c>
      <c r="CF105" s="239">
        <v>-478338</v>
      </c>
      <c r="CG105" s="239">
        <v>-808</v>
      </c>
      <c r="CH105" s="239">
        <v>0</v>
      </c>
      <c r="CI105" s="239">
        <v>-808</v>
      </c>
      <c r="CJ105" s="239">
        <v>0</v>
      </c>
      <c r="CK105" s="239">
        <v>0</v>
      </c>
      <c r="CL105" s="239">
        <v>0</v>
      </c>
      <c r="CM105" s="239">
        <v>0</v>
      </c>
      <c r="CN105" s="239">
        <v>0</v>
      </c>
      <c r="CO105" s="239">
        <v>0</v>
      </c>
      <c r="CP105" s="239">
        <v>0</v>
      </c>
      <c r="CQ105" s="239">
        <v>0</v>
      </c>
      <c r="CR105" s="239">
        <v>0</v>
      </c>
      <c r="CS105" s="239">
        <v>0</v>
      </c>
      <c r="CT105" s="239">
        <v>0</v>
      </c>
      <c r="CU105" s="239">
        <v>0</v>
      </c>
      <c r="CV105" s="239">
        <v>0</v>
      </c>
      <c r="CW105" s="239">
        <v>0</v>
      </c>
      <c r="CX105" s="239">
        <v>0</v>
      </c>
      <c r="CY105" s="239">
        <v>0</v>
      </c>
      <c r="CZ105" s="239">
        <v>0</v>
      </c>
      <c r="DA105" s="239">
        <v>0</v>
      </c>
      <c r="DB105" s="239">
        <v>0</v>
      </c>
      <c r="DC105" s="239">
        <v>-305159</v>
      </c>
      <c r="DD105" s="239">
        <v>-305159</v>
      </c>
      <c r="DE105" s="239">
        <v>0</v>
      </c>
      <c r="DF105" s="239">
        <v>-14964</v>
      </c>
      <c r="DG105" s="239">
        <v>-14964</v>
      </c>
      <c r="DH105" s="239">
        <v>-320123</v>
      </c>
      <c r="DI105" s="239">
        <v>0</v>
      </c>
      <c r="DJ105" s="239">
        <v>-606640</v>
      </c>
      <c r="DK105" s="239">
        <v>-344039</v>
      </c>
      <c r="DL105" s="239">
        <v>-950679</v>
      </c>
      <c r="DM105" s="239">
        <v>0</v>
      </c>
      <c r="DN105" s="239">
        <v>0</v>
      </c>
      <c r="DO105" s="239">
        <v>0</v>
      </c>
      <c r="DP105" s="239">
        <v>0</v>
      </c>
      <c r="DQ105" s="239">
        <v>0</v>
      </c>
      <c r="DR105" s="239">
        <v>0</v>
      </c>
      <c r="DS105" s="239">
        <v>-11576</v>
      </c>
      <c r="DT105" s="239">
        <v>0</v>
      </c>
      <c r="DU105" s="239">
        <v>-11576</v>
      </c>
      <c r="DV105" s="239">
        <v>1666</v>
      </c>
      <c r="DW105" s="239">
        <v>0</v>
      </c>
      <c r="DX105" s="239">
        <v>1666</v>
      </c>
      <c r="DY105" s="239">
        <v>0</v>
      </c>
      <c r="DZ105" s="239">
        <v>0</v>
      </c>
      <c r="EA105" s="239">
        <v>0</v>
      </c>
      <c r="EB105" s="239">
        <v>-18701</v>
      </c>
      <c r="EC105" s="239">
        <v>0</v>
      </c>
      <c r="ED105" s="239">
        <v>-18701</v>
      </c>
      <c r="EE105" s="239">
        <v>0</v>
      </c>
      <c r="EF105" s="239">
        <v>0</v>
      </c>
      <c r="EG105" s="239">
        <v>0</v>
      </c>
      <c r="EH105" s="239">
        <v>0</v>
      </c>
      <c r="EI105" s="239">
        <v>0</v>
      </c>
      <c r="EJ105" s="239">
        <v>0</v>
      </c>
      <c r="EK105" s="239">
        <v>0</v>
      </c>
      <c r="EL105" s="239">
        <v>0</v>
      </c>
      <c r="EM105" s="239">
        <v>0</v>
      </c>
      <c r="EN105" s="239">
        <v>27295</v>
      </c>
      <c r="EO105" s="239">
        <v>0</v>
      </c>
      <c r="EP105" s="239">
        <v>27295</v>
      </c>
      <c r="EQ105" s="239">
        <v>-1316</v>
      </c>
      <c r="ER105" s="239">
        <v>0</v>
      </c>
      <c r="ES105" s="239">
        <v>-1316</v>
      </c>
      <c r="ET105" s="239">
        <v>0</v>
      </c>
      <c r="EU105" s="239">
        <v>0</v>
      </c>
      <c r="EV105" s="239">
        <v>0</v>
      </c>
      <c r="EW105" s="239">
        <v>0</v>
      </c>
      <c r="EX105" s="239">
        <v>0</v>
      </c>
      <c r="EY105" s="239">
        <v>0</v>
      </c>
      <c r="EZ105" s="239">
        <v>0</v>
      </c>
      <c r="FA105" s="239">
        <v>0</v>
      </c>
      <c r="FB105" s="239">
        <v>0</v>
      </c>
      <c r="FC105" s="239">
        <v>45951321</v>
      </c>
      <c r="FD105" s="239">
        <v>455632</v>
      </c>
      <c r="FE105" s="239">
        <v>46406953</v>
      </c>
      <c r="FF105" s="239">
        <v>33860</v>
      </c>
      <c r="FG105" s="239">
        <v>0</v>
      </c>
      <c r="FH105" s="239">
        <v>33860</v>
      </c>
      <c r="FI105" s="239">
        <v>-3552636</v>
      </c>
      <c r="FJ105" s="239">
        <v>-11648</v>
      </c>
      <c r="FK105" s="239">
        <v>-3564284</v>
      </c>
      <c r="FL105" s="239">
        <v>-1044082</v>
      </c>
      <c r="FM105" s="239">
        <v>-3973</v>
      </c>
      <c r="FN105" s="239">
        <v>-1048055</v>
      </c>
      <c r="FO105" s="239">
        <v>-606640</v>
      </c>
      <c r="FP105" s="239">
        <v>-344039</v>
      </c>
      <c r="FQ105" s="239">
        <v>-950679</v>
      </c>
      <c r="FR105" s="239">
        <v>-1316</v>
      </c>
      <c r="FS105" s="239">
        <v>0</v>
      </c>
      <c r="FT105" s="239">
        <v>-1316</v>
      </c>
      <c r="FU105" s="239">
        <v>0</v>
      </c>
      <c r="FV105" s="239">
        <v>0</v>
      </c>
      <c r="FW105" s="239">
        <v>0</v>
      </c>
      <c r="FX105" s="239">
        <v>-5170814</v>
      </c>
      <c r="FY105" s="239">
        <v>-359660</v>
      </c>
      <c r="FZ105" s="239">
        <v>-5530474</v>
      </c>
      <c r="GA105" s="239">
        <v>40780507</v>
      </c>
      <c r="GB105" s="239">
        <v>95972</v>
      </c>
      <c r="GC105" s="239">
        <v>40876479</v>
      </c>
      <c r="GD105" s="214" t="s">
        <v>1190</v>
      </c>
    </row>
    <row r="106" spans="1:186" s="214" customFormat="1" x14ac:dyDescent="0.2">
      <c r="B106" s="609" t="s">
        <v>294</v>
      </c>
      <c r="C106" s="609" t="s">
        <v>293</v>
      </c>
      <c r="D106" s="239">
        <v>0</v>
      </c>
      <c r="E106" s="239">
        <v>0</v>
      </c>
      <c r="F106" s="239">
        <v>0</v>
      </c>
      <c r="G106" s="239">
        <v>701359</v>
      </c>
      <c r="H106" s="239">
        <v>0</v>
      </c>
      <c r="I106" s="239">
        <v>701359</v>
      </c>
      <c r="J106" s="239">
        <v>0</v>
      </c>
      <c r="K106" s="239">
        <v>0</v>
      </c>
      <c r="L106" s="239">
        <v>0</v>
      </c>
      <c r="M106" s="239">
        <v>-1767</v>
      </c>
      <c r="N106" s="239">
        <v>0</v>
      </c>
      <c r="O106" s="239">
        <v>-1767</v>
      </c>
      <c r="P106" s="239">
        <v>699592</v>
      </c>
      <c r="Q106" s="239">
        <v>0</v>
      </c>
      <c r="R106" s="239">
        <v>699592</v>
      </c>
      <c r="S106" s="239">
        <v>-2503813</v>
      </c>
      <c r="T106" s="239">
        <v>0</v>
      </c>
      <c r="U106" s="239">
        <v>-2503813</v>
      </c>
      <c r="V106" s="239">
        <v>-1198</v>
      </c>
      <c r="W106" s="239">
        <v>0</v>
      </c>
      <c r="X106" s="239">
        <v>-1198</v>
      </c>
      <c r="Y106" s="239">
        <v>-95587.31</v>
      </c>
      <c r="Z106" s="239">
        <v>0</v>
      </c>
      <c r="AA106" s="239">
        <v>-95587.31</v>
      </c>
      <c r="AB106" s="239">
        <v>-95587</v>
      </c>
      <c r="AC106" s="239">
        <v>0</v>
      </c>
      <c r="AD106" s="239">
        <v>-95587</v>
      </c>
      <c r="AE106" s="239">
        <v>0</v>
      </c>
      <c r="AF106" s="239">
        <v>0</v>
      </c>
      <c r="AG106" s="239">
        <v>0</v>
      </c>
      <c r="AH106" s="239">
        <v>688077</v>
      </c>
      <c r="AI106" s="239">
        <v>0</v>
      </c>
      <c r="AJ106" s="239">
        <v>688077</v>
      </c>
      <c r="AK106" s="239">
        <v>-39759</v>
      </c>
      <c r="AL106" s="239">
        <v>0</v>
      </c>
      <c r="AM106" s="239">
        <v>-39759</v>
      </c>
      <c r="AN106" s="239">
        <v>-1999520</v>
      </c>
      <c r="AO106" s="239">
        <v>0</v>
      </c>
      <c r="AP106" s="239">
        <v>-1999520</v>
      </c>
      <c r="AQ106" s="239">
        <v>28144</v>
      </c>
      <c r="AR106" s="239">
        <v>0</v>
      </c>
      <c r="AS106" s="239">
        <v>28144</v>
      </c>
      <c r="AT106" s="239">
        <v>-34154</v>
      </c>
      <c r="AU106" s="239">
        <v>0</v>
      </c>
      <c r="AV106" s="239">
        <v>-34154</v>
      </c>
      <c r="AW106" s="239">
        <v>0</v>
      </c>
      <c r="AX106" s="239">
        <v>0</v>
      </c>
      <c r="AY106" s="239">
        <v>0</v>
      </c>
      <c r="AZ106" s="239">
        <v>-29715</v>
      </c>
      <c r="BA106" s="239">
        <v>0</v>
      </c>
      <c r="BB106" s="239">
        <v>-29715</v>
      </c>
      <c r="BC106" s="239">
        <v>0</v>
      </c>
      <c r="BD106" s="239">
        <v>0</v>
      </c>
      <c r="BE106" s="239">
        <v>0</v>
      </c>
      <c r="BF106" s="239">
        <v>-3986327</v>
      </c>
      <c r="BG106" s="239">
        <v>0</v>
      </c>
      <c r="BH106" s="239">
        <v>-3986327</v>
      </c>
      <c r="BI106" s="239">
        <v>0</v>
      </c>
      <c r="BJ106" s="239">
        <v>0</v>
      </c>
      <c r="BK106" s="239">
        <v>0</v>
      </c>
      <c r="BL106" s="239">
        <v>37</v>
      </c>
      <c r="BM106" s="239">
        <v>0</v>
      </c>
      <c r="BN106" s="239">
        <v>37</v>
      </c>
      <c r="BO106" s="239">
        <v>-552925</v>
      </c>
      <c r="BP106" s="239">
        <v>0</v>
      </c>
      <c r="BQ106" s="239">
        <v>-552925</v>
      </c>
      <c r="BR106" s="239">
        <v>-31562</v>
      </c>
      <c r="BS106" s="239">
        <v>0</v>
      </c>
      <c r="BT106" s="239">
        <v>-31562</v>
      </c>
      <c r="BU106" s="239">
        <v>-584450</v>
      </c>
      <c r="BV106" s="239">
        <v>0</v>
      </c>
      <c r="BW106" s="239">
        <v>-584450</v>
      </c>
      <c r="BX106" s="239">
        <v>-28920</v>
      </c>
      <c r="BY106" s="239">
        <v>0</v>
      </c>
      <c r="BZ106" s="239">
        <v>-28920</v>
      </c>
      <c r="CA106" s="239">
        <v>231</v>
      </c>
      <c r="CB106" s="239">
        <v>0</v>
      </c>
      <c r="CC106" s="239">
        <v>231</v>
      </c>
      <c r="CD106" s="239">
        <v>-65636</v>
      </c>
      <c r="CE106" s="239">
        <v>0</v>
      </c>
      <c r="CF106" s="239">
        <v>-65636</v>
      </c>
      <c r="CG106" s="239">
        <v>31</v>
      </c>
      <c r="CH106" s="239">
        <v>0</v>
      </c>
      <c r="CI106" s="239">
        <v>31</v>
      </c>
      <c r="CJ106" s="239">
        <v>-1068</v>
      </c>
      <c r="CK106" s="239">
        <v>0</v>
      </c>
      <c r="CL106" s="239">
        <v>-1068</v>
      </c>
      <c r="CM106" s="239">
        <v>0</v>
      </c>
      <c r="CN106" s="239">
        <v>0</v>
      </c>
      <c r="CO106" s="239">
        <v>0</v>
      </c>
      <c r="CP106" s="239">
        <v>-23184</v>
      </c>
      <c r="CQ106" s="239">
        <v>0</v>
      </c>
      <c r="CR106" s="239">
        <v>-23184</v>
      </c>
      <c r="CS106" s="239">
        <v>0</v>
      </c>
      <c r="CT106" s="239">
        <v>0</v>
      </c>
      <c r="CU106" s="239">
        <v>0</v>
      </c>
      <c r="CV106" s="239">
        <v>-16803</v>
      </c>
      <c r="CW106" s="239">
        <v>0</v>
      </c>
      <c r="CX106" s="239">
        <v>-16803</v>
      </c>
      <c r="CY106" s="239">
        <v>0</v>
      </c>
      <c r="CZ106" s="239">
        <v>0</v>
      </c>
      <c r="DA106" s="239">
        <v>0</v>
      </c>
      <c r="DB106" s="239">
        <v>0</v>
      </c>
      <c r="DC106" s="239">
        <v>0</v>
      </c>
      <c r="DD106" s="239">
        <v>0</v>
      </c>
      <c r="DE106" s="239">
        <v>0</v>
      </c>
      <c r="DF106" s="239">
        <v>0</v>
      </c>
      <c r="DG106" s="239">
        <v>0</v>
      </c>
      <c r="DH106" s="239">
        <v>0</v>
      </c>
      <c r="DI106" s="239">
        <v>0</v>
      </c>
      <c r="DJ106" s="239">
        <v>-135349</v>
      </c>
      <c r="DK106" s="239">
        <v>0</v>
      </c>
      <c r="DL106" s="239">
        <v>-135349</v>
      </c>
      <c r="DM106" s="239">
        <v>-1645</v>
      </c>
      <c r="DN106" s="239">
        <v>0</v>
      </c>
      <c r="DO106" s="239">
        <v>-1645</v>
      </c>
      <c r="DP106" s="239">
        <v>-533</v>
      </c>
      <c r="DQ106" s="239">
        <v>0</v>
      </c>
      <c r="DR106" s="239">
        <v>-533</v>
      </c>
      <c r="DS106" s="239">
        <v>-389</v>
      </c>
      <c r="DT106" s="239">
        <v>0</v>
      </c>
      <c r="DU106" s="239">
        <v>-389</v>
      </c>
      <c r="DV106" s="239">
        <v>111</v>
      </c>
      <c r="DW106" s="239">
        <v>0</v>
      </c>
      <c r="DX106" s="239">
        <v>111</v>
      </c>
      <c r="DY106" s="239">
        <v>0</v>
      </c>
      <c r="DZ106" s="239">
        <v>0</v>
      </c>
      <c r="EA106" s="239">
        <v>0</v>
      </c>
      <c r="EB106" s="239">
        <v>4869</v>
      </c>
      <c r="EC106" s="239">
        <v>0</v>
      </c>
      <c r="ED106" s="239">
        <v>4869</v>
      </c>
      <c r="EE106" s="239">
        <v>0</v>
      </c>
      <c r="EF106" s="239">
        <v>0</v>
      </c>
      <c r="EG106" s="239">
        <v>0</v>
      </c>
      <c r="EH106" s="239">
        <v>0</v>
      </c>
      <c r="EI106" s="239">
        <v>0</v>
      </c>
      <c r="EJ106" s="239">
        <v>0</v>
      </c>
      <c r="EK106" s="239">
        <v>-10259</v>
      </c>
      <c r="EL106" s="239">
        <v>0</v>
      </c>
      <c r="EM106" s="239">
        <v>-10259</v>
      </c>
      <c r="EN106" s="239">
        <v>-4337</v>
      </c>
      <c r="EO106" s="239">
        <v>0</v>
      </c>
      <c r="EP106" s="239">
        <v>-4337</v>
      </c>
      <c r="EQ106" s="239">
        <v>-12183</v>
      </c>
      <c r="ER106" s="239">
        <v>0</v>
      </c>
      <c r="ES106" s="239">
        <v>-12183</v>
      </c>
      <c r="ET106" s="239">
        <v>0</v>
      </c>
      <c r="EU106" s="239">
        <v>0</v>
      </c>
      <c r="EV106" s="239">
        <v>0</v>
      </c>
      <c r="EW106" s="239">
        <v>0</v>
      </c>
      <c r="EX106" s="239">
        <v>0</v>
      </c>
      <c r="EY106" s="239">
        <v>0</v>
      </c>
      <c r="EZ106" s="239">
        <v>0</v>
      </c>
      <c r="FA106" s="239">
        <v>0</v>
      </c>
      <c r="FB106" s="239">
        <v>0</v>
      </c>
      <c r="FC106" s="239">
        <v>29799904</v>
      </c>
      <c r="FD106" s="239">
        <v>0</v>
      </c>
      <c r="FE106" s="239">
        <v>29799904</v>
      </c>
      <c r="FF106" s="239">
        <v>699592</v>
      </c>
      <c r="FG106" s="239">
        <v>0</v>
      </c>
      <c r="FH106" s="239">
        <v>699592</v>
      </c>
      <c r="FI106" s="239">
        <v>-3986327</v>
      </c>
      <c r="FJ106" s="239">
        <v>0</v>
      </c>
      <c r="FK106" s="239">
        <v>-3986327</v>
      </c>
      <c r="FL106" s="239">
        <v>-584450</v>
      </c>
      <c r="FM106" s="239">
        <v>0</v>
      </c>
      <c r="FN106" s="239">
        <v>-584450</v>
      </c>
      <c r="FO106" s="239">
        <v>-135349</v>
      </c>
      <c r="FP106" s="239">
        <v>0</v>
      </c>
      <c r="FQ106" s="239">
        <v>-135349</v>
      </c>
      <c r="FR106" s="239">
        <v>-12183</v>
      </c>
      <c r="FS106" s="239">
        <v>0</v>
      </c>
      <c r="FT106" s="239">
        <v>-12183</v>
      </c>
      <c r="FU106" s="239">
        <v>0</v>
      </c>
      <c r="FV106" s="239">
        <v>0</v>
      </c>
      <c r="FW106" s="239">
        <v>0</v>
      </c>
      <c r="FX106" s="239">
        <v>-4018717</v>
      </c>
      <c r="FY106" s="239">
        <v>0</v>
      </c>
      <c r="FZ106" s="239">
        <v>-4018717</v>
      </c>
      <c r="GA106" s="239">
        <v>25781187</v>
      </c>
      <c r="GB106" s="239">
        <v>0</v>
      </c>
      <c r="GC106" s="239">
        <v>25781187</v>
      </c>
      <c r="GD106" s="214" t="s">
        <v>1190</v>
      </c>
    </row>
    <row r="107" spans="1:186" s="214" customFormat="1" x14ac:dyDescent="0.2">
      <c r="B107" s="609" t="s">
        <v>296</v>
      </c>
      <c r="C107" s="609" t="s">
        <v>295</v>
      </c>
      <c r="D107" s="239">
        <v>0</v>
      </c>
      <c r="E107" s="239">
        <v>0</v>
      </c>
      <c r="F107" s="239">
        <v>0</v>
      </c>
      <c r="G107" s="239">
        <v>26374</v>
      </c>
      <c r="H107" s="239">
        <v>0</v>
      </c>
      <c r="I107" s="239">
        <v>26374</v>
      </c>
      <c r="J107" s="239">
        <v>0</v>
      </c>
      <c r="K107" s="239">
        <v>0</v>
      </c>
      <c r="L107" s="239">
        <v>0</v>
      </c>
      <c r="M107" s="239">
        <v>9279</v>
      </c>
      <c r="N107" s="239">
        <v>0</v>
      </c>
      <c r="O107" s="239">
        <v>9279</v>
      </c>
      <c r="P107" s="239">
        <v>35653</v>
      </c>
      <c r="Q107" s="239">
        <v>0</v>
      </c>
      <c r="R107" s="239">
        <v>35653</v>
      </c>
      <c r="S107" s="239">
        <v>-1452888</v>
      </c>
      <c r="T107" s="239">
        <v>0</v>
      </c>
      <c r="U107" s="239">
        <v>-1452888</v>
      </c>
      <c r="V107" s="239">
        <v>-2995</v>
      </c>
      <c r="W107" s="239">
        <v>0</v>
      </c>
      <c r="X107" s="239">
        <v>-2995</v>
      </c>
      <c r="Y107" s="239">
        <v>-35302</v>
      </c>
      <c r="Z107" s="239">
        <v>0</v>
      </c>
      <c r="AA107" s="239">
        <v>-35302</v>
      </c>
      <c r="AB107" s="239">
        <v>-35302</v>
      </c>
      <c r="AC107" s="239">
        <v>0</v>
      </c>
      <c r="AD107" s="239">
        <v>-35302</v>
      </c>
      <c r="AE107" s="239">
        <v>352</v>
      </c>
      <c r="AF107" s="239">
        <v>0</v>
      </c>
      <c r="AG107" s="239">
        <v>352</v>
      </c>
      <c r="AH107" s="239">
        <v>598844</v>
      </c>
      <c r="AI107" s="239">
        <v>0</v>
      </c>
      <c r="AJ107" s="239">
        <v>598844</v>
      </c>
      <c r="AK107" s="239">
        <v>-1167</v>
      </c>
      <c r="AL107" s="239">
        <v>0</v>
      </c>
      <c r="AM107" s="239">
        <v>-1167</v>
      </c>
      <c r="AN107" s="239">
        <v>-1151782</v>
      </c>
      <c r="AO107" s="239">
        <v>0</v>
      </c>
      <c r="AP107" s="239">
        <v>-1151782</v>
      </c>
      <c r="AQ107" s="239">
        <v>-17636</v>
      </c>
      <c r="AR107" s="239">
        <v>0</v>
      </c>
      <c r="AS107" s="239">
        <v>-17636</v>
      </c>
      <c r="AT107" s="239">
        <v>-13039</v>
      </c>
      <c r="AU107" s="239">
        <v>0</v>
      </c>
      <c r="AV107" s="239">
        <v>-13039</v>
      </c>
      <c r="AW107" s="239">
        <v>0</v>
      </c>
      <c r="AX107" s="239">
        <v>0</v>
      </c>
      <c r="AY107" s="239">
        <v>0</v>
      </c>
      <c r="AZ107" s="239">
        <v>-13291</v>
      </c>
      <c r="BA107" s="239">
        <v>0</v>
      </c>
      <c r="BB107" s="239">
        <v>-13291</v>
      </c>
      <c r="BC107" s="239">
        <v>0</v>
      </c>
      <c r="BD107" s="239">
        <v>0</v>
      </c>
      <c r="BE107" s="239">
        <v>0</v>
      </c>
      <c r="BF107" s="239">
        <v>-2086261</v>
      </c>
      <c r="BG107" s="239">
        <v>0</v>
      </c>
      <c r="BH107" s="239">
        <v>-2086261</v>
      </c>
      <c r="BI107" s="239">
        <v>-20950</v>
      </c>
      <c r="BJ107" s="239">
        <v>0</v>
      </c>
      <c r="BK107" s="239">
        <v>-20950</v>
      </c>
      <c r="BL107" s="239">
        <v>-22168</v>
      </c>
      <c r="BM107" s="239">
        <v>0</v>
      </c>
      <c r="BN107" s="239">
        <v>-22168</v>
      </c>
      <c r="BO107" s="239">
        <v>-374510</v>
      </c>
      <c r="BP107" s="239">
        <v>0</v>
      </c>
      <c r="BQ107" s="239">
        <v>-374510</v>
      </c>
      <c r="BR107" s="239">
        <v>-42085</v>
      </c>
      <c r="BS107" s="239">
        <v>0</v>
      </c>
      <c r="BT107" s="239">
        <v>-42085</v>
      </c>
      <c r="BU107" s="239">
        <v>-459713</v>
      </c>
      <c r="BV107" s="239">
        <v>0</v>
      </c>
      <c r="BW107" s="239">
        <v>-459713</v>
      </c>
      <c r="BX107" s="239">
        <v>-15143</v>
      </c>
      <c r="BY107" s="239">
        <v>0</v>
      </c>
      <c r="BZ107" s="239">
        <v>-15143</v>
      </c>
      <c r="CA107" s="239">
        <v>-181</v>
      </c>
      <c r="CB107" s="239">
        <v>0</v>
      </c>
      <c r="CC107" s="239">
        <v>-181</v>
      </c>
      <c r="CD107" s="239">
        <v>-636</v>
      </c>
      <c r="CE107" s="239">
        <v>0</v>
      </c>
      <c r="CF107" s="239">
        <v>-636</v>
      </c>
      <c r="CG107" s="239">
        <v>0</v>
      </c>
      <c r="CH107" s="239">
        <v>0</v>
      </c>
      <c r="CI107" s="239">
        <v>0</v>
      </c>
      <c r="CJ107" s="239">
        <v>-579</v>
      </c>
      <c r="CK107" s="239">
        <v>0</v>
      </c>
      <c r="CL107" s="239">
        <v>-579</v>
      </c>
      <c r="CM107" s="239">
        <v>0</v>
      </c>
      <c r="CN107" s="239">
        <v>0</v>
      </c>
      <c r="CO107" s="239">
        <v>0</v>
      </c>
      <c r="CP107" s="239">
        <v>-3575</v>
      </c>
      <c r="CQ107" s="239">
        <v>0</v>
      </c>
      <c r="CR107" s="239">
        <v>-3575</v>
      </c>
      <c r="CS107" s="239">
        <v>0</v>
      </c>
      <c r="CT107" s="239">
        <v>0</v>
      </c>
      <c r="CU107" s="239">
        <v>0</v>
      </c>
      <c r="CV107" s="239">
        <v>0</v>
      </c>
      <c r="CW107" s="239">
        <v>0</v>
      </c>
      <c r="CX107" s="239">
        <v>0</v>
      </c>
      <c r="CY107" s="239">
        <v>0</v>
      </c>
      <c r="CZ107" s="239">
        <v>0</v>
      </c>
      <c r="DA107" s="239">
        <v>0</v>
      </c>
      <c r="DB107" s="239">
        <v>-1920</v>
      </c>
      <c r="DC107" s="239">
        <v>0</v>
      </c>
      <c r="DD107" s="239">
        <v>-1920</v>
      </c>
      <c r="DE107" s="239">
        <v>0</v>
      </c>
      <c r="DF107" s="239">
        <v>0</v>
      </c>
      <c r="DG107" s="239">
        <v>0</v>
      </c>
      <c r="DH107" s="239">
        <v>0</v>
      </c>
      <c r="DI107" s="239">
        <v>0</v>
      </c>
      <c r="DJ107" s="239">
        <v>-22034</v>
      </c>
      <c r="DK107" s="239">
        <v>0</v>
      </c>
      <c r="DL107" s="239">
        <v>-22034</v>
      </c>
      <c r="DM107" s="239">
        <v>0</v>
      </c>
      <c r="DN107" s="239">
        <v>0</v>
      </c>
      <c r="DO107" s="239">
        <v>0</v>
      </c>
      <c r="DP107" s="239">
        <v>0</v>
      </c>
      <c r="DQ107" s="239">
        <v>0</v>
      </c>
      <c r="DR107" s="239">
        <v>0</v>
      </c>
      <c r="DS107" s="239">
        <v>-11493</v>
      </c>
      <c r="DT107" s="239">
        <v>0</v>
      </c>
      <c r="DU107" s="239">
        <v>-11493</v>
      </c>
      <c r="DV107" s="239">
        <v>1483</v>
      </c>
      <c r="DW107" s="239">
        <v>0</v>
      </c>
      <c r="DX107" s="239">
        <v>1483</v>
      </c>
      <c r="DY107" s="239">
        <v>0</v>
      </c>
      <c r="DZ107" s="239">
        <v>0</v>
      </c>
      <c r="EA107" s="239">
        <v>0</v>
      </c>
      <c r="EB107" s="239">
        <v>3596</v>
      </c>
      <c r="EC107" s="239">
        <v>0</v>
      </c>
      <c r="ED107" s="239">
        <v>3596</v>
      </c>
      <c r="EE107" s="239">
        <v>0</v>
      </c>
      <c r="EF107" s="239">
        <v>0</v>
      </c>
      <c r="EG107" s="239">
        <v>0</v>
      </c>
      <c r="EH107" s="239">
        <v>0</v>
      </c>
      <c r="EI107" s="239">
        <v>0</v>
      </c>
      <c r="EJ107" s="239">
        <v>0</v>
      </c>
      <c r="EK107" s="239">
        <v>-1542</v>
      </c>
      <c r="EL107" s="239">
        <v>0</v>
      </c>
      <c r="EM107" s="239">
        <v>-1542</v>
      </c>
      <c r="EN107" s="239">
        <v>0</v>
      </c>
      <c r="EO107" s="239">
        <v>0</v>
      </c>
      <c r="EP107" s="239">
        <v>0</v>
      </c>
      <c r="EQ107" s="239">
        <v>-7956</v>
      </c>
      <c r="ER107" s="239">
        <v>0</v>
      </c>
      <c r="ES107" s="239">
        <v>-7956</v>
      </c>
      <c r="ET107" s="239">
        <v>-49</v>
      </c>
      <c r="EU107" s="239">
        <v>0</v>
      </c>
      <c r="EV107" s="239">
        <v>-49</v>
      </c>
      <c r="EW107" s="239">
        <v>0</v>
      </c>
      <c r="EX107" s="239">
        <v>0</v>
      </c>
      <c r="EY107" s="239">
        <v>0</v>
      </c>
      <c r="EZ107" s="239">
        <v>-49</v>
      </c>
      <c r="FA107" s="239">
        <v>0</v>
      </c>
      <c r="FB107" s="239">
        <v>-49</v>
      </c>
      <c r="FC107" s="239">
        <v>26388258</v>
      </c>
      <c r="FD107" s="239">
        <v>0</v>
      </c>
      <c r="FE107" s="239">
        <v>26388258</v>
      </c>
      <c r="FF107" s="239">
        <v>35653</v>
      </c>
      <c r="FG107" s="239">
        <v>0</v>
      </c>
      <c r="FH107" s="239">
        <v>35653</v>
      </c>
      <c r="FI107" s="239">
        <v>-2086261</v>
      </c>
      <c r="FJ107" s="239">
        <v>0</v>
      </c>
      <c r="FK107" s="239">
        <v>-2086261</v>
      </c>
      <c r="FL107" s="239">
        <v>-459713</v>
      </c>
      <c r="FM107" s="239">
        <v>0</v>
      </c>
      <c r="FN107" s="239">
        <v>-459713</v>
      </c>
      <c r="FO107" s="239">
        <v>-22034</v>
      </c>
      <c r="FP107" s="239">
        <v>0</v>
      </c>
      <c r="FQ107" s="239">
        <v>-22034</v>
      </c>
      <c r="FR107" s="239">
        <v>-7956</v>
      </c>
      <c r="FS107" s="239">
        <v>0</v>
      </c>
      <c r="FT107" s="239">
        <v>-7956</v>
      </c>
      <c r="FU107" s="239">
        <v>-49</v>
      </c>
      <c r="FV107" s="239">
        <v>0</v>
      </c>
      <c r="FW107" s="239">
        <v>-49</v>
      </c>
      <c r="FX107" s="239">
        <v>-2540360</v>
      </c>
      <c r="FY107" s="239">
        <v>0</v>
      </c>
      <c r="FZ107" s="239">
        <v>-2540360</v>
      </c>
      <c r="GA107" s="239">
        <v>23847898</v>
      </c>
      <c r="GB107" s="239">
        <v>0</v>
      </c>
      <c r="GC107" s="239">
        <v>23847898</v>
      </c>
      <c r="GD107" s="214" t="s">
        <v>1190</v>
      </c>
    </row>
    <row r="108" spans="1:186" s="214" customFormat="1" x14ac:dyDescent="0.2">
      <c r="B108" s="609" t="s">
        <v>298</v>
      </c>
      <c r="C108" s="609" t="s">
        <v>297</v>
      </c>
      <c r="D108" s="239">
        <v>0</v>
      </c>
      <c r="E108" s="239">
        <v>0</v>
      </c>
      <c r="F108" s="239">
        <v>0</v>
      </c>
      <c r="G108" s="239">
        <v>110676</v>
      </c>
      <c r="H108" s="239">
        <v>0</v>
      </c>
      <c r="I108" s="239">
        <v>110676</v>
      </c>
      <c r="J108" s="239">
        <v>0</v>
      </c>
      <c r="K108" s="239">
        <v>0</v>
      </c>
      <c r="L108" s="239">
        <v>0</v>
      </c>
      <c r="M108" s="239">
        <v>363</v>
      </c>
      <c r="N108" s="239">
        <v>0</v>
      </c>
      <c r="O108" s="239">
        <v>363</v>
      </c>
      <c r="P108" s="239">
        <v>111039</v>
      </c>
      <c r="Q108" s="239">
        <v>0</v>
      </c>
      <c r="R108" s="239">
        <v>111039</v>
      </c>
      <c r="S108" s="239">
        <v>-2511643</v>
      </c>
      <c r="T108" s="239">
        <v>0</v>
      </c>
      <c r="U108" s="239">
        <v>-2511643</v>
      </c>
      <c r="V108" s="239">
        <v>-4728</v>
      </c>
      <c r="W108" s="239">
        <v>0</v>
      </c>
      <c r="X108" s="239">
        <v>-4728</v>
      </c>
      <c r="Y108" s="239">
        <v>-230474</v>
      </c>
      <c r="Z108" s="239">
        <v>0</v>
      </c>
      <c r="AA108" s="239">
        <v>-230474</v>
      </c>
      <c r="AB108" s="239">
        <v>-164476</v>
      </c>
      <c r="AC108" s="239">
        <v>0</v>
      </c>
      <c r="AD108" s="239">
        <v>-164476</v>
      </c>
      <c r="AE108" s="239">
        <v>-1207</v>
      </c>
      <c r="AF108" s="239">
        <v>0</v>
      </c>
      <c r="AG108" s="239">
        <v>-1207</v>
      </c>
      <c r="AH108" s="239">
        <v>313745</v>
      </c>
      <c r="AI108" s="239">
        <v>0</v>
      </c>
      <c r="AJ108" s="239">
        <v>313745</v>
      </c>
      <c r="AK108" s="239">
        <v>-15891</v>
      </c>
      <c r="AL108" s="239">
        <v>0</v>
      </c>
      <c r="AM108" s="239">
        <v>-15891</v>
      </c>
      <c r="AN108" s="239">
        <v>-1612685</v>
      </c>
      <c r="AO108" s="239">
        <v>0</v>
      </c>
      <c r="AP108" s="239">
        <v>-1612685</v>
      </c>
      <c r="AQ108" s="239">
        <v>-5099</v>
      </c>
      <c r="AR108" s="239">
        <v>0</v>
      </c>
      <c r="AS108" s="239">
        <v>-5099</v>
      </c>
      <c r="AT108" s="239">
        <v>-6505</v>
      </c>
      <c r="AU108" s="239">
        <v>0</v>
      </c>
      <c r="AV108" s="239">
        <v>-6505</v>
      </c>
      <c r="AW108" s="239">
        <v>0</v>
      </c>
      <c r="AX108" s="239">
        <v>0</v>
      </c>
      <c r="AY108" s="239">
        <v>0</v>
      </c>
      <c r="AZ108" s="239">
        <v>-49094</v>
      </c>
      <c r="BA108" s="239">
        <v>0</v>
      </c>
      <c r="BB108" s="239">
        <v>-49094</v>
      </c>
      <c r="BC108" s="239">
        <v>-2371</v>
      </c>
      <c r="BD108" s="239">
        <v>0</v>
      </c>
      <c r="BE108" s="239">
        <v>-2371</v>
      </c>
      <c r="BF108" s="239">
        <v>-4120017</v>
      </c>
      <c r="BG108" s="239">
        <v>0</v>
      </c>
      <c r="BH108" s="239">
        <v>-4120017</v>
      </c>
      <c r="BI108" s="239">
        <v>-3121</v>
      </c>
      <c r="BJ108" s="239">
        <v>0</v>
      </c>
      <c r="BK108" s="239">
        <v>-3121</v>
      </c>
      <c r="BL108" s="239">
        <v>0</v>
      </c>
      <c r="BM108" s="239">
        <v>0</v>
      </c>
      <c r="BN108" s="239">
        <v>0</v>
      </c>
      <c r="BO108" s="239">
        <v>-373414</v>
      </c>
      <c r="BP108" s="239">
        <v>0</v>
      </c>
      <c r="BQ108" s="239">
        <v>-373414</v>
      </c>
      <c r="BR108" s="239">
        <v>-11975</v>
      </c>
      <c r="BS108" s="239">
        <v>0</v>
      </c>
      <c r="BT108" s="239">
        <v>-11975</v>
      </c>
      <c r="BU108" s="239">
        <v>-388510</v>
      </c>
      <c r="BV108" s="239">
        <v>0</v>
      </c>
      <c r="BW108" s="239">
        <v>-388510</v>
      </c>
      <c r="BX108" s="239">
        <v>-30296</v>
      </c>
      <c r="BY108" s="239">
        <v>0</v>
      </c>
      <c r="BZ108" s="239">
        <v>-30296</v>
      </c>
      <c r="CA108" s="239">
        <v>291</v>
      </c>
      <c r="CB108" s="239">
        <v>0</v>
      </c>
      <c r="CC108" s="239">
        <v>291</v>
      </c>
      <c r="CD108" s="239">
        <v>-26661</v>
      </c>
      <c r="CE108" s="239">
        <v>0</v>
      </c>
      <c r="CF108" s="239">
        <v>-26661</v>
      </c>
      <c r="CG108" s="239">
        <v>12835</v>
      </c>
      <c r="CH108" s="239">
        <v>0</v>
      </c>
      <c r="CI108" s="239">
        <v>12835</v>
      </c>
      <c r="CJ108" s="239">
        <v>-162</v>
      </c>
      <c r="CK108" s="239">
        <v>0</v>
      </c>
      <c r="CL108" s="239">
        <v>-162</v>
      </c>
      <c r="CM108" s="239">
        <v>0</v>
      </c>
      <c r="CN108" s="239">
        <v>0</v>
      </c>
      <c r="CO108" s="239">
        <v>0</v>
      </c>
      <c r="CP108" s="239">
        <v>-12177</v>
      </c>
      <c r="CQ108" s="239">
        <v>0</v>
      </c>
      <c r="CR108" s="239">
        <v>-12177</v>
      </c>
      <c r="CS108" s="239">
        <v>-2042</v>
      </c>
      <c r="CT108" s="239">
        <v>0</v>
      </c>
      <c r="CU108" s="239">
        <v>-2042</v>
      </c>
      <c r="CV108" s="239">
        <v>0</v>
      </c>
      <c r="CW108" s="239">
        <v>0</v>
      </c>
      <c r="CX108" s="239">
        <v>0</v>
      </c>
      <c r="CY108" s="239">
        <v>0</v>
      </c>
      <c r="CZ108" s="239">
        <v>0</v>
      </c>
      <c r="DA108" s="239">
        <v>0</v>
      </c>
      <c r="DB108" s="239">
        <v>0</v>
      </c>
      <c r="DC108" s="239">
        <v>0</v>
      </c>
      <c r="DD108" s="239">
        <v>0</v>
      </c>
      <c r="DE108" s="239">
        <v>0</v>
      </c>
      <c r="DF108" s="239">
        <v>0</v>
      </c>
      <c r="DG108" s="239">
        <v>0</v>
      </c>
      <c r="DH108" s="239">
        <v>0</v>
      </c>
      <c r="DI108" s="239">
        <v>0</v>
      </c>
      <c r="DJ108" s="239">
        <v>-58212</v>
      </c>
      <c r="DK108" s="239">
        <v>0</v>
      </c>
      <c r="DL108" s="239">
        <v>-58212</v>
      </c>
      <c r="DM108" s="239">
        <v>-354</v>
      </c>
      <c r="DN108" s="239">
        <v>0</v>
      </c>
      <c r="DO108" s="239">
        <v>-354</v>
      </c>
      <c r="DP108" s="239">
        <v>0</v>
      </c>
      <c r="DQ108" s="239">
        <v>0</v>
      </c>
      <c r="DR108" s="239">
        <v>0</v>
      </c>
      <c r="DS108" s="239">
        <v>-1933</v>
      </c>
      <c r="DT108" s="239">
        <v>0</v>
      </c>
      <c r="DU108" s="239">
        <v>-1933</v>
      </c>
      <c r="DV108" s="239">
        <v>0</v>
      </c>
      <c r="DW108" s="239">
        <v>0</v>
      </c>
      <c r="DX108" s="239">
        <v>0</v>
      </c>
      <c r="DY108" s="239">
        <v>0</v>
      </c>
      <c r="DZ108" s="239">
        <v>0</v>
      </c>
      <c r="EA108" s="239">
        <v>0</v>
      </c>
      <c r="EB108" s="239">
        <v>16247</v>
      </c>
      <c r="EC108" s="239">
        <v>0</v>
      </c>
      <c r="ED108" s="239">
        <v>16247</v>
      </c>
      <c r="EE108" s="239">
        <v>0</v>
      </c>
      <c r="EF108" s="239">
        <v>0</v>
      </c>
      <c r="EG108" s="239">
        <v>0</v>
      </c>
      <c r="EH108" s="239">
        <v>0</v>
      </c>
      <c r="EI108" s="239">
        <v>0</v>
      </c>
      <c r="EJ108" s="239">
        <v>0</v>
      </c>
      <c r="EK108" s="239">
        <v>-21127</v>
      </c>
      <c r="EL108" s="239">
        <v>0</v>
      </c>
      <c r="EM108" s="239">
        <v>-21127</v>
      </c>
      <c r="EN108" s="239">
        <v>4948</v>
      </c>
      <c r="EO108" s="239">
        <v>0</v>
      </c>
      <c r="EP108" s="239">
        <v>4948</v>
      </c>
      <c r="EQ108" s="239">
        <v>-2219</v>
      </c>
      <c r="ER108" s="239">
        <v>0</v>
      </c>
      <c r="ES108" s="239">
        <v>-2219</v>
      </c>
      <c r="ET108" s="239">
        <v>0</v>
      </c>
      <c r="EU108" s="239">
        <v>0</v>
      </c>
      <c r="EV108" s="239">
        <v>0</v>
      </c>
      <c r="EW108" s="239">
        <v>0</v>
      </c>
      <c r="EX108" s="239">
        <v>0</v>
      </c>
      <c r="EY108" s="239">
        <v>0</v>
      </c>
      <c r="EZ108" s="239">
        <v>0</v>
      </c>
      <c r="FA108" s="239">
        <v>0</v>
      </c>
      <c r="FB108" s="239">
        <v>0</v>
      </c>
      <c r="FC108" s="239">
        <v>16368187</v>
      </c>
      <c r="FD108" s="239">
        <v>0</v>
      </c>
      <c r="FE108" s="239">
        <v>16368187</v>
      </c>
      <c r="FF108" s="239">
        <v>111039</v>
      </c>
      <c r="FG108" s="239">
        <v>0</v>
      </c>
      <c r="FH108" s="239">
        <v>111039</v>
      </c>
      <c r="FI108" s="239">
        <v>-4120017</v>
      </c>
      <c r="FJ108" s="239">
        <v>0</v>
      </c>
      <c r="FK108" s="239">
        <v>-4120017</v>
      </c>
      <c r="FL108" s="239">
        <v>-388510</v>
      </c>
      <c r="FM108" s="239">
        <v>0</v>
      </c>
      <c r="FN108" s="239">
        <v>-388510</v>
      </c>
      <c r="FO108" s="239">
        <v>-58212</v>
      </c>
      <c r="FP108" s="239">
        <v>0</v>
      </c>
      <c r="FQ108" s="239">
        <v>-58212</v>
      </c>
      <c r="FR108" s="239">
        <v>-2219</v>
      </c>
      <c r="FS108" s="239">
        <v>0</v>
      </c>
      <c r="FT108" s="239">
        <v>-2219</v>
      </c>
      <c r="FU108" s="239">
        <v>0</v>
      </c>
      <c r="FV108" s="239">
        <v>0</v>
      </c>
      <c r="FW108" s="239">
        <v>0</v>
      </c>
      <c r="FX108" s="239">
        <v>-4457919</v>
      </c>
      <c r="FY108" s="239">
        <v>0</v>
      </c>
      <c r="FZ108" s="239">
        <v>-4457919</v>
      </c>
      <c r="GA108" s="239">
        <v>11910268</v>
      </c>
      <c r="GB108" s="239">
        <v>0</v>
      </c>
      <c r="GC108" s="239">
        <v>11910268</v>
      </c>
      <c r="GD108" s="214" t="s">
        <v>1190</v>
      </c>
    </row>
    <row r="109" spans="1:186" s="214" customFormat="1" x14ac:dyDescent="0.2">
      <c r="B109" s="609" t="s">
        <v>300</v>
      </c>
      <c r="C109" s="609" t="s">
        <v>299</v>
      </c>
      <c r="D109" s="239">
        <v>0</v>
      </c>
      <c r="E109" s="239">
        <v>0</v>
      </c>
      <c r="F109" s="239">
        <v>0</v>
      </c>
      <c r="G109" s="239">
        <v>331025</v>
      </c>
      <c r="H109" s="239">
        <v>0</v>
      </c>
      <c r="I109" s="239">
        <v>331025</v>
      </c>
      <c r="J109" s="239">
        <v>0</v>
      </c>
      <c r="K109" s="239">
        <v>0</v>
      </c>
      <c r="L109" s="239">
        <v>0</v>
      </c>
      <c r="M109" s="239">
        <v>-45207</v>
      </c>
      <c r="N109" s="239">
        <v>0</v>
      </c>
      <c r="O109" s="239">
        <v>-45207</v>
      </c>
      <c r="P109" s="239">
        <v>285818</v>
      </c>
      <c r="Q109" s="239">
        <v>0</v>
      </c>
      <c r="R109" s="239">
        <v>285818</v>
      </c>
      <c r="S109" s="239">
        <v>-2290914</v>
      </c>
      <c r="T109" s="239">
        <v>0</v>
      </c>
      <c r="U109" s="239">
        <v>-2290914</v>
      </c>
      <c r="V109" s="239">
        <v>-2839</v>
      </c>
      <c r="W109" s="239">
        <v>0</v>
      </c>
      <c r="X109" s="239">
        <v>-2839</v>
      </c>
      <c r="Y109" s="239">
        <v>-136331</v>
      </c>
      <c r="Z109" s="239">
        <v>0</v>
      </c>
      <c r="AA109" s="239">
        <v>-136331</v>
      </c>
      <c r="AB109" s="239">
        <v>-136331</v>
      </c>
      <c r="AC109" s="239">
        <v>0</v>
      </c>
      <c r="AD109" s="239">
        <v>-136331</v>
      </c>
      <c r="AE109" s="239">
        <v>0</v>
      </c>
      <c r="AF109" s="239">
        <v>0</v>
      </c>
      <c r="AG109" s="239">
        <v>0</v>
      </c>
      <c r="AH109" s="239">
        <v>631998</v>
      </c>
      <c r="AI109" s="239">
        <v>52422</v>
      </c>
      <c r="AJ109" s="239">
        <v>684420</v>
      </c>
      <c r="AK109" s="239">
        <v>-5024</v>
      </c>
      <c r="AL109" s="239">
        <v>0</v>
      </c>
      <c r="AM109" s="239">
        <v>-5024</v>
      </c>
      <c r="AN109" s="239">
        <v>-1241186</v>
      </c>
      <c r="AO109" s="239">
        <v>0</v>
      </c>
      <c r="AP109" s="239">
        <v>-1241186</v>
      </c>
      <c r="AQ109" s="239">
        <v>7183</v>
      </c>
      <c r="AR109" s="239">
        <v>0</v>
      </c>
      <c r="AS109" s="239">
        <v>7183</v>
      </c>
      <c r="AT109" s="239">
        <v>-7843</v>
      </c>
      <c r="AU109" s="239">
        <v>0</v>
      </c>
      <c r="AV109" s="239">
        <v>-7843</v>
      </c>
      <c r="AW109" s="239">
        <v>0</v>
      </c>
      <c r="AX109" s="239">
        <v>0</v>
      </c>
      <c r="AY109" s="239">
        <v>0</v>
      </c>
      <c r="AZ109" s="239">
        <v>-7419</v>
      </c>
      <c r="BA109" s="239">
        <v>0</v>
      </c>
      <c r="BB109" s="239">
        <v>-7419</v>
      </c>
      <c r="BC109" s="239">
        <v>0</v>
      </c>
      <c r="BD109" s="239">
        <v>0</v>
      </c>
      <c r="BE109" s="239">
        <v>0</v>
      </c>
      <c r="BF109" s="239">
        <v>-3049536</v>
      </c>
      <c r="BG109" s="239">
        <v>52422</v>
      </c>
      <c r="BH109" s="239">
        <v>-2997114</v>
      </c>
      <c r="BI109" s="239">
        <v>0</v>
      </c>
      <c r="BJ109" s="239">
        <v>0</v>
      </c>
      <c r="BK109" s="239">
        <v>0</v>
      </c>
      <c r="BL109" s="239">
        <v>0</v>
      </c>
      <c r="BM109" s="239">
        <v>0</v>
      </c>
      <c r="BN109" s="239">
        <v>0</v>
      </c>
      <c r="BO109" s="239">
        <v>-675072</v>
      </c>
      <c r="BP109" s="239">
        <v>-6088</v>
      </c>
      <c r="BQ109" s="239">
        <v>-681160</v>
      </c>
      <c r="BR109" s="239">
        <v>-55148</v>
      </c>
      <c r="BS109" s="239">
        <v>0</v>
      </c>
      <c r="BT109" s="239">
        <v>-55148</v>
      </c>
      <c r="BU109" s="239">
        <v>-730220</v>
      </c>
      <c r="BV109" s="239">
        <v>-6088</v>
      </c>
      <c r="BW109" s="239">
        <v>-736308</v>
      </c>
      <c r="BX109" s="239">
        <v>-62589</v>
      </c>
      <c r="BY109" s="239">
        <v>0</v>
      </c>
      <c r="BZ109" s="239">
        <v>-62589</v>
      </c>
      <c r="CA109" s="239">
        <v>-830</v>
      </c>
      <c r="CB109" s="239">
        <v>0</v>
      </c>
      <c r="CC109" s="239">
        <v>-830</v>
      </c>
      <c r="CD109" s="239">
        <v>-19294</v>
      </c>
      <c r="CE109" s="239">
        <v>0</v>
      </c>
      <c r="CF109" s="239">
        <v>-19294</v>
      </c>
      <c r="CG109" s="239">
        <v>0</v>
      </c>
      <c r="CH109" s="239">
        <v>0</v>
      </c>
      <c r="CI109" s="239">
        <v>0</v>
      </c>
      <c r="CJ109" s="239">
        <v>-1073</v>
      </c>
      <c r="CK109" s="239">
        <v>0</v>
      </c>
      <c r="CL109" s="239">
        <v>-1073</v>
      </c>
      <c r="CM109" s="239">
        <v>0</v>
      </c>
      <c r="CN109" s="239">
        <v>0</v>
      </c>
      <c r="CO109" s="239">
        <v>0</v>
      </c>
      <c r="CP109" s="239">
        <v>-6445</v>
      </c>
      <c r="CQ109" s="239">
        <v>0</v>
      </c>
      <c r="CR109" s="239">
        <v>-6445</v>
      </c>
      <c r="CS109" s="239">
        <v>0</v>
      </c>
      <c r="CT109" s="239">
        <v>0</v>
      </c>
      <c r="CU109" s="239">
        <v>0</v>
      </c>
      <c r="CV109" s="239">
        <v>0</v>
      </c>
      <c r="CW109" s="239">
        <v>0</v>
      </c>
      <c r="CX109" s="239">
        <v>0</v>
      </c>
      <c r="CY109" s="239">
        <v>0</v>
      </c>
      <c r="CZ109" s="239">
        <v>0</v>
      </c>
      <c r="DA109" s="239">
        <v>0</v>
      </c>
      <c r="DB109" s="239">
        <v>-50452</v>
      </c>
      <c r="DC109" s="239">
        <v>0</v>
      </c>
      <c r="DD109" s="239">
        <v>-50452</v>
      </c>
      <c r="DE109" s="239">
        <v>0</v>
      </c>
      <c r="DF109" s="239">
        <v>0</v>
      </c>
      <c r="DG109" s="239">
        <v>0</v>
      </c>
      <c r="DH109" s="239">
        <v>0</v>
      </c>
      <c r="DI109" s="239">
        <v>-50452</v>
      </c>
      <c r="DJ109" s="239">
        <v>-140683</v>
      </c>
      <c r="DK109" s="239">
        <v>0</v>
      </c>
      <c r="DL109" s="239">
        <v>-140683</v>
      </c>
      <c r="DM109" s="239">
        <v>-21477</v>
      </c>
      <c r="DN109" s="239">
        <v>0</v>
      </c>
      <c r="DO109" s="239">
        <v>-21477</v>
      </c>
      <c r="DP109" s="239">
        <v>0</v>
      </c>
      <c r="DQ109" s="239">
        <v>0</v>
      </c>
      <c r="DR109" s="239">
        <v>0</v>
      </c>
      <c r="DS109" s="239">
        <v>-6026</v>
      </c>
      <c r="DT109" s="239">
        <v>0</v>
      </c>
      <c r="DU109" s="239">
        <v>-6026</v>
      </c>
      <c r="DV109" s="239">
        <v>-196</v>
      </c>
      <c r="DW109" s="239">
        <v>0</v>
      </c>
      <c r="DX109" s="239">
        <v>-196</v>
      </c>
      <c r="DY109" s="239">
        <v>0</v>
      </c>
      <c r="DZ109" s="239">
        <v>0</v>
      </c>
      <c r="EA109" s="239">
        <v>0</v>
      </c>
      <c r="EB109" s="239">
        <v>-1547</v>
      </c>
      <c r="EC109" s="239">
        <v>0</v>
      </c>
      <c r="ED109" s="239">
        <v>-1547</v>
      </c>
      <c r="EE109" s="239">
        <v>0</v>
      </c>
      <c r="EF109" s="239">
        <v>0</v>
      </c>
      <c r="EG109" s="239">
        <v>0</v>
      </c>
      <c r="EH109" s="239">
        <v>0</v>
      </c>
      <c r="EI109" s="239">
        <v>0</v>
      </c>
      <c r="EJ109" s="239">
        <v>0</v>
      </c>
      <c r="EK109" s="239">
        <v>-4357</v>
      </c>
      <c r="EL109" s="239">
        <v>0</v>
      </c>
      <c r="EM109" s="239">
        <v>-4357</v>
      </c>
      <c r="EN109" s="239">
        <v>13</v>
      </c>
      <c r="EO109" s="239">
        <v>0</v>
      </c>
      <c r="EP109" s="239">
        <v>13</v>
      </c>
      <c r="EQ109" s="239">
        <v>-33590</v>
      </c>
      <c r="ER109" s="239">
        <v>0</v>
      </c>
      <c r="ES109" s="239">
        <v>-33590</v>
      </c>
      <c r="ET109" s="239">
        <v>0</v>
      </c>
      <c r="EU109" s="239">
        <v>0</v>
      </c>
      <c r="EV109" s="239">
        <v>0</v>
      </c>
      <c r="EW109" s="239">
        <v>0</v>
      </c>
      <c r="EX109" s="239">
        <v>0</v>
      </c>
      <c r="EY109" s="239">
        <v>0</v>
      </c>
      <c r="EZ109" s="239">
        <v>0</v>
      </c>
      <c r="FA109" s="239">
        <v>0</v>
      </c>
      <c r="FB109" s="239">
        <v>0</v>
      </c>
      <c r="FC109" s="239">
        <v>28835482</v>
      </c>
      <c r="FD109" s="239">
        <v>1955941</v>
      </c>
      <c r="FE109" s="239">
        <v>30791423</v>
      </c>
      <c r="FF109" s="239">
        <v>285818</v>
      </c>
      <c r="FG109" s="239">
        <v>0</v>
      </c>
      <c r="FH109" s="239">
        <v>285818</v>
      </c>
      <c r="FI109" s="239">
        <v>-3049536</v>
      </c>
      <c r="FJ109" s="239">
        <v>52422</v>
      </c>
      <c r="FK109" s="239">
        <v>-2997114</v>
      </c>
      <c r="FL109" s="239">
        <v>-730220</v>
      </c>
      <c r="FM109" s="239">
        <v>-6088</v>
      </c>
      <c r="FN109" s="239">
        <v>-736308</v>
      </c>
      <c r="FO109" s="239">
        <v>-140683</v>
      </c>
      <c r="FP109" s="239">
        <v>0</v>
      </c>
      <c r="FQ109" s="239">
        <v>-140683</v>
      </c>
      <c r="FR109" s="239">
        <v>-33590</v>
      </c>
      <c r="FS109" s="239">
        <v>0</v>
      </c>
      <c r="FT109" s="239">
        <v>-33590</v>
      </c>
      <c r="FU109" s="239">
        <v>0</v>
      </c>
      <c r="FV109" s="239">
        <v>0</v>
      </c>
      <c r="FW109" s="239">
        <v>0</v>
      </c>
      <c r="FX109" s="239">
        <v>-3668211</v>
      </c>
      <c r="FY109" s="239">
        <v>46334</v>
      </c>
      <c r="FZ109" s="239">
        <v>-3621877</v>
      </c>
      <c r="GA109" s="239">
        <v>25167271</v>
      </c>
      <c r="GB109" s="239">
        <v>2002275</v>
      </c>
      <c r="GC109" s="239">
        <v>27169546</v>
      </c>
      <c r="GD109" s="214" t="s">
        <v>1190</v>
      </c>
    </row>
    <row r="110" spans="1:186" s="214" customFormat="1" x14ac:dyDescent="0.2">
      <c r="B110" s="609" t="s">
        <v>302</v>
      </c>
      <c r="C110" s="609" t="s">
        <v>301</v>
      </c>
      <c r="D110" s="239">
        <v>0</v>
      </c>
      <c r="E110" s="239">
        <v>0</v>
      </c>
      <c r="F110" s="239">
        <v>0</v>
      </c>
      <c r="G110" s="239">
        <v>57417</v>
      </c>
      <c r="H110" s="239">
        <v>0</v>
      </c>
      <c r="I110" s="239">
        <v>57417</v>
      </c>
      <c r="J110" s="239">
        <v>0</v>
      </c>
      <c r="K110" s="239">
        <v>0</v>
      </c>
      <c r="L110" s="239">
        <v>0</v>
      </c>
      <c r="M110" s="239">
        <v>177660</v>
      </c>
      <c r="N110" s="239">
        <v>0</v>
      </c>
      <c r="O110" s="239">
        <v>177660</v>
      </c>
      <c r="P110" s="239">
        <v>235077</v>
      </c>
      <c r="Q110" s="239">
        <v>0</v>
      </c>
      <c r="R110" s="239">
        <v>235077</v>
      </c>
      <c r="S110" s="239">
        <v>-4082028</v>
      </c>
      <c r="T110" s="239">
        <v>-65819</v>
      </c>
      <c r="U110" s="239">
        <v>-4147847</v>
      </c>
      <c r="V110" s="239">
        <v>0</v>
      </c>
      <c r="W110" s="239">
        <v>0</v>
      </c>
      <c r="X110" s="239">
        <v>0</v>
      </c>
      <c r="Y110" s="239">
        <v>-146293</v>
      </c>
      <c r="Z110" s="239">
        <v>-2438</v>
      </c>
      <c r="AA110" s="239">
        <v>-148731</v>
      </c>
      <c r="AB110" s="239">
        <v>-121193</v>
      </c>
      <c r="AC110" s="239">
        <v>0</v>
      </c>
      <c r="AD110" s="239">
        <v>-121193</v>
      </c>
      <c r="AE110" s="239">
        <v>2692</v>
      </c>
      <c r="AF110" s="239">
        <v>0</v>
      </c>
      <c r="AG110" s="239">
        <v>2692</v>
      </c>
      <c r="AH110" s="239">
        <v>2507041</v>
      </c>
      <c r="AI110" s="239">
        <v>61684</v>
      </c>
      <c r="AJ110" s="239">
        <v>2568725</v>
      </c>
      <c r="AK110" s="239">
        <v>-72412</v>
      </c>
      <c r="AL110" s="239">
        <v>670</v>
      </c>
      <c r="AM110" s="239">
        <v>-71742</v>
      </c>
      <c r="AN110" s="239">
        <v>-3354654</v>
      </c>
      <c r="AO110" s="239">
        <v>-737458</v>
      </c>
      <c r="AP110" s="239">
        <v>-4092112</v>
      </c>
      <c r="AQ110" s="239">
        <v>-21308</v>
      </c>
      <c r="AR110" s="239">
        <v>0</v>
      </c>
      <c r="AS110" s="239">
        <v>-21308</v>
      </c>
      <c r="AT110" s="239">
        <v>-87074</v>
      </c>
      <c r="AU110" s="239">
        <v>0</v>
      </c>
      <c r="AV110" s="239">
        <v>-87074</v>
      </c>
      <c r="AW110" s="239">
        <v>0</v>
      </c>
      <c r="AX110" s="239">
        <v>0</v>
      </c>
      <c r="AY110" s="239">
        <v>0</v>
      </c>
      <c r="AZ110" s="239">
        <v>-10772</v>
      </c>
      <c r="BA110" s="239">
        <v>0</v>
      </c>
      <c r="BB110" s="239">
        <v>-10772</v>
      </c>
      <c r="BC110" s="239">
        <v>505</v>
      </c>
      <c r="BD110" s="239">
        <v>0</v>
      </c>
      <c r="BE110" s="239">
        <v>505</v>
      </c>
      <c r="BF110" s="239">
        <v>-5266995</v>
      </c>
      <c r="BG110" s="239">
        <v>-743361</v>
      </c>
      <c r="BH110" s="239">
        <v>-6010356</v>
      </c>
      <c r="BI110" s="239">
        <v>-6608</v>
      </c>
      <c r="BJ110" s="239">
        <v>0</v>
      </c>
      <c r="BK110" s="239">
        <v>-6608</v>
      </c>
      <c r="BL110" s="239">
        <v>-51403</v>
      </c>
      <c r="BM110" s="239">
        <v>0</v>
      </c>
      <c r="BN110" s="239">
        <v>-51403</v>
      </c>
      <c r="BO110" s="239">
        <v>-4353003</v>
      </c>
      <c r="BP110" s="239">
        <v>-50885</v>
      </c>
      <c r="BQ110" s="239">
        <v>-4403888</v>
      </c>
      <c r="BR110" s="239">
        <v>-310067</v>
      </c>
      <c r="BS110" s="239">
        <v>-1614</v>
      </c>
      <c r="BT110" s="239">
        <v>-311681</v>
      </c>
      <c r="BU110" s="239">
        <v>-4721081</v>
      </c>
      <c r="BV110" s="239">
        <v>-52499</v>
      </c>
      <c r="BW110" s="239">
        <v>-4773580</v>
      </c>
      <c r="BX110" s="239">
        <v>-118011</v>
      </c>
      <c r="BY110" s="239">
        <v>-656</v>
      </c>
      <c r="BZ110" s="239">
        <v>-118667</v>
      </c>
      <c r="CA110" s="239">
        <v>-2139</v>
      </c>
      <c r="CB110" s="239">
        <v>0</v>
      </c>
      <c r="CC110" s="239">
        <v>-2139</v>
      </c>
      <c r="CD110" s="239">
        <v>-49377</v>
      </c>
      <c r="CE110" s="239">
        <v>0</v>
      </c>
      <c r="CF110" s="239">
        <v>-49377</v>
      </c>
      <c r="CG110" s="239">
        <v>2244</v>
      </c>
      <c r="CH110" s="239">
        <v>0</v>
      </c>
      <c r="CI110" s="239">
        <v>2244</v>
      </c>
      <c r="CJ110" s="239">
        <v>-736</v>
      </c>
      <c r="CK110" s="239">
        <v>0</v>
      </c>
      <c r="CL110" s="239">
        <v>-736</v>
      </c>
      <c r="CM110" s="239">
        <v>0</v>
      </c>
      <c r="CN110" s="239">
        <v>0</v>
      </c>
      <c r="CO110" s="239">
        <v>0</v>
      </c>
      <c r="CP110" s="239">
        <v>0</v>
      </c>
      <c r="CQ110" s="239">
        <v>0</v>
      </c>
      <c r="CR110" s="239">
        <v>0</v>
      </c>
      <c r="CS110" s="239">
        <v>0</v>
      </c>
      <c r="CT110" s="239">
        <v>0</v>
      </c>
      <c r="CU110" s="239">
        <v>0</v>
      </c>
      <c r="CV110" s="239">
        <v>0</v>
      </c>
      <c r="CW110" s="239">
        <v>0</v>
      </c>
      <c r="CX110" s="239">
        <v>0</v>
      </c>
      <c r="CY110" s="239">
        <v>0</v>
      </c>
      <c r="CZ110" s="239">
        <v>0</v>
      </c>
      <c r="DA110" s="239">
        <v>0</v>
      </c>
      <c r="DB110" s="239">
        <v>0</v>
      </c>
      <c r="DC110" s="239">
        <v>0</v>
      </c>
      <c r="DD110" s="239">
        <v>0</v>
      </c>
      <c r="DE110" s="239">
        <v>0</v>
      </c>
      <c r="DF110" s="239">
        <v>0</v>
      </c>
      <c r="DG110" s="239">
        <v>0</v>
      </c>
      <c r="DH110" s="239">
        <v>0</v>
      </c>
      <c r="DI110" s="239">
        <v>0</v>
      </c>
      <c r="DJ110" s="239">
        <v>-168019</v>
      </c>
      <c r="DK110" s="239">
        <v>-656</v>
      </c>
      <c r="DL110" s="239">
        <v>-168675</v>
      </c>
      <c r="DM110" s="239">
        <v>0</v>
      </c>
      <c r="DN110" s="239">
        <v>0</v>
      </c>
      <c r="DO110" s="239">
        <v>0</v>
      </c>
      <c r="DP110" s="239">
        <v>0</v>
      </c>
      <c r="DQ110" s="239">
        <v>0</v>
      </c>
      <c r="DR110" s="239">
        <v>0</v>
      </c>
      <c r="DS110" s="239">
        <v>-17343</v>
      </c>
      <c r="DT110" s="239">
        <v>-5407</v>
      </c>
      <c r="DU110" s="239">
        <v>-22750</v>
      </c>
      <c r="DV110" s="239">
        <v>0</v>
      </c>
      <c r="DW110" s="239">
        <v>245</v>
      </c>
      <c r="DX110" s="239">
        <v>245</v>
      </c>
      <c r="DY110" s="239">
        <v>0</v>
      </c>
      <c r="DZ110" s="239">
        <v>0</v>
      </c>
      <c r="EA110" s="239">
        <v>0</v>
      </c>
      <c r="EB110" s="239">
        <v>3076</v>
      </c>
      <c r="EC110" s="239">
        <v>-47</v>
      </c>
      <c r="ED110" s="239">
        <v>3029</v>
      </c>
      <c r="EE110" s="239">
        <v>0</v>
      </c>
      <c r="EF110" s="239">
        <v>0</v>
      </c>
      <c r="EG110" s="239">
        <v>0</v>
      </c>
      <c r="EH110" s="239">
        <v>0</v>
      </c>
      <c r="EI110" s="239">
        <v>0</v>
      </c>
      <c r="EJ110" s="239">
        <v>0</v>
      </c>
      <c r="EK110" s="239">
        <v>-32020</v>
      </c>
      <c r="EL110" s="239">
        <v>0</v>
      </c>
      <c r="EM110" s="239">
        <v>-32020</v>
      </c>
      <c r="EN110" s="239">
        <v>1041</v>
      </c>
      <c r="EO110" s="239">
        <v>0</v>
      </c>
      <c r="EP110" s="239">
        <v>1041</v>
      </c>
      <c r="EQ110" s="239">
        <v>-45246</v>
      </c>
      <c r="ER110" s="239">
        <v>-5209</v>
      </c>
      <c r="ES110" s="239">
        <v>-50455</v>
      </c>
      <c r="ET110" s="239">
        <v>0</v>
      </c>
      <c r="EU110" s="239">
        <v>0</v>
      </c>
      <c r="EV110" s="239">
        <v>0</v>
      </c>
      <c r="EW110" s="239">
        <v>0</v>
      </c>
      <c r="EX110" s="239">
        <v>0</v>
      </c>
      <c r="EY110" s="239">
        <v>0</v>
      </c>
      <c r="EZ110" s="239">
        <v>0</v>
      </c>
      <c r="FA110" s="239">
        <v>0</v>
      </c>
      <c r="FB110" s="239">
        <v>0</v>
      </c>
      <c r="FC110" s="239">
        <v>101103704</v>
      </c>
      <c r="FD110" s="239">
        <v>2555127</v>
      </c>
      <c r="FE110" s="239">
        <v>103658831</v>
      </c>
      <c r="FF110" s="239">
        <v>235077</v>
      </c>
      <c r="FG110" s="239">
        <v>0</v>
      </c>
      <c r="FH110" s="239">
        <v>235077</v>
      </c>
      <c r="FI110" s="239">
        <v>-5266995</v>
      </c>
      <c r="FJ110" s="239">
        <v>-743361</v>
      </c>
      <c r="FK110" s="239">
        <v>-6010356</v>
      </c>
      <c r="FL110" s="239">
        <v>-4721081</v>
      </c>
      <c r="FM110" s="239">
        <v>-52499</v>
      </c>
      <c r="FN110" s="239">
        <v>-4773580</v>
      </c>
      <c r="FO110" s="239">
        <v>-168019</v>
      </c>
      <c r="FP110" s="239">
        <v>-656</v>
      </c>
      <c r="FQ110" s="239">
        <v>-168675</v>
      </c>
      <c r="FR110" s="239">
        <v>-45246</v>
      </c>
      <c r="FS110" s="239">
        <v>-5209</v>
      </c>
      <c r="FT110" s="239">
        <v>-50455</v>
      </c>
      <c r="FU110" s="239">
        <v>0</v>
      </c>
      <c r="FV110" s="239">
        <v>0</v>
      </c>
      <c r="FW110" s="239">
        <v>0</v>
      </c>
      <c r="FX110" s="239">
        <v>-9966264</v>
      </c>
      <c r="FY110" s="239">
        <v>-801725</v>
      </c>
      <c r="FZ110" s="239">
        <v>-10767989</v>
      </c>
      <c r="GA110" s="239">
        <v>91137440</v>
      </c>
      <c r="GB110" s="239">
        <v>1753402</v>
      </c>
      <c r="GC110" s="239">
        <v>92890842</v>
      </c>
      <c r="GD110" s="214" t="s">
        <v>1192</v>
      </c>
    </row>
    <row r="111" spans="1:186" s="214" customFormat="1" x14ac:dyDescent="0.2">
      <c r="B111" s="609" t="s">
        <v>304</v>
      </c>
      <c r="C111" s="609" t="s">
        <v>303</v>
      </c>
      <c r="D111" s="239">
        <v>0</v>
      </c>
      <c r="E111" s="239">
        <v>0</v>
      </c>
      <c r="F111" s="239">
        <v>0</v>
      </c>
      <c r="G111" s="239">
        <v>4113</v>
      </c>
      <c r="H111" s="239">
        <v>0</v>
      </c>
      <c r="I111" s="239">
        <v>4113</v>
      </c>
      <c r="J111" s="239">
        <v>0</v>
      </c>
      <c r="K111" s="239">
        <v>0</v>
      </c>
      <c r="L111" s="239">
        <v>0</v>
      </c>
      <c r="M111" s="239">
        <v>56358</v>
      </c>
      <c r="N111" s="239">
        <v>0</v>
      </c>
      <c r="O111" s="239">
        <v>56358</v>
      </c>
      <c r="P111" s="239">
        <v>60471</v>
      </c>
      <c r="Q111" s="239">
        <v>0</v>
      </c>
      <c r="R111" s="239">
        <v>60471</v>
      </c>
      <c r="S111" s="239">
        <v>-1737459</v>
      </c>
      <c r="T111" s="239">
        <v>0</v>
      </c>
      <c r="U111" s="239">
        <v>-1737459</v>
      </c>
      <c r="V111" s="239">
        <v>0</v>
      </c>
      <c r="W111" s="239">
        <v>0</v>
      </c>
      <c r="X111" s="239">
        <v>0</v>
      </c>
      <c r="Y111" s="239">
        <v>-87710</v>
      </c>
      <c r="Z111" s="239">
        <v>0</v>
      </c>
      <c r="AA111" s="239">
        <v>-87710</v>
      </c>
      <c r="AB111" s="239">
        <v>0</v>
      </c>
      <c r="AC111" s="239">
        <v>0</v>
      </c>
      <c r="AD111" s="239">
        <v>0</v>
      </c>
      <c r="AE111" s="239">
        <v>0</v>
      </c>
      <c r="AF111" s="239">
        <v>0</v>
      </c>
      <c r="AG111" s="239">
        <v>0</v>
      </c>
      <c r="AH111" s="239">
        <v>565261</v>
      </c>
      <c r="AI111" s="239">
        <v>0</v>
      </c>
      <c r="AJ111" s="239">
        <v>565261</v>
      </c>
      <c r="AK111" s="239">
        <v>-5766</v>
      </c>
      <c r="AL111" s="239">
        <v>0</v>
      </c>
      <c r="AM111" s="239">
        <v>-5766</v>
      </c>
      <c r="AN111" s="239">
        <v>-1346737</v>
      </c>
      <c r="AO111" s="239">
        <v>0</v>
      </c>
      <c r="AP111" s="239">
        <v>-1346737</v>
      </c>
      <c r="AQ111" s="239">
        <v>-5974</v>
      </c>
      <c r="AR111" s="239">
        <v>0</v>
      </c>
      <c r="AS111" s="239">
        <v>-5974</v>
      </c>
      <c r="AT111" s="239">
        <v>-49799</v>
      </c>
      <c r="AU111" s="239">
        <v>0</v>
      </c>
      <c r="AV111" s="239">
        <v>-49799</v>
      </c>
      <c r="AW111" s="239">
        <v>0</v>
      </c>
      <c r="AX111" s="239">
        <v>0</v>
      </c>
      <c r="AY111" s="239">
        <v>0</v>
      </c>
      <c r="AZ111" s="239">
        <v>-478</v>
      </c>
      <c r="BA111" s="239">
        <v>0</v>
      </c>
      <c r="BB111" s="239">
        <v>-478</v>
      </c>
      <c r="BC111" s="239">
        <v>0</v>
      </c>
      <c r="BD111" s="239">
        <v>0</v>
      </c>
      <c r="BE111" s="239">
        <v>0</v>
      </c>
      <c r="BF111" s="239">
        <v>-2668662</v>
      </c>
      <c r="BG111" s="239">
        <v>0</v>
      </c>
      <c r="BH111" s="239">
        <v>-2668662</v>
      </c>
      <c r="BI111" s="239">
        <v>0</v>
      </c>
      <c r="BJ111" s="239">
        <v>0</v>
      </c>
      <c r="BK111" s="239">
        <v>0</v>
      </c>
      <c r="BL111" s="239">
        <v>39059</v>
      </c>
      <c r="BM111" s="239">
        <v>0</v>
      </c>
      <c r="BN111" s="239">
        <v>39059</v>
      </c>
      <c r="BO111" s="239">
        <v>-412180</v>
      </c>
      <c r="BP111" s="239">
        <v>0</v>
      </c>
      <c r="BQ111" s="239">
        <v>-412180</v>
      </c>
      <c r="BR111" s="239">
        <v>507</v>
      </c>
      <c r="BS111" s="239">
        <v>0</v>
      </c>
      <c r="BT111" s="239">
        <v>507</v>
      </c>
      <c r="BU111" s="239">
        <v>-372614</v>
      </c>
      <c r="BV111" s="239">
        <v>0</v>
      </c>
      <c r="BW111" s="239">
        <v>-372614</v>
      </c>
      <c r="BX111" s="239">
        <v>-76688</v>
      </c>
      <c r="BY111" s="239">
        <v>0</v>
      </c>
      <c r="BZ111" s="239">
        <v>-76688</v>
      </c>
      <c r="CA111" s="239">
        <v>-438</v>
      </c>
      <c r="CB111" s="239">
        <v>0</v>
      </c>
      <c r="CC111" s="239">
        <v>-438</v>
      </c>
      <c r="CD111" s="239">
        <v>-45171</v>
      </c>
      <c r="CE111" s="239">
        <v>0</v>
      </c>
      <c r="CF111" s="239">
        <v>-45171</v>
      </c>
      <c r="CG111" s="239">
        <v>-4101</v>
      </c>
      <c r="CH111" s="239">
        <v>0</v>
      </c>
      <c r="CI111" s="239">
        <v>-4101</v>
      </c>
      <c r="CJ111" s="239">
        <v>-5989</v>
      </c>
      <c r="CK111" s="239">
        <v>0</v>
      </c>
      <c r="CL111" s="239">
        <v>-5989</v>
      </c>
      <c r="CM111" s="239">
        <v>0</v>
      </c>
      <c r="CN111" s="239">
        <v>0</v>
      </c>
      <c r="CO111" s="239">
        <v>0</v>
      </c>
      <c r="CP111" s="239">
        <v>-5125</v>
      </c>
      <c r="CQ111" s="239">
        <v>0</v>
      </c>
      <c r="CR111" s="239">
        <v>-5125</v>
      </c>
      <c r="CS111" s="239">
        <v>0</v>
      </c>
      <c r="CT111" s="239">
        <v>0</v>
      </c>
      <c r="CU111" s="239">
        <v>0</v>
      </c>
      <c r="CV111" s="239">
        <v>0</v>
      </c>
      <c r="CW111" s="239">
        <v>0</v>
      </c>
      <c r="CX111" s="239">
        <v>0</v>
      </c>
      <c r="CY111" s="239">
        <v>0</v>
      </c>
      <c r="CZ111" s="239">
        <v>0</v>
      </c>
      <c r="DA111" s="239">
        <v>0</v>
      </c>
      <c r="DB111" s="239">
        <v>0</v>
      </c>
      <c r="DC111" s="239">
        <v>0</v>
      </c>
      <c r="DD111" s="239">
        <v>0</v>
      </c>
      <c r="DE111" s="239">
        <v>0</v>
      </c>
      <c r="DF111" s="239">
        <v>0</v>
      </c>
      <c r="DG111" s="239">
        <v>0</v>
      </c>
      <c r="DH111" s="239">
        <v>0</v>
      </c>
      <c r="DI111" s="239">
        <v>0</v>
      </c>
      <c r="DJ111" s="239">
        <v>-137512</v>
      </c>
      <c r="DK111" s="239">
        <v>0</v>
      </c>
      <c r="DL111" s="239">
        <v>-137512</v>
      </c>
      <c r="DM111" s="239">
        <v>-1191</v>
      </c>
      <c r="DN111" s="239">
        <v>0</v>
      </c>
      <c r="DO111" s="239">
        <v>-1191</v>
      </c>
      <c r="DP111" s="239">
        <v>3098</v>
      </c>
      <c r="DQ111" s="239">
        <v>0</v>
      </c>
      <c r="DR111" s="239">
        <v>3098</v>
      </c>
      <c r="DS111" s="239">
        <v>0</v>
      </c>
      <c r="DT111" s="239">
        <v>0</v>
      </c>
      <c r="DU111" s="239">
        <v>0</v>
      </c>
      <c r="DV111" s="239">
        <v>153</v>
      </c>
      <c r="DW111" s="239">
        <v>0</v>
      </c>
      <c r="DX111" s="239">
        <v>153</v>
      </c>
      <c r="DY111" s="239">
        <v>0</v>
      </c>
      <c r="DZ111" s="239">
        <v>0</v>
      </c>
      <c r="EA111" s="239">
        <v>0</v>
      </c>
      <c r="EB111" s="239">
        <v>-976</v>
      </c>
      <c r="EC111" s="239">
        <v>0</v>
      </c>
      <c r="ED111" s="239">
        <v>-976</v>
      </c>
      <c r="EE111" s="239">
        <v>0</v>
      </c>
      <c r="EF111" s="239">
        <v>0</v>
      </c>
      <c r="EG111" s="239">
        <v>0</v>
      </c>
      <c r="EH111" s="239">
        <v>0</v>
      </c>
      <c r="EI111" s="239">
        <v>0</v>
      </c>
      <c r="EJ111" s="239">
        <v>0</v>
      </c>
      <c r="EK111" s="239">
        <v>-2832</v>
      </c>
      <c r="EL111" s="239">
        <v>0</v>
      </c>
      <c r="EM111" s="239">
        <v>-2832</v>
      </c>
      <c r="EN111" s="239">
        <v>0</v>
      </c>
      <c r="EO111" s="239">
        <v>0</v>
      </c>
      <c r="EP111" s="239">
        <v>0</v>
      </c>
      <c r="EQ111" s="239">
        <v>-1748</v>
      </c>
      <c r="ER111" s="239">
        <v>0</v>
      </c>
      <c r="ES111" s="239">
        <v>-1748</v>
      </c>
      <c r="ET111" s="239">
        <v>0</v>
      </c>
      <c r="EU111" s="239">
        <v>0</v>
      </c>
      <c r="EV111" s="239">
        <v>0</v>
      </c>
      <c r="EW111" s="239">
        <v>0</v>
      </c>
      <c r="EX111" s="239">
        <v>0</v>
      </c>
      <c r="EY111" s="239">
        <v>0</v>
      </c>
      <c r="EZ111" s="239">
        <v>0</v>
      </c>
      <c r="FA111" s="239">
        <v>0</v>
      </c>
      <c r="FB111" s="239">
        <v>0</v>
      </c>
      <c r="FC111" s="239">
        <v>25555085</v>
      </c>
      <c r="FD111" s="239">
        <v>0</v>
      </c>
      <c r="FE111" s="239">
        <v>25555085</v>
      </c>
      <c r="FF111" s="239">
        <v>60471</v>
      </c>
      <c r="FG111" s="239">
        <v>0</v>
      </c>
      <c r="FH111" s="239">
        <v>60471</v>
      </c>
      <c r="FI111" s="239">
        <v>-2668662</v>
      </c>
      <c r="FJ111" s="239">
        <v>0</v>
      </c>
      <c r="FK111" s="239">
        <v>-2668662</v>
      </c>
      <c r="FL111" s="239">
        <v>-372614</v>
      </c>
      <c r="FM111" s="239">
        <v>0</v>
      </c>
      <c r="FN111" s="239">
        <v>-372614</v>
      </c>
      <c r="FO111" s="239">
        <v>-137512</v>
      </c>
      <c r="FP111" s="239">
        <v>0</v>
      </c>
      <c r="FQ111" s="239">
        <v>-137512</v>
      </c>
      <c r="FR111" s="239">
        <v>-1748</v>
      </c>
      <c r="FS111" s="239">
        <v>0</v>
      </c>
      <c r="FT111" s="239">
        <v>-1748</v>
      </c>
      <c r="FU111" s="239">
        <v>0</v>
      </c>
      <c r="FV111" s="239">
        <v>0</v>
      </c>
      <c r="FW111" s="239">
        <v>0</v>
      </c>
      <c r="FX111" s="239">
        <v>-3120065</v>
      </c>
      <c r="FY111" s="239">
        <v>0</v>
      </c>
      <c r="FZ111" s="239">
        <v>-3120065</v>
      </c>
      <c r="GA111" s="239">
        <v>22435020</v>
      </c>
      <c r="GB111" s="239">
        <v>0</v>
      </c>
      <c r="GC111" s="239">
        <v>22435020</v>
      </c>
      <c r="GD111" s="214" t="s">
        <v>1190</v>
      </c>
    </row>
    <row r="112" spans="1:186" s="214" customFormat="1" x14ac:dyDescent="0.2">
      <c r="B112" s="609" t="s">
        <v>306</v>
      </c>
      <c r="C112" s="609" t="s">
        <v>305</v>
      </c>
      <c r="D112" s="239">
        <v>0</v>
      </c>
      <c r="E112" s="239">
        <v>0</v>
      </c>
      <c r="F112" s="239">
        <v>0</v>
      </c>
      <c r="G112" s="239">
        <v>166505</v>
      </c>
      <c r="H112" s="239">
        <v>0</v>
      </c>
      <c r="I112" s="239">
        <v>166505</v>
      </c>
      <c r="J112" s="239">
        <v>0</v>
      </c>
      <c r="K112" s="239">
        <v>0</v>
      </c>
      <c r="L112" s="239">
        <v>0</v>
      </c>
      <c r="M112" s="239">
        <v>-6362</v>
      </c>
      <c r="N112" s="239">
        <v>0</v>
      </c>
      <c r="O112" s="239">
        <v>-6362</v>
      </c>
      <c r="P112" s="239">
        <v>160143</v>
      </c>
      <c r="Q112" s="239">
        <v>0</v>
      </c>
      <c r="R112" s="239">
        <v>160143</v>
      </c>
      <c r="S112" s="239">
        <v>-2084482</v>
      </c>
      <c r="T112" s="239">
        <v>0</v>
      </c>
      <c r="U112" s="239">
        <v>-2084482</v>
      </c>
      <c r="V112" s="239">
        <v>-4549</v>
      </c>
      <c r="W112" s="239">
        <v>0</v>
      </c>
      <c r="X112" s="239">
        <v>-4549</v>
      </c>
      <c r="Y112" s="239">
        <v>-142849</v>
      </c>
      <c r="Z112" s="239">
        <v>0</v>
      </c>
      <c r="AA112" s="239">
        <v>-142849</v>
      </c>
      <c r="AB112" s="239">
        <v>-1904</v>
      </c>
      <c r="AC112" s="239">
        <v>0</v>
      </c>
      <c r="AD112" s="239">
        <v>-1904</v>
      </c>
      <c r="AE112" s="239">
        <v>0</v>
      </c>
      <c r="AF112" s="239">
        <v>0</v>
      </c>
      <c r="AG112" s="239">
        <v>0</v>
      </c>
      <c r="AH112" s="239">
        <v>1474296</v>
      </c>
      <c r="AI112" s="239">
        <v>0</v>
      </c>
      <c r="AJ112" s="239">
        <v>1474296</v>
      </c>
      <c r="AK112" s="239">
        <v>-37919</v>
      </c>
      <c r="AL112" s="239">
        <v>0</v>
      </c>
      <c r="AM112" s="239">
        <v>-37919</v>
      </c>
      <c r="AN112" s="239">
        <v>-3473845</v>
      </c>
      <c r="AO112" s="239">
        <v>0</v>
      </c>
      <c r="AP112" s="239">
        <v>-3473845</v>
      </c>
      <c r="AQ112" s="239">
        <v>9268</v>
      </c>
      <c r="AR112" s="239">
        <v>0</v>
      </c>
      <c r="AS112" s="239">
        <v>9268</v>
      </c>
      <c r="AT112" s="239">
        <v>-40277</v>
      </c>
      <c r="AU112" s="239">
        <v>0</v>
      </c>
      <c r="AV112" s="239">
        <v>-40277</v>
      </c>
      <c r="AW112" s="239">
        <v>0</v>
      </c>
      <c r="AX112" s="239">
        <v>0</v>
      </c>
      <c r="AY112" s="239">
        <v>0</v>
      </c>
      <c r="AZ112" s="239">
        <v>0</v>
      </c>
      <c r="BA112" s="239">
        <v>0</v>
      </c>
      <c r="BB112" s="239">
        <v>0</v>
      </c>
      <c r="BC112" s="239">
        <v>0</v>
      </c>
      <c r="BD112" s="239">
        <v>0</v>
      </c>
      <c r="BE112" s="239">
        <v>0</v>
      </c>
      <c r="BF112" s="239">
        <v>-4295808</v>
      </c>
      <c r="BG112" s="239">
        <v>0</v>
      </c>
      <c r="BH112" s="239">
        <v>-4295808</v>
      </c>
      <c r="BI112" s="239">
        <v>-41211</v>
      </c>
      <c r="BJ112" s="239">
        <v>0</v>
      </c>
      <c r="BK112" s="239">
        <v>-41211</v>
      </c>
      <c r="BL112" s="239">
        <v>-5584</v>
      </c>
      <c r="BM112" s="239">
        <v>0</v>
      </c>
      <c r="BN112" s="239">
        <v>-5584</v>
      </c>
      <c r="BO112" s="239">
        <v>-2111495</v>
      </c>
      <c r="BP112" s="239">
        <v>0</v>
      </c>
      <c r="BQ112" s="239">
        <v>-2111495</v>
      </c>
      <c r="BR112" s="239">
        <v>-55464</v>
      </c>
      <c r="BS112" s="239">
        <v>0</v>
      </c>
      <c r="BT112" s="239">
        <v>-55464</v>
      </c>
      <c r="BU112" s="239">
        <v>-2213754</v>
      </c>
      <c r="BV112" s="239">
        <v>0</v>
      </c>
      <c r="BW112" s="239">
        <v>-2213754</v>
      </c>
      <c r="BX112" s="239">
        <v>-2311</v>
      </c>
      <c r="BY112" s="239">
        <v>0</v>
      </c>
      <c r="BZ112" s="239">
        <v>-2311</v>
      </c>
      <c r="CA112" s="239">
        <v>29</v>
      </c>
      <c r="CB112" s="239">
        <v>0</v>
      </c>
      <c r="CC112" s="239">
        <v>29</v>
      </c>
      <c r="CD112" s="239">
        <v>-78277</v>
      </c>
      <c r="CE112" s="239">
        <v>0</v>
      </c>
      <c r="CF112" s="239">
        <v>-78277</v>
      </c>
      <c r="CG112" s="239">
        <v>-6642</v>
      </c>
      <c r="CH112" s="239">
        <v>0</v>
      </c>
      <c r="CI112" s="239">
        <v>-6642</v>
      </c>
      <c r="CJ112" s="239">
        <v>0</v>
      </c>
      <c r="CK112" s="239">
        <v>0</v>
      </c>
      <c r="CL112" s="239">
        <v>0</v>
      </c>
      <c r="CM112" s="239">
        <v>0</v>
      </c>
      <c r="CN112" s="239">
        <v>0</v>
      </c>
      <c r="CO112" s="239">
        <v>0</v>
      </c>
      <c r="CP112" s="239">
        <v>0</v>
      </c>
      <c r="CQ112" s="239">
        <v>0</v>
      </c>
      <c r="CR112" s="239">
        <v>0</v>
      </c>
      <c r="CS112" s="239">
        <v>0</v>
      </c>
      <c r="CT112" s="239">
        <v>0</v>
      </c>
      <c r="CU112" s="239">
        <v>0</v>
      </c>
      <c r="CV112" s="239">
        <v>0</v>
      </c>
      <c r="CW112" s="239">
        <v>0</v>
      </c>
      <c r="CX112" s="239">
        <v>0</v>
      </c>
      <c r="CY112" s="239">
        <v>0</v>
      </c>
      <c r="CZ112" s="239">
        <v>0</v>
      </c>
      <c r="DA112" s="239">
        <v>0</v>
      </c>
      <c r="DB112" s="239">
        <v>0</v>
      </c>
      <c r="DC112" s="239">
        <v>0</v>
      </c>
      <c r="DD112" s="239">
        <v>0</v>
      </c>
      <c r="DE112" s="239">
        <v>0</v>
      </c>
      <c r="DF112" s="239">
        <v>0</v>
      </c>
      <c r="DG112" s="239">
        <v>0</v>
      </c>
      <c r="DH112" s="239">
        <v>0</v>
      </c>
      <c r="DI112" s="239">
        <v>0</v>
      </c>
      <c r="DJ112" s="239">
        <v>-87201</v>
      </c>
      <c r="DK112" s="239">
        <v>0</v>
      </c>
      <c r="DL112" s="239">
        <v>-87201</v>
      </c>
      <c r="DM112" s="239">
        <v>-7862</v>
      </c>
      <c r="DN112" s="239">
        <v>0</v>
      </c>
      <c r="DO112" s="239">
        <v>-7862</v>
      </c>
      <c r="DP112" s="239">
        <v>-3349</v>
      </c>
      <c r="DQ112" s="239">
        <v>0</v>
      </c>
      <c r="DR112" s="239">
        <v>-3349</v>
      </c>
      <c r="DS112" s="239">
        <v>-14029</v>
      </c>
      <c r="DT112" s="239">
        <v>0</v>
      </c>
      <c r="DU112" s="239">
        <v>-14029</v>
      </c>
      <c r="DV112" s="239">
        <v>-2442</v>
      </c>
      <c r="DW112" s="239">
        <v>0</v>
      </c>
      <c r="DX112" s="239">
        <v>-2442</v>
      </c>
      <c r="DY112" s="239">
        <v>0</v>
      </c>
      <c r="DZ112" s="239">
        <v>0</v>
      </c>
      <c r="EA112" s="239">
        <v>0</v>
      </c>
      <c r="EB112" s="239">
        <v>-11226</v>
      </c>
      <c r="EC112" s="239">
        <v>0</v>
      </c>
      <c r="ED112" s="239">
        <v>-11226</v>
      </c>
      <c r="EE112" s="239">
        <v>0</v>
      </c>
      <c r="EF112" s="239">
        <v>0</v>
      </c>
      <c r="EG112" s="239">
        <v>0</v>
      </c>
      <c r="EH112" s="239">
        <v>0</v>
      </c>
      <c r="EI112" s="239">
        <v>0</v>
      </c>
      <c r="EJ112" s="239">
        <v>0</v>
      </c>
      <c r="EK112" s="239">
        <v>-9546</v>
      </c>
      <c r="EL112" s="239">
        <v>0</v>
      </c>
      <c r="EM112" s="239">
        <v>-9546</v>
      </c>
      <c r="EN112" s="239">
        <v>0</v>
      </c>
      <c r="EO112" s="239">
        <v>0</v>
      </c>
      <c r="EP112" s="239">
        <v>0</v>
      </c>
      <c r="EQ112" s="239">
        <v>-48454</v>
      </c>
      <c r="ER112" s="239">
        <v>0</v>
      </c>
      <c r="ES112" s="239">
        <v>-48454</v>
      </c>
      <c r="ET112" s="239">
        <v>0</v>
      </c>
      <c r="EU112" s="239">
        <v>0</v>
      </c>
      <c r="EV112" s="239">
        <v>0</v>
      </c>
      <c r="EW112" s="239">
        <v>0</v>
      </c>
      <c r="EX112" s="239">
        <v>0</v>
      </c>
      <c r="EY112" s="239">
        <v>0</v>
      </c>
      <c r="EZ112" s="239">
        <v>0</v>
      </c>
      <c r="FA112" s="239">
        <v>0</v>
      </c>
      <c r="FB112" s="239">
        <v>0</v>
      </c>
      <c r="FC112" s="239">
        <v>59497767</v>
      </c>
      <c r="FD112" s="239">
        <v>0</v>
      </c>
      <c r="FE112" s="239">
        <v>59497767</v>
      </c>
      <c r="FF112" s="239">
        <v>160143</v>
      </c>
      <c r="FG112" s="239">
        <v>0</v>
      </c>
      <c r="FH112" s="239">
        <v>160143</v>
      </c>
      <c r="FI112" s="239">
        <v>-4295808</v>
      </c>
      <c r="FJ112" s="239">
        <v>0</v>
      </c>
      <c r="FK112" s="239">
        <v>-4295808</v>
      </c>
      <c r="FL112" s="239">
        <v>-2213754</v>
      </c>
      <c r="FM112" s="239">
        <v>0</v>
      </c>
      <c r="FN112" s="239">
        <v>-2213754</v>
      </c>
      <c r="FO112" s="239">
        <v>-87201</v>
      </c>
      <c r="FP112" s="239">
        <v>0</v>
      </c>
      <c r="FQ112" s="239">
        <v>-87201</v>
      </c>
      <c r="FR112" s="239">
        <v>-48454</v>
      </c>
      <c r="FS112" s="239">
        <v>0</v>
      </c>
      <c r="FT112" s="239">
        <v>-48454</v>
      </c>
      <c r="FU112" s="239">
        <v>0</v>
      </c>
      <c r="FV112" s="239">
        <v>0</v>
      </c>
      <c r="FW112" s="239">
        <v>0</v>
      </c>
      <c r="FX112" s="239">
        <v>-6485074</v>
      </c>
      <c r="FY112" s="239">
        <v>0</v>
      </c>
      <c r="FZ112" s="239">
        <v>-6485074</v>
      </c>
      <c r="GA112" s="239">
        <v>53012693</v>
      </c>
      <c r="GB112" s="239">
        <v>0</v>
      </c>
      <c r="GC112" s="239">
        <v>53012693</v>
      </c>
      <c r="GD112" s="214" t="s">
        <v>1190</v>
      </c>
    </row>
    <row r="113" spans="1:186" s="214" customFormat="1" x14ac:dyDescent="0.2">
      <c r="B113" s="609" t="s">
        <v>308</v>
      </c>
      <c r="C113" s="609" t="s">
        <v>307</v>
      </c>
      <c r="D113" s="239">
        <v>0</v>
      </c>
      <c r="E113" s="239">
        <v>0</v>
      </c>
      <c r="F113" s="239">
        <v>0</v>
      </c>
      <c r="G113" s="239">
        <v>72968</v>
      </c>
      <c r="H113" s="239">
        <v>0</v>
      </c>
      <c r="I113" s="239">
        <v>72968</v>
      </c>
      <c r="J113" s="239">
        <v>0</v>
      </c>
      <c r="K113" s="239">
        <v>0</v>
      </c>
      <c r="L113" s="239">
        <v>0</v>
      </c>
      <c r="M113" s="239">
        <v>1124</v>
      </c>
      <c r="N113" s="239">
        <v>0</v>
      </c>
      <c r="O113" s="239">
        <v>1124</v>
      </c>
      <c r="P113" s="239">
        <v>74092</v>
      </c>
      <c r="Q113" s="239">
        <v>0</v>
      </c>
      <c r="R113" s="239">
        <v>74092</v>
      </c>
      <c r="S113" s="239">
        <v>-1407688</v>
      </c>
      <c r="T113" s="239">
        <v>-14800</v>
      </c>
      <c r="U113" s="239">
        <v>-1422488</v>
      </c>
      <c r="V113" s="239">
        <v>0</v>
      </c>
      <c r="W113" s="239">
        <v>0</v>
      </c>
      <c r="X113" s="239">
        <v>0</v>
      </c>
      <c r="Y113" s="239">
        <v>-32513</v>
      </c>
      <c r="Z113" s="239">
        <v>0</v>
      </c>
      <c r="AA113" s="239">
        <v>-32513</v>
      </c>
      <c r="AB113" s="239">
        <v>-25440</v>
      </c>
      <c r="AC113" s="239">
        <v>0</v>
      </c>
      <c r="AD113" s="239">
        <v>-25440</v>
      </c>
      <c r="AE113" s="239">
        <v>0</v>
      </c>
      <c r="AF113" s="239">
        <v>0</v>
      </c>
      <c r="AG113" s="239">
        <v>0</v>
      </c>
      <c r="AH113" s="239">
        <v>418065</v>
      </c>
      <c r="AI113" s="239">
        <v>11101</v>
      </c>
      <c r="AJ113" s="239">
        <v>429166</v>
      </c>
      <c r="AK113" s="239">
        <v>-30809</v>
      </c>
      <c r="AL113" s="239">
        <v>-11</v>
      </c>
      <c r="AM113" s="239">
        <v>-30820</v>
      </c>
      <c r="AN113" s="239">
        <v>-1137363</v>
      </c>
      <c r="AO113" s="239">
        <v>-21331</v>
      </c>
      <c r="AP113" s="239">
        <v>-1158694</v>
      </c>
      <c r="AQ113" s="239">
        <v>-9254</v>
      </c>
      <c r="AR113" s="239">
        <v>0</v>
      </c>
      <c r="AS113" s="239">
        <v>-9254</v>
      </c>
      <c r="AT113" s="239">
        <v>-15523</v>
      </c>
      <c r="AU113" s="239">
        <v>0</v>
      </c>
      <c r="AV113" s="239">
        <v>-15523</v>
      </c>
      <c r="AW113" s="239">
        <v>0</v>
      </c>
      <c r="AX113" s="239">
        <v>0</v>
      </c>
      <c r="AY113" s="239">
        <v>0</v>
      </c>
      <c r="AZ113" s="239">
        <v>0</v>
      </c>
      <c r="BA113" s="239">
        <v>0</v>
      </c>
      <c r="BB113" s="239">
        <v>0</v>
      </c>
      <c r="BC113" s="239">
        <v>0</v>
      </c>
      <c r="BD113" s="239">
        <v>0</v>
      </c>
      <c r="BE113" s="239">
        <v>0</v>
      </c>
      <c r="BF113" s="239">
        <v>-2215085</v>
      </c>
      <c r="BG113" s="239">
        <v>-25041</v>
      </c>
      <c r="BH113" s="239">
        <v>-2240126</v>
      </c>
      <c r="BI113" s="239">
        <v>0</v>
      </c>
      <c r="BJ113" s="239">
        <v>0</v>
      </c>
      <c r="BK113" s="239">
        <v>0</v>
      </c>
      <c r="BL113" s="239">
        <v>0</v>
      </c>
      <c r="BM113" s="239">
        <v>0</v>
      </c>
      <c r="BN113" s="239">
        <v>0</v>
      </c>
      <c r="BO113" s="239">
        <v>-344841</v>
      </c>
      <c r="BP113" s="239">
        <v>-53466</v>
      </c>
      <c r="BQ113" s="239">
        <v>-398307</v>
      </c>
      <c r="BR113" s="239">
        <v>-47415</v>
      </c>
      <c r="BS113" s="239">
        <v>-16776</v>
      </c>
      <c r="BT113" s="239">
        <v>-64191</v>
      </c>
      <c r="BU113" s="239">
        <v>-392256</v>
      </c>
      <c r="BV113" s="239">
        <v>-70242</v>
      </c>
      <c r="BW113" s="239">
        <v>-462498</v>
      </c>
      <c r="BX113" s="239">
        <v>-109327</v>
      </c>
      <c r="BY113" s="239">
        <v>-5333</v>
      </c>
      <c r="BZ113" s="239">
        <v>-114660</v>
      </c>
      <c r="CA113" s="239">
        <v>-1403</v>
      </c>
      <c r="CB113" s="239">
        <v>0</v>
      </c>
      <c r="CC113" s="239">
        <v>-1403</v>
      </c>
      <c r="CD113" s="239">
        <v>-72260</v>
      </c>
      <c r="CE113" s="239">
        <v>0</v>
      </c>
      <c r="CF113" s="239">
        <v>-72260</v>
      </c>
      <c r="CG113" s="239">
        <v>-2544</v>
      </c>
      <c r="CH113" s="239">
        <v>0</v>
      </c>
      <c r="CI113" s="239">
        <v>-2544</v>
      </c>
      <c r="CJ113" s="239">
        <v>0</v>
      </c>
      <c r="CK113" s="239">
        <v>0</v>
      </c>
      <c r="CL113" s="239">
        <v>0</v>
      </c>
      <c r="CM113" s="239">
        <v>0</v>
      </c>
      <c r="CN113" s="239">
        <v>0</v>
      </c>
      <c r="CO113" s="239">
        <v>0</v>
      </c>
      <c r="CP113" s="239">
        <v>0</v>
      </c>
      <c r="CQ113" s="239">
        <v>0</v>
      </c>
      <c r="CR113" s="239">
        <v>0</v>
      </c>
      <c r="CS113" s="239">
        <v>0</v>
      </c>
      <c r="CT113" s="239">
        <v>0</v>
      </c>
      <c r="CU113" s="239">
        <v>0</v>
      </c>
      <c r="CV113" s="239">
        <v>0</v>
      </c>
      <c r="CW113" s="239">
        <v>0</v>
      </c>
      <c r="CX113" s="239">
        <v>0</v>
      </c>
      <c r="CY113" s="239">
        <v>0</v>
      </c>
      <c r="CZ113" s="239">
        <v>0</v>
      </c>
      <c r="DA113" s="239">
        <v>0</v>
      </c>
      <c r="DB113" s="239">
        <v>0</v>
      </c>
      <c r="DC113" s="239">
        <v>-120862</v>
      </c>
      <c r="DD113" s="239">
        <v>-120862</v>
      </c>
      <c r="DE113" s="239">
        <v>0</v>
      </c>
      <c r="DF113" s="239">
        <v>8965</v>
      </c>
      <c r="DG113" s="239">
        <v>8965</v>
      </c>
      <c r="DH113" s="239">
        <v>-111897</v>
      </c>
      <c r="DI113" s="239">
        <v>0</v>
      </c>
      <c r="DJ113" s="239">
        <v>-185534</v>
      </c>
      <c r="DK113" s="239">
        <v>-117230</v>
      </c>
      <c r="DL113" s="239">
        <v>-302764</v>
      </c>
      <c r="DM113" s="239">
        <v>-632</v>
      </c>
      <c r="DN113" s="239">
        <v>0</v>
      </c>
      <c r="DO113" s="239">
        <v>-632</v>
      </c>
      <c r="DP113" s="239">
        <v>-1889</v>
      </c>
      <c r="DQ113" s="239">
        <v>0</v>
      </c>
      <c r="DR113" s="239">
        <v>-1889</v>
      </c>
      <c r="DS113" s="239">
        <v>-9918</v>
      </c>
      <c r="DT113" s="239">
        <v>0</v>
      </c>
      <c r="DU113" s="239">
        <v>-9918</v>
      </c>
      <c r="DV113" s="239">
        <v>205</v>
      </c>
      <c r="DW113" s="239">
        <v>0</v>
      </c>
      <c r="DX113" s="239">
        <v>205</v>
      </c>
      <c r="DY113" s="239">
        <v>0</v>
      </c>
      <c r="DZ113" s="239">
        <v>0</v>
      </c>
      <c r="EA113" s="239">
        <v>0</v>
      </c>
      <c r="EB113" s="239">
        <v>-7530</v>
      </c>
      <c r="EC113" s="239">
        <v>0</v>
      </c>
      <c r="ED113" s="239">
        <v>-7530</v>
      </c>
      <c r="EE113" s="239">
        <v>0</v>
      </c>
      <c r="EF113" s="239">
        <v>0</v>
      </c>
      <c r="EG113" s="239">
        <v>0</v>
      </c>
      <c r="EH113" s="239">
        <v>0</v>
      </c>
      <c r="EI113" s="239">
        <v>0</v>
      </c>
      <c r="EJ113" s="239">
        <v>0</v>
      </c>
      <c r="EK113" s="239">
        <v>0</v>
      </c>
      <c r="EL113" s="239">
        <v>0</v>
      </c>
      <c r="EM113" s="239">
        <v>0</v>
      </c>
      <c r="EN113" s="239">
        <v>-69</v>
      </c>
      <c r="EO113" s="239">
        <v>0</v>
      </c>
      <c r="EP113" s="239">
        <v>-69</v>
      </c>
      <c r="EQ113" s="239">
        <v>-19833</v>
      </c>
      <c r="ER113" s="239">
        <v>0</v>
      </c>
      <c r="ES113" s="239">
        <v>-19833</v>
      </c>
      <c r="ET113" s="239">
        <v>0</v>
      </c>
      <c r="EU113" s="239">
        <v>0</v>
      </c>
      <c r="EV113" s="239">
        <v>0</v>
      </c>
      <c r="EW113" s="239">
        <v>0</v>
      </c>
      <c r="EX113" s="239">
        <v>0</v>
      </c>
      <c r="EY113" s="239">
        <v>0</v>
      </c>
      <c r="EZ113" s="239">
        <v>0</v>
      </c>
      <c r="FA113" s="239">
        <v>0</v>
      </c>
      <c r="FB113" s="239">
        <v>0</v>
      </c>
      <c r="FC113" s="239">
        <v>17708404</v>
      </c>
      <c r="FD113" s="239">
        <v>476955</v>
      </c>
      <c r="FE113" s="239">
        <v>18185359</v>
      </c>
      <c r="FF113" s="239">
        <v>74092</v>
      </c>
      <c r="FG113" s="239">
        <v>0</v>
      </c>
      <c r="FH113" s="239">
        <v>74092</v>
      </c>
      <c r="FI113" s="239">
        <v>-2215085</v>
      </c>
      <c r="FJ113" s="239">
        <v>-25041</v>
      </c>
      <c r="FK113" s="239">
        <v>-2240126</v>
      </c>
      <c r="FL113" s="239">
        <v>-392256</v>
      </c>
      <c r="FM113" s="239">
        <v>-70242</v>
      </c>
      <c r="FN113" s="239">
        <v>-462498</v>
      </c>
      <c r="FO113" s="239">
        <v>-185534</v>
      </c>
      <c r="FP113" s="239">
        <v>-117230</v>
      </c>
      <c r="FQ113" s="239">
        <v>-302764</v>
      </c>
      <c r="FR113" s="239">
        <v>-19833</v>
      </c>
      <c r="FS113" s="239">
        <v>0</v>
      </c>
      <c r="FT113" s="239">
        <v>-19833</v>
      </c>
      <c r="FU113" s="239">
        <v>0</v>
      </c>
      <c r="FV113" s="239">
        <v>0</v>
      </c>
      <c r="FW113" s="239">
        <v>0</v>
      </c>
      <c r="FX113" s="239">
        <v>-2738616</v>
      </c>
      <c r="FY113" s="239">
        <v>-212513</v>
      </c>
      <c r="FZ113" s="239">
        <v>-2951129</v>
      </c>
      <c r="GA113" s="239">
        <v>14969788</v>
      </c>
      <c r="GB113" s="239">
        <v>264442</v>
      </c>
      <c r="GC113" s="239">
        <v>15234230</v>
      </c>
      <c r="GD113" s="214" t="s">
        <v>1190</v>
      </c>
    </row>
    <row r="114" spans="1:186" s="214" customFormat="1" x14ac:dyDescent="0.2">
      <c r="B114" s="609" t="s">
        <v>310</v>
      </c>
      <c r="C114" s="609" t="s">
        <v>309</v>
      </c>
      <c r="D114" s="239">
        <v>0</v>
      </c>
      <c r="E114" s="239">
        <v>0</v>
      </c>
      <c r="F114" s="239">
        <v>0</v>
      </c>
      <c r="G114" s="239">
        <v>3402</v>
      </c>
      <c r="H114" s="239">
        <v>0</v>
      </c>
      <c r="I114" s="239">
        <v>3402</v>
      </c>
      <c r="J114" s="239">
        <v>0</v>
      </c>
      <c r="K114" s="239">
        <v>0</v>
      </c>
      <c r="L114" s="239">
        <v>0</v>
      </c>
      <c r="M114" s="239">
        <v>74963</v>
      </c>
      <c r="N114" s="239">
        <v>0</v>
      </c>
      <c r="O114" s="239">
        <v>74963</v>
      </c>
      <c r="P114" s="239">
        <v>78365</v>
      </c>
      <c r="Q114" s="239">
        <v>0</v>
      </c>
      <c r="R114" s="239">
        <v>78365</v>
      </c>
      <c r="S114" s="239">
        <v>-1724832</v>
      </c>
      <c r="T114" s="239">
        <v>0</v>
      </c>
      <c r="U114" s="239">
        <v>-1724832</v>
      </c>
      <c r="V114" s="239">
        <v>-1980</v>
      </c>
      <c r="W114" s="239">
        <v>0</v>
      </c>
      <c r="X114" s="239">
        <v>-1980</v>
      </c>
      <c r="Y114" s="239">
        <v>-64273</v>
      </c>
      <c r="Z114" s="239">
        <v>0</v>
      </c>
      <c r="AA114" s="239">
        <v>-64273</v>
      </c>
      <c r="AB114" s="239">
        <v>-63200</v>
      </c>
      <c r="AC114" s="239">
        <v>0</v>
      </c>
      <c r="AD114" s="239">
        <v>-63200</v>
      </c>
      <c r="AE114" s="239">
        <v>-1073</v>
      </c>
      <c r="AF114" s="239">
        <v>0</v>
      </c>
      <c r="AG114" s="239">
        <v>-1073</v>
      </c>
      <c r="AH114" s="239">
        <v>678214</v>
      </c>
      <c r="AI114" s="239">
        <v>0</v>
      </c>
      <c r="AJ114" s="239">
        <v>678214</v>
      </c>
      <c r="AK114" s="239">
        <v>-1834</v>
      </c>
      <c r="AL114" s="239">
        <v>0</v>
      </c>
      <c r="AM114" s="239">
        <v>-1834</v>
      </c>
      <c r="AN114" s="239">
        <v>-2498962</v>
      </c>
      <c r="AO114" s="239">
        <v>0</v>
      </c>
      <c r="AP114" s="239">
        <v>-2498962</v>
      </c>
      <c r="AQ114" s="239">
        <v>39087</v>
      </c>
      <c r="AR114" s="239">
        <v>0</v>
      </c>
      <c r="AS114" s="239">
        <v>39087</v>
      </c>
      <c r="AT114" s="239">
        <v>-39352</v>
      </c>
      <c r="AU114" s="239">
        <v>0</v>
      </c>
      <c r="AV114" s="239">
        <v>-39352</v>
      </c>
      <c r="AW114" s="239">
        <v>-75</v>
      </c>
      <c r="AX114" s="239">
        <v>0</v>
      </c>
      <c r="AY114" s="239">
        <v>-75</v>
      </c>
      <c r="AZ114" s="239">
        <v>-8863</v>
      </c>
      <c r="BA114" s="239">
        <v>0</v>
      </c>
      <c r="BB114" s="239">
        <v>-8863</v>
      </c>
      <c r="BC114" s="239">
        <v>3042</v>
      </c>
      <c r="BD114" s="239">
        <v>0</v>
      </c>
      <c r="BE114" s="239">
        <v>3042</v>
      </c>
      <c r="BF114" s="239">
        <v>-3617848</v>
      </c>
      <c r="BG114" s="239">
        <v>0</v>
      </c>
      <c r="BH114" s="239">
        <v>-3617848</v>
      </c>
      <c r="BI114" s="239">
        <v>0</v>
      </c>
      <c r="BJ114" s="239">
        <v>0</v>
      </c>
      <c r="BK114" s="239">
        <v>0</v>
      </c>
      <c r="BL114" s="239">
        <v>0</v>
      </c>
      <c r="BM114" s="239">
        <v>0</v>
      </c>
      <c r="BN114" s="239">
        <v>0</v>
      </c>
      <c r="BO114" s="239">
        <v>-1033184</v>
      </c>
      <c r="BP114" s="239">
        <v>0</v>
      </c>
      <c r="BQ114" s="239">
        <v>-1033184</v>
      </c>
      <c r="BR114" s="239">
        <v>11857</v>
      </c>
      <c r="BS114" s="239">
        <v>0</v>
      </c>
      <c r="BT114" s="239">
        <v>11857</v>
      </c>
      <c r="BU114" s="239">
        <v>-1021327</v>
      </c>
      <c r="BV114" s="239">
        <v>0</v>
      </c>
      <c r="BW114" s="239">
        <v>-1021327</v>
      </c>
      <c r="BX114" s="239">
        <v>-103976</v>
      </c>
      <c r="BY114" s="239">
        <v>0</v>
      </c>
      <c r="BZ114" s="239">
        <v>-103976</v>
      </c>
      <c r="CA114" s="239">
        <v>0</v>
      </c>
      <c r="CB114" s="239">
        <v>0</v>
      </c>
      <c r="CC114" s="239">
        <v>0</v>
      </c>
      <c r="CD114" s="239">
        <v>-17571</v>
      </c>
      <c r="CE114" s="239">
        <v>0</v>
      </c>
      <c r="CF114" s="239">
        <v>-17571</v>
      </c>
      <c r="CG114" s="239">
        <v>0</v>
      </c>
      <c r="CH114" s="239">
        <v>0</v>
      </c>
      <c r="CI114" s="239">
        <v>0</v>
      </c>
      <c r="CJ114" s="239">
        <v>-226</v>
      </c>
      <c r="CK114" s="239">
        <v>0</v>
      </c>
      <c r="CL114" s="239">
        <v>-226</v>
      </c>
      <c r="CM114" s="239">
        <v>0</v>
      </c>
      <c r="CN114" s="239">
        <v>0</v>
      </c>
      <c r="CO114" s="239">
        <v>0</v>
      </c>
      <c r="CP114" s="239">
        <v>-2988</v>
      </c>
      <c r="CQ114" s="239">
        <v>0</v>
      </c>
      <c r="CR114" s="239">
        <v>-2988</v>
      </c>
      <c r="CS114" s="239">
        <v>0</v>
      </c>
      <c r="CT114" s="239">
        <v>0</v>
      </c>
      <c r="CU114" s="239">
        <v>0</v>
      </c>
      <c r="CV114" s="239">
        <v>0</v>
      </c>
      <c r="CW114" s="239">
        <v>0</v>
      </c>
      <c r="CX114" s="239">
        <v>0</v>
      </c>
      <c r="CY114" s="239">
        <v>0</v>
      </c>
      <c r="CZ114" s="239">
        <v>0</v>
      </c>
      <c r="DA114" s="239">
        <v>0</v>
      </c>
      <c r="DB114" s="239">
        <v>0</v>
      </c>
      <c r="DC114" s="239">
        <v>0</v>
      </c>
      <c r="DD114" s="239">
        <v>0</v>
      </c>
      <c r="DE114" s="239">
        <v>0</v>
      </c>
      <c r="DF114" s="239">
        <v>0</v>
      </c>
      <c r="DG114" s="239">
        <v>0</v>
      </c>
      <c r="DH114" s="239">
        <v>0</v>
      </c>
      <c r="DI114" s="239">
        <v>0</v>
      </c>
      <c r="DJ114" s="239">
        <v>-124761</v>
      </c>
      <c r="DK114" s="239">
        <v>0</v>
      </c>
      <c r="DL114" s="239">
        <v>-124761</v>
      </c>
      <c r="DM114" s="239">
        <v>0</v>
      </c>
      <c r="DN114" s="239">
        <v>0</v>
      </c>
      <c r="DO114" s="239">
        <v>0</v>
      </c>
      <c r="DP114" s="239">
        <v>0</v>
      </c>
      <c r="DQ114" s="239">
        <v>0</v>
      </c>
      <c r="DR114" s="239">
        <v>0</v>
      </c>
      <c r="DS114" s="239">
        <v>-3922</v>
      </c>
      <c r="DT114" s="239">
        <v>0</v>
      </c>
      <c r="DU114" s="239">
        <v>-3922</v>
      </c>
      <c r="DV114" s="239">
        <v>0</v>
      </c>
      <c r="DW114" s="239">
        <v>0</v>
      </c>
      <c r="DX114" s="239">
        <v>0</v>
      </c>
      <c r="DY114" s="239">
        <v>0</v>
      </c>
      <c r="DZ114" s="239">
        <v>0</v>
      </c>
      <c r="EA114" s="239">
        <v>0</v>
      </c>
      <c r="EB114" s="239">
        <v>4301</v>
      </c>
      <c r="EC114" s="239">
        <v>0</v>
      </c>
      <c r="ED114" s="239">
        <v>4301</v>
      </c>
      <c r="EE114" s="239">
        <v>0</v>
      </c>
      <c r="EF114" s="239">
        <v>0</v>
      </c>
      <c r="EG114" s="239">
        <v>0</v>
      </c>
      <c r="EH114" s="239">
        <v>0</v>
      </c>
      <c r="EI114" s="239">
        <v>0</v>
      </c>
      <c r="EJ114" s="239">
        <v>0</v>
      </c>
      <c r="EK114" s="239">
        <v>0</v>
      </c>
      <c r="EL114" s="239">
        <v>0</v>
      </c>
      <c r="EM114" s="239">
        <v>0</v>
      </c>
      <c r="EN114" s="239">
        <v>0</v>
      </c>
      <c r="EO114" s="239">
        <v>0</v>
      </c>
      <c r="EP114" s="239">
        <v>0</v>
      </c>
      <c r="EQ114" s="239">
        <v>379</v>
      </c>
      <c r="ER114" s="239">
        <v>0</v>
      </c>
      <c r="ES114" s="239">
        <v>379</v>
      </c>
      <c r="ET114" s="239">
        <v>0</v>
      </c>
      <c r="EU114" s="239">
        <v>0</v>
      </c>
      <c r="EV114" s="239">
        <v>0</v>
      </c>
      <c r="EW114" s="239">
        <v>0</v>
      </c>
      <c r="EX114" s="239">
        <v>0</v>
      </c>
      <c r="EY114" s="239">
        <v>0</v>
      </c>
      <c r="EZ114" s="239">
        <v>0</v>
      </c>
      <c r="FA114" s="239">
        <v>0</v>
      </c>
      <c r="FB114" s="239">
        <v>0</v>
      </c>
      <c r="FC114" s="239">
        <v>29491750</v>
      </c>
      <c r="FD114" s="239">
        <v>0</v>
      </c>
      <c r="FE114" s="239">
        <v>29491750</v>
      </c>
      <c r="FF114" s="239">
        <v>78365</v>
      </c>
      <c r="FG114" s="239">
        <v>0</v>
      </c>
      <c r="FH114" s="239">
        <v>78365</v>
      </c>
      <c r="FI114" s="239">
        <v>-3617848</v>
      </c>
      <c r="FJ114" s="239">
        <v>0</v>
      </c>
      <c r="FK114" s="239">
        <v>-3617848</v>
      </c>
      <c r="FL114" s="239">
        <v>-1021327</v>
      </c>
      <c r="FM114" s="239">
        <v>0</v>
      </c>
      <c r="FN114" s="239">
        <v>-1021327</v>
      </c>
      <c r="FO114" s="239">
        <v>-124761</v>
      </c>
      <c r="FP114" s="239">
        <v>0</v>
      </c>
      <c r="FQ114" s="239">
        <v>-124761</v>
      </c>
      <c r="FR114" s="239">
        <v>379</v>
      </c>
      <c r="FS114" s="239">
        <v>0</v>
      </c>
      <c r="FT114" s="239">
        <v>379</v>
      </c>
      <c r="FU114" s="239">
        <v>0</v>
      </c>
      <c r="FV114" s="239">
        <v>0</v>
      </c>
      <c r="FW114" s="239">
        <v>0</v>
      </c>
      <c r="FX114" s="239">
        <v>-4685192</v>
      </c>
      <c r="FY114" s="239">
        <v>0</v>
      </c>
      <c r="FZ114" s="239">
        <v>-4685192</v>
      </c>
      <c r="GA114" s="239">
        <v>24806558</v>
      </c>
      <c r="GB114" s="239">
        <v>0</v>
      </c>
      <c r="GC114" s="239">
        <v>24806558</v>
      </c>
      <c r="GD114" s="214" t="s">
        <v>1190</v>
      </c>
    </row>
    <row r="115" spans="1:186" s="214" customFormat="1" x14ac:dyDescent="0.2">
      <c r="A115" s="215" t="s">
        <v>1211</v>
      </c>
      <c r="B115" s="609" t="s">
        <v>312</v>
      </c>
      <c r="C115" s="609" t="s">
        <v>311</v>
      </c>
      <c r="D115" s="239">
        <v>0</v>
      </c>
      <c r="E115" s="239">
        <v>0</v>
      </c>
      <c r="F115" s="239">
        <v>0</v>
      </c>
      <c r="G115" s="239">
        <v>-35451</v>
      </c>
      <c r="H115" s="239">
        <v>0</v>
      </c>
      <c r="I115" s="239">
        <v>-35451</v>
      </c>
      <c r="J115" s="239">
        <v>0</v>
      </c>
      <c r="K115" s="239">
        <v>0</v>
      </c>
      <c r="L115" s="239">
        <v>0</v>
      </c>
      <c r="M115" s="239">
        <v>-1074</v>
      </c>
      <c r="N115" s="239">
        <v>0</v>
      </c>
      <c r="O115" s="239">
        <v>-1074</v>
      </c>
      <c r="P115" s="239">
        <v>-36525</v>
      </c>
      <c r="Q115" s="239">
        <v>0</v>
      </c>
      <c r="R115" s="239">
        <v>-36525</v>
      </c>
      <c r="S115" s="239">
        <v>-2829860</v>
      </c>
      <c r="T115" s="239">
        <v>0</v>
      </c>
      <c r="U115" s="239">
        <v>-2829860</v>
      </c>
      <c r="V115" s="239">
        <v>-14226</v>
      </c>
      <c r="W115" s="239">
        <v>0</v>
      </c>
      <c r="X115" s="239">
        <v>-14226</v>
      </c>
      <c r="Y115" s="239">
        <v>-128804</v>
      </c>
      <c r="Z115" s="239">
        <v>0</v>
      </c>
      <c r="AA115" s="239">
        <v>-128804</v>
      </c>
      <c r="AB115" s="239">
        <v>-81743</v>
      </c>
      <c r="AC115" s="239">
        <v>0</v>
      </c>
      <c r="AD115" s="239">
        <v>-81743</v>
      </c>
      <c r="AE115" s="239">
        <v>-520</v>
      </c>
      <c r="AF115" s="239">
        <v>0</v>
      </c>
      <c r="AG115" s="239">
        <v>-520</v>
      </c>
      <c r="AH115" s="239">
        <v>778236</v>
      </c>
      <c r="AI115" s="239">
        <v>24737</v>
      </c>
      <c r="AJ115" s="239">
        <v>802973</v>
      </c>
      <c r="AK115" s="239">
        <v>-16503</v>
      </c>
      <c r="AL115" s="239">
        <v>-43</v>
      </c>
      <c r="AM115" s="239">
        <v>-16546</v>
      </c>
      <c r="AN115" s="239">
        <v>-1919294</v>
      </c>
      <c r="AO115" s="239">
        <v>0</v>
      </c>
      <c r="AP115" s="239">
        <v>-1919294</v>
      </c>
      <c r="AQ115" s="239">
        <v>-6951</v>
      </c>
      <c r="AR115" s="239">
        <v>0</v>
      </c>
      <c r="AS115" s="239">
        <v>-6951</v>
      </c>
      <c r="AT115" s="239">
        <v>-19880</v>
      </c>
      <c r="AU115" s="239">
        <v>0</v>
      </c>
      <c r="AV115" s="239">
        <v>-19880</v>
      </c>
      <c r="AW115" s="239">
        <v>0</v>
      </c>
      <c r="AX115" s="239">
        <v>0</v>
      </c>
      <c r="AY115" s="239">
        <v>0</v>
      </c>
      <c r="AZ115" s="239">
        <v>-979</v>
      </c>
      <c r="BA115" s="239">
        <v>0</v>
      </c>
      <c r="BB115" s="239">
        <v>-979</v>
      </c>
      <c r="BC115" s="239">
        <v>0</v>
      </c>
      <c r="BD115" s="239">
        <v>0</v>
      </c>
      <c r="BE115" s="239">
        <v>0</v>
      </c>
      <c r="BF115" s="239">
        <v>-4144035</v>
      </c>
      <c r="BG115" s="239">
        <v>24694</v>
      </c>
      <c r="BH115" s="239">
        <v>-4119341</v>
      </c>
      <c r="BI115" s="239">
        <v>0</v>
      </c>
      <c r="BJ115" s="239">
        <v>0</v>
      </c>
      <c r="BK115" s="239">
        <v>0</v>
      </c>
      <c r="BL115" s="239">
        <v>0</v>
      </c>
      <c r="BM115" s="239">
        <v>0</v>
      </c>
      <c r="BN115" s="239">
        <v>0</v>
      </c>
      <c r="BO115" s="239">
        <v>-979391</v>
      </c>
      <c r="BP115" s="239">
        <v>-28577</v>
      </c>
      <c r="BQ115" s="239">
        <v>-1007968</v>
      </c>
      <c r="BR115" s="239">
        <v>-30439</v>
      </c>
      <c r="BS115" s="239">
        <v>122</v>
      </c>
      <c r="BT115" s="239">
        <v>-30317</v>
      </c>
      <c r="BU115" s="239">
        <v>-1009830</v>
      </c>
      <c r="BV115" s="239">
        <v>-28455</v>
      </c>
      <c r="BW115" s="239">
        <v>-1038285</v>
      </c>
      <c r="BX115" s="239">
        <v>-120778</v>
      </c>
      <c r="BY115" s="239">
        <v>0</v>
      </c>
      <c r="BZ115" s="239">
        <v>-120778</v>
      </c>
      <c r="CA115" s="239">
        <v>-1929</v>
      </c>
      <c r="CB115" s="239">
        <v>0</v>
      </c>
      <c r="CC115" s="239">
        <v>-1929</v>
      </c>
      <c r="CD115" s="239">
        <v>-37092</v>
      </c>
      <c r="CE115" s="239">
        <v>0</v>
      </c>
      <c r="CF115" s="239">
        <v>-37092</v>
      </c>
      <c r="CG115" s="239">
        <v>-1149</v>
      </c>
      <c r="CH115" s="239">
        <v>0</v>
      </c>
      <c r="CI115" s="239">
        <v>-1149</v>
      </c>
      <c r="CJ115" s="239">
        <v>0</v>
      </c>
      <c r="CK115" s="239">
        <v>0</v>
      </c>
      <c r="CL115" s="239">
        <v>0</v>
      </c>
      <c r="CM115" s="239">
        <v>0</v>
      </c>
      <c r="CN115" s="239">
        <v>0</v>
      </c>
      <c r="CO115" s="239">
        <v>0</v>
      </c>
      <c r="CP115" s="239">
        <v>-301</v>
      </c>
      <c r="CQ115" s="239">
        <v>0</v>
      </c>
      <c r="CR115" s="239">
        <v>-301</v>
      </c>
      <c r="CS115" s="239">
        <v>0</v>
      </c>
      <c r="CT115" s="239">
        <v>0</v>
      </c>
      <c r="CU115" s="239">
        <v>0</v>
      </c>
      <c r="CV115" s="239">
        <v>0</v>
      </c>
      <c r="CW115" s="239">
        <v>0</v>
      </c>
      <c r="CX115" s="239">
        <v>0</v>
      </c>
      <c r="CY115" s="239">
        <v>0</v>
      </c>
      <c r="CZ115" s="239">
        <v>0</v>
      </c>
      <c r="DA115" s="239">
        <v>0</v>
      </c>
      <c r="DB115" s="239">
        <v>0</v>
      </c>
      <c r="DC115" s="239">
        <v>-549905</v>
      </c>
      <c r="DD115" s="239">
        <v>-549905</v>
      </c>
      <c r="DE115" s="239">
        <v>0</v>
      </c>
      <c r="DF115" s="239">
        <v>-27962</v>
      </c>
      <c r="DG115" s="239">
        <v>-27962</v>
      </c>
      <c r="DH115" s="239">
        <v>-577867</v>
      </c>
      <c r="DI115" s="239">
        <v>0</v>
      </c>
      <c r="DJ115" s="239">
        <v>-161249</v>
      </c>
      <c r="DK115" s="239">
        <v>-577867</v>
      </c>
      <c r="DL115" s="239">
        <v>-739116</v>
      </c>
      <c r="DM115" s="239">
        <v>-24563</v>
      </c>
      <c r="DN115" s="239">
        <v>0</v>
      </c>
      <c r="DO115" s="239">
        <v>-24563</v>
      </c>
      <c r="DP115" s="239">
        <v>0</v>
      </c>
      <c r="DQ115" s="239">
        <v>0</v>
      </c>
      <c r="DR115" s="239">
        <v>0</v>
      </c>
      <c r="DS115" s="239">
        <v>-2082</v>
      </c>
      <c r="DT115" s="239">
        <v>0</v>
      </c>
      <c r="DU115" s="239">
        <v>-2082</v>
      </c>
      <c r="DV115" s="239">
        <v>-1102</v>
      </c>
      <c r="DW115" s="239">
        <v>0</v>
      </c>
      <c r="DX115" s="239">
        <v>-1102</v>
      </c>
      <c r="DY115" s="239">
        <v>0</v>
      </c>
      <c r="DZ115" s="239">
        <v>0</v>
      </c>
      <c r="EA115" s="239">
        <v>0</v>
      </c>
      <c r="EB115" s="239">
        <v>-2007</v>
      </c>
      <c r="EC115" s="239">
        <v>0</v>
      </c>
      <c r="ED115" s="239">
        <v>-2007</v>
      </c>
      <c r="EE115" s="239">
        <v>0</v>
      </c>
      <c r="EF115" s="239">
        <v>0</v>
      </c>
      <c r="EG115" s="239">
        <v>0</v>
      </c>
      <c r="EH115" s="239">
        <v>0</v>
      </c>
      <c r="EI115" s="239">
        <v>0</v>
      </c>
      <c r="EJ115" s="239">
        <v>0</v>
      </c>
      <c r="EK115" s="239">
        <v>-13158</v>
      </c>
      <c r="EL115" s="239">
        <v>0</v>
      </c>
      <c r="EM115" s="239">
        <v>-13158</v>
      </c>
      <c r="EN115" s="239">
        <v>-655</v>
      </c>
      <c r="EO115" s="239">
        <v>0</v>
      </c>
      <c r="EP115" s="239">
        <v>-655</v>
      </c>
      <c r="EQ115" s="239">
        <v>-43567</v>
      </c>
      <c r="ER115" s="239">
        <v>0</v>
      </c>
      <c r="ES115" s="239">
        <v>-43567</v>
      </c>
      <c r="ET115" s="239">
        <v>0</v>
      </c>
      <c r="EU115" s="239">
        <v>0</v>
      </c>
      <c r="EV115" s="239">
        <v>0</v>
      </c>
      <c r="EW115" s="239">
        <v>0</v>
      </c>
      <c r="EX115" s="239">
        <v>0</v>
      </c>
      <c r="EY115" s="239">
        <v>0</v>
      </c>
      <c r="EZ115" s="239">
        <v>0</v>
      </c>
      <c r="FA115" s="239">
        <v>0</v>
      </c>
      <c r="FB115" s="239">
        <v>0</v>
      </c>
      <c r="FC115" s="239">
        <v>35669953</v>
      </c>
      <c r="FD115" s="239">
        <v>1068617</v>
      </c>
      <c r="FE115" s="239">
        <v>36738570</v>
      </c>
      <c r="FF115" s="239">
        <v>-36525</v>
      </c>
      <c r="FG115" s="239">
        <v>0</v>
      </c>
      <c r="FH115" s="239">
        <v>-36525</v>
      </c>
      <c r="FI115" s="239">
        <v>-4144035</v>
      </c>
      <c r="FJ115" s="239">
        <v>24694</v>
      </c>
      <c r="FK115" s="239">
        <v>-4119341</v>
      </c>
      <c r="FL115" s="239">
        <v>-1009830</v>
      </c>
      <c r="FM115" s="239">
        <v>-28455</v>
      </c>
      <c r="FN115" s="239">
        <v>-1038285</v>
      </c>
      <c r="FO115" s="239">
        <v>-161249</v>
      </c>
      <c r="FP115" s="239">
        <v>-577867</v>
      </c>
      <c r="FQ115" s="239">
        <v>-739116</v>
      </c>
      <c r="FR115" s="239">
        <v>-43567</v>
      </c>
      <c r="FS115" s="239">
        <v>0</v>
      </c>
      <c r="FT115" s="239">
        <v>-43567</v>
      </c>
      <c r="FU115" s="239">
        <v>0</v>
      </c>
      <c r="FV115" s="239">
        <v>0</v>
      </c>
      <c r="FW115" s="239">
        <v>0</v>
      </c>
      <c r="FX115" s="239">
        <v>-5395206</v>
      </c>
      <c r="FY115" s="239">
        <v>-581628</v>
      </c>
      <c r="FZ115" s="239">
        <v>-5976834</v>
      </c>
      <c r="GA115" s="239">
        <v>30274747</v>
      </c>
      <c r="GB115" s="239">
        <v>486989</v>
      </c>
      <c r="GC115" s="239">
        <v>30761736</v>
      </c>
      <c r="GD115" s="214" t="s">
        <v>1190</v>
      </c>
    </row>
    <row r="116" spans="1:186" s="214" customFormat="1" x14ac:dyDescent="0.2">
      <c r="B116" s="609" t="s">
        <v>314</v>
      </c>
      <c r="C116" s="609" t="s">
        <v>313</v>
      </c>
      <c r="D116" s="239">
        <v>0</v>
      </c>
      <c r="E116" s="239">
        <v>0</v>
      </c>
      <c r="F116" s="239">
        <v>0</v>
      </c>
      <c r="G116" s="239">
        <v>112578</v>
      </c>
      <c r="H116" s="239">
        <v>0</v>
      </c>
      <c r="I116" s="239">
        <v>112578</v>
      </c>
      <c r="J116" s="239">
        <v>0</v>
      </c>
      <c r="K116" s="239">
        <v>0</v>
      </c>
      <c r="L116" s="239">
        <v>0</v>
      </c>
      <c r="M116" s="239">
        <v>-4388</v>
      </c>
      <c r="N116" s="239">
        <v>0</v>
      </c>
      <c r="O116" s="239">
        <v>-4388</v>
      </c>
      <c r="P116" s="239">
        <v>108190</v>
      </c>
      <c r="Q116" s="239">
        <v>0</v>
      </c>
      <c r="R116" s="239">
        <v>108190</v>
      </c>
      <c r="S116" s="239">
        <v>-3547817</v>
      </c>
      <c r="T116" s="239">
        <v>0</v>
      </c>
      <c r="U116" s="239">
        <v>-3547817</v>
      </c>
      <c r="V116" s="239">
        <v>0</v>
      </c>
      <c r="W116" s="239">
        <v>0</v>
      </c>
      <c r="X116" s="239">
        <v>0</v>
      </c>
      <c r="Y116" s="239">
        <v>-195725</v>
      </c>
      <c r="Z116" s="239">
        <v>0</v>
      </c>
      <c r="AA116" s="239">
        <v>-195725</v>
      </c>
      <c r="AB116" s="239">
        <v>-131970</v>
      </c>
      <c r="AC116" s="239">
        <v>0</v>
      </c>
      <c r="AD116" s="239">
        <v>-131970</v>
      </c>
      <c r="AE116" s="239">
        <v>0</v>
      </c>
      <c r="AF116" s="239">
        <v>0</v>
      </c>
      <c r="AG116" s="239">
        <v>0</v>
      </c>
      <c r="AH116" s="239">
        <v>2117272</v>
      </c>
      <c r="AI116" s="239">
        <v>0</v>
      </c>
      <c r="AJ116" s="239">
        <v>2117272</v>
      </c>
      <c r="AK116" s="239">
        <v>132833</v>
      </c>
      <c r="AL116" s="239">
        <v>0</v>
      </c>
      <c r="AM116" s="239">
        <v>132833</v>
      </c>
      <c r="AN116" s="239">
        <v>-8975701</v>
      </c>
      <c r="AO116" s="239">
        <v>0</v>
      </c>
      <c r="AP116" s="239">
        <v>-8975701</v>
      </c>
      <c r="AQ116" s="239">
        <v>-710393</v>
      </c>
      <c r="AR116" s="239">
        <v>0</v>
      </c>
      <c r="AS116" s="239">
        <v>-710393</v>
      </c>
      <c r="AT116" s="239">
        <v>-118535</v>
      </c>
      <c r="AU116" s="239">
        <v>0</v>
      </c>
      <c r="AV116" s="239">
        <v>-118535</v>
      </c>
      <c r="AW116" s="239">
        <v>0</v>
      </c>
      <c r="AX116" s="239">
        <v>0</v>
      </c>
      <c r="AY116" s="239">
        <v>0</v>
      </c>
      <c r="AZ116" s="239">
        <v>0</v>
      </c>
      <c r="BA116" s="239">
        <v>0</v>
      </c>
      <c r="BB116" s="239">
        <v>0</v>
      </c>
      <c r="BC116" s="239">
        <v>0</v>
      </c>
      <c r="BD116" s="239">
        <v>0</v>
      </c>
      <c r="BE116" s="239">
        <v>0</v>
      </c>
      <c r="BF116" s="239">
        <v>-11298066</v>
      </c>
      <c r="BG116" s="239">
        <v>0</v>
      </c>
      <c r="BH116" s="239">
        <v>-11298066</v>
      </c>
      <c r="BI116" s="239">
        <v>-23810</v>
      </c>
      <c r="BJ116" s="239">
        <v>0</v>
      </c>
      <c r="BK116" s="239">
        <v>-23810</v>
      </c>
      <c r="BL116" s="239">
        <v>-9114</v>
      </c>
      <c r="BM116" s="239">
        <v>0</v>
      </c>
      <c r="BN116" s="239">
        <v>-9114</v>
      </c>
      <c r="BO116" s="239">
        <v>-1499940</v>
      </c>
      <c r="BP116" s="239">
        <v>0</v>
      </c>
      <c r="BQ116" s="239">
        <v>-1499940</v>
      </c>
      <c r="BR116" s="239">
        <v>-51664</v>
      </c>
      <c r="BS116" s="239">
        <v>0</v>
      </c>
      <c r="BT116" s="239">
        <v>-51664</v>
      </c>
      <c r="BU116" s="239">
        <v>-1584528</v>
      </c>
      <c r="BV116" s="239">
        <v>0</v>
      </c>
      <c r="BW116" s="239">
        <v>-1584528</v>
      </c>
      <c r="BX116" s="239">
        <v>-574904</v>
      </c>
      <c r="BY116" s="239">
        <v>0</v>
      </c>
      <c r="BZ116" s="239">
        <v>-574904</v>
      </c>
      <c r="CA116" s="239">
        <v>-52383</v>
      </c>
      <c r="CB116" s="239">
        <v>0</v>
      </c>
      <c r="CC116" s="239">
        <v>-52383</v>
      </c>
      <c r="CD116" s="239">
        <v>-44267</v>
      </c>
      <c r="CE116" s="239">
        <v>0</v>
      </c>
      <c r="CF116" s="239">
        <v>-44267</v>
      </c>
      <c r="CG116" s="239">
        <v>-7739</v>
      </c>
      <c r="CH116" s="239">
        <v>0</v>
      </c>
      <c r="CI116" s="239">
        <v>-7739</v>
      </c>
      <c r="CJ116" s="239">
        <v>0</v>
      </c>
      <c r="CK116" s="239">
        <v>0</v>
      </c>
      <c r="CL116" s="239">
        <v>0</v>
      </c>
      <c r="CM116" s="239">
        <v>0</v>
      </c>
      <c r="CN116" s="239">
        <v>0</v>
      </c>
      <c r="CO116" s="239">
        <v>0</v>
      </c>
      <c r="CP116" s="239">
        <v>0</v>
      </c>
      <c r="CQ116" s="239">
        <v>0</v>
      </c>
      <c r="CR116" s="239">
        <v>0</v>
      </c>
      <c r="CS116" s="239">
        <v>0</v>
      </c>
      <c r="CT116" s="239">
        <v>0</v>
      </c>
      <c r="CU116" s="239">
        <v>0</v>
      </c>
      <c r="CV116" s="239">
        <v>0</v>
      </c>
      <c r="CW116" s="239">
        <v>0</v>
      </c>
      <c r="CX116" s="239">
        <v>0</v>
      </c>
      <c r="CY116" s="239">
        <v>0</v>
      </c>
      <c r="CZ116" s="239">
        <v>0</v>
      </c>
      <c r="DA116" s="239">
        <v>0</v>
      </c>
      <c r="DB116" s="239">
        <v>-26584</v>
      </c>
      <c r="DC116" s="239">
        <v>0</v>
      </c>
      <c r="DD116" s="239">
        <v>-26584</v>
      </c>
      <c r="DE116" s="239">
        <v>0</v>
      </c>
      <c r="DF116" s="239">
        <v>0</v>
      </c>
      <c r="DG116" s="239">
        <v>0</v>
      </c>
      <c r="DH116" s="239">
        <v>0</v>
      </c>
      <c r="DI116" s="239">
        <v>0</v>
      </c>
      <c r="DJ116" s="239">
        <v>-705877</v>
      </c>
      <c r="DK116" s="239">
        <v>0</v>
      </c>
      <c r="DL116" s="239">
        <v>-705877</v>
      </c>
      <c r="DM116" s="239">
        <v>-28146</v>
      </c>
      <c r="DN116" s="239">
        <v>0</v>
      </c>
      <c r="DO116" s="239">
        <v>-28146</v>
      </c>
      <c r="DP116" s="239">
        <v>0</v>
      </c>
      <c r="DQ116" s="239">
        <v>0</v>
      </c>
      <c r="DR116" s="239">
        <v>0</v>
      </c>
      <c r="DS116" s="239">
        <v>-77886</v>
      </c>
      <c r="DT116" s="239">
        <v>0</v>
      </c>
      <c r="DU116" s="239">
        <v>-77886</v>
      </c>
      <c r="DV116" s="239">
        <v>86800</v>
      </c>
      <c r="DW116" s="239">
        <v>0</v>
      </c>
      <c r="DX116" s="239">
        <v>86800</v>
      </c>
      <c r="DY116" s="239">
        <v>0</v>
      </c>
      <c r="DZ116" s="239">
        <v>0</v>
      </c>
      <c r="EA116" s="239">
        <v>0</v>
      </c>
      <c r="EB116" s="239">
        <v>1390</v>
      </c>
      <c r="EC116" s="239">
        <v>0</v>
      </c>
      <c r="ED116" s="239">
        <v>1390</v>
      </c>
      <c r="EE116" s="239">
        <v>0</v>
      </c>
      <c r="EF116" s="239">
        <v>0</v>
      </c>
      <c r="EG116" s="239">
        <v>0</v>
      </c>
      <c r="EH116" s="239">
        <v>0</v>
      </c>
      <c r="EI116" s="239">
        <v>0</v>
      </c>
      <c r="EJ116" s="239">
        <v>0</v>
      </c>
      <c r="EK116" s="239">
        <v>-1471</v>
      </c>
      <c r="EL116" s="239">
        <v>0</v>
      </c>
      <c r="EM116" s="239">
        <v>-1471</v>
      </c>
      <c r="EN116" s="239">
        <v>0</v>
      </c>
      <c r="EO116" s="239">
        <v>0</v>
      </c>
      <c r="EP116" s="239">
        <v>0</v>
      </c>
      <c r="EQ116" s="239">
        <v>-19313</v>
      </c>
      <c r="ER116" s="239">
        <v>0</v>
      </c>
      <c r="ES116" s="239">
        <v>-19313</v>
      </c>
      <c r="ET116" s="239">
        <v>0</v>
      </c>
      <c r="EU116" s="239">
        <v>0</v>
      </c>
      <c r="EV116" s="239">
        <v>0</v>
      </c>
      <c r="EW116" s="239">
        <v>0</v>
      </c>
      <c r="EX116" s="239">
        <v>0</v>
      </c>
      <c r="EY116" s="239">
        <v>0</v>
      </c>
      <c r="EZ116" s="239">
        <v>0</v>
      </c>
      <c r="FA116" s="239">
        <v>0</v>
      </c>
      <c r="FB116" s="239">
        <v>0</v>
      </c>
      <c r="FC116" s="239">
        <v>96317811</v>
      </c>
      <c r="FD116" s="239">
        <v>0</v>
      </c>
      <c r="FE116" s="239">
        <v>96317811</v>
      </c>
      <c r="FF116" s="239">
        <v>108190</v>
      </c>
      <c r="FG116" s="239">
        <v>0</v>
      </c>
      <c r="FH116" s="239">
        <v>108190</v>
      </c>
      <c r="FI116" s="239">
        <v>-11298066</v>
      </c>
      <c r="FJ116" s="239">
        <v>0</v>
      </c>
      <c r="FK116" s="239">
        <v>-11298066</v>
      </c>
      <c r="FL116" s="239">
        <v>-1584528</v>
      </c>
      <c r="FM116" s="239">
        <v>0</v>
      </c>
      <c r="FN116" s="239">
        <v>-1584528</v>
      </c>
      <c r="FO116" s="239">
        <v>-705877</v>
      </c>
      <c r="FP116" s="239">
        <v>0</v>
      </c>
      <c r="FQ116" s="239">
        <v>-705877</v>
      </c>
      <c r="FR116" s="239">
        <v>-19313</v>
      </c>
      <c r="FS116" s="239">
        <v>0</v>
      </c>
      <c r="FT116" s="239">
        <v>-19313</v>
      </c>
      <c r="FU116" s="239">
        <v>0</v>
      </c>
      <c r="FV116" s="239">
        <v>0</v>
      </c>
      <c r="FW116" s="239">
        <v>0</v>
      </c>
      <c r="FX116" s="239">
        <v>-13499594</v>
      </c>
      <c r="FY116" s="239">
        <v>0</v>
      </c>
      <c r="FZ116" s="239">
        <v>-13499594</v>
      </c>
      <c r="GA116" s="239">
        <v>82818217</v>
      </c>
      <c r="GB116" s="239">
        <v>0</v>
      </c>
      <c r="GC116" s="239">
        <v>82818217</v>
      </c>
      <c r="GD116" s="214" t="s">
        <v>1193</v>
      </c>
    </row>
    <row r="117" spans="1:186" s="214" customFormat="1" x14ac:dyDescent="0.2">
      <c r="B117" s="609" t="s">
        <v>316</v>
      </c>
      <c r="C117" s="609" t="s">
        <v>315</v>
      </c>
      <c r="D117" s="239">
        <v>0</v>
      </c>
      <c r="E117" s="239">
        <v>0</v>
      </c>
      <c r="F117" s="239">
        <v>0</v>
      </c>
      <c r="G117" s="239">
        <v>-332</v>
      </c>
      <c r="H117" s="239">
        <v>0</v>
      </c>
      <c r="I117" s="239">
        <v>-332</v>
      </c>
      <c r="J117" s="239">
        <v>0</v>
      </c>
      <c r="K117" s="239">
        <v>0</v>
      </c>
      <c r="L117" s="239">
        <v>0</v>
      </c>
      <c r="M117" s="239">
        <v>375454</v>
      </c>
      <c r="N117" s="239">
        <v>0</v>
      </c>
      <c r="O117" s="239">
        <v>375454</v>
      </c>
      <c r="P117" s="239">
        <v>375122</v>
      </c>
      <c r="Q117" s="239">
        <v>0</v>
      </c>
      <c r="R117" s="239">
        <v>375122</v>
      </c>
      <c r="S117" s="239">
        <v>-1881418</v>
      </c>
      <c r="T117" s="239">
        <v>0</v>
      </c>
      <c r="U117" s="239">
        <v>-1881418</v>
      </c>
      <c r="V117" s="239">
        <v>-1928</v>
      </c>
      <c r="W117" s="239">
        <v>0</v>
      </c>
      <c r="X117" s="239">
        <v>-1928</v>
      </c>
      <c r="Y117" s="239">
        <v>-169123</v>
      </c>
      <c r="Z117" s="239">
        <v>0</v>
      </c>
      <c r="AA117" s="239">
        <v>-169123</v>
      </c>
      <c r="AB117" s="239">
        <v>-113250</v>
      </c>
      <c r="AC117" s="239">
        <v>0</v>
      </c>
      <c r="AD117" s="239">
        <v>-113250</v>
      </c>
      <c r="AE117" s="239">
        <v>0</v>
      </c>
      <c r="AF117" s="239">
        <v>0</v>
      </c>
      <c r="AG117" s="239">
        <v>0</v>
      </c>
      <c r="AH117" s="239">
        <v>2372388</v>
      </c>
      <c r="AI117" s="239">
        <v>0</v>
      </c>
      <c r="AJ117" s="239">
        <v>2372388</v>
      </c>
      <c r="AK117" s="239">
        <v>-56658</v>
      </c>
      <c r="AL117" s="239">
        <v>0</v>
      </c>
      <c r="AM117" s="239">
        <v>-56658</v>
      </c>
      <c r="AN117" s="239">
        <v>-9042753</v>
      </c>
      <c r="AO117" s="239">
        <v>0</v>
      </c>
      <c r="AP117" s="239">
        <v>-9042753</v>
      </c>
      <c r="AQ117" s="239">
        <v>-174629</v>
      </c>
      <c r="AR117" s="239">
        <v>0</v>
      </c>
      <c r="AS117" s="239">
        <v>-174629</v>
      </c>
      <c r="AT117" s="239">
        <v>-37305</v>
      </c>
      <c r="AU117" s="239">
        <v>0</v>
      </c>
      <c r="AV117" s="239">
        <v>-37305</v>
      </c>
      <c r="AW117" s="239">
        <v>0</v>
      </c>
      <c r="AX117" s="239">
        <v>0</v>
      </c>
      <c r="AY117" s="239">
        <v>0</v>
      </c>
      <c r="AZ117" s="239">
        <v>-18303</v>
      </c>
      <c r="BA117" s="239">
        <v>0</v>
      </c>
      <c r="BB117" s="239">
        <v>-18303</v>
      </c>
      <c r="BC117" s="239">
        <v>0</v>
      </c>
      <c r="BD117" s="239">
        <v>0</v>
      </c>
      <c r="BE117" s="239">
        <v>0</v>
      </c>
      <c r="BF117" s="239">
        <v>-9007801</v>
      </c>
      <c r="BG117" s="239">
        <v>0</v>
      </c>
      <c r="BH117" s="239">
        <v>-9007801</v>
      </c>
      <c r="BI117" s="239">
        <v>0</v>
      </c>
      <c r="BJ117" s="239">
        <v>0</v>
      </c>
      <c r="BK117" s="239">
        <v>0</v>
      </c>
      <c r="BL117" s="239">
        <v>0</v>
      </c>
      <c r="BM117" s="239">
        <v>0</v>
      </c>
      <c r="BN117" s="239">
        <v>0</v>
      </c>
      <c r="BO117" s="239">
        <v>-2309495</v>
      </c>
      <c r="BP117" s="239">
        <v>0</v>
      </c>
      <c r="BQ117" s="239">
        <v>-2309495</v>
      </c>
      <c r="BR117" s="239">
        <v>251040</v>
      </c>
      <c r="BS117" s="239">
        <v>0</v>
      </c>
      <c r="BT117" s="239">
        <v>251040</v>
      </c>
      <c r="BU117" s="239">
        <v>-2058455</v>
      </c>
      <c r="BV117" s="239">
        <v>0</v>
      </c>
      <c r="BW117" s="239">
        <v>-2058455</v>
      </c>
      <c r="BX117" s="239">
        <v>-142658</v>
      </c>
      <c r="BY117" s="239">
        <v>0</v>
      </c>
      <c r="BZ117" s="239">
        <v>-142658</v>
      </c>
      <c r="CA117" s="239">
        <v>207</v>
      </c>
      <c r="CB117" s="239">
        <v>0</v>
      </c>
      <c r="CC117" s="239">
        <v>207</v>
      </c>
      <c r="CD117" s="239">
        <v>-5178</v>
      </c>
      <c r="CE117" s="239">
        <v>0</v>
      </c>
      <c r="CF117" s="239">
        <v>-5178</v>
      </c>
      <c r="CG117" s="239">
        <v>6795</v>
      </c>
      <c r="CH117" s="239">
        <v>0</v>
      </c>
      <c r="CI117" s="239">
        <v>6795</v>
      </c>
      <c r="CJ117" s="239">
        <v>0</v>
      </c>
      <c r="CK117" s="239">
        <v>0</v>
      </c>
      <c r="CL117" s="239">
        <v>0</v>
      </c>
      <c r="CM117" s="239">
        <v>0</v>
      </c>
      <c r="CN117" s="239">
        <v>0</v>
      </c>
      <c r="CO117" s="239">
        <v>0</v>
      </c>
      <c r="CP117" s="239">
        <v>-18303</v>
      </c>
      <c r="CQ117" s="239">
        <v>0</v>
      </c>
      <c r="CR117" s="239">
        <v>-18303</v>
      </c>
      <c r="CS117" s="239">
        <v>0</v>
      </c>
      <c r="CT117" s="239">
        <v>0</v>
      </c>
      <c r="CU117" s="239">
        <v>0</v>
      </c>
      <c r="CV117" s="239">
        <v>-17908</v>
      </c>
      <c r="CW117" s="239">
        <v>0</v>
      </c>
      <c r="CX117" s="239">
        <v>-17908</v>
      </c>
      <c r="CY117" s="239">
        <v>0</v>
      </c>
      <c r="CZ117" s="239">
        <v>0</v>
      </c>
      <c r="DA117" s="239">
        <v>0</v>
      </c>
      <c r="DB117" s="239">
        <v>0</v>
      </c>
      <c r="DC117" s="239">
        <v>0</v>
      </c>
      <c r="DD117" s="239">
        <v>0</v>
      </c>
      <c r="DE117" s="239">
        <v>0</v>
      </c>
      <c r="DF117" s="239">
        <v>0</v>
      </c>
      <c r="DG117" s="239">
        <v>0</v>
      </c>
      <c r="DH117" s="239">
        <v>0</v>
      </c>
      <c r="DI117" s="239">
        <v>0</v>
      </c>
      <c r="DJ117" s="239">
        <v>-177045</v>
      </c>
      <c r="DK117" s="239">
        <v>0</v>
      </c>
      <c r="DL117" s="239">
        <v>-177045</v>
      </c>
      <c r="DM117" s="239">
        <v>0</v>
      </c>
      <c r="DN117" s="239">
        <v>0</v>
      </c>
      <c r="DO117" s="239">
        <v>0</v>
      </c>
      <c r="DP117" s="239">
        <v>0</v>
      </c>
      <c r="DQ117" s="239">
        <v>0</v>
      </c>
      <c r="DR117" s="239">
        <v>0</v>
      </c>
      <c r="DS117" s="239">
        <v>-110257</v>
      </c>
      <c r="DT117" s="239">
        <v>0</v>
      </c>
      <c r="DU117" s="239">
        <v>-110257</v>
      </c>
      <c r="DV117" s="239">
        <v>-63154</v>
      </c>
      <c r="DW117" s="239">
        <v>0</v>
      </c>
      <c r="DX117" s="239">
        <v>-63154</v>
      </c>
      <c r="DY117" s="239">
        <v>0</v>
      </c>
      <c r="DZ117" s="239">
        <v>0</v>
      </c>
      <c r="EA117" s="239">
        <v>0</v>
      </c>
      <c r="EB117" s="239">
        <v>1683</v>
      </c>
      <c r="EC117" s="239">
        <v>0</v>
      </c>
      <c r="ED117" s="239">
        <v>1683</v>
      </c>
      <c r="EE117" s="239">
        <v>0</v>
      </c>
      <c r="EF117" s="239">
        <v>0</v>
      </c>
      <c r="EG117" s="239">
        <v>0</v>
      </c>
      <c r="EH117" s="239">
        <v>0</v>
      </c>
      <c r="EI117" s="239">
        <v>0</v>
      </c>
      <c r="EJ117" s="239">
        <v>0</v>
      </c>
      <c r="EK117" s="239">
        <v>-13097</v>
      </c>
      <c r="EL117" s="239">
        <v>0</v>
      </c>
      <c r="EM117" s="239">
        <v>-13097</v>
      </c>
      <c r="EN117" s="239">
        <v>0</v>
      </c>
      <c r="EO117" s="239">
        <v>0</v>
      </c>
      <c r="EP117" s="239">
        <v>0</v>
      </c>
      <c r="EQ117" s="239">
        <v>-184825</v>
      </c>
      <c r="ER117" s="239">
        <v>0</v>
      </c>
      <c r="ES117" s="239">
        <v>-184825</v>
      </c>
      <c r="ET117" s="239">
        <v>0</v>
      </c>
      <c r="EU117" s="239">
        <v>0</v>
      </c>
      <c r="EV117" s="239">
        <v>0</v>
      </c>
      <c r="EW117" s="239">
        <v>0</v>
      </c>
      <c r="EX117" s="239">
        <v>0</v>
      </c>
      <c r="EY117" s="239">
        <v>0</v>
      </c>
      <c r="EZ117" s="239">
        <v>0</v>
      </c>
      <c r="FA117" s="239">
        <v>0</v>
      </c>
      <c r="FB117" s="239">
        <v>0</v>
      </c>
      <c r="FC117" s="239">
        <v>92749940</v>
      </c>
      <c r="FD117" s="239">
        <v>0</v>
      </c>
      <c r="FE117" s="239">
        <v>92749940</v>
      </c>
      <c r="FF117" s="239">
        <v>375122</v>
      </c>
      <c r="FG117" s="239">
        <v>0</v>
      </c>
      <c r="FH117" s="239">
        <v>375122</v>
      </c>
      <c r="FI117" s="239">
        <v>-9007801</v>
      </c>
      <c r="FJ117" s="239">
        <v>0</v>
      </c>
      <c r="FK117" s="239">
        <v>-9007801</v>
      </c>
      <c r="FL117" s="239">
        <v>-2058455</v>
      </c>
      <c r="FM117" s="239">
        <v>0</v>
      </c>
      <c r="FN117" s="239">
        <v>-2058455</v>
      </c>
      <c r="FO117" s="239">
        <v>-177045</v>
      </c>
      <c r="FP117" s="239">
        <v>0</v>
      </c>
      <c r="FQ117" s="239">
        <v>-177045</v>
      </c>
      <c r="FR117" s="239">
        <v>-184825</v>
      </c>
      <c r="FS117" s="239">
        <v>0</v>
      </c>
      <c r="FT117" s="239">
        <v>-184825</v>
      </c>
      <c r="FU117" s="239">
        <v>0</v>
      </c>
      <c r="FV117" s="239">
        <v>0</v>
      </c>
      <c r="FW117" s="239">
        <v>0</v>
      </c>
      <c r="FX117" s="239">
        <v>-11053004</v>
      </c>
      <c r="FY117" s="239">
        <v>0</v>
      </c>
      <c r="FZ117" s="239">
        <v>-11053004</v>
      </c>
      <c r="GA117" s="239">
        <v>81696936</v>
      </c>
      <c r="GB117" s="239">
        <v>0</v>
      </c>
      <c r="GC117" s="239">
        <v>81696936</v>
      </c>
      <c r="GD117" s="214" t="s">
        <v>1190</v>
      </c>
    </row>
    <row r="118" spans="1:186" s="214" customFormat="1" x14ac:dyDescent="0.2">
      <c r="B118" s="609" t="s">
        <v>318</v>
      </c>
      <c r="C118" s="609" t="s">
        <v>317</v>
      </c>
      <c r="D118" s="239">
        <v>0</v>
      </c>
      <c r="E118" s="239">
        <v>0</v>
      </c>
      <c r="F118" s="239">
        <v>0</v>
      </c>
      <c r="G118" s="239">
        <v>184054</v>
      </c>
      <c r="H118" s="239">
        <v>0</v>
      </c>
      <c r="I118" s="239">
        <v>184054</v>
      </c>
      <c r="J118" s="239">
        <v>0</v>
      </c>
      <c r="K118" s="239">
        <v>0</v>
      </c>
      <c r="L118" s="239">
        <v>0</v>
      </c>
      <c r="M118" s="239">
        <v>42776</v>
      </c>
      <c r="N118" s="239">
        <v>0</v>
      </c>
      <c r="O118" s="239">
        <v>42776</v>
      </c>
      <c r="P118" s="239">
        <v>226830</v>
      </c>
      <c r="Q118" s="239">
        <v>0</v>
      </c>
      <c r="R118" s="239">
        <v>226830</v>
      </c>
      <c r="S118" s="239">
        <v>-5855913</v>
      </c>
      <c r="T118" s="239">
        <v>0</v>
      </c>
      <c r="U118" s="239">
        <v>-5855913</v>
      </c>
      <c r="V118" s="239">
        <v>0</v>
      </c>
      <c r="W118" s="239">
        <v>0</v>
      </c>
      <c r="X118" s="239">
        <v>0</v>
      </c>
      <c r="Y118" s="239">
        <v>-253168</v>
      </c>
      <c r="Z118" s="239">
        <v>0</v>
      </c>
      <c r="AA118" s="239">
        <v>-253168</v>
      </c>
      <c r="AB118" s="239">
        <v>0</v>
      </c>
      <c r="AC118" s="239">
        <v>0</v>
      </c>
      <c r="AD118" s="239">
        <v>0</v>
      </c>
      <c r="AE118" s="239">
        <v>0</v>
      </c>
      <c r="AF118" s="239">
        <v>0</v>
      </c>
      <c r="AG118" s="239">
        <v>0</v>
      </c>
      <c r="AH118" s="239">
        <v>2357816</v>
      </c>
      <c r="AI118" s="239">
        <v>0</v>
      </c>
      <c r="AJ118" s="239">
        <v>2357816</v>
      </c>
      <c r="AK118" s="239">
        <v>-88498</v>
      </c>
      <c r="AL118" s="239">
        <v>0</v>
      </c>
      <c r="AM118" s="239">
        <v>-88498</v>
      </c>
      <c r="AN118" s="239">
        <v>-11914413</v>
      </c>
      <c r="AO118" s="239">
        <v>0</v>
      </c>
      <c r="AP118" s="239">
        <v>-11914413</v>
      </c>
      <c r="AQ118" s="239">
        <v>69349</v>
      </c>
      <c r="AR118" s="239">
        <v>0</v>
      </c>
      <c r="AS118" s="239">
        <v>69349</v>
      </c>
      <c r="AT118" s="239">
        <v>0</v>
      </c>
      <c r="AU118" s="239">
        <v>0</v>
      </c>
      <c r="AV118" s="239">
        <v>0</v>
      </c>
      <c r="AW118" s="239">
        <v>0</v>
      </c>
      <c r="AX118" s="239">
        <v>0</v>
      </c>
      <c r="AY118" s="239">
        <v>0</v>
      </c>
      <c r="AZ118" s="239">
        <v>0</v>
      </c>
      <c r="BA118" s="239">
        <v>0</v>
      </c>
      <c r="BB118" s="239">
        <v>0</v>
      </c>
      <c r="BC118" s="239">
        <v>0</v>
      </c>
      <c r="BD118" s="239">
        <v>0</v>
      </c>
      <c r="BE118" s="239">
        <v>0</v>
      </c>
      <c r="BF118" s="239">
        <v>-15684827</v>
      </c>
      <c r="BG118" s="239">
        <v>0</v>
      </c>
      <c r="BH118" s="239">
        <v>-15684827</v>
      </c>
      <c r="BI118" s="239">
        <v>0</v>
      </c>
      <c r="BJ118" s="239">
        <v>0</v>
      </c>
      <c r="BK118" s="239">
        <v>0</v>
      </c>
      <c r="BL118" s="239">
        <v>-4403</v>
      </c>
      <c r="BM118" s="239">
        <v>0</v>
      </c>
      <c r="BN118" s="239">
        <v>-4403</v>
      </c>
      <c r="BO118" s="239">
        <v>-2796453</v>
      </c>
      <c r="BP118" s="239">
        <v>0</v>
      </c>
      <c r="BQ118" s="239">
        <v>-2796453</v>
      </c>
      <c r="BR118" s="239">
        <v>-62375</v>
      </c>
      <c r="BS118" s="239">
        <v>0</v>
      </c>
      <c r="BT118" s="239">
        <v>-62375</v>
      </c>
      <c r="BU118" s="239">
        <v>-2863231</v>
      </c>
      <c r="BV118" s="239">
        <v>0</v>
      </c>
      <c r="BW118" s="239">
        <v>-2863231</v>
      </c>
      <c r="BX118" s="239">
        <v>-243316</v>
      </c>
      <c r="BY118" s="239">
        <v>0</v>
      </c>
      <c r="BZ118" s="239">
        <v>-243316</v>
      </c>
      <c r="CA118" s="239">
        <v>-196078</v>
      </c>
      <c r="CB118" s="239">
        <v>0</v>
      </c>
      <c r="CC118" s="239">
        <v>-196078</v>
      </c>
      <c r="CD118" s="239">
        <v>-18344</v>
      </c>
      <c r="CE118" s="239">
        <v>0</v>
      </c>
      <c r="CF118" s="239">
        <v>-18344</v>
      </c>
      <c r="CG118" s="239">
        <v>7114</v>
      </c>
      <c r="CH118" s="239">
        <v>0</v>
      </c>
      <c r="CI118" s="239">
        <v>7114</v>
      </c>
      <c r="CJ118" s="239">
        <v>0</v>
      </c>
      <c r="CK118" s="239">
        <v>0</v>
      </c>
      <c r="CL118" s="239">
        <v>0</v>
      </c>
      <c r="CM118" s="239">
        <v>0</v>
      </c>
      <c r="CN118" s="239">
        <v>0</v>
      </c>
      <c r="CO118" s="239">
        <v>0</v>
      </c>
      <c r="CP118" s="239">
        <v>0</v>
      </c>
      <c r="CQ118" s="239">
        <v>0</v>
      </c>
      <c r="CR118" s="239">
        <v>0</v>
      </c>
      <c r="CS118" s="239">
        <v>0</v>
      </c>
      <c r="CT118" s="239">
        <v>0</v>
      </c>
      <c r="CU118" s="239">
        <v>0</v>
      </c>
      <c r="CV118" s="239">
        <v>0</v>
      </c>
      <c r="CW118" s="239">
        <v>0</v>
      </c>
      <c r="CX118" s="239">
        <v>0</v>
      </c>
      <c r="CY118" s="239">
        <v>0</v>
      </c>
      <c r="CZ118" s="239">
        <v>0</v>
      </c>
      <c r="DA118" s="239">
        <v>0</v>
      </c>
      <c r="DB118" s="239">
        <v>0</v>
      </c>
      <c r="DC118" s="239">
        <v>0</v>
      </c>
      <c r="DD118" s="239">
        <v>0</v>
      </c>
      <c r="DE118" s="239">
        <v>0</v>
      </c>
      <c r="DF118" s="239">
        <v>0</v>
      </c>
      <c r="DG118" s="239">
        <v>0</v>
      </c>
      <c r="DH118" s="239">
        <v>0</v>
      </c>
      <c r="DI118" s="239">
        <v>0</v>
      </c>
      <c r="DJ118" s="239">
        <v>-450624</v>
      </c>
      <c r="DK118" s="239">
        <v>0</v>
      </c>
      <c r="DL118" s="239">
        <v>-450624</v>
      </c>
      <c r="DM118" s="239">
        <v>-6247</v>
      </c>
      <c r="DN118" s="239">
        <v>0</v>
      </c>
      <c r="DO118" s="239">
        <v>-6247</v>
      </c>
      <c r="DP118" s="239">
        <v>-7702</v>
      </c>
      <c r="DQ118" s="239">
        <v>0</v>
      </c>
      <c r="DR118" s="239">
        <v>-7702</v>
      </c>
      <c r="DS118" s="239">
        <v>-1795</v>
      </c>
      <c r="DT118" s="239">
        <v>0</v>
      </c>
      <c r="DU118" s="239">
        <v>-1795</v>
      </c>
      <c r="DV118" s="239">
        <v>-213</v>
      </c>
      <c r="DW118" s="239">
        <v>0</v>
      </c>
      <c r="DX118" s="239">
        <v>-213</v>
      </c>
      <c r="DY118" s="239">
        <v>0</v>
      </c>
      <c r="DZ118" s="239">
        <v>0</v>
      </c>
      <c r="EA118" s="239">
        <v>0</v>
      </c>
      <c r="EB118" s="239">
        <v>-113353</v>
      </c>
      <c r="EC118" s="239">
        <v>0</v>
      </c>
      <c r="ED118" s="239">
        <v>-113353</v>
      </c>
      <c r="EE118" s="239">
        <v>0</v>
      </c>
      <c r="EF118" s="239">
        <v>0</v>
      </c>
      <c r="EG118" s="239">
        <v>0</v>
      </c>
      <c r="EH118" s="239">
        <v>0</v>
      </c>
      <c r="EI118" s="239">
        <v>0</v>
      </c>
      <c r="EJ118" s="239">
        <v>0</v>
      </c>
      <c r="EK118" s="239">
        <v>-59146</v>
      </c>
      <c r="EL118" s="239">
        <v>0</v>
      </c>
      <c r="EM118" s="239">
        <v>-59146</v>
      </c>
      <c r="EN118" s="239">
        <v>2747</v>
      </c>
      <c r="EO118" s="239">
        <v>0</v>
      </c>
      <c r="EP118" s="239">
        <v>2747</v>
      </c>
      <c r="EQ118" s="239">
        <v>-185709</v>
      </c>
      <c r="ER118" s="239">
        <v>0</v>
      </c>
      <c r="ES118" s="239">
        <v>-185709</v>
      </c>
      <c r="ET118" s="239">
        <v>0</v>
      </c>
      <c r="EU118" s="239">
        <v>0</v>
      </c>
      <c r="EV118" s="239">
        <v>0</v>
      </c>
      <c r="EW118" s="239">
        <v>-5568</v>
      </c>
      <c r="EX118" s="239">
        <v>0</v>
      </c>
      <c r="EY118" s="239">
        <v>-5568</v>
      </c>
      <c r="EZ118" s="239">
        <v>-5568</v>
      </c>
      <c r="FA118" s="239">
        <v>0</v>
      </c>
      <c r="FB118" s="239">
        <v>-5568</v>
      </c>
      <c r="FC118" s="239">
        <v>114724864</v>
      </c>
      <c r="FD118" s="239">
        <v>0</v>
      </c>
      <c r="FE118" s="239">
        <v>114724864</v>
      </c>
      <c r="FF118" s="239">
        <v>226830</v>
      </c>
      <c r="FG118" s="239">
        <v>0</v>
      </c>
      <c r="FH118" s="239">
        <v>226830</v>
      </c>
      <c r="FI118" s="239">
        <v>-15684827</v>
      </c>
      <c r="FJ118" s="239">
        <v>0</v>
      </c>
      <c r="FK118" s="239">
        <v>-15684827</v>
      </c>
      <c r="FL118" s="239">
        <v>-2863231</v>
      </c>
      <c r="FM118" s="239">
        <v>0</v>
      </c>
      <c r="FN118" s="239">
        <v>-2863231</v>
      </c>
      <c r="FO118" s="239">
        <v>-450624</v>
      </c>
      <c r="FP118" s="239">
        <v>0</v>
      </c>
      <c r="FQ118" s="239">
        <v>-450624</v>
      </c>
      <c r="FR118" s="239">
        <v>-185709</v>
      </c>
      <c r="FS118" s="239">
        <v>0</v>
      </c>
      <c r="FT118" s="239">
        <v>-185709</v>
      </c>
      <c r="FU118" s="239">
        <v>-5568</v>
      </c>
      <c r="FV118" s="239">
        <v>0</v>
      </c>
      <c r="FW118" s="239">
        <v>-5568</v>
      </c>
      <c r="FX118" s="239">
        <v>-18963129</v>
      </c>
      <c r="FY118" s="239">
        <v>0</v>
      </c>
      <c r="FZ118" s="239">
        <v>-18963129</v>
      </c>
      <c r="GA118" s="239">
        <v>95761735</v>
      </c>
      <c r="GB118" s="239">
        <v>0</v>
      </c>
      <c r="GC118" s="239">
        <v>95761735</v>
      </c>
      <c r="GD118" s="214" t="s">
        <v>1193</v>
      </c>
    </row>
    <row r="119" spans="1:186" s="214" customFormat="1" x14ac:dyDescent="0.2">
      <c r="B119" s="609" t="s">
        <v>320</v>
      </c>
      <c r="C119" s="609" t="s">
        <v>319</v>
      </c>
      <c r="D119" s="239">
        <v>0</v>
      </c>
      <c r="E119" s="239">
        <v>0</v>
      </c>
      <c r="F119" s="239">
        <v>0</v>
      </c>
      <c r="G119" s="239">
        <v>-985</v>
      </c>
      <c r="H119" s="239">
        <v>0</v>
      </c>
      <c r="I119" s="239">
        <v>-985</v>
      </c>
      <c r="J119" s="239">
        <v>0</v>
      </c>
      <c r="K119" s="239">
        <v>0</v>
      </c>
      <c r="L119" s="239">
        <v>0</v>
      </c>
      <c r="M119" s="239">
        <v>86233</v>
      </c>
      <c r="N119" s="239">
        <v>0</v>
      </c>
      <c r="O119" s="239">
        <v>86233</v>
      </c>
      <c r="P119" s="239">
        <v>85248</v>
      </c>
      <c r="Q119" s="239">
        <v>0</v>
      </c>
      <c r="R119" s="239">
        <v>85248</v>
      </c>
      <c r="S119" s="239">
        <v>-2060151</v>
      </c>
      <c r="T119" s="239">
        <v>0</v>
      </c>
      <c r="U119" s="239">
        <v>-2060151</v>
      </c>
      <c r="V119" s="239">
        <v>-11430</v>
      </c>
      <c r="W119" s="239">
        <v>0</v>
      </c>
      <c r="X119" s="239">
        <v>-11430</v>
      </c>
      <c r="Y119" s="239">
        <v>-174408</v>
      </c>
      <c r="Z119" s="239">
        <v>0</v>
      </c>
      <c r="AA119" s="239">
        <v>-174408</v>
      </c>
      <c r="AB119" s="239">
        <v>-109804</v>
      </c>
      <c r="AC119" s="239">
        <v>0</v>
      </c>
      <c r="AD119" s="239">
        <v>-109804</v>
      </c>
      <c r="AE119" s="239">
        <v>-3813</v>
      </c>
      <c r="AF119" s="239">
        <v>0</v>
      </c>
      <c r="AG119" s="239">
        <v>-3813</v>
      </c>
      <c r="AH119" s="239">
        <v>1599421</v>
      </c>
      <c r="AI119" s="239">
        <v>0</v>
      </c>
      <c r="AJ119" s="239">
        <v>1599421</v>
      </c>
      <c r="AK119" s="239">
        <v>-842</v>
      </c>
      <c r="AL119" s="239">
        <v>0</v>
      </c>
      <c r="AM119" s="239">
        <v>-842</v>
      </c>
      <c r="AN119" s="239">
        <v>-2489855</v>
      </c>
      <c r="AO119" s="239">
        <v>0</v>
      </c>
      <c r="AP119" s="239">
        <v>-2489855</v>
      </c>
      <c r="AQ119" s="239">
        <v>-340409</v>
      </c>
      <c r="AR119" s="239">
        <v>0</v>
      </c>
      <c r="AS119" s="239">
        <v>-340409</v>
      </c>
      <c r="AT119" s="239">
        <v>-74451</v>
      </c>
      <c r="AU119" s="239">
        <v>0</v>
      </c>
      <c r="AV119" s="239">
        <v>-74451</v>
      </c>
      <c r="AW119" s="239">
        <v>0</v>
      </c>
      <c r="AX119" s="239">
        <v>0</v>
      </c>
      <c r="AY119" s="239">
        <v>0</v>
      </c>
      <c r="AZ119" s="239">
        <v>-969</v>
      </c>
      <c r="BA119" s="239">
        <v>0</v>
      </c>
      <c r="BB119" s="239">
        <v>-969</v>
      </c>
      <c r="BC119" s="239">
        <v>0</v>
      </c>
      <c r="BD119" s="239">
        <v>0</v>
      </c>
      <c r="BE119" s="239">
        <v>0</v>
      </c>
      <c r="BF119" s="239">
        <v>-3541664</v>
      </c>
      <c r="BG119" s="239">
        <v>0</v>
      </c>
      <c r="BH119" s="239">
        <v>-3541664</v>
      </c>
      <c r="BI119" s="239">
        <v>-13423</v>
      </c>
      <c r="BJ119" s="239">
        <v>0</v>
      </c>
      <c r="BK119" s="239">
        <v>-13423</v>
      </c>
      <c r="BL119" s="239">
        <v>-72293</v>
      </c>
      <c r="BM119" s="239">
        <v>0</v>
      </c>
      <c r="BN119" s="239">
        <v>-72293</v>
      </c>
      <c r="BO119" s="239">
        <v>-2080986</v>
      </c>
      <c r="BP119" s="239">
        <v>0</v>
      </c>
      <c r="BQ119" s="239">
        <v>-2080986</v>
      </c>
      <c r="BR119" s="239">
        <v>-118257</v>
      </c>
      <c r="BS119" s="239">
        <v>0</v>
      </c>
      <c r="BT119" s="239">
        <v>-118257</v>
      </c>
      <c r="BU119" s="239">
        <v>-2284959</v>
      </c>
      <c r="BV119" s="239">
        <v>0</v>
      </c>
      <c r="BW119" s="239">
        <v>-2284959</v>
      </c>
      <c r="BX119" s="239">
        <v>-61487</v>
      </c>
      <c r="BY119" s="239">
        <v>0</v>
      </c>
      <c r="BZ119" s="239">
        <v>-61487</v>
      </c>
      <c r="CA119" s="239">
        <v>136</v>
      </c>
      <c r="CB119" s="239">
        <v>0</v>
      </c>
      <c r="CC119" s="239">
        <v>136</v>
      </c>
      <c r="CD119" s="239">
        <v>-87908</v>
      </c>
      <c r="CE119" s="239">
        <v>0</v>
      </c>
      <c r="CF119" s="239">
        <v>-87908</v>
      </c>
      <c r="CG119" s="239">
        <v>-10056</v>
      </c>
      <c r="CH119" s="239">
        <v>0</v>
      </c>
      <c r="CI119" s="239">
        <v>-10056</v>
      </c>
      <c r="CJ119" s="239">
        <v>-10474</v>
      </c>
      <c r="CK119" s="239">
        <v>0</v>
      </c>
      <c r="CL119" s="239">
        <v>-10474</v>
      </c>
      <c r="CM119" s="239">
        <v>0</v>
      </c>
      <c r="CN119" s="239">
        <v>0</v>
      </c>
      <c r="CO119" s="239">
        <v>0</v>
      </c>
      <c r="CP119" s="239">
        <v>0</v>
      </c>
      <c r="CQ119" s="239">
        <v>0</v>
      </c>
      <c r="CR119" s="239">
        <v>0</v>
      </c>
      <c r="CS119" s="239">
        <v>0</v>
      </c>
      <c r="CT119" s="239">
        <v>0</v>
      </c>
      <c r="CU119" s="239">
        <v>0</v>
      </c>
      <c r="CV119" s="239">
        <v>0</v>
      </c>
      <c r="CW119" s="239">
        <v>0</v>
      </c>
      <c r="CX119" s="239">
        <v>0</v>
      </c>
      <c r="CY119" s="239">
        <v>0</v>
      </c>
      <c r="CZ119" s="239">
        <v>0</v>
      </c>
      <c r="DA119" s="239">
        <v>0</v>
      </c>
      <c r="DB119" s="239">
        <v>-33529</v>
      </c>
      <c r="DC119" s="239">
        <v>-331185</v>
      </c>
      <c r="DD119" s="239">
        <v>-364714</v>
      </c>
      <c r="DE119" s="239">
        <v>0</v>
      </c>
      <c r="DF119" s="239">
        <v>0</v>
      </c>
      <c r="DG119" s="239">
        <v>0</v>
      </c>
      <c r="DH119" s="239">
        <v>-331185</v>
      </c>
      <c r="DI119" s="239">
        <v>-33529</v>
      </c>
      <c r="DJ119" s="239">
        <v>-203318</v>
      </c>
      <c r="DK119" s="239">
        <v>-331185</v>
      </c>
      <c r="DL119" s="239">
        <v>-534503</v>
      </c>
      <c r="DM119" s="239">
        <v>0</v>
      </c>
      <c r="DN119" s="239">
        <v>0</v>
      </c>
      <c r="DO119" s="239">
        <v>0</v>
      </c>
      <c r="DP119" s="239">
        <v>0</v>
      </c>
      <c r="DQ119" s="239">
        <v>0</v>
      </c>
      <c r="DR119" s="239">
        <v>0</v>
      </c>
      <c r="DS119" s="239">
        <v>-14638</v>
      </c>
      <c r="DT119" s="239">
        <v>0</v>
      </c>
      <c r="DU119" s="239">
        <v>-14638</v>
      </c>
      <c r="DV119" s="239">
        <v>202</v>
      </c>
      <c r="DW119" s="239">
        <v>0</v>
      </c>
      <c r="DX119" s="239">
        <v>202</v>
      </c>
      <c r="DY119" s="239">
        <v>0</v>
      </c>
      <c r="DZ119" s="239">
        <v>0</v>
      </c>
      <c r="EA119" s="239">
        <v>0</v>
      </c>
      <c r="EB119" s="239">
        <v>-11007</v>
      </c>
      <c r="EC119" s="239">
        <v>0</v>
      </c>
      <c r="ED119" s="239">
        <v>-11007</v>
      </c>
      <c r="EE119" s="239">
        <v>0</v>
      </c>
      <c r="EF119" s="239">
        <v>0</v>
      </c>
      <c r="EG119" s="239">
        <v>0</v>
      </c>
      <c r="EH119" s="239">
        <v>0</v>
      </c>
      <c r="EI119" s="239">
        <v>0</v>
      </c>
      <c r="EJ119" s="239">
        <v>0</v>
      </c>
      <c r="EK119" s="239">
        <v>0</v>
      </c>
      <c r="EL119" s="239">
        <v>0</v>
      </c>
      <c r="EM119" s="239">
        <v>0</v>
      </c>
      <c r="EN119" s="239">
        <v>0</v>
      </c>
      <c r="EO119" s="239">
        <v>0</v>
      </c>
      <c r="EP119" s="239">
        <v>0</v>
      </c>
      <c r="EQ119" s="239">
        <v>-25443</v>
      </c>
      <c r="ER119" s="239">
        <v>0</v>
      </c>
      <c r="ES119" s="239">
        <v>-25443</v>
      </c>
      <c r="ET119" s="239">
        <v>0</v>
      </c>
      <c r="EU119" s="239">
        <v>0</v>
      </c>
      <c r="EV119" s="239">
        <v>0</v>
      </c>
      <c r="EW119" s="239">
        <v>0</v>
      </c>
      <c r="EX119" s="239">
        <v>0</v>
      </c>
      <c r="EY119" s="239">
        <v>0</v>
      </c>
      <c r="EZ119" s="239">
        <v>0</v>
      </c>
      <c r="FA119" s="239">
        <v>0</v>
      </c>
      <c r="FB119" s="239">
        <v>0</v>
      </c>
      <c r="FC119" s="239">
        <v>64598287</v>
      </c>
      <c r="FD119" s="239">
        <v>331185</v>
      </c>
      <c r="FE119" s="239">
        <v>64929472</v>
      </c>
      <c r="FF119" s="239">
        <v>85248</v>
      </c>
      <c r="FG119" s="239">
        <v>0</v>
      </c>
      <c r="FH119" s="239">
        <v>85248</v>
      </c>
      <c r="FI119" s="239">
        <v>-3541664</v>
      </c>
      <c r="FJ119" s="239">
        <v>0</v>
      </c>
      <c r="FK119" s="239">
        <v>-3541664</v>
      </c>
      <c r="FL119" s="239">
        <v>-2284959</v>
      </c>
      <c r="FM119" s="239">
        <v>0</v>
      </c>
      <c r="FN119" s="239">
        <v>-2284959</v>
      </c>
      <c r="FO119" s="239">
        <v>-203318</v>
      </c>
      <c r="FP119" s="239">
        <v>-331185</v>
      </c>
      <c r="FQ119" s="239">
        <v>-534503</v>
      </c>
      <c r="FR119" s="239">
        <v>-25443</v>
      </c>
      <c r="FS119" s="239">
        <v>0</v>
      </c>
      <c r="FT119" s="239">
        <v>-25443</v>
      </c>
      <c r="FU119" s="239">
        <v>0</v>
      </c>
      <c r="FV119" s="239">
        <v>0</v>
      </c>
      <c r="FW119" s="239">
        <v>0</v>
      </c>
      <c r="FX119" s="239">
        <v>-5970136</v>
      </c>
      <c r="FY119" s="239">
        <v>-331185</v>
      </c>
      <c r="FZ119" s="239">
        <v>-6301321</v>
      </c>
      <c r="GA119" s="239">
        <v>58628151</v>
      </c>
      <c r="GB119" s="239">
        <v>0</v>
      </c>
      <c r="GC119" s="239">
        <v>58628151</v>
      </c>
      <c r="GD119" s="214" t="s">
        <v>747</v>
      </c>
    </row>
    <row r="120" spans="1:186" s="214" customFormat="1" x14ac:dyDescent="0.2">
      <c r="B120" s="609" t="s">
        <v>322</v>
      </c>
      <c r="C120" s="609" t="s">
        <v>321</v>
      </c>
      <c r="D120" s="239">
        <v>0</v>
      </c>
      <c r="E120" s="239">
        <v>0</v>
      </c>
      <c r="F120" s="239">
        <v>0</v>
      </c>
      <c r="G120" s="239">
        <v>-3083</v>
      </c>
      <c r="H120" s="239">
        <v>0</v>
      </c>
      <c r="I120" s="239">
        <v>-3083</v>
      </c>
      <c r="J120" s="239">
        <v>0</v>
      </c>
      <c r="K120" s="239">
        <v>0</v>
      </c>
      <c r="L120" s="239">
        <v>0</v>
      </c>
      <c r="M120" s="239">
        <v>60057</v>
      </c>
      <c r="N120" s="239">
        <v>0</v>
      </c>
      <c r="O120" s="239">
        <v>60057</v>
      </c>
      <c r="P120" s="239">
        <v>56974</v>
      </c>
      <c r="Q120" s="239">
        <v>0</v>
      </c>
      <c r="R120" s="239">
        <v>56974</v>
      </c>
      <c r="S120" s="239">
        <v>-2973690</v>
      </c>
      <c r="T120" s="239">
        <v>0</v>
      </c>
      <c r="U120" s="239">
        <v>-2973690</v>
      </c>
      <c r="V120" s="239">
        <v>-17066</v>
      </c>
      <c r="W120" s="239">
        <v>0</v>
      </c>
      <c r="X120" s="239">
        <v>-17066</v>
      </c>
      <c r="Y120" s="239">
        <v>-142951</v>
      </c>
      <c r="Z120" s="239">
        <v>0</v>
      </c>
      <c r="AA120" s="239">
        <v>-142951</v>
      </c>
      <c r="AB120" s="239">
        <v>-92880</v>
      </c>
      <c r="AC120" s="239">
        <v>0</v>
      </c>
      <c r="AD120" s="239">
        <v>-92880</v>
      </c>
      <c r="AE120" s="239">
        <v>494</v>
      </c>
      <c r="AF120" s="239">
        <v>0</v>
      </c>
      <c r="AG120" s="239">
        <v>494</v>
      </c>
      <c r="AH120" s="239">
        <v>670379</v>
      </c>
      <c r="AI120" s="239">
        <v>0</v>
      </c>
      <c r="AJ120" s="239">
        <v>670379</v>
      </c>
      <c r="AK120" s="239">
        <v>15535</v>
      </c>
      <c r="AL120" s="239">
        <v>0</v>
      </c>
      <c r="AM120" s="239">
        <v>15535</v>
      </c>
      <c r="AN120" s="239">
        <v>-945420</v>
      </c>
      <c r="AO120" s="239">
        <v>0</v>
      </c>
      <c r="AP120" s="239">
        <v>-945420</v>
      </c>
      <c r="AQ120" s="239">
        <v>-1544</v>
      </c>
      <c r="AR120" s="239">
        <v>0</v>
      </c>
      <c r="AS120" s="239">
        <v>-1544</v>
      </c>
      <c r="AT120" s="239">
        <v>-102735</v>
      </c>
      <c r="AU120" s="239">
        <v>0</v>
      </c>
      <c r="AV120" s="239">
        <v>-102735</v>
      </c>
      <c r="AW120" s="239">
        <v>152</v>
      </c>
      <c r="AX120" s="239">
        <v>0</v>
      </c>
      <c r="AY120" s="239">
        <v>152</v>
      </c>
      <c r="AZ120" s="239">
        <v>-70290</v>
      </c>
      <c r="BA120" s="239">
        <v>0</v>
      </c>
      <c r="BB120" s="239">
        <v>-70290</v>
      </c>
      <c r="BC120" s="239">
        <v>-464</v>
      </c>
      <c r="BD120" s="239">
        <v>0</v>
      </c>
      <c r="BE120" s="239">
        <v>-464</v>
      </c>
      <c r="BF120" s="239">
        <v>-3551028</v>
      </c>
      <c r="BG120" s="239">
        <v>0</v>
      </c>
      <c r="BH120" s="239">
        <v>-3551028</v>
      </c>
      <c r="BI120" s="239">
        <v>0</v>
      </c>
      <c r="BJ120" s="239">
        <v>0</v>
      </c>
      <c r="BK120" s="239">
        <v>0</v>
      </c>
      <c r="BL120" s="239">
        <v>0</v>
      </c>
      <c r="BM120" s="239">
        <v>0</v>
      </c>
      <c r="BN120" s="239">
        <v>0</v>
      </c>
      <c r="BO120" s="239">
        <v>-681583</v>
      </c>
      <c r="BP120" s="239">
        <v>0</v>
      </c>
      <c r="BQ120" s="239">
        <v>-681583</v>
      </c>
      <c r="BR120" s="239">
        <v>39131</v>
      </c>
      <c r="BS120" s="239">
        <v>0</v>
      </c>
      <c r="BT120" s="239">
        <v>39131</v>
      </c>
      <c r="BU120" s="239">
        <v>-642452</v>
      </c>
      <c r="BV120" s="239">
        <v>0</v>
      </c>
      <c r="BW120" s="239">
        <v>-642452</v>
      </c>
      <c r="BX120" s="239">
        <v>-71497</v>
      </c>
      <c r="BY120" s="239">
        <v>0</v>
      </c>
      <c r="BZ120" s="239">
        <v>-71497</v>
      </c>
      <c r="CA120" s="239">
        <v>1316</v>
      </c>
      <c r="CB120" s="239">
        <v>0</v>
      </c>
      <c r="CC120" s="239">
        <v>1316</v>
      </c>
      <c r="CD120" s="239">
        <v>-25765</v>
      </c>
      <c r="CE120" s="239">
        <v>0</v>
      </c>
      <c r="CF120" s="239">
        <v>-25765</v>
      </c>
      <c r="CG120" s="239">
        <v>226</v>
      </c>
      <c r="CH120" s="239">
        <v>0</v>
      </c>
      <c r="CI120" s="239">
        <v>226</v>
      </c>
      <c r="CJ120" s="239">
        <v>-1398</v>
      </c>
      <c r="CK120" s="239">
        <v>0</v>
      </c>
      <c r="CL120" s="239">
        <v>-1398</v>
      </c>
      <c r="CM120" s="239">
        <v>9</v>
      </c>
      <c r="CN120" s="239">
        <v>0</v>
      </c>
      <c r="CO120" s="239">
        <v>9</v>
      </c>
      <c r="CP120" s="239">
        <v>-13080</v>
      </c>
      <c r="CQ120" s="239">
        <v>0</v>
      </c>
      <c r="CR120" s="239">
        <v>-13080</v>
      </c>
      <c r="CS120" s="239">
        <v>-25</v>
      </c>
      <c r="CT120" s="239">
        <v>0</v>
      </c>
      <c r="CU120" s="239">
        <v>-25</v>
      </c>
      <c r="CV120" s="239">
        <v>-371</v>
      </c>
      <c r="CW120" s="239">
        <v>0</v>
      </c>
      <c r="CX120" s="239">
        <v>-371</v>
      </c>
      <c r="CY120" s="239">
        <v>28</v>
      </c>
      <c r="CZ120" s="239">
        <v>0</v>
      </c>
      <c r="DA120" s="239">
        <v>28</v>
      </c>
      <c r="DB120" s="239">
        <v>0</v>
      </c>
      <c r="DC120" s="239">
        <v>0</v>
      </c>
      <c r="DD120" s="239">
        <v>0</v>
      </c>
      <c r="DE120" s="239">
        <v>0</v>
      </c>
      <c r="DF120" s="239">
        <v>0</v>
      </c>
      <c r="DG120" s="239">
        <v>0</v>
      </c>
      <c r="DH120" s="239">
        <v>0</v>
      </c>
      <c r="DI120" s="239">
        <v>0</v>
      </c>
      <c r="DJ120" s="239">
        <v>-110557</v>
      </c>
      <c r="DK120" s="239">
        <v>0</v>
      </c>
      <c r="DL120" s="239">
        <v>-110557</v>
      </c>
      <c r="DM120" s="239">
        <v>0</v>
      </c>
      <c r="DN120" s="239">
        <v>0</v>
      </c>
      <c r="DO120" s="239">
        <v>0</v>
      </c>
      <c r="DP120" s="239">
        <v>0</v>
      </c>
      <c r="DQ120" s="239">
        <v>0</v>
      </c>
      <c r="DR120" s="239">
        <v>0</v>
      </c>
      <c r="DS120" s="239">
        <v>-2300</v>
      </c>
      <c r="DT120" s="239">
        <v>0</v>
      </c>
      <c r="DU120" s="239">
        <v>-2300</v>
      </c>
      <c r="DV120" s="239">
        <v>283</v>
      </c>
      <c r="DW120" s="239">
        <v>0</v>
      </c>
      <c r="DX120" s="239">
        <v>283</v>
      </c>
      <c r="DY120" s="239">
        <v>0</v>
      </c>
      <c r="DZ120" s="239">
        <v>0</v>
      </c>
      <c r="EA120" s="239">
        <v>0</v>
      </c>
      <c r="EB120" s="239">
        <v>-12860</v>
      </c>
      <c r="EC120" s="239">
        <v>0</v>
      </c>
      <c r="ED120" s="239">
        <v>-12860</v>
      </c>
      <c r="EE120" s="239">
        <v>-310</v>
      </c>
      <c r="EF120" s="239">
        <v>0</v>
      </c>
      <c r="EG120" s="239">
        <v>-310</v>
      </c>
      <c r="EH120" s="239">
        <v>0</v>
      </c>
      <c r="EI120" s="239">
        <v>0</v>
      </c>
      <c r="EJ120" s="239">
        <v>0</v>
      </c>
      <c r="EK120" s="239">
        <v>-650</v>
      </c>
      <c r="EL120" s="239">
        <v>0</v>
      </c>
      <c r="EM120" s="239">
        <v>-650</v>
      </c>
      <c r="EN120" s="239">
        <v>0</v>
      </c>
      <c r="EO120" s="239">
        <v>0</v>
      </c>
      <c r="EP120" s="239">
        <v>0</v>
      </c>
      <c r="EQ120" s="239">
        <v>-15837</v>
      </c>
      <c r="ER120" s="239">
        <v>0</v>
      </c>
      <c r="ES120" s="239">
        <v>-15837</v>
      </c>
      <c r="ET120" s="239">
        <v>0</v>
      </c>
      <c r="EU120" s="239">
        <v>0</v>
      </c>
      <c r="EV120" s="239">
        <v>0</v>
      </c>
      <c r="EW120" s="239">
        <v>0</v>
      </c>
      <c r="EX120" s="239">
        <v>0</v>
      </c>
      <c r="EY120" s="239">
        <v>0</v>
      </c>
      <c r="EZ120" s="239">
        <v>0</v>
      </c>
      <c r="FA120" s="239">
        <v>0</v>
      </c>
      <c r="FB120" s="239">
        <v>0</v>
      </c>
      <c r="FC120" s="239">
        <v>31568405</v>
      </c>
      <c r="FD120" s="239">
        <v>0</v>
      </c>
      <c r="FE120" s="239">
        <v>31568405</v>
      </c>
      <c r="FF120" s="239">
        <v>56974</v>
      </c>
      <c r="FG120" s="239">
        <v>0</v>
      </c>
      <c r="FH120" s="239">
        <v>56974</v>
      </c>
      <c r="FI120" s="239">
        <v>-3551028</v>
      </c>
      <c r="FJ120" s="239">
        <v>0</v>
      </c>
      <c r="FK120" s="239">
        <v>-3551028</v>
      </c>
      <c r="FL120" s="239">
        <v>-642452</v>
      </c>
      <c r="FM120" s="239">
        <v>0</v>
      </c>
      <c r="FN120" s="239">
        <v>-642452</v>
      </c>
      <c r="FO120" s="239">
        <v>-110557</v>
      </c>
      <c r="FP120" s="239">
        <v>0</v>
      </c>
      <c r="FQ120" s="239">
        <v>-110557</v>
      </c>
      <c r="FR120" s="239">
        <v>-15837</v>
      </c>
      <c r="FS120" s="239">
        <v>0</v>
      </c>
      <c r="FT120" s="239">
        <v>-15837</v>
      </c>
      <c r="FU120" s="239">
        <v>0</v>
      </c>
      <c r="FV120" s="239">
        <v>0</v>
      </c>
      <c r="FW120" s="239">
        <v>0</v>
      </c>
      <c r="FX120" s="239">
        <v>-4262900</v>
      </c>
      <c r="FY120" s="239">
        <v>0</v>
      </c>
      <c r="FZ120" s="239">
        <v>-4262900</v>
      </c>
      <c r="GA120" s="239">
        <v>27305505</v>
      </c>
      <c r="GB120" s="239">
        <v>0</v>
      </c>
      <c r="GC120" s="239">
        <v>27305505</v>
      </c>
      <c r="GD120" s="214" t="s">
        <v>1190</v>
      </c>
    </row>
    <row r="121" spans="1:186" s="214" customFormat="1" x14ac:dyDescent="0.2">
      <c r="B121" s="609" t="s">
        <v>324</v>
      </c>
      <c r="C121" s="609" t="s">
        <v>323</v>
      </c>
      <c r="D121" s="239">
        <v>0</v>
      </c>
      <c r="E121" s="239">
        <v>0</v>
      </c>
      <c r="F121" s="239">
        <v>0</v>
      </c>
      <c r="G121" s="239">
        <v>1356031</v>
      </c>
      <c r="H121" s="239">
        <v>0</v>
      </c>
      <c r="I121" s="239">
        <v>1356031</v>
      </c>
      <c r="J121" s="239">
        <v>0</v>
      </c>
      <c r="K121" s="239">
        <v>0</v>
      </c>
      <c r="L121" s="239">
        <v>0</v>
      </c>
      <c r="M121" s="239">
        <v>183475</v>
      </c>
      <c r="N121" s="239">
        <v>0</v>
      </c>
      <c r="O121" s="239">
        <v>183475</v>
      </c>
      <c r="P121" s="239">
        <v>1539506</v>
      </c>
      <c r="Q121" s="239">
        <v>0</v>
      </c>
      <c r="R121" s="239">
        <v>1539506</v>
      </c>
      <c r="S121" s="239">
        <v>-2370135</v>
      </c>
      <c r="T121" s="239">
        <v>0</v>
      </c>
      <c r="U121" s="239">
        <v>-2370135</v>
      </c>
      <c r="V121" s="239">
        <v>0</v>
      </c>
      <c r="W121" s="239">
        <v>0</v>
      </c>
      <c r="X121" s="239">
        <v>0</v>
      </c>
      <c r="Y121" s="239">
        <v>-363527</v>
      </c>
      <c r="Z121" s="239">
        <v>0</v>
      </c>
      <c r="AA121" s="239">
        <v>-363527</v>
      </c>
      <c r="AB121" s="239">
        <v>-363527</v>
      </c>
      <c r="AC121" s="239">
        <v>0</v>
      </c>
      <c r="AD121" s="239">
        <v>-363527</v>
      </c>
      <c r="AE121" s="239">
        <v>0</v>
      </c>
      <c r="AF121" s="239">
        <v>0</v>
      </c>
      <c r="AG121" s="239">
        <v>0</v>
      </c>
      <c r="AH121" s="239">
        <v>4928695</v>
      </c>
      <c r="AI121" s="239">
        <v>0</v>
      </c>
      <c r="AJ121" s="239">
        <v>4928695</v>
      </c>
      <c r="AK121" s="239">
        <v>-296265</v>
      </c>
      <c r="AL121" s="239">
        <v>0</v>
      </c>
      <c r="AM121" s="239">
        <v>-296265</v>
      </c>
      <c r="AN121" s="239">
        <v>-9019431</v>
      </c>
      <c r="AO121" s="239">
        <v>0</v>
      </c>
      <c r="AP121" s="239">
        <v>-9019431</v>
      </c>
      <c r="AQ121" s="239">
        <v>778732</v>
      </c>
      <c r="AR121" s="239">
        <v>0</v>
      </c>
      <c r="AS121" s="239">
        <v>778732</v>
      </c>
      <c r="AT121" s="239">
        <v>0</v>
      </c>
      <c r="AU121" s="239">
        <v>0</v>
      </c>
      <c r="AV121" s="239">
        <v>0</v>
      </c>
      <c r="AW121" s="239">
        <v>0</v>
      </c>
      <c r="AX121" s="239">
        <v>0</v>
      </c>
      <c r="AY121" s="239">
        <v>0</v>
      </c>
      <c r="AZ121" s="239">
        <v>0</v>
      </c>
      <c r="BA121" s="239">
        <v>0</v>
      </c>
      <c r="BB121" s="239">
        <v>0</v>
      </c>
      <c r="BC121" s="239">
        <v>0</v>
      </c>
      <c r="BD121" s="239">
        <v>0</v>
      </c>
      <c r="BE121" s="239">
        <v>0</v>
      </c>
      <c r="BF121" s="239">
        <v>-6341931</v>
      </c>
      <c r="BG121" s="239">
        <v>0</v>
      </c>
      <c r="BH121" s="239">
        <v>-6341931</v>
      </c>
      <c r="BI121" s="239">
        <v>-51087</v>
      </c>
      <c r="BJ121" s="239">
        <v>0</v>
      </c>
      <c r="BK121" s="239">
        <v>-51087</v>
      </c>
      <c r="BL121" s="239">
        <v>102794</v>
      </c>
      <c r="BM121" s="239">
        <v>0</v>
      </c>
      <c r="BN121" s="239">
        <v>102794</v>
      </c>
      <c r="BO121" s="239">
        <v>-4341360</v>
      </c>
      <c r="BP121" s="239">
        <v>0</v>
      </c>
      <c r="BQ121" s="239">
        <v>-4341360</v>
      </c>
      <c r="BR121" s="239">
        <v>-1714442</v>
      </c>
      <c r="BS121" s="239">
        <v>0</v>
      </c>
      <c r="BT121" s="239">
        <v>-1714442</v>
      </c>
      <c r="BU121" s="239">
        <v>-6004095</v>
      </c>
      <c r="BV121" s="239">
        <v>0</v>
      </c>
      <c r="BW121" s="239">
        <v>-6004095</v>
      </c>
      <c r="BX121" s="239">
        <v>-49844</v>
      </c>
      <c r="BY121" s="239">
        <v>0</v>
      </c>
      <c r="BZ121" s="239">
        <v>-49844</v>
      </c>
      <c r="CA121" s="239">
        <v>14589</v>
      </c>
      <c r="CB121" s="239">
        <v>0</v>
      </c>
      <c r="CC121" s="239">
        <v>14589</v>
      </c>
      <c r="CD121" s="239">
        <v>-79574</v>
      </c>
      <c r="CE121" s="239">
        <v>0</v>
      </c>
      <c r="CF121" s="239">
        <v>-79574</v>
      </c>
      <c r="CG121" s="239">
        <v>0</v>
      </c>
      <c r="CH121" s="239">
        <v>0</v>
      </c>
      <c r="CI121" s="239">
        <v>0</v>
      </c>
      <c r="CJ121" s="239">
        <v>0</v>
      </c>
      <c r="CK121" s="239">
        <v>0</v>
      </c>
      <c r="CL121" s="239">
        <v>0</v>
      </c>
      <c r="CM121" s="239">
        <v>0</v>
      </c>
      <c r="CN121" s="239">
        <v>0</v>
      </c>
      <c r="CO121" s="239">
        <v>0</v>
      </c>
      <c r="CP121" s="239">
        <v>0</v>
      </c>
      <c r="CQ121" s="239">
        <v>0</v>
      </c>
      <c r="CR121" s="239">
        <v>0</v>
      </c>
      <c r="CS121" s="239">
        <v>0</v>
      </c>
      <c r="CT121" s="239">
        <v>0</v>
      </c>
      <c r="CU121" s="239">
        <v>0</v>
      </c>
      <c r="CV121" s="239">
        <v>0</v>
      </c>
      <c r="CW121" s="239">
        <v>0</v>
      </c>
      <c r="CX121" s="239">
        <v>0</v>
      </c>
      <c r="CY121" s="239">
        <v>0</v>
      </c>
      <c r="CZ121" s="239">
        <v>0</v>
      </c>
      <c r="DA121" s="239">
        <v>0</v>
      </c>
      <c r="DB121" s="239">
        <v>0</v>
      </c>
      <c r="DC121" s="239">
        <v>0</v>
      </c>
      <c r="DD121" s="239">
        <v>0</v>
      </c>
      <c r="DE121" s="239">
        <v>0</v>
      </c>
      <c r="DF121" s="239">
        <v>0</v>
      </c>
      <c r="DG121" s="239">
        <v>0</v>
      </c>
      <c r="DH121" s="239">
        <v>0</v>
      </c>
      <c r="DI121" s="239">
        <v>0</v>
      </c>
      <c r="DJ121" s="239">
        <v>-114829</v>
      </c>
      <c r="DK121" s="239">
        <v>0</v>
      </c>
      <c r="DL121" s="239">
        <v>-114829</v>
      </c>
      <c r="DM121" s="239">
        <v>0</v>
      </c>
      <c r="DN121" s="239">
        <v>0</v>
      </c>
      <c r="DO121" s="239">
        <v>0</v>
      </c>
      <c r="DP121" s="239">
        <v>0</v>
      </c>
      <c r="DQ121" s="239">
        <v>0</v>
      </c>
      <c r="DR121" s="239">
        <v>0</v>
      </c>
      <c r="DS121" s="239">
        <v>-55800</v>
      </c>
      <c r="DT121" s="239">
        <v>0</v>
      </c>
      <c r="DU121" s="239">
        <v>-55800</v>
      </c>
      <c r="DV121" s="239">
        <v>-8267</v>
      </c>
      <c r="DW121" s="239">
        <v>0</v>
      </c>
      <c r="DX121" s="239">
        <v>-8267</v>
      </c>
      <c r="DY121" s="239">
        <v>0</v>
      </c>
      <c r="DZ121" s="239">
        <v>0</v>
      </c>
      <c r="EA121" s="239">
        <v>0</v>
      </c>
      <c r="EB121" s="239">
        <v>-62733</v>
      </c>
      <c r="EC121" s="239">
        <v>0</v>
      </c>
      <c r="ED121" s="239">
        <v>-62733</v>
      </c>
      <c r="EE121" s="239">
        <v>0</v>
      </c>
      <c r="EF121" s="239">
        <v>0</v>
      </c>
      <c r="EG121" s="239">
        <v>0</v>
      </c>
      <c r="EH121" s="239">
        <v>0</v>
      </c>
      <c r="EI121" s="239">
        <v>0</v>
      </c>
      <c r="EJ121" s="239">
        <v>0</v>
      </c>
      <c r="EK121" s="239">
        <v>0</v>
      </c>
      <c r="EL121" s="239">
        <v>0</v>
      </c>
      <c r="EM121" s="239">
        <v>0</v>
      </c>
      <c r="EN121" s="239">
        <v>0</v>
      </c>
      <c r="EO121" s="239">
        <v>0</v>
      </c>
      <c r="EP121" s="239">
        <v>0</v>
      </c>
      <c r="EQ121" s="239">
        <v>-126800</v>
      </c>
      <c r="ER121" s="239">
        <v>0</v>
      </c>
      <c r="ES121" s="239">
        <v>-126800</v>
      </c>
      <c r="ET121" s="239">
        <v>0</v>
      </c>
      <c r="EU121" s="239">
        <v>0</v>
      </c>
      <c r="EV121" s="239">
        <v>0</v>
      </c>
      <c r="EW121" s="239">
        <v>0</v>
      </c>
      <c r="EX121" s="239">
        <v>0</v>
      </c>
      <c r="EY121" s="239">
        <v>0</v>
      </c>
      <c r="EZ121" s="239">
        <v>0</v>
      </c>
      <c r="FA121" s="239">
        <v>0</v>
      </c>
      <c r="FB121" s="239">
        <v>0</v>
      </c>
      <c r="FC121" s="239">
        <v>192560283</v>
      </c>
      <c r="FD121" s="239">
        <v>0</v>
      </c>
      <c r="FE121" s="239">
        <v>192560283</v>
      </c>
      <c r="FF121" s="239">
        <v>1539506</v>
      </c>
      <c r="FG121" s="239">
        <v>0</v>
      </c>
      <c r="FH121" s="239">
        <v>1539506</v>
      </c>
      <c r="FI121" s="239">
        <v>-6341931</v>
      </c>
      <c r="FJ121" s="239">
        <v>0</v>
      </c>
      <c r="FK121" s="239">
        <v>-6341931</v>
      </c>
      <c r="FL121" s="239">
        <v>-6004095</v>
      </c>
      <c r="FM121" s="239">
        <v>0</v>
      </c>
      <c r="FN121" s="239">
        <v>-6004095</v>
      </c>
      <c r="FO121" s="239">
        <v>-114829</v>
      </c>
      <c r="FP121" s="239">
        <v>0</v>
      </c>
      <c r="FQ121" s="239">
        <v>-114829</v>
      </c>
      <c r="FR121" s="239">
        <v>-126800</v>
      </c>
      <c r="FS121" s="239">
        <v>0</v>
      </c>
      <c r="FT121" s="239">
        <v>-126800</v>
      </c>
      <c r="FU121" s="239">
        <v>0</v>
      </c>
      <c r="FV121" s="239">
        <v>0</v>
      </c>
      <c r="FW121" s="239">
        <v>0</v>
      </c>
      <c r="FX121" s="239">
        <v>-11048149</v>
      </c>
      <c r="FY121" s="239">
        <v>0</v>
      </c>
      <c r="FZ121" s="239">
        <v>-11048149</v>
      </c>
      <c r="GA121" s="239">
        <v>181512134</v>
      </c>
      <c r="GB121" s="239">
        <v>0</v>
      </c>
      <c r="GC121" s="239">
        <v>181512134</v>
      </c>
      <c r="GD121" s="214" t="s">
        <v>1193</v>
      </c>
    </row>
    <row r="122" spans="1:186" s="214" customFormat="1" x14ac:dyDescent="0.2">
      <c r="B122" s="609" t="s">
        <v>326</v>
      </c>
      <c r="C122" s="609" t="s">
        <v>325</v>
      </c>
      <c r="D122" s="239">
        <v>0</v>
      </c>
      <c r="E122" s="239">
        <v>0</v>
      </c>
      <c r="F122" s="239">
        <v>0</v>
      </c>
      <c r="G122" s="239">
        <v>17660</v>
      </c>
      <c r="H122" s="239">
        <v>0</v>
      </c>
      <c r="I122" s="239">
        <v>17660</v>
      </c>
      <c r="J122" s="239">
        <v>0</v>
      </c>
      <c r="K122" s="239">
        <v>0</v>
      </c>
      <c r="L122" s="239">
        <v>0</v>
      </c>
      <c r="M122" s="239">
        <v>34062</v>
      </c>
      <c r="N122" s="239">
        <v>0</v>
      </c>
      <c r="O122" s="239">
        <v>34062</v>
      </c>
      <c r="P122" s="239">
        <v>51722</v>
      </c>
      <c r="Q122" s="239">
        <v>0</v>
      </c>
      <c r="R122" s="239">
        <v>51722</v>
      </c>
      <c r="S122" s="239">
        <v>-1922308</v>
      </c>
      <c r="T122" s="239">
        <v>0</v>
      </c>
      <c r="U122" s="239">
        <v>-1922308</v>
      </c>
      <c r="V122" s="239">
        <v>-7246</v>
      </c>
      <c r="W122" s="239">
        <v>0</v>
      </c>
      <c r="X122" s="239">
        <v>-7246</v>
      </c>
      <c r="Y122" s="239">
        <v>-134969</v>
      </c>
      <c r="Z122" s="239">
        <v>0</v>
      </c>
      <c r="AA122" s="239">
        <v>-134969</v>
      </c>
      <c r="AB122" s="239">
        <v>-136816</v>
      </c>
      <c r="AC122" s="239">
        <v>0</v>
      </c>
      <c r="AD122" s="239">
        <v>-136816</v>
      </c>
      <c r="AE122" s="239">
        <v>1847</v>
      </c>
      <c r="AF122" s="239">
        <v>0</v>
      </c>
      <c r="AG122" s="239">
        <v>1847</v>
      </c>
      <c r="AH122" s="239">
        <v>1029403</v>
      </c>
      <c r="AI122" s="239">
        <v>0</v>
      </c>
      <c r="AJ122" s="239">
        <v>1029403</v>
      </c>
      <c r="AK122" s="239">
        <v>-6334</v>
      </c>
      <c r="AL122" s="239">
        <v>0</v>
      </c>
      <c r="AM122" s="239">
        <v>-6334</v>
      </c>
      <c r="AN122" s="239">
        <v>-1729231</v>
      </c>
      <c r="AO122" s="239">
        <v>0</v>
      </c>
      <c r="AP122" s="239">
        <v>-1729231</v>
      </c>
      <c r="AQ122" s="239">
        <v>-14812</v>
      </c>
      <c r="AR122" s="239">
        <v>0</v>
      </c>
      <c r="AS122" s="239">
        <v>-14812</v>
      </c>
      <c r="AT122" s="239">
        <v>-43169</v>
      </c>
      <c r="AU122" s="239">
        <v>0</v>
      </c>
      <c r="AV122" s="239">
        <v>-43169</v>
      </c>
      <c r="AW122" s="239">
        <v>0</v>
      </c>
      <c r="AX122" s="239">
        <v>0</v>
      </c>
      <c r="AY122" s="239">
        <v>0</v>
      </c>
      <c r="AZ122" s="239">
        <v>-34821</v>
      </c>
      <c r="BA122" s="239">
        <v>0</v>
      </c>
      <c r="BB122" s="239">
        <v>-34821</v>
      </c>
      <c r="BC122" s="239">
        <v>224</v>
      </c>
      <c r="BD122" s="239">
        <v>0</v>
      </c>
      <c r="BE122" s="239">
        <v>224</v>
      </c>
      <c r="BF122" s="239">
        <v>-2856017</v>
      </c>
      <c r="BG122" s="239">
        <v>0</v>
      </c>
      <c r="BH122" s="239">
        <v>-2856017</v>
      </c>
      <c r="BI122" s="239">
        <v>0</v>
      </c>
      <c r="BJ122" s="239">
        <v>0</v>
      </c>
      <c r="BK122" s="239">
        <v>0</v>
      </c>
      <c r="BL122" s="239">
        <v>11</v>
      </c>
      <c r="BM122" s="239">
        <v>0</v>
      </c>
      <c r="BN122" s="239">
        <v>11</v>
      </c>
      <c r="BO122" s="239">
        <v>-1266100</v>
      </c>
      <c r="BP122" s="239">
        <v>0</v>
      </c>
      <c r="BQ122" s="239">
        <v>-1266100</v>
      </c>
      <c r="BR122" s="239">
        <v>22454</v>
      </c>
      <c r="BS122" s="239">
        <v>0</v>
      </c>
      <c r="BT122" s="239">
        <v>22454</v>
      </c>
      <c r="BU122" s="239">
        <v>-1243635</v>
      </c>
      <c r="BV122" s="239">
        <v>0</v>
      </c>
      <c r="BW122" s="239">
        <v>-1243635</v>
      </c>
      <c r="BX122" s="239">
        <v>-23557</v>
      </c>
      <c r="BY122" s="239">
        <v>0</v>
      </c>
      <c r="BZ122" s="239">
        <v>-23557</v>
      </c>
      <c r="CA122" s="239">
        <v>0</v>
      </c>
      <c r="CB122" s="239">
        <v>0</v>
      </c>
      <c r="CC122" s="239">
        <v>0</v>
      </c>
      <c r="CD122" s="239">
        <v>-33902</v>
      </c>
      <c r="CE122" s="239">
        <v>0</v>
      </c>
      <c r="CF122" s="239">
        <v>-33902</v>
      </c>
      <c r="CG122" s="239">
        <v>-5565</v>
      </c>
      <c r="CH122" s="239">
        <v>0</v>
      </c>
      <c r="CI122" s="239">
        <v>-5565</v>
      </c>
      <c r="CJ122" s="239">
        <v>-10792</v>
      </c>
      <c r="CK122" s="239">
        <v>0</v>
      </c>
      <c r="CL122" s="239">
        <v>-10792</v>
      </c>
      <c r="CM122" s="239">
        <v>0</v>
      </c>
      <c r="CN122" s="239">
        <v>0</v>
      </c>
      <c r="CO122" s="239">
        <v>0</v>
      </c>
      <c r="CP122" s="239">
        <v>-34821</v>
      </c>
      <c r="CQ122" s="239">
        <v>0</v>
      </c>
      <c r="CR122" s="239">
        <v>-34821</v>
      </c>
      <c r="CS122" s="239">
        <v>225</v>
      </c>
      <c r="CT122" s="239">
        <v>0</v>
      </c>
      <c r="CU122" s="239">
        <v>225</v>
      </c>
      <c r="CV122" s="239">
        <v>-3933</v>
      </c>
      <c r="CW122" s="239">
        <v>0</v>
      </c>
      <c r="CX122" s="239">
        <v>-3933</v>
      </c>
      <c r="CY122" s="239">
        <v>-1108</v>
      </c>
      <c r="CZ122" s="239">
        <v>0</v>
      </c>
      <c r="DA122" s="239">
        <v>-1108</v>
      </c>
      <c r="DB122" s="239">
        <v>0</v>
      </c>
      <c r="DC122" s="239">
        <v>0</v>
      </c>
      <c r="DD122" s="239">
        <v>0</v>
      </c>
      <c r="DE122" s="239">
        <v>0</v>
      </c>
      <c r="DF122" s="239">
        <v>0</v>
      </c>
      <c r="DG122" s="239">
        <v>0</v>
      </c>
      <c r="DH122" s="239">
        <v>0</v>
      </c>
      <c r="DI122" s="239">
        <v>0</v>
      </c>
      <c r="DJ122" s="239">
        <v>-113453</v>
      </c>
      <c r="DK122" s="239">
        <v>0</v>
      </c>
      <c r="DL122" s="239">
        <v>-113453</v>
      </c>
      <c r="DM122" s="239">
        <v>0</v>
      </c>
      <c r="DN122" s="239">
        <v>0</v>
      </c>
      <c r="DO122" s="239">
        <v>0</v>
      </c>
      <c r="DP122" s="239">
        <v>5143</v>
      </c>
      <c r="DQ122" s="239">
        <v>0</v>
      </c>
      <c r="DR122" s="239">
        <v>5143</v>
      </c>
      <c r="DS122" s="239">
        <v>0</v>
      </c>
      <c r="DT122" s="239">
        <v>0</v>
      </c>
      <c r="DU122" s="239">
        <v>0</v>
      </c>
      <c r="DV122" s="239">
        <v>0</v>
      </c>
      <c r="DW122" s="239">
        <v>0</v>
      </c>
      <c r="DX122" s="239">
        <v>0</v>
      </c>
      <c r="DY122" s="239">
        <v>0</v>
      </c>
      <c r="DZ122" s="239">
        <v>0</v>
      </c>
      <c r="EA122" s="239">
        <v>0</v>
      </c>
      <c r="EB122" s="239">
        <v>-1072</v>
      </c>
      <c r="EC122" s="239">
        <v>0</v>
      </c>
      <c r="ED122" s="239">
        <v>-1072</v>
      </c>
      <c r="EE122" s="239">
        <v>0</v>
      </c>
      <c r="EF122" s="239">
        <v>0</v>
      </c>
      <c r="EG122" s="239">
        <v>0</v>
      </c>
      <c r="EH122" s="239">
        <v>0</v>
      </c>
      <c r="EI122" s="239">
        <v>0</v>
      </c>
      <c r="EJ122" s="239">
        <v>0</v>
      </c>
      <c r="EK122" s="239">
        <v>-3369</v>
      </c>
      <c r="EL122" s="239">
        <v>0</v>
      </c>
      <c r="EM122" s="239">
        <v>-3369</v>
      </c>
      <c r="EN122" s="239">
        <v>0</v>
      </c>
      <c r="EO122" s="239">
        <v>0</v>
      </c>
      <c r="EP122" s="239">
        <v>0</v>
      </c>
      <c r="EQ122" s="239">
        <v>702</v>
      </c>
      <c r="ER122" s="239">
        <v>0</v>
      </c>
      <c r="ES122" s="239">
        <v>702</v>
      </c>
      <c r="ET122" s="239">
        <v>0</v>
      </c>
      <c r="EU122" s="239">
        <v>0</v>
      </c>
      <c r="EV122" s="239">
        <v>0</v>
      </c>
      <c r="EW122" s="239">
        <v>0</v>
      </c>
      <c r="EX122" s="239">
        <v>0</v>
      </c>
      <c r="EY122" s="239">
        <v>0</v>
      </c>
      <c r="EZ122" s="239">
        <v>0</v>
      </c>
      <c r="FA122" s="239">
        <v>0</v>
      </c>
      <c r="FB122" s="239">
        <v>0</v>
      </c>
      <c r="FC122" s="239">
        <v>44014653</v>
      </c>
      <c r="FD122" s="239">
        <v>0</v>
      </c>
      <c r="FE122" s="239">
        <v>44014653</v>
      </c>
      <c r="FF122" s="239">
        <v>51722</v>
      </c>
      <c r="FG122" s="239">
        <v>0</v>
      </c>
      <c r="FH122" s="239">
        <v>51722</v>
      </c>
      <c r="FI122" s="239">
        <v>-2856017</v>
      </c>
      <c r="FJ122" s="239">
        <v>0</v>
      </c>
      <c r="FK122" s="239">
        <v>-2856017</v>
      </c>
      <c r="FL122" s="239">
        <v>-1243635</v>
      </c>
      <c r="FM122" s="239">
        <v>0</v>
      </c>
      <c r="FN122" s="239">
        <v>-1243635</v>
      </c>
      <c r="FO122" s="239">
        <v>-113453</v>
      </c>
      <c r="FP122" s="239">
        <v>0</v>
      </c>
      <c r="FQ122" s="239">
        <v>-113453</v>
      </c>
      <c r="FR122" s="239">
        <v>702</v>
      </c>
      <c r="FS122" s="239">
        <v>0</v>
      </c>
      <c r="FT122" s="239">
        <v>702</v>
      </c>
      <c r="FU122" s="239">
        <v>0</v>
      </c>
      <c r="FV122" s="239">
        <v>0</v>
      </c>
      <c r="FW122" s="239">
        <v>0</v>
      </c>
      <c r="FX122" s="239">
        <v>-4160681</v>
      </c>
      <c r="FY122" s="239">
        <v>0</v>
      </c>
      <c r="FZ122" s="239">
        <v>-4160681</v>
      </c>
      <c r="GA122" s="239">
        <v>39853972</v>
      </c>
      <c r="GB122" s="239">
        <v>0</v>
      </c>
      <c r="GC122" s="239">
        <v>39853972</v>
      </c>
      <c r="GD122" s="214" t="s">
        <v>1190</v>
      </c>
    </row>
    <row r="123" spans="1:186" s="214" customFormat="1" x14ac:dyDescent="0.2">
      <c r="B123" s="609" t="s">
        <v>328</v>
      </c>
      <c r="C123" s="609" t="s">
        <v>327</v>
      </c>
      <c r="D123" s="239">
        <v>0</v>
      </c>
      <c r="E123" s="239">
        <v>0</v>
      </c>
      <c r="F123" s="239">
        <v>0</v>
      </c>
      <c r="G123" s="239">
        <v>206040.74</v>
      </c>
      <c r="H123" s="239">
        <v>0</v>
      </c>
      <c r="I123" s="239">
        <v>206040.74</v>
      </c>
      <c r="J123" s="239">
        <v>0</v>
      </c>
      <c r="K123" s="239">
        <v>0</v>
      </c>
      <c r="L123" s="239">
        <v>0</v>
      </c>
      <c r="M123" s="239">
        <v>161635</v>
      </c>
      <c r="N123" s="239">
        <v>0</v>
      </c>
      <c r="O123" s="239">
        <v>161635</v>
      </c>
      <c r="P123" s="239">
        <v>367676</v>
      </c>
      <c r="Q123" s="239">
        <v>0</v>
      </c>
      <c r="R123" s="239">
        <v>367676</v>
      </c>
      <c r="S123" s="239">
        <v>-4577107</v>
      </c>
      <c r="T123" s="239">
        <v>0</v>
      </c>
      <c r="U123" s="239">
        <v>-4577107</v>
      </c>
      <c r="V123" s="239">
        <v>-10483</v>
      </c>
      <c r="W123" s="239">
        <v>0</v>
      </c>
      <c r="X123" s="239">
        <v>-10483</v>
      </c>
      <c r="Y123" s="239">
        <v>-312246</v>
      </c>
      <c r="Z123" s="239">
        <v>0</v>
      </c>
      <c r="AA123" s="239">
        <v>-312246</v>
      </c>
      <c r="AB123" s="239">
        <v>-245819</v>
      </c>
      <c r="AC123" s="239">
        <v>0</v>
      </c>
      <c r="AD123" s="239">
        <v>-245819</v>
      </c>
      <c r="AE123" s="239">
        <v>0</v>
      </c>
      <c r="AF123" s="239">
        <v>0</v>
      </c>
      <c r="AG123" s="239">
        <v>0</v>
      </c>
      <c r="AH123" s="239">
        <v>1569362</v>
      </c>
      <c r="AI123" s="239">
        <v>0</v>
      </c>
      <c r="AJ123" s="239">
        <v>1569362</v>
      </c>
      <c r="AK123" s="239">
        <v>-14217</v>
      </c>
      <c r="AL123" s="239">
        <v>0</v>
      </c>
      <c r="AM123" s="239">
        <v>-14217</v>
      </c>
      <c r="AN123" s="239">
        <v>-5992703</v>
      </c>
      <c r="AO123" s="239">
        <v>0</v>
      </c>
      <c r="AP123" s="239">
        <v>-5992703</v>
      </c>
      <c r="AQ123" s="239">
        <v>-123479</v>
      </c>
      <c r="AR123" s="239">
        <v>0</v>
      </c>
      <c r="AS123" s="239">
        <v>-123479</v>
      </c>
      <c r="AT123" s="239">
        <v>-30277</v>
      </c>
      <c r="AU123" s="239">
        <v>0</v>
      </c>
      <c r="AV123" s="239">
        <v>-30277</v>
      </c>
      <c r="AW123" s="239">
        <v>0</v>
      </c>
      <c r="AX123" s="239">
        <v>0</v>
      </c>
      <c r="AY123" s="239">
        <v>0</v>
      </c>
      <c r="AZ123" s="239">
        <v>0</v>
      </c>
      <c r="BA123" s="239">
        <v>0</v>
      </c>
      <c r="BB123" s="239">
        <v>0</v>
      </c>
      <c r="BC123" s="239">
        <v>0</v>
      </c>
      <c r="BD123" s="239">
        <v>0</v>
      </c>
      <c r="BE123" s="239">
        <v>0</v>
      </c>
      <c r="BF123" s="239">
        <v>-9480667</v>
      </c>
      <c r="BG123" s="239">
        <v>0</v>
      </c>
      <c r="BH123" s="239">
        <v>-9480667</v>
      </c>
      <c r="BI123" s="239">
        <v>0</v>
      </c>
      <c r="BJ123" s="239">
        <v>0</v>
      </c>
      <c r="BK123" s="239">
        <v>0</v>
      </c>
      <c r="BL123" s="239">
        <v>-17523</v>
      </c>
      <c r="BM123" s="239">
        <v>0</v>
      </c>
      <c r="BN123" s="239">
        <v>-17523</v>
      </c>
      <c r="BO123" s="239">
        <v>-1419521</v>
      </c>
      <c r="BP123" s="239">
        <v>0</v>
      </c>
      <c r="BQ123" s="239">
        <v>-1419521</v>
      </c>
      <c r="BR123" s="239">
        <v>-154192</v>
      </c>
      <c r="BS123" s="239">
        <v>0</v>
      </c>
      <c r="BT123" s="239">
        <v>-154192</v>
      </c>
      <c r="BU123" s="239">
        <v>-1591236</v>
      </c>
      <c r="BV123" s="239">
        <v>0</v>
      </c>
      <c r="BW123" s="239">
        <v>-1591236</v>
      </c>
      <c r="BX123" s="239">
        <v>-340936</v>
      </c>
      <c r="BY123" s="239">
        <v>0</v>
      </c>
      <c r="BZ123" s="239">
        <v>-340936</v>
      </c>
      <c r="CA123" s="239">
        <v>413</v>
      </c>
      <c r="CB123" s="239">
        <v>0</v>
      </c>
      <c r="CC123" s="239">
        <v>413</v>
      </c>
      <c r="CD123" s="239">
        <v>-263875</v>
      </c>
      <c r="CE123" s="239">
        <v>0</v>
      </c>
      <c r="CF123" s="239">
        <v>-263875</v>
      </c>
      <c r="CG123" s="239">
        <v>-42706</v>
      </c>
      <c r="CH123" s="239">
        <v>0</v>
      </c>
      <c r="CI123" s="239">
        <v>-42706</v>
      </c>
      <c r="CJ123" s="239">
        <v>0</v>
      </c>
      <c r="CK123" s="239">
        <v>0</v>
      </c>
      <c r="CL123" s="239">
        <v>0</v>
      </c>
      <c r="CM123" s="239">
        <v>0</v>
      </c>
      <c r="CN123" s="239">
        <v>0</v>
      </c>
      <c r="CO123" s="239">
        <v>0</v>
      </c>
      <c r="CP123" s="239">
        <v>0</v>
      </c>
      <c r="CQ123" s="239">
        <v>0</v>
      </c>
      <c r="CR123" s="239">
        <v>0</v>
      </c>
      <c r="CS123" s="239">
        <v>0</v>
      </c>
      <c r="CT123" s="239">
        <v>0</v>
      </c>
      <c r="CU123" s="239">
        <v>0</v>
      </c>
      <c r="CV123" s="239">
        <v>0</v>
      </c>
      <c r="CW123" s="239">
        <v>0</v>
      </c>
      <c r="CX123" s="239">
        <v>0</v>
      </c>
      <c r="CY123" s="239">
        <v>0</v>
      </c>
      <c r="CZ123" s="239">
        <v>0</v>
      </c>
      <c r="DA123" s="239">
        <v>0</v>
      </c>
      <c r="DB123" s="239">
        <v>0</v>
      </c>
      <c r="DC123" s="239">
        <v>0</v>
      </c>
      <c r="DD123" s="239">
        <v>0</v>
      </c>
      <c r="DE123" s="239">
        <v>0</v>
      </c>
      <c r="DF123" s="239">
        <v>0</v>
      </c>
      <c r="DG123" s="239">
        <v>0</v>
      </c>
      <c r="DH123" s="239">
        <v>0</v>
      </c>
      <c r="DI123" s="239">
        <v>0</v>
      </c>
      <c r="DJ123" s="239">
        <v>-647104</v>
      </c>
      <c r="DK123" s="239">
        <v>0</v>
      </c>
      <c r="DL123" s="239">
        <v>-647104</v>
      </c>
      <c r="DM123" s="239">
        <v>-71809</v>
      </c>
      <c r="DN123" s="239">
        <v>0</v>
      </c>
      <c r="DO123" s="239">
        <v>-71809</v>
      </c>
      <c r="DP123" s="239">
        <v>-19047</v>
      </c>
      <c r="DQ123" s="239">
        <v>0</v>
      </c>
      <c r="DR123" s="239">
        <v>-19047</v>
      </c>
      <c r="DS123" s="239">
        <v>-20513</v>
      </c>
      <c r="DT123" s="239">
        <v>0</v>
      </c>
      <c r="DU123" s="239">
        <v>-20513</v>
      </c>
      <c r="DV123" s="239">
        <v>1571</v>
      </c>
      <c r="DW123" s="239">
        <v>0</v>
      </c>
      <c r="DX123" s="239">
        <v>1571</v>
      </c>
      <c r="DY123" s="239">
        <v>0</v>
      </c>
      <c r="DZ123" s="239">
        <v>0</v>
      </c>
      <c r="EA123" s="239">
        <v>0</v>
      </c>
      <c r="EB123" s="239">
        <v>27777</v>
      </c>
      <c r="EC123" s="239">
        <v>0</v>
      </c>
      <c r="ED123" s="239">
        <v>27777</v>
      </c>
      <c r="EE123" s="239">
        <v>0</v>
      </c>
      <c r="EF123" s="239">
        <v>0</v>
      </c>
      <c r="EG123" s="239">
        <v>0</v>
      </c>
      <c r="EH123" s="239">
        <v>0</v>
      </c>
      <c r="EI123" s="239">
        <v>0</v>
      </c>
      <c r="EJ123" s="239">
        <v>0</v>
      </c>
      <c r="EK123" s="239">
        <v>0</v>
      </c>
      <c r="EL123" s="239">
        <v>0</v>
      </c>
      <c r="EM123" s="239">
        <v>0</v>
      </c>
      <c r="EN123" s="239">
        <v>0</v>
      </c>
      <c r="EO123" s="239">
        <v>0</v>
      </c>
      <c r="EP123" s="239">
        <v>0</v>
      </c>
      <c r="EQ123" s="239">
        <v>-82021</v>
      </c>
      <c r="ER123" s="239">
        <v>0</v>
      </c>
      <c r="ES123" s="239">
        <v>-82021</v>
      </c>
      <c r="ET123" s="239">
        <v>0</v>
      </c>
      <c r="EU123" s="239">
        <v>0</v>
      </c>
      <c r="EV123" s="239">
        <v>0</v>
      </c>
      <c r="EW123" s="239">
        <v>8064</v>
      </c>
      <c r="EX123" s="239">
        <v>0</v>
      </c>
      <c r="EY123" s="239">
        <v>8064</v>
      </c>
      <c r="EZ123" s="239">
        <v>8064</v>
      </c>
      <c r="FA123" s="239">
        <v>0</v>
      </c>
      <c r="FB123" s="239">
        <v>8064</v>
      </c>
      <c r="FC123" s="239">
        <v>77737284</v>
      </c>
      <c r="FD123" s="239">
        <v>0</v>
      </c>
      <c r="FE123" s="239">
        <v>77737284</v>
      </c>
      <c r="FF123" s="239">
        <v>367676</v>
      </c>
      <c r="FG123" s="239">
        <v>0</v>
      </c>
      <c r="FH123" s="239">
        <v>367676</v>
      </c>
      <c r="FI123" s="239">
        <v>-9480667</v>
      </c>
      <c r="FJ123" s="239">
        <v>0</v>
      </c>
      <c r="FK123" s="239">
        <v>-9480667</v>
      </c>
      <c r="FL123" s="239">
        <v>-1591236</v>
      </c>
      <c r="FM123" s="239">
        <v>0</v>
      </c>
      <c r="FN123" s="239">
        <v>-1591236</v>
      </c>
      <c r="FO123" s="239">
        <v>-647104</v>
      </c>
      <c r="FP123" s="239">
        <v>0</v>
      </c>
      <c r="FQ123" s="239">
        <v>-647104</v>
      </c>
      <c r="FR123" s="239">
        <v>-82021</v>
      </c>
      <c r="FS123" s="239">
        <v>0</v>
      </c>
      <c r="FT123" s="239">
        <v>-82021</v>
      </c>
      <c r="FU123" s="239">
        <v>8064</v>
      </c>
      <c r="FV123" s="239">
        <v>0</v>
      </c>
      <c r="FW123" s="239">
        <v>8064</v>
      </c>
      <c r="FX123" s="239">
        <v>-11425288</v>
      </c>
      <c r="FY123" s="239">
        <v>0</v>
      </c>
      <c r="FZ123" s="239">
        <v>-11425288</v>
      </c>
      <c r="GA123" s="239">
        <v>66311996</v>
      </c>
      <c r="GB123" s="239">
        <v>0</v>
      </c>
      <c r="GC123" s="239">
        <v>66311996</v>
      </c>
      <c r="GD123" s="214" t="s">
        <v>1191</v>
      </c>
    </row>
    <row r="124" spans="1:186" s="214" customFormat="1" x14ac:dyDescent="0.2">
      <c r="B124" s="609" t="s">
        <v>330</v>
      </c>
      <c r="C124" s="609" t="s">
        <v>329</v>
      </c>
      <c r="D124" s="239">
        <v>0</v>
      </c>
      <c r="E124" s="239">
        <v>0</v>
      </c>
      <c r="F124" s="239">
        <v>0</v>
      </c>
      <c r="G124" s="239">
        <v>-86907</v>
      </c>
      <c r="H124" s="239">
        <v>0</v>
      </c>
      <c r="I124" s="239">
        <v>-86907</v>
      </c>
      <c r="J124" s="239">
        <v>0</v>
      </c>
      <c r="K124" s="239">
        <v>0</v>
      </c>
      <c r="L124" s="239">
        <v>0</v>
      </c>
      <c r="M124" s="239">
        <v>131058</v>
      </c>
      <c r="N124" s="239">
        <v>0</v>
      </c>
      <c r="O124" s="239">
        <v>131058</v>
      </c>
      <c r="P124" s="239">
        <v>44151</v>
      </c>
      <c r="Q124" s="239">
        <v>0</v>
      </c>
      <c r="R124" s="239">
        <v>44151</v>
      </c>
      <c r="S124" s="239">
        <v>-964875</v>
      </c>
      <c r="T124" s="239">
        <v>-41498</v>
      </c>
      <c r="U124" s="239">
        <v>-1006373</v>
      </c>
      <c r="V124" s="239">
        <v>0</v>
      </c>
      <c r="W124" s="239">
        <v>0</v>
      </c>
      <c r="X124" s="239">
        <v>0</v>
      </c>
      <c r="Y124" s="239">
        <v>-83305</v>
      </c>
      <c r="Z124" s="239">
        <v>-8442</v>
      </c>
      <c r="AA124" s="239">
        <v>-91747</v>
      </c>
      <c r="AB124" s="239">
        <v>0</v>
      </c>
      <c r="AC124" s="239">
        <v>0</v>
      </c>
      <c r="AD124" s="239">
        <v>0</v>
      </c>
      <c r="AE124" s="239">
        <v>0</v>
      </c>
      <c r="AF124" s="239">
        <v>0</v>
      </c>
      <c r="AG124" s="239">
        <v>0</v>
      </c>
      <c r="AH124" s="239">
        <v>1198389.44</v>
      </c>
      <c r="AI124" s="239">
        <v>104575.91</v>
      </c>
      <c r="AJ124" s="239">
        <v>1302965.3499999999</v>
      </c>
      <c r="AK124" s="239">
        <v>-44211</v>
      </c>
      <c r="AL124" s="239">
        <v>-1178</v>
      </c>
      <c r="AM124" s="239">
        <v>-45389</v>
      </c>
      <c r="AN124" s="239">
        <v>-2697251</v>
      </c>
      <c r="AO124" s="239">
        <v>0</v>
      </c>
      <c r="AP124" s="239">
        <v>-2697251</v>
      </c>
      <c r="AQ124" s="239">
        <v>5459.39</v>
      </c>
      <c r="AR124" s="239">
        <v>0</v>
      </c>
      <c r="AS124" s="239">
        <v>5459.39</v>
      </c>
      <c r="AT124" s="239">
        <v>-58149</v>
      </c>
      <c r="AU124" s="239">
        <v>0</v>
      </c>
      <c r="AV124" s="239">
        <v>-58149</v>
      </c>
      <c r="AW124" s="239">
        <v>-13364</v>
      </c>
      <c r="AX124" s="239">
        <v>0</v>
      </c>
      <c r="AY124" s="239">
        <v>-13364</v>
      </c>
      <c r="AZ124" s="239">
        <v>0</v>
      </c>
      <c r="BA124" s="239">
        <v>0</v>
      </c>
      <c r="BB124" s="239">
        <v>0</v>
      </c>
      <c r="BC124" s="239">
        <v>0</v>
      </c>
      <c r="BD124" s="239">
        <v>0</v>
      </c>
      <c r="BE124" s="239">
        <v>0</v>
      </c>
      <c r="BF124" s="239">
        <v>-2657306</v>
      </c>
      <c r="BG124" s="239">
        <v>53458</v>
      </c>
      <c r="BH124" s="239">
        <v>-2603848</v>
      </c>
      <c r="BI124" s="239">
        <v>-38476</v>
      </c>
      <c r="BJ124" s="239">
        <v>0</v>
      </c>
      <c r="BK124" s="239">
        <v>-38476</v>
      </c>
      <c r="BL124" s="239">
        <v>3598</v>
      </c>
      <c r="BM124" s="239">
        <v>0</v>
      </c>
      <c r="BN124" s="239">
        <v>3598</v>
      </c>
      <c r="BO124" s="239">
        <v>-1084580</v>
      </c>
      <c r="BP124" s="239">
        <v>-1244714</v>
      </c>
      <c r="BQ124" s="239">
        <v>-2329294</v>
      </c>
      <c r="BR124" s="239">
        <v>24764</v>
      </c>
      <c r="BS124" s="239">
        <v>37591</v>
      </c>
      <c r="BT124" s="239">
        <v>62355</v>
      </c>
      <c r="BU124" s="239">
        <v>-1094694</v>
      </c>
      <c r="BV124" s="239">
        <v>-1207123</v>
      </c>
      <c r="BW124" s="239">
        <v>-2301817</v>
      </c>
      <c r="BX124" s="239">
        <v>-30191</v>
      </c>
      <c r="BY124" s="239">
        <v>0</v>
      </c>
      <c r="BZ124" s="239">
        <v>-30191</v>
      </c>
      <c r="CA124" s="239">
        <v>-2</v>
      </c>
      <c r="CB124" s="239">
        <v>0</v>
      </c>
      <c r="CC124" s="239">
        <v>-2</v>
      </c>
      <c r="CD124" s="239">
        <v>-3436</v>
      </c>
      <c r="CE124" s="239">
        <v>0</v>
      </c>
      <c r="CF124" s="239">
        <v>-3436</v>
      </c>
      <c r="CG124" s="239">
        <v>8353</v>
      </c>
      <c r="CH124" s="239">
        <v>0</v>
      </c>
      <c r="CI124" s="239">
        <v>8353</v>
      </c>
      <c r="CJ124" s="239">
        <v>0</v>
      </c>
      <c r="CK124" s="239">
        <v>0</v>
      </c>
      <c r="CL124" s="239">
        <v>0</v>
      </c>
      <c r="CM124" s="239">
        <v>0</v>
      </c>
      <c r="CN124" s="239">
        <v>0</v>
      </c>
      <c r="CO124" s="239">
        <v>0</v>
      </c>
      <c r="CP124" s="239">
        <v>0</v>
      </c>
      <c r="CQ124" s="239">
        <v>0</v>
      </c>
      <c r="CR124" s="239">
        <v>0</v>
      </c>
      <c r="CS124" s="239">
        <v>0</v>
      </c>
      <c r="CT124" s="239">
        <v>0</v>
      </c>
      <c r="CU124" s="239">
        <v>0</v>
      </c>
      <c r="CV124" s="239">
        <v>0</v>
      </c>
      <c r="CW124" s="239">
        <v>0</v>
      </c>
      <c r="CX124" s="239">
        <v>0</v>
      </c>
      <c r="CY124" s="239">
        <v>0</v>
      </c>
      <c r="CZ124" s="239">
        <v>0</v>
      </c>
      <c r="DA124" s="239">
        <v>0</v>
      </c>
      <c r="DB124" s="239">
        <v>0</v>
      </c>
      <c r="DC124" s="239">
        <v>-97402</v>
      </c>
      <c r="DD124" s="239">
        <v>-97402</v>
      </c>
      <c r="DE124" s="239">
        <v>0</v>
      </c>
      <c r="DF124" s="239">
        <v>0</v>
      </c>
      <c r="DG124" s="239">
        <v>0</v>
      </c>
      <c r="DH124" s="239">
        <v>0</v>
      </c>
      <c r="DI124" s="239">
        <v>0</v>
      </c>
      <c r="DJ124" s="239">
        <v>-25276</v>
      </c>
      <c r="DK124" s="239">
        <v>-97402</v>
      </c>
      <c r="DL124" s="239">
        <v>-122678</v>
      </c>
      <c r="DM124" s="239">
        <v>0</v>
      </c>
      <c r="DN124" s="239">
        <v>0</v>
      </c>
      <c r="DO124" s="239">
        <v>0</v>
      </c>
      <c r="DP124" s="239">
        <v>457</v>
      </c>
      <c r="DQ124" s="239">
        <v>0</v>
      </c>
      <c r="DR124" s="239">
        <v>457</v>
      </c>
      <c r="DS124" s="239">
        <v>0</v>
      </c>
      <c r="DT124" s="239">
        <v>0</v>
      </c>
      <c r="DU124" s="239">
        <v>0</v>
      </c>
      <c r="DV124" s="239">
        <v>0</v>
      </c>
      <c r="DW124" s="239">
        <v>0</v>
      </c>
      <c r="DX124" s="239">
        <v>0</v>
      </c>
      <c r="DY124" s="239">
        <v>0</v>
      </c>
      <c r="DZ124" s="239">
        <v>0</v>
      </c>
      <c r="EA124" s="239">
        <v>0</v>
      </c>
      <c r="EB124" s="239">
        <v>-2457</v>
      </c>
      <c r="EC124" s="239">
        <v>0</v>
      </c>
      <c r="ED124" s="239">
        <v>-2457</v>
      </c>
      <c r="EE124" s="239">
        <v>0</v>
      </c>
      <c r="EF124" s="239">
        <v>0</v>
      </c>
      <c r="EG124" s="239">
        <v>0</v>
      </c>
      <c r="EH124" s="239">
        <v>0</v>
      </c>
      <c r="EI124" s="239">
        <v>0</v>
      </c>
      <c r="EJ124" s="239">
        <v>0</v>
      </c>
      <c r="EK124" s="239">
        <v>-5137</v>
      </c>
      <c r="EL124" s="239">
        <v>0</v>
      </c>
      <c r="EM124" s="239">
        <v>-5137</v>
      </c>
      <c r="EN124" s="239">
        <v>0</v>
      </c>
      <c r="EO124" s="239">
        <v>0</v>
      </c>
      <c r="EP124" s="239">
        <v>0</v>
      </c>
      <c r="EQ124" s="239">
        <v>-7137</v>
      </c>
      <c r="ER124" s="239">
        <v>0</v>
      </c>
      <c r="ES124" s="239">
        <v>-7137</v>
      </c>
      <c r="ET124" s="239">
        <v>-95273</v>
      </c>
      <c r="EU124" s="239">
        <v>0</v>
      </c>
      <c r="EV124" s="239">
        <v>-95273</v>
      </c>
      <c r="EW124" s="239">
        <v>0</v>
      </c>
      <c r="EX124" s="239">
        <v>0</v>
      </c>
      <c r="EY124" s="239">
        <v>0</v>
      </c>
      <c r="EZ124" s="239">
        <v>-95273</v>
      </c>
      <c r="FA124" s="239">
        <v>0</v>
      </c>
      <c r="FB124" s="239">
        <v>-95273</v>
      </c>
      <c r="FC124" s="239">
        <v>46542949</v>
      </c>
      <c r="FD124" s="239">
        <v>4059139</v>
      </c>
      <c r="FE124" s="239">
        <v>50602088</v>
      </c>
      <c r="FF124" s="239">
        <v>44151</v>
      </c>
      <c r="FG124" s="239">
        <v>0</v>
      </c>
      <c r="FH124" s="239">
        <v>44151</v>
      </c>
      <c r="FI124" s="239">
        <v>-2657306</v>
      </c>
      <c r="FJ124" s="239">
        <v>53458</v>
      </c>
      <c r="FK124" s="239">
        <v>-2603848</v>
      </c>
      <c r="FL124" s="239">
        <v>-1094694</v>
      </c>
      <c r="FM124" s="239">
        <v>-1207123</v>
      </c>
      <c r="FN124" s="239">
        <v>-2301817</v>
      </c>
      <c r="FO124" s="239">
        <v>-25276</v>
      </c>
      <c r="FP124" s="239">
        <v>-97402</v>
      </c>
      <c r="FQ124" s="239">
        <v>-122678</v>
      </c>
      <c r="FR124" s="239">
        <v>-7137</v>
      </c>
      <c r="FS124" s="239">
        <v>0</v>
      </c>
      <c r="FT124" s="239">
        <v>-7137</v>
      </c>
      <c r="FU124" s="239">
        <v>-95273</v>
      </c>
      <c r="FV124" s="239">
        <v>0</v>
      </c>
      <c r="FW124" s="239">
        <v>-95273</v>
      </c>
      <c r="FX124" s="239">
        <v>-3835535</v>
      </c>
      <c r="FY124" s="239">
        <v>-1251067</v>
      </c>
      <c r="FZ124" s="239">
        <v>-5086602</v>
      </c>
      <c r="GA124" s="239">
        <v>42707414</v>
      </c>
      <c r="GB124" s="239">
        <v>2808072</v>
      </c>
      <c r="GC124" s="239">
        <v>45515486</v>
      </c>
      <c r="GD124" s="214" t="s">
        <v>1190</v>
      </c>
    </row>
    <row r="125" spans="1:186" s="214" customFormat="1" x14ac:dyDescent="0.2">
      <c r="B125" s="609" t="s">
        <v>332</v>
      </c>
      <c r="C125" s="609" t="s">
        <v>331</v>
      </c>
      <c r="D125" s="239">
        <v>0</v>
      </c>
      <c r="E125" s="239">
        <v>0</v>
      </c>
      <c r="F125" s="239">
        <v>0</v>
      </c>
      <c r="G125" s="239">
        <v>-4952</v>
      </c>
      <c r="H125" s="239">
        <v>0</v>
      </c>
      <c r="I125" s="239">
        <v>-4952</v>
      </c>
      <c r="J125" s="239">
        <v>0</v>
      </c>
      <c r="K125" s="239">
        <v>0</v>
      </c>
      <c r="L125" s="239">
        <v>0</v>
      </c>
      <c r="M125" s="239">
        <v>56285</v>
      </c>
      <c r="N125" s="239">
        <v>0</v>
      </c>
      <c r="O125" s="239">
        <v>56285</v>
      </c>
      <c r="P125" s="239">
        <v>51333</v>
      </c>
      <c r="Q125" s="239">
        <v>0</v>
      </c>
      <c r="R125" s="239">
        <v>51333</v>
      </c>
      <c r="S125" s="239">
        <v>-5162340</v>
      </c>
      <c r="T125" s="239">
        <v>0</v>
      </c>
      <c r="U125" s="239">
        <v>-5162340</v>
      </c>
      <c r="V125" s="239">
        <v>-6876</v>
      </c>
      <c r="W125" s="239">
        <v>0</v>
      </c>
      <c r="X125" s="239">
        <v>-6876</v>
      </c>
      <c r="Y125" s="239">
        <v>-445502</v>
      </c>
      <c r="Z125" s="239">
        <v>0</v>
      </c>
      <c r="AA125" s="239">
        <v>-445502</v>
      </c>
      <c r="AB125" s="239">
        <v>-295955</v>
      </c>
      <c r="AC125" s="239">
        <v>0</v>
      </c>
      <c r="AD125" s="239">
        <v>-295955</v>
      </c>
      <c r="AE125" s="239">
        <v>0</v>
      </c>
      <c r="AF125" s="239">
        <v>0</v>
      </c>
      <c r="AG125" s="239">
        <v>0</v>
      </c>
      <c r="AH125" s="239">
        <v>1611030</v>
      </c>
      <c r="AI125" s="239">
        <v>0</v>
      </c>
      <c r="AJ125" s="239">
        <v>1611030</v>
      </c>
      <c r="AK125" s="239">
        <v>16548</v>
      </c>
      <c r="AL125" s="239">
        <v>0</v>
      </c>
      <c r="AM125" s="239">
        <v>16548</v>
      </c>
      <c r="AN125" s="239">
        <v>-3196973</v>
      </c>
      <c r="AO125" s="239">
        <v>0</v>
      </c>
      <c r="AP125" s="239">
        <v>-3196973</v>
      </c>
      <c r="AQ125" s="239">
        <v>-72432</v>
      </c>
      <c r="AR125" s="239">
        <v>0</v>
      </c>
      <c r="AS125" s="239">
        <v>-72432</v>
      </c>
      <c r="AT125" s="239">
        <v>-113836</v>
      </c>
      <c r="AU125" s="239">
        <v>0</v>
      </c>
      <c r="AV125" s="239">
        <v>-113836</v>
      </c>
      <c r="AW125" s="239">
        <v>-1558</v>
      </c>
      <c r="AX125" s="239">
        <v>0</v>
      </c>
      <c r="AY125" s="239">
        <v>-1558</v>
      </c>
      <c r="AZ125" s="239">
        <v>-55850</v>
      </c>
      <c r="BA125" s="239">
        <v>0</v>
      </c>
      <c r="BB125" s="239">
        <v>-55850</v>
      </c>
      <c r="BC125" s="239">
        <v>-2002</v>
      </c>
      <c r="BD125" s="239">
        <v>0</v>
      </c>
      <c r="BE125" s="239">
        <v>-2002</v>
      </c>
      <c r="BF125" s="239">
        <v>-7422915</v>
      </c>
      <c r="BG125" s="239">
        <v>0</v>
      </c>
      <c r="BH125" s="239">
        <v>-7422915</v>
      </c>
      <c r="BI125" s="239">
        <v>-42513</v>
      </c>
      <c r="BJ125" s="239">
        <v>0</v>
      </c>
      <c r="BK125" s="239">
        <v>-42513</v>
      </c>
      <c r="BL125" s="239">
        <v>4192</v>
      </c>
      <c r="BM125" s="239">
        <v>0</v>
      </c>
      <c r="BN125" s="239">
        <v>4192</v>
      </c>
      <c r="BO125" s="239">
        <v>-2111577</v>
      </c>
      <c r="BP125" s="239">
        <v>0</v>
      </c>
      <c r="BQ125" s="239">
        <v>-2111577</v>
      </c>
      <c r="BR125" s="239">
        <v>-3717</v>
      </c>
      <c r="BS125" s="239">
        <v>0</v>
      </c>
      <c r="BT125" s="239">
        <v>-3717</v>
      </c>
      <c r="BU125" s="239">
        <v>-2153615</v>
      </c>
      <c r="BV125" s="239">
        <v>0</v>
      </c>
      <c r="BW125" s="239">
        <v>-2153615</v>
      </c>
      <c r="BX125" s="239">
        <v>-31813</v>
      </c>
      <c r="BY125" s="239">
        <v>0</v>
      </c>
      <c r="BZ125" s="239">
        <v>-31813</v>
      </c>
      <c r="CA125" s="239">
        <v>-336</v>
      </c>
      <c r="CB125" s="239">
        <v>0</v>
      </c>
      <c r="CC125" s="239">
        <v>-336</v>
      </c>
      <c r="CD125" s="239">
        <v>-35503</v>
      </c>
      <c r="CE125" s="239">
        <v>0</v>
      </c>
      <c r="CF125" s="239">
        <v>-35503</v>
      </c>
      <c r="CG125" s="239">
        <v>8656</v>
      </c>
      <c r="CH125" s="239">
        <v>0</v>
      </c>
      <c r="CI125" s="239">
        <v>8656</v>
      </c>
      <c r="CJ125" s="239">
        <v>0</v>
      </c>
      <c r="CK125" s="239">
        <v>0</v>
      </c>
      <c r="CL125" s="239">
        <v>0</v>
      </c>
      <c r="CM125" s="239">
        <v>0</v>
      </c>
      <c r="CN125" s="239">
        <v>0</v>
      </c>
      <c r="CO125" s="239">
        <v>0</v>
      </c>
      <c r="CP125" s="239">
        <v>-4706</v>
      </c>
      <c r="CQ125" s="239">
        <v>0</v>
      </c>
      <c r="CR125" s="239">
        <v>-4706</v>
      </c>
      <c r="CS125" s="239">
        <v>135</v>
      </c>
      <c r="CT125" s="239">
        <v>0</v>
      </c>
      <c r="CU125" s="239">
        <v>135</v>
      </c>
      <c r="CV125" s="239">
        <v>-3599</v>
      </c>
      <c r="CW125" s="239">
        <v>0</v>
      </c>
      <c r="CX125" s="239">
        <v>-3599</v>
      </c>
      <c r="CY125" s="239">
        <v>489</v>
      </c>
      <c r="CZ125" s="239">
        <v>0</v>
      </c>
      <c r="DA125" s="239">
        <v>489</v>
      </c>
      <c r="DB125" s="239">
        <v>0</v>
      </c>
      <c r="DC125" s="239">
        <v>0</v>
      </c>
      <c r="DD125" s="239">
        <v>0</v>
      </c>
      <c r="DE125" s="239">
        <v>0</v>
      </c>
      <c r="DF125" s="239">
        <v>0</v>
      </c>
      <c r="DG125" s="239">
        <v>0</v>
      </c>
      <c r="DH125" s="239">
        <v>0</v>
      </c>
      <c r="DI125" s="239">
        <v>0</v>
      </c>
      <c r="DJ125" s="239">
        <v>-66677</v>
      </c>
      <c r="DK125" s="239">
        <v>0</v>
      </c>
      <c r="DL125" s="239">
        <v>-66677</v>
      </c>
      <c r="DM125" s="239">
        <v>-57380</v>
      </c>
      <c r="DN125" s="239">
        <v>0</v>
      </c>
      <c r="DO125" s="239">
        <v>-57380</v>
      </c>
      <c r="DP125" s="239">
        <v>-93177</v>
      </c>
      <c r="DQ125" s="239">
        <v>0</v>
      </c>
      <c r="DR125" s="239">
        <v>-93177</v>
      </c>
      <c r="DS125" s="239">
        <v>-57448</v>
      </c>
      <c r="DT125" s="239">
        <v>0</v>
      </c>
      <c r="DU125" s="239">
        <v>-57448</v>
      </c>
      <c r="DV125" s="239">
        <v>-873</v>
      </c>
      <c r="DW125" s="239">
        <v>0</v>
      </c>
      <c r="DX125" s="239">
        <v>-873</v>
      </c>
      <c r="DY125" s="239">
        <v>0</v>
      </c>
      <c r="DZ125" s="239">
        <v>0</v>
      </c>
      <c r="EA125" s="239">
        <v>0</v>
      </c>
      <c r="EB125" s="239">
        <v>-4629</v>
      </c>
      <c r="EC125" s="239">
        <v>0</v>
      </c>
      <c r="ED125" s="239">
        <v>-4629</v>
      </c>
      <c r="EE125" s="239">
        <v>0</v>
      </c>
      <c r="EF125" s="239">
        <v>0</v>
      </c>
      <c r="EG125" s="239">
        <v>0</v>
      </c>
      <c r="EH125" s="239">
        <v>5383</v>
      </c>
      <c r="EI125" s="239">
        <v>0</v>
      </c>
      <c r="EJ125" s="239">
        <v>5383</v>
      </c>
      <c r="EK125" s="239">
        <v>-6069</v>
      </c>
      <c r="EL125" s="239">
        <v>0</v>
      </c>
      <c r="EM125" s="239">
        <v>-6069</v>
      </c>
      <c r="EN125" s="239">
        <v>8674</v>
      </c>
      <c r="EO125" s="239">
        <v>0</v>
      </c>
      <c r="EP125" s="239">
        <v>8674</v>
      </c>
      <c r="EQ125" s="239">
        <v>-205519</v>
      </c>
      <c r="ER125" s="239">
        <v>0</v>
      </c>
      <c r="ES125" s="239">
        <v>-205519</v>
      </c>
      <c r="ET125" s="239">
        <v>0</v>
      </c>
      <c r="EU125" s="239">
        <v>0</v>
      </c>
      <c r="EV125" s="239">
        <v>0</v>
      </c>
      <c r="EW125" s="239">
        <v>0</v>
      </c>
      <c r="EX125" s="239">
        <v>0</v>
      </c>
      <c r="EY125" s="239">
        <v>0</v>
      </c>
      <c r="EZ125" s="239">
        <v>0</v>
      </c>
      <c r="FA125" s="239">
        <v>0</v>
      </c>
      <c r="FB125" s="239">
        <v>0</v>
      </c>
      <c r="FC125" s="239">
        <v>71622381</v>
      </c>
      <c r="FD125" s="239">
        <v>0</v>
      </c>
      <c r="FE125" s="239">
        <v>71622381</v>
      </c>
      <c r="FF125" s="239">
        <v>51333</v>
      </c>
      <c r="FG125" s="239">
        <v>0</v>
      </c>
      <c r="FH125" s="239">
        <v>51333</v>
      </c>
      <c r="FI125" s="239">
        <v>-7422915</v>
      </c>
      <c r="FJ125" s="239">
        <v>0</v>
      </c>
      <c r="FK125" s="239">
        <v>-7422915</v>
      </c>
      <c r="FL125" s="239">
        <v>-2153615</v>
      </c>
      <c r="FM125" s="239">
        <v>0</v>
      </c>
      <c r="FN125" s="239">
        <v>-2153615</v>
      </c>
      <c r="FO125" s="239">
        <v>-66677</v>
      </c>
      <c r="FP125" s="239">
        <v>0</v>
      </c>
      <c r="FQ125" s="239">
        <v>-66677</v>
      </c>
      <c r="FR125" s="239">
        <v>-205519</v>
      </c>
      <c r="FS125" s="239">
        <v>0</v>
      </c>
      <c r="FT125" s="239">
        <v>-205519</v>
      </c>
      <c r="FU125" s="239">
        <v>0</v>
      </c>
      <c r="FV125" s="239">
        <v>0</v>
      </c>
      <c r="FW125" s="239">
        <v>0</v>
      </c>
      <c r="FX125" s="239">
        <v>-9797393</v>
      </c>
      <c r="FY125" s="239">
        <v>0</v>
      </c>
      <c r="FZ125" s="239">
        <v>-9797393</v>
      </c>
      <c r="GA125" s="239">
        <v>61824988</v>
      </c>
      <c r="GB125" s="239">
        <v>0</v>
      </c>
      <c r="GC125" s="239">
        <v>61824988</v>
      </c>
      <c r="GD125" s="214" t="s">
        <v>1190</v>
      </c>
    </row>
    <row r="126" spans="1:186" s="214" customFormat="1" x14ac:dyDescent="0.2">
      <c r="B126" s="609" t="s">
        <v>334</v>
      </c>
      <c r="C126" s="609" t="s">
        <v>333</v>
      </c>
      <c r="D126" s="239">
        <v>0</v>
      </c>
      <c r="E126" s="239">
        <v>0</v>
      </c>
      <c r="F126" s="239">
        <v>0</v>
      </c>
      <c r="G126" s="239">
        <v>5957</v>
      </c>
      <c r="H126" s="239">
        <v>0</v>
      </c>
      <c r="I126" s="239">
        <v>5957</v>
      </c>
      <c r="J126" s="239">
        <v>0</v>
      </c>
      <c r="K126" s="239">
        <v>0</v>
      </c>
      <c r="L126" s="239">
        <v>0</v>
      </c>
      <c r="M126" s="239">
        <v>15374</v>
      </c>
      <c r="N126" s="239">
        <v>0</v>
      </c>
      <c r="O126" s="239">
        <v>15374</v>
      </c>
      <c r="P126" s="239">
        <v>21331</v>
      </c>
      <c r="Q126" s="239">
        <v>0</v>
      </c>
      <c r="R126" s="239">
        <v>21331</v>
      </c>
      <c r="S126" s="239">
        <v>-3121684</v>
      </c>
      <c r="T126" s="239">
        <v>0</v>
      </c>
      <c r="U126" s="239">
        <v>-3121684</v>
      </c>
      <c r="V126" s="239">
        <v>0</v>
      </c>
      <c r="W126" s="239">
        <v>0</v>
      </c>
      <c r="X126" s="239">
        <v>0</v>
      </c>
      <c r="Y126" s="239">
        <v>-415710</v>
      </c>
      <c r="Z126" s="239">
        <v>0</v>
      </c>
      <c r="AA126" s="239">
        <v>-415710</v>
      </c>
      <c r="AB126" s="239">
        <v>-302966</v>
      </c>
      <c r="AC126" s="239">
        <v>0</v>
      </c>
      <c r="AD126" s="239">
        <v>-302966</v>
      </c>
      <c r="AE126" s="239">
        <v>0</v>
      </c>
      <c r="AF126" s="239">
        <v>0</v>
      </c>
      <c r="AG126" s="239">
        <v>0</v>
      </c>
      <c r="AH126" s="239">
        <v>1168574</v>
      </c>
      <c r="AI126" s="239">
        <v>0</v>
      </c>
      <c r="AJ126" s="239">
        <v>1168574</v>
      </c>
      <c r="AK126" s="239">
        <v>33063</v>
      </c>
      <c r="AL126" s="239">
        <v>0</v>
      </c>
      <c r="AM126" s="239">
        <v>33063</v>
      </c>
      <c r="AN126" s="239">
        <v>-4858199</v>
      </c>
      <c r="AO126" s="239">
        <v>0</v>
      </c>
      <c r="AP126" s="239">
        <v>-4858199</v>
      </c>
      <c r="AQ126" s="239">
        <v>-272027</v>
      </c>
      <c r="AR126" s="239">
        <v>0</v>
      </c>
      <c r="AS126" s="239">
        <v>-272027</v>
      </c>
      <c r="AT126" s="239">
        <v>-139269</v>
      </c>
      <c r="AU126" s="239">
        <v>0</v>
      </c>
      <c r="AV126" s="239">
        <v>-139269</v>
      </c>
      <c r="AW126" s="239">
        <v>3</v>
      </c>
      <c r="AX126" s="239">
        <v>0</v>
      </c>
      <c r="AY126" s="239">
        <v>3</v>
      </c>
      <c r="AZ126" s="239">
        <v>0</v>
      </c>
      <c r="BA126" s="239">
        <v>0</v>
      </c>
      <c r="BB126" s="239">
        <v>0</v>
      </c>
      <c r="BC126" s="239">
        <v>0</v>
      </c>
      <c r="BD126" s="239">
        <v>0</v>
      </c>
      <c r="BE126" s="239">
        <v>0</v>
      </c>
      <c r="BF126" s="239">
        <v>-7605249</v>
      </c>
      <c r="BG126" s="239">
        <v>0</v>
      </c>
      <c r="BH126" s="239">
        <v>-7605249</v>
      </c>
      <c r="BI126" s="239">
        <v>-247380</v>
      </c>
      <c r="BJ126" s="239">
        <v>0</v>
      </c>
      <c r="BK126" s="239">
        <v>-247380</v>
      </c>
      <c r="BL126" s="239">
        <v>0</v>
      </c>
      <c r="BM126" s="239">
        <v>0</v>
      </c>
      <c r="BN126" s="239">
        <v>0</v>
      </c>
      <c r="BO126" s="239">
        <v>-1187500</v>
      </c>
      <c r="BP126" s="239">
        <v>0</v>
      </c>
      <c r="BQ126" s="239">
        <v>-1187500</v>
      </c>
      <c r="BR126" s="239">
        <v>-106423</v>
      </c>
      <c r="BS126" s="239">
        <v>0</v>
      </c>
      <c r="BT126" s="239">
        <v>-106423</v>
      </c>
      <c r="BU126" s="239">
        <v>-1541303</v>
      </c>
      <c r="BV126" s="239">
        <v>0</v>
      </c>
      <c r="BW126" s="239">
        <v>-1541303</v>
      </c>
      <c r="BX126" s="239">
        <v>-41443</v>
      </c>
      <c r="BY126" s="239">
        <v>0</v>
      </c>
      <c r="BZ126" s="239">
        <v>-41443</v>
      </c>
      <c r="CA126" s="239">
        <v>680</v>
      </c>
      <c r="CB126" s="239">
        <v>0</v>
      </c>
      <c r="CC126" s="239">
        <v>680</v>
      </c>
      <c r="CD126" s="239">
        <v>-11156</v>
      </c>
      <c r="CE126" s="239">
        <v>0</v>
      </c>
      <c r="CF126" s="239">
        <v>-11156</v>
      </c>
      <c r="CG126" s="239">
        <v>0</v>
      </c>
      <c r="CH126" s="239">
        <v>0</v>
      </c>
      <c r="CI126" s="239">
        <v>0</v>
      </c>
      <c r="CJ126" s="239">
        <v>0</v>
      </c>
      <c r="CK126" s="239">
        <v>0</v>
      </c>
      <c r="CL126" s="239">
        <v>0</v>
      </c>
      <c r="CM126" s="239">
        <v>0</v>
      </c>
      <c r="CN126" s="239">
        <v>0</v>
      </c>
      <c r="CO126" s="239">
        <v>0</v>
      </c>
      <c r="CP126" s="239">
        <v>0</v>
      </c>
      <c r="CQ126" s="239">
        <v>0</v>
      </c>
      <c r="CR126" s="239">
        <v>0</v>
      </c>
      <c r="CS126" s="239">
        <v>0</v>
      </c>
      <c r="CT126" s="239">
        <v>0</v>
      </c>
      <c r="CU126" s="239">
        <v>0</v>
      </c>
      <c r="CV126" s="239">
        <v>0</v>
      </c>
      <c r="CW126" s="239">
        <v>0</v>
      </c>
      <c r="CX126" s="239">
        <v>0</v>
      </c>
      <c r="CY126" s="239">
        <v>0</v>
      </c>
      <c r="CZ126" s="239">
        <v>0</v>
      </c>
      <c r="DA126" s="239">
        <v>0</v>
      </c>
      <c r="DB126" s="239">
        <v>0</v>
      </c>
      <c r="DC126" s="239">
        <v>0</v>
      </c>
      <c r="DD126" s="239">
        <v>0</v>
      </c>
      <c r="DE126" s="239">
        <v>0</v>
      </c>
      <c r="DF126" s="239">
        <v>0</v>
      </c>
      <c r="DG126" s="239">
        <v>0</v>
      </c>
      <c r="DH126" s="239">
        <v>0</v>
      </c>
      <c r="DI126" s="239">
        <v>0</v>
      </c>
      <c r="DJ126" s="239">
        <v>-51919</v>
      </c>
      <c r="DK126" s="239">
        <v>0</v>
      </c>
      <c r="DL126" s="239">
        <v>-51919</v>
      </c>
      <c r="DM126" s="239">
        <v>0</v>
      </c>
      <c r="DN126" s="239">
        <v>0</v>
      </c>
      <c r="DO126" s="239">
        <v>0</v>
      </c>
      <c r="DP126" s="239">
        <v>0</v>
      </c>
      <c r="DQ126" s="239">
        <v>0</v>
      </c>
      <c r="DR126" s="239">
        <v>0</v>
      </c>
      <c r="DS126" s="239">
        <v>0</v>
      </c>
      <c r="DT126" s="239">
        <v>0</v>
      </c>
      <c r="DU126" s="239">
        <v>0</v>
      </c>
      <c r="DV126" s="239">
        <v>0</v>
      </c>
      <c r="DW126" s="239">
        <v>0</v>
      </c>
      <c r="DX126" s="239">
        <v>0</v>
      </c>
      <c r="DY126" s="239">
        <v>0</v>
      </c>
      <c r="DZ126" s="239">
        <v>0</v>
      </c>
      <c r="EA126" s="239">
        <v>0</v>
      </c>
      <c r="EB126" s="239">
        <v>-17566</v>
      </c>
      <c r="EC126" s="239">
        <v>0</v>
      </c>
      <c r="ED126" s="239">
        <v>-17566</v>
      </c>
      <c r="EE126" s="239">
        <v>0</v>
      </c>
      <c r="EF126" s="239">
        <v>0</v>
      </c>
      <c r="EG126" s="239">
        <v>0</v>
      </c>
      <c r="EH126" s="239">
        <v>0</v>
      </c>
      <c r="EI126" s="239">
        <v>0</v>
      </c>
      <c r="EJ126" s="239">
        <v>0</v>
      </c>
      <c r="EK126" s="239">
        <v>0</v>
      </c>
      <c r="EL126" s="239">
        <v>0</v>
      </c>
      <c r="EM126" s="239">
        <v>0</v>
      </c>
      <c r="EN126" s="239">
        <v>0</v>
      </c>
      <c r="EO126" s="239">
        <v>0</v>
      </c>
      <c r="EP126" s="239">
        <v>0</v>
      </c>
      <c r="EQ126" s="239">
        <v>-17566</v>
      </c>
      <c r="ER126" s="239">
        <v>0</v>
      </c>
      <c r="ES126" s="239">
        <v>-17566</v>
      </c>
      <c r="ET126" s="239">
        <v>0</v>
      </c>
      <c r="EU126" s="239">
        <v>0</v>
      </c>
      <c r="EV126" s="239">
        <v>0</v>
      </c>
      <c r="EW126" s="239">
        <v>0</v>
      </c>
      <c r="EX126" s="239">
        <v>0</v>
      </c>
      <c r="EY126" s="239">
        <v>0</v>
      </c>
      <c r="EZ126" s="239">
        <v>0</v>
      </c>
      <c r="FA126" s="239">
        <v>0</v>
      </c>
      <c r="FB126" s="239">
        <v>0</v>
      </c>
      <c r="FC126" s="239">
        <v>60336594</v>
      </c>
      <c r="FD126" s="239">
        <v>0</v>
      </c>
      <c r="FE126" s="239">
        <v>60336594</v>
      </c>
      <c r="FF126" s="239">
        <v>21331</v>
      </c>
      <c r="FG126" s="239">
        <v>0</v>
      </c>
      <c r="FH126" s="239">
        <v>21331</v>
      </c>
      <c r="FI126" s="239">
        <v>-7605249</v>
      </c>
      <c r="FJ126" s="239">
        <v>0</v>
      </c>
      <c r="FK126" s="239">
        <v>-7605249</v>
      </c>
      <c r="FL126" s="239">
        <v>-1541303</v>
      </c>
      <c r="FM126" s="239">
        <v>0</v>
      </c>
      <c r="FN126" s="239">
        <v>-1541303</v>
      </c>
      <c r="FO126" s="239">
        <v>-51919</v>
      </c>
      <c r="FP126" s="239">
        <v>0</v>
      </c>
      <c r="FQ126" s="239">
        <v>-51919</v>
      </c>
      <c r="FR126" s="239">
        <v>-17566</v>
      </c>
      <c r="FS126" s="239">
        <v>0</v>
      </c>
      <c r="FT126" s="239">
        <v>-17566</v>
      </c>
      <c r="FU126" s="239">
        <v>0</v>
      </c>
      <c r="FV126" s="239">
        <v>0</v>
      </c>
      <c r="FW126" s="239">
        <v>0</v>
      </c>
      <c r="FX126" s="239">
        <v>-9194706</v>
      </c>
      <c r="FY126" s="239">
        <v>0</v>
      </c>
      <c r="FZ126" s="239">
        <v>-9194706</v>
      </c>
      <c r="GA126" s="239">
        <v>51141888</v>
      </c>
      <c r="GB126" s="239">
        <v>0</v>
      </c>
      <c r="GC126" s="239">
        <v>51141888</v>
      </c>
      <c r="GD126" s="214" t="s">
        <v>1191</v>
      </c>
    </row>
    <row r="127" spans="1:186" s="214" customFormat="1" x14ac:dyDescent="0.2">
      <c r="B127" s="609" t="s">
        <v>336</v>
      </c>
      <c r="C127" s="609" t="s">
        <v>335</v>
      </c>
      <c r="D127" s="239">
        <v>0</v>
      </c>
      <c r="E127" s="239">
        <v>0</v>
      </c>
      <c r="F127" s="239">
        <v>0</v>
      </c>
      <c r="G127" s="239">
        <v>584704</v>
      </c>
      <c r="H127" s="239">
        <v>0</v>
      </c>
      <c r="I127" s="239">
        <v>584704</v>
      </c>
      <c r="J127" s="239">
        <v>0</v>
      </c>
      <c r="K127" s="239">
        <v>0</v>
      </c>
      <c r="L127" s="239">
        <v>0</v>
      </c>
      <c r="M127" s="239">
        <v>242944</v>
      </c>
      <c r="N127" s="239">
        <v>0</v>
      </c>
      <c r="O127" s="239">
        <v>242944</v>
      </c>
      <c r="P127" s="239">
        <v>827648</v>
      </c>
      <c r="Q127" s="239">
        <v>0</v>
      </c>
      <c r="R127" s="239">
        <v>827648</v>
      </c>
      <c r="S127" s="239">
        <v>-1230109</v>
      </c>
      <c r="T127" s="239">
        <v>0</v>
      </c>
      <c r="U127" s="239">
        <v>-1230109</v>
      </c>
      <c r="V127" s="239">
        <v>0</v>
      </c>
      <c r="W127" s="239">
        <v>0</v>
      </c>
      <c r="X127" s="239">
        <v>0</v>
      </c>
      <c r="Y127" s="239">
        <v>-101927</v>
      </c>
      <c r="Z127" s="239">
        <v>0</v>
      </c>
      <c r="AA127" s="239">
        <v>-101927</v>
      </c>
      <c r="AB127" s="239">
        <v>-88993</v>
      </c>
      <c r="AC127" s="239">
        <v>0</v>
      </c>
      <c r="AD127" s="239">
        <v>-88993</v>
      </c>
      <c r="AE127" s="239">
        <v>0</v>
      </c>
      <c r="AF127" s="239">
        <v>0</v>
      </c>
      <c r="AG127" s="239">
        <v>0</v>
      </c>
      <c r="AH127" s="239">
        <v>802138</v>
      </c>
      <c r="AI127" s="239">
        <v>0</v>
      </c>
      <c r="AJ127" s="239">
        <v>802138</v>
      </c>
      <c r="AK127" s="239">
        <v>-17713</v>
      </c>
      <c r="AL127" s="239">
        <v>0</v>
      </c>
      <c r="AM127" s="239">
        <v>-17713</v>
      </c>
      <c r="AN127" s="239">
        <v>-1459096</v>
      </c>
      <c r="AO127" s="239">
        <v>0</v>
      </c>
      <c r="AP127" s="239">
        <v>-1459096</v>
      </c>
      <c r="AQ127" s="239">
        <v>40730</v>
      </c>
      <c r="AR127" s="239">
        <v>0</v>
      </c>
      <c r="AS127" s="239">
        <v>40730</v>
      </c>
      <c r="AT127" s="239">
        <v>-6698</v>
      </c>
      <c r="AU127" s="239">
        <v>0</v>
      </c>
      <c r="AV127" s="239">
        <v>-6698</v>
      </c>
      <c r="AW127" s="239">
        <v>0</v>
      </c>
      <c r="AX127" s="239">
        <v>0</v>
      </c>
      <c r="AY127" s="239">
        <v>0</v>
      </c>
      <c r="AZ127" s="239">
        <v>-1715</v>
      </c>
      <c r="BA127" s="239">
        <v>0</v>
      </c>
      <c r="BB127" s="239">
        <v>-1715</v>
      </c>
      <c r="BC127" s="239">
        <v>0</v>
      </c>
      <c r="BD127" s="239">
        <v>0</v>
      </c>
      <c r="BE127" s="239">
        <v>0</v>
      </c>
      <c r="BF127" s="239">
        <v>-1974390</v>
      </c>
      <c r="BG127" s="239">
        <v>0</v>
      </c>
      <c r="BH127" s="239">
        <v>-1974390</v>
      </c>
      <c r="BI127" s="239">
        <v>-47470</v>
      </c>
      <c r="BJ127" s="239">
        <v>0</v>
      </c>
      <c r="BK127" s="239">
        <v>-47470</v>
      </c>
      <c r="BL127" s="239">
        <v>0</v>
      </c>
      <c r="BM127" s="239">
        <v>0</v>
      </c>
      <c r="BN127" s="239">
        <v>0</v>
      </c>
      <c r="BO127" s="239">
        <v>-2945482</v>
      </c>
      <c r="BP127" s="239">
        <v>0</v>
      </c>
      <c r="BQ127" s="239">
        <v>-2945482</v>
      </c>
      <c r="BR127" s="239">
        <v>333343</v>
      </c>
      <c r="BS127" s="239">
        <v>0</v>
      </c>
      <c r="BT127" s="239">
        <v>333343</v>
      </c>
      <c r="BU127" s="239">
        <v>-2659609</v>
      </c>
      <c r="BV127" s="239">
        <v>0</v>
      </c>
      <c r="BW127" s="239">
        <v>-2659609</v>
      </c>
      <c r="BX127" s="239">
        <v>-91136</v>
      </c>
      <c r="BY127" s="239">
        <v>0</v>
      </c>
      <c r="BZ127" s="239">
        <v>-91136</v>
      </c>
      <c r="CA127" s="239">
        <v>14968</v>
      </c>
      <c r="CB127" s="239">
        <v>0</v>
      </c>
      <c r="CC127" s="239">
        <v>14968</v>
      </c>
      <c r="CD127" s="239">
        <v>-27957</v>
      </c>
      <c r="CE127" s="239">
        <v>0</v>
      </c>
      <c r="CF127" s="239">
        <v>-27957</v>
      </c>
      <c r="CG127" s="239">
        <v>0</v>
      </c>
      <c r="CH127" s="239">
        <v>0</v>
      </c>
      <c r="CI127" s="239">
        <v>0</v>
      </c>
      <c r="CJ127" s="239">
        <v>0</v>
      </c>
      <c r="CK127" s="239">
        <v>0</v>
      </c>
      <c r="CL127" s="239">
        <v>0</v>
      </c>
      <c r="CM127" s="239">
        <v>0</v>
      </c>
      <c r="CN127" s="239">
        <v>0</v>
      </c>
      <c r="CO127" s="239">
        <v>0</v>
      </c>
      <c r="CP127" s="239">
        <v>-1715</v>
      </c>
      <c r="CQ127" s="239">
        <v>0</v>
      </c>
      <c r="CR127" s="239">
        <v>-1715</v>
      </c>
      <c r="CS127" s="239">
        <v>0</v>
      </c>
      <c r="CT127" s="239">
        <v>0</v>
      </c>
      <c r="CU127" s="239">
        <v>0</v>
      </c>
      <c r="CV127" s="239">
        <v>0</v>
      </c>
      <c r="CW127" s="239">
        <v>0</v>
      </c>
      <c r="CX127" s="239">
        <v>0</v>
      </c>
      <c r="CY127" s="239">
        <v>0</v>
      </c>
      <c r="CZ127" s="239">
        <v>0</v>
      </c>
      <c r="DA127" s="239">
        <v>0</v>
      </c>
      <c r="DB127" s="239">
        <v>0</v>
      </c>
      <c r="DC127" s="239">
        <v>0</v>
      </c>
      <c r="DD127" s="239">
        <v>0</v>
      </c>
      <c r="DE127" s="239">
        <v>0</v>
      </c>
      <c r="DF127" s="239">
        <v>0</v>
      </c>
      <c r="DG127" s="239">
        <v>0</v>
      </c>
      <c r="DH127" s="239">
        <v>0</v>
      </c>
      <c r="DI127" s="239">
        <v>0</v>
      </c>
      <c r="DJ127" s="239">
        <v>-105840</v>
      </c>
      <c r="DK127" s="239">
        <v>0</v>
      </c>
      <c r="DL127" s="239">
        <v>-105840</v>
      </c>
      <c r="DM127" s="239">
        <v>0</v>
      </c>
      <c r="DN127" s="239">
        <v>0</v>
      </c>
      <c r="DO127" s="239">
        <v>0</v>
      </c>
      <c r="DP127" s="239">
        <v>0</v>
      </c>
      <c r="DQ127" s="239">
        <v>0</v>
      </c>
      <c r="DR127" s="239">
        <v>0</v>
      </c>
      <c r="DS127" s="239">
        <v>-13079</v>
      </c>
      <c r="DT127" s="239">
        <v>0</v>
      </c>
      <c r="DU127" s="239">
        <v>-13079</v>
      </c>
      <c r="DV127" s="239">
        <v>-7877</v>
      </c>
      <c r="DW127" s="239">
        <v>0</v>
      </c>
      <c r="DX127" s="239">
        <v>-7877</v>
      </c>
      <c r="DY127" s="239">
        <v>0</v>
      </c>
      <c r="DZ127" s="239">
        <v>0</v>
      </c>
      <c r="EA127" s="239">
        <v>0</v>
      </c>
      <c r="EB127" s="239">
        <v>-9534</v>
      </c>
      <c r="EC127" s="239">
        <v>0</v>
      </c>
      <c r="ED127" s="239">
        <v>-9534</v>
      </c>
      <c r="EE127" s="239">
        <v>0</v>
      </c>
      <c r="EF127" s="239">
        <v>0</v>
      </c>
      <c r="EG127" s="239">
        <v>0</v>
      </c>
      <c r="EH127" s="239">
        <v>0</v>
      </c>
      <c r="EI127" s="239">
        <v>0</v>
      </c>
      <c r="EJ127" s="239">
        <v>0</v>
      </c>
      <c r="EK127" s="239">
        <v>-689</v>
      </c>
      <c r="EL127" s="239">
        <v>0</v>
      </c>
      <c r="EM127" s="239">
        <v>-689</v>
      </c>
      <c r="EN127" s="239">
        <v>0</v>
      </c>
      <c r="EO127" s="239">
        <v>0</v>
      </c>
      <c r="EP127" s="239">
        <v>0</v>
      </c>
      <c r="EQ127" s="239">
        <v>-31179</v>
      </c>
      <c r="ER127" s="239">
        <v>0</v>
      </c>
      <c r="ES127" s="239">
        <v>-31179</v>
      </c>
      <c r="ET127" s="239">
        <v>0</v>
      </c>
      <c r="EU127" s="239">
        <v>0</v>
      </c>
      <c r="EV127" s="239">
        <v>0</v>
      </c>
      <c r="EW127" s="239">
        <v>0</v>
      </c>
      <c r="EX127" s="239">
        <v>0</v>
      </c>
      <c r="EY127" s="239">
        <v>0</v>
      </c>
      <c r="EZ127" s="239">
        <v>0</v>
      </c>
      <c r="FA127" s="239">
        <v>0</v>
      </c>
      <c r="FB127" s="239">
        <v>0</v>
      </c>
      <c r="FC127" s="239">
        <v>33454244</v>
      </c>
      <c r="FD127" s="239">
        <v>0</v>
      </c>
      <c r="FE127" s="239">
        <v>33454244</v>
      </c>
      <c r="FF127" s="239">
        <v>827648</v>
      </c>
      <c r="FG127" s="239">
        <v>0</v>
      </c>
      <c r="FH127" s="239">
        <v>827648</v>
      </c>
      <c r="FI127" s="239">
        <v>-1974390</v>
      </c>
      <c r="FJ127" s="239">
        <v>0</v>
      </c>
      <c r="FK127" s="239">
        <v>-1974390</v>
      </c>
      <c r="FL127" s="239">
        <v>-2659609</v>
      </c>
      <c r="FM127" s="239">
        <v>0</v>
      </c>
      <c r="FN127" s="239">
        <v>-2659609</v>
      </c>
      <c r="FO127" s="239">
        <v>-105840</v>
      </c>
      <c r="FP127" s="239">
        <v>0</v>
      </c>
      <c r="FQ127" s="239">
        <v>-105840</v>
      </c>
      <c r="FR127" s="239">
        <v>-31179</v>
      </c>
      <c r="FS127" s="239">
        <v>0</v>
      </c>
      <c r="FT127" s="239">
        <v>-31179</v>
      </c>
      <c r="FU127" s="239">
        <v>0</v>
      </c>
      <c r="FV127" s="239">
        <v>0</v>
      </c>
      <c r="FW127" s="239">
        <v>0</v>
      </c>
      <c r="FX127" s="239">
        <v>-3943370</v>
      </c>
      <c r="FY127" s="239">
        <v>0</v>
      </c>
      <c r="FZ127" s="239">
        <v>-3943370</v>
      </c>
      <c r="GA127" s="239">
        <v>29510874</v>
      </c>
      <c r="GB127" s="239">
        <v>0</v>
      </c>
      <c r="GC127" s="239">
        <v>29510874</v>
      </c>
      <c r="GD127" s="214" t="s">
        <v>1190</v>
      </c>
    </row>
    <row r="128" spans="1:186" s="214" customFormat="1" x14ac:dyDescent="0.2">
      <c r="B128" s="609" t="s">
        <v>338</v>
      </c>
      <c r="C128" s="609" t="s">
        <v>337</v>
      </c>
      <c r="D128" s="239">
        <v>0</v>
      </c>
      <c r="E128" s="239">
        <v>0</v>
      </c>
      <c r="F128" s="239">
        <v>0</v>
      </c>
      <c r="G128" s="239">
        <v>74816</v>
      </c>
      <c r="H128" s="239">
        <v>0</v>
      </c>
      <c r="I128" s="239">
        <v>74816</v>
      </c>
      <c r="J128" s="239">
        <v>0</v>
      </c>
      <c r="K128" s="239">
        <v>0</v>
      </c>
      <c r="L128" s="239">
        <v>0</v>
      </c>
      <c r="M128" s="239">
        <v>15218</v>
      </c>
      <c r="N128" s="239">
        <v>0</v>
      </c>
      <c r="O128" s="239">
        <v>15218</v>
      </c>
      <c r="P128" s="239">
        <v>90034</v>
      </c>
      <c r="Q128" s="239">
        <v>0</v>
      </c>
      <c r="R128" s="239">
        <v>90034</v>
      </c>
      <c r="S128" s="239">
        <v>-2134598</v>
      </c>
      <c r="T128" s="239">
        <v>-847</v>
      </c>
      <c r="U128" s="239">
        <v>-2135445</v>
      </c>
      <c r="V128" s="239">
        <v>-3156</v>
      </c>
      <c r="W128" s="239">
        <v>0</v>
      </c>
      <c r="X128" s="239">
        <v>-3156</v>
      </c>
      <c r="Y128" s="239">
        <v>-72392</v>
      </c>
      <c r="Z128" s="239">
        <v>0</v>
      </c>
      <c r="AA128" s="239">
        <v>-72392</v>
      </c>
      <c r="AB128" s="239">
        <v>-63428</v>
      </c>
      <c r="AC128" s="239">
        <v>0</v>
      </c>
      <c r="AD128" s="239">
        <v>-63428</v>
      </c>
      <c r="AE128" s="239">
        <v>-1298</v>
      </c>
      <c r="AF128" s="239">
        <v>0</v>
      </c>
      <c r="AG128" s="239">
        <v>-1298</v>
      </c>
      <c r="AH128" s="239">
        <v>906370</v>
      </c>
      <c r="AI128" s="239">
        <v>2967</v>
      </c>
      <c r="AJ128" s="239">
        <v>909337</v>
      </c>
      <c r="AK128" s="239">
        <v>-21100</v>
      </c>
      <c r="AL128" s="239">
        <v>83</v>
      </c>
      <c r="AM128" s="239">
        <v>-21017</v>
      </c>
      <c r="AN128" s="239">
        <v>-2172936</v>
      </c>
      <c r="AO128" s="239">
        <v>0</v>
      </c>
      <c r="AP128" s="239">
        <v>-2172936</v>
      </c>
      <c r="AQ128" s="239">
        <v>32801</v>
      </c>
      <c r="AR128" s="239">
        <v>0</v>
      </c>
      <c r="AS128" s="239">
        <v>32801</v>
      </c>
      <c r="AT128" s="239">
        <v>-34750</v>
      </c>
      <c r="AU128" s="239">
        <v>0</v>
      </c>
      <c r="AV128" s="239">
        <v>-34750</v>
      </c>
      <c r="AW128" s="239">
        <v>0</v>
      </c>
      <c r="AX128" s="239">
        <v>0</v>
      </c>
      <c r="AY128" s="239">
        <v>0</v>
      </c>
      <c r="AZ128" s="239">
        <v>0</v>
      </c>
      <c r="BA128" s="239">
        <v>0</v>
      </c>
      <c r="BB128" s="239">
        <v>0</v>
      </c>
      <c r="BC128" s="239">
        <v>0</v>
      </c>
      <c r="BD128" s="239">
        <v>0</v>
      </c>
      <c r="BE128" s="239">
        <v>0</v>
      </c>
      <c r="BF128" s="239">
        <v>-3496605</v>
      </c>
      <c r="BG128" s="239">
        <v>2203</v>
      </c>
      <c r="BH128" s="239">
        <v>-3494402</v>
      </c>
      <c r="BI128" s="239">
        <v>-10912</v>
      </c>
      <c r="BJ128" s="239">
        <v>0</v>
      </c>
      <c r="BK128" s="239">
        <v>-10912</v>
      </c>
      <c r="BL128" s="239">
        <v>12766</v>
      </c>
      <c r="BM128" s="239">
        <v>0</v>
      </c>
      <c r="BN128" s="239">
        <v>12766</v>
      </c>
      <c r="BO128" s="239">
        <v>-926257</v>
      </c>
      <c r="BP128" s="239">
        <v>0</v>
      </c>
      <c r="BQ128" s="239">
        <v>-926257</v>
      </c>
      <c r="BR128" s="239">
        <v>-75409</v>
      </c>
      <c r="BS128" s="239">
        <v>0</v>
      </c>
      <c r="BT128" s="239">
        <v>-75409</v>
      </c>
      <c r="BU128" s="239">
        <v>-999812</v>
      </c>
      <c r="BV128" s="239">
        <v>0</v>
      </c>
      <c r="BW128" s="239">
        <v>-999812</v>
      </c>
      <c r="BX128" s="239">
        <v>-131362</v>
      </c>
      <c r="BY128" s="239">
        <v>0</v>
      </c>
      <c r="BZ128" s="239">
        <v>-131362</v>
      </c>
      <c r="CA128" s="239">
        <v>951</v>
      </c>
      <c r="CB128" s="239">
        <v>0</v>
      </c>
      <c r="CC128" s="239">
        <v>951</v>
      </c>
      <c r="CD128" s="239">
        <v>-33406</v>
      </c>
      <c r="CE128" s="239">
        <v>0</v>
      </c>
      <c r="CF128" s="239">
        <v>-33406</v>
      </c>
      <c r="CG128" s="239">
        <v>0</v>
      </c>
      <c r="CH128" s="239">
        <v>0</v>
      </c>
      <c r="CI128" s="239">
        <v>0</v>
      </c>
      <c r="CJ128" s="239">
        <v>-3057</v>
      </c>
      <c r="CK128" s="239">
        <v>0</v>
      </c>
      <c r="CL128" s="239">
        <v>-3057</v>
      </c>
      <c r="CM128" s="239">
        <v>0</v>
      </c>
      <c r="CN128" s="239">
        <v>0</v>
      </c>
      <c r="CO128" s="239">
        <v>0</v>
      </c>
      <c r="CP128" s="239">
        <v>0</v>
      </c>
      <c r="CQ128" s="239">
        <v>0</v>
      </c>
      <c r="CR128" s="239">
        <v>0</v>
      </c>
      <c r="CS128" s="239">
        <v>0</v>
      </c>
      <c r="CT128" s="239">
        <v>0</v>
      </c>
      <c r="CU128" s="239">
        <v>0</v>
      </c>
      <c r="CV128" s="239">
        <v>0</v>
      </c>
      <c r="CW128" s="239">
        <v>0</v>
      </c>
      <c r="CX128" s="239">
        <v>0</v>
      </c>
      <c r="CY128" s="239">
        <v>0</v>
      </c>
      <c r="CZ128" s="239">
        <v>0</v>
      </c>
      <c r="DA128" s="239">
        <v>0</v>
      </c>
      <c r="DB128" s="239">
        <v>0</v>
      </c>
      <c r="DC128" s="239">
        <v>-126314</v>
      </c>
      <c r="DD128" s="239">
        <v>-126314</v>
      </c>
      <c r="DE128" s="239">
        <v>0</v>
      </c>
      <c r="DF128" s="239">
        <v>-3168</v>
      </c>
      <c r="DG128" s="239">
        <v>-3168</v>
      </c>
      <c r="DH128" s="239">
        <v>-129482</v>
      </c>
      <c r="DI128" s="239">
        <v>0</v>
      </c>
      <c r="DJ128" s="239">
        <v>-166874</v>
      </c>
      <c r="DK128" s="239">
        <v>-129482</v>
      </c>
      <c r="DL128" s="239">
        <v>-296356</v>
      </c>
      <c r="DM128" s="239">
        <v>0</v>
      </c>
      <c r="DN128" s="239">
        <v>0</v>
      </c>
      <c r="DO128" s="239">
        <v>0</v>
      </c>
      <c r="DP128" s="239">
        <v>0</v>
      </c>
      <c r="DQ128" s="239">
        <v>0</v>
      </c>
      <c r="DR128" s="239">
        <v>0</v>
      </c>
      <c r="DS128" s="239">
        <v>-29107</v>
      </c>
      <c r="DT128" s="239">
        <v>0</v>
      </c>
      <c r="DU128" s="239">
        <v>-29107</v>
      </c>
      <c r="DV128" s="239">
        <v>-10766</v>
      </c>
      <c r="DW128" s="239">
        <v>0</v>
      </c>
      <c r="DX128" s="239">
        <v>-10766</v>
      </c>
      <c r="DY128" s="239">
        <v>0</v>
      </c>
      <c r="DZ128" s="239">
        <v>0</v>
      </c>
      <c r="EA128" s="239">
        <v>0</v>
      </c>
      <c r="EB128" s="239">
        <v>3202</v>
      </c>
      <c r="EC128" s="239">
        <v>0</v>
      </c>
      <c r="ED128" s="239">
        <v>3202</v>
      </c>
      <c r="EE128" s="239">
        <v>0</v>
      </c>
      <c r="EF128" s="239">
        <v>0</v>
      </c>
      <c r="EG128" s="239">
        <v>0</v>
      </c>
      <c r="EH128" s="239">
        <v>0</v>
      </c>
      <c r="EI128" s="239">
        <v>0</v>
      </c>
      <c r="EJ128" s="239">
        <v>0</v>
      </c>
      <c r="EK128" s="239">
        <v>-8273</v>
      </c>
      <c r="EL128" s="239">
        <v>0</v>
      </c>
      <c r="EM128" s="239">
        <v>-8273</v>
      </c>
      <c r="EN128" s="239">
        <v>0</v>
      </c>
      <c r="EO128" s="239">
        <v>0</v>
      </c>
      <c r="EP128" s="239">
        <v>0</v>
      </c>
      <c r="EQ128" s="239">
        <v>-44944</v>
      </c>
      <c r="ER128" s="239">
        <v>0</v>
      </c>
      <c r="ES128" s="239">
        <v>-44944</v>
      </c>
      <c r="ET128" s="239">
        <v>0</v>
      </c>
      <c r="EU128" s="239">
        <v>0</v>
      </c>
      <c r="EV128" s="239">
        <v>0</v>
      </c>
      <c r="EW128" s="239">
        <v>0</v>
      </c>
      <c r="EX128" s="239">
        <v>0</v>
      </c>
      <c r="EY128" s="239">
        <v>0</v>
      </c>
      <c r="EZ128" s="239">
        <v>0</v>
      </c>
      <c r="FA128" s="239">
        <v>0</v>
      </c>
      <c r="FB128" s="239">
        <v>0</v>
      </c>
      <c r="FC128" s="239">
        <v>37027644</v>
      </c>
      <c r="FD128" s="239">
        <v>127279</v>
      </c>
      <c r="FE128" s="239">
        <v>37154923</v>
      </c>
      <c r="FF128" s="239">
        <v>90034</v>
      </c>
      <c r="FG128" s="239">
        <v>0</v>
      </c>
      <c r="FH128" s="239">
        <v>90034</v>
      </c>
      <c r="FI128" s="239">
        <v>-3496605</v>
      </c>
      <c r="FJ128" s="239">
        <v>2203</v>
      </c>
      <c r="FK128" s="239">
        <v>-3494402</v>
      </c>
      <c r="FL128" s="239">
        <v>-999812</v>
      </c>
      <c r="FM128" s="239">
        <v>0</v>
      </c>
      <c r="FN128" s="239">
        <v>-999812</v>
      </c>
      <c r="FO128" s="239">
        <v>-166874</v>
      </c>
      <c r="FP128" s="239">
        <v>-129482</v>
      </c>
      <c r="FQ128" s="239">
        <v>-296356</v>
      </c>
      <c r="FR128" s="239">
        <v>-44944</v>
      </c>
      <c r="FS128" s="239">
        <v>0</v>
      </c>
      <c r="FT128" s="239">
        <v>-44944</v>
      </c>
      <c r="FU128" s="239">
        <v>0</v>
      </c>
      <c r="FV128" s="239">
        <v>0</v>
      </c>
      <c r="FW128" s="239">
        <v>0</v>
      </c>
      <c r="FX128" s="239">
        <v>-4618201</v>
      </c>
      <c r="FY128" s="239">
        <v>-127279</v>
      </c>
      <c r="FZ128" s="239">
        <v>-4745480</v>
      </c>
      <c r="GA128" s="239">
        <v>32409443</v>
      </c>
      <c r="GB128" s="239">
        <v>0</v>
      </c>
      <c r="GC128" s="239">
        <v>32409443</v>
      </c>
      <c r="GD128" s="214" t="s">
        <v>747</v>
      </c>
    </row>
    <row r="129" spans="2:186" s="214" customFormat="1" x14ac:dyDescent="0.2">
      <c r="B129" s="609" t="s">
        <v>340</v>
      </c>
      <c r="C129" s="609" t="s">
        <v>339</v>
      </c>
      <c r="D129" s="239">
        <v>0</v>
      </c>
      <c r="E129" s="239">
        <v>0</v>
      </c>
      <c r="F129" s="239">
        <v>0</v>
      </c>
      <c r="G129" s="239">
        <v>145357</v>
      </c>
      <c r="H129" s="239">
        <v>0</v>
      </c>
      <c r="I129" s="239">
        <v>145357</v>
      </c>
      <c r="J129" s="239">
        <v>0</v>
      </c>
      <c r="K129" s="239">
        <v>0</v>
      </c>
      <c r="L129" s="239">
        <v>0</v>
      </c>
      <c r="M129" s="239">
        <v>-13371</v>
      </c>
      <c r="N129" s="239">
        <v>0</v>
      </c>
      <c r="O129" s="239">
        <v>-13371</v>
      </c>
      <c r="P129" s="239">
        <v>131986</v>
      </c>
      <c r="Q129" s="239">
        <v>0</v>
      </c>
      <c r="R129" s="239">
        <v>131986</v>
      </c>
      <c r="S129" s="239">
        <v>-2677484</v>
      </c>
      <c r="T129" s="239">
        <v>0</v>
      </c>
      <c r="U129" s="239">
        <v>-2677484</v>
      </c>
      <c r="V129" s="239">
        <v>0</v>
      </c>
      <c r="W129" s="239">
        <v>0</v>
      </c>
      <c r="X129" s="239">
        <v>0</v>
      </c>
      <c r="Y129" s="239">
        <v>-148577</v>
      </c>
      <c r="Z129" s="239">
        <v>0</v>
      </c>
      <c r="AA129" s="239">
        <v>-148577</v>
      </c>
      <c r="AB129" s="239">
        <v>-107347</v>
      </c>
      <c r="AC129" s="239">
        <v>0</v>
      </c>
      <c r="AD129" s="239">
        <v>-107347</v>
      </c>
      <c r="AE129" s="239">
        <v>0</v>
      </c>
      <c r="AF129" s="239">
        <v>0</v>
      </c>
      <c r="AG129" s="239">
        <v>0</v>
      </c>
      <c r="AH129" s="239">
        <v>563569</v>
      </c>
      <c r="AI129" s="239">
        <v>0</v>
      </c>
      <c r="AJ129" s="239">
        <v>563569</v>
      </c>
      <c r="AK129" s="239">
        <v>16141</v>
      </c>
      <c r="AL129" s="239">
        <v>0</v>
      </c>
      <c r="AM129" s="239">
        <v>16141</v>
      </c>
      <c r="AN129" s="239">
        <v>-2612896</v>
      </c>
      <c r="AO129" s="239">
        <v>0</v>
      </c>
      <c r="AP129" s="239">
        <v>-2612896</v>
      </c>
      <c r="AQ129" s="239">
        <v>-29514</v>
      </c>
      <c r="AR129" s="239">
        <v>0</v>
      </c>
      <c r="AS129" s="239">
        <v>-29514</v>
      </c>
      <c r="AT129" s="239">
        <v>-40694</v>
      </c>
      <c r="AU129" s="239">
        <v>0</v>
      </c>
      <c r="AV129" s="239">
        <v>-40694</v>
      </c>
      <c r="AW129" s="239">
        <v>0</v>
      </c>
      <c r="AX129" s="239">
        <v>0</v>
      </c>
      <c r="AY129" s="239">
        <v>0</v>
      </c>
      <c r="AZ129" s="239">
        <v>0</v>
      </c>
      <c r="BA129" s="239">
        <v>0</v>
      </c>
      <c r="BB129" s="239">
        <v>0</v>
      </c>
      <c r="BC129" s="239">
        <v>0</v>
      </c>
      <c r="BD129" s="239">
        <v>0</v>
      </c>
      <c r="BE129" s="239">
        <v>0</v>
      </c>
      <c r="BF129" s="239">
        <v>-4929455</v>
      </c>
      <c r="BG129" s="239">
        <v>0</v>
      </c>
      <c r="BH129" s="239">
        <v>-4929455</v>
      </c>
      <c r="BI129" s="239">
        <v>-594</v>
      </c>
      <c r="BJ129" s="239">
        <v>0</v>
      </c>
      <c r="BK129" s="239">
        <v>-594</v>
      </c>
      <c r="BL129" s="239">
        <v>527</v>
      </c>
      <c r="BM129" s="239">
        <v>0</v>
      </c>
      <c r="BN129" s="239">
        <v>527</v>
      </c>
      <c r="BO129" s="239">
        <v>-675922</v>
      </c>
      <c r="BP129" s="239">
        <v>0</v>
      </c>
      <c r="BQ129" s="239">
        <v>-675922</v>
      </c>
      <c r="BR129" s="239">
        <v>-36739</v>
      </c>
      <c r="BS129" s="239">
        <v>0</v>
      </c>
      <c r="BT129" s="239">
        <v>-36739</v>
      </c>
      <c r="BU129" s="239">
        <v>-712728</v>
      </c>
      <c r="BV129" s="239">
        <v>0</v>
      </c>
      <c r="BW129" s="239">
        <v>-712728</v>
      </c>
      <c r="BX129" s="239">
        <v>-107248</v>
      </c>
      <c r="BY129" s="239">
        <v>0</v>
      </c>
      <c r="BZ129" s="239">
        <v>-107248</v>
      </c>
      <c r="CA129" s="239">
        <v>1794</v>
      </c>
      <c r="CB129" s="239">
        <v>0</v>
      </c>
      <c r="CC129" s="239">
        <v>1794</v>
      </c>
      <c r="CD129" s="239">
        <v>-145720</v>
      </c>
      <c r="CE129" s="239">
        <v>0</v>
      </c>
      <c r="CF129" s="239">
        <v>-145720</v>
      </c>
      <c r="CG129" s="239">
        <v>-6559</v>
      </c>
      <c r="CH129" s="239">
        <v>0</v>
      </c>
      <c r="CI129" s="239">
        <v>-6559</v>
      </c>
      <c r="CJ129" s="239">
        <v>-1243</v>
      </c>
      <c r="CK129" s="239">
        <v>0</v>
      </c>
      <c r="CL129" s="239">
        <v>-1243</v>
      </c>
      <c r="CM129" s="239">
        <v>0</v>
      </c>
      <c r="CN129" s="239">
        <v>0</v>
      </c>
      <c r="CO129" s="239">
        <v>0</v>
      </c>
      <c r="CP129" s="239">
        <v>0</v>
      </c>
      <c r="CQ129" s="239">
        <v>0</v>
      </c>
      <c r="CR129" s="239">
        <v>0</v>
      </c>
      <c r="CS129" s="239">
        <v>0</v>
      </c>
      <c r="CT129" s="239">
        <v>0</v>
      </c>
      <c r="CU129" s="239">
        <v>0</v>
      </c>
      <c r="CV129" s="239">
        <v>0</v>
      </c>
      <c r="CW129" s="239">
        <v>0</v>
      </c>
      <c r="CX129" s="239">
        <v>0</v>
      </c>
      <c r="CY129" s="239">
        <v>0</v>
      </c>
      <c r="CZ129" s="239">
        <v>0</v>
      </c>
      <c r="DA129" s="239">
        <v>0</v>
      </c>
      <c r="DB129" s="239">
        <v>0</v>
      </c>
      <c r="DC129" s="239">
        <v>0</v>
      </c>
      <c r="DD129" s="239">
        <v>0</v>
      </c>
      <c r="DE129" s="239">
        <v>0</v>
      </c>
      <c r="DF129" s="239">
        <v>0</v>
      </c>
      <c r="DG129" s="239">
        <v>0</v>
      </c>
      <c r="DH129" s="239">
        <v>0</v>
      </c>
      <c r="DI129" s="239">
        <v>0</v>
      </c>
      <c r="DJ129" s="239">
        <v>-258976</v>
      </c>
      <c r="DK129" s="239">
        <v>0</v>
      </c>
      <c r="DL129" s="239">
        <v>-258976</v>
      </c>
      <c r="DM129" s="239">
        <v>-106979</v>
      </c>
      <c r="DN129" s="239">
        <v>0</v>
      </c>
      <c r="DO129" s="239">
        <v>-106979</v>
      </c>
      <c r="DP129" s="239">
        <v>0</v>
      </c>
      <c r="DQ129" s="239">
        <v>0</v>
      </c>
      <c r="DR129" s="239">
        <v>0</v>
      </c>
      <c r="DS129" s="239">
        <v>-3630</v>
      </c>
      <c r="DT129" s="239">
        <v>0</v>
      </c>
      <c r="DU129" s="239">
        <v>-3630</v>
      </c>
      <c r="DV129" s="239">
        <v>0</v>
      </c>
      <c r="DW129" s="239">
        <v>0</v>
      </c>
      <c r="DX129" s="239">
        <v>0</v>
      </c>
      <c r="DY129" s="239">
        <v>0</v>
      </c>
      <c r="DZ129" s="239">
        <v>0</v>
      </c>
      <c r="EA129" s="239">
        <v>0</v>
      </c>
      <c r="EB129" s="239">
        <v>9129</v>
      </c>
      <c r="EC129" s="239">
        <v>0</v>
      </c>
      <c r="ED129" s="239">
        <v>9129</v>
      </c>
      <c r="EE129" s="239">
        <v>0</v>
      </c>
      <c r="EF129" s="239">
        <v>0</v>
      </c>
      <c r="EG129" s="239">
        <v>0</v>
      </c>
      <c r="EH129" s="239">
        <v>0</v>
      </c>
      <c r="EI129" s="239">
        <v>0</v>
      </c>
      <c r="EJ129" s="239">
        <v>0</v>
      </c>
      <c r="EK129" s="239">
        <v>-192</v>
      </c>
      <c r="EL129" s="239">
        <v>0</v>
      </c>
      <c r="EM129" s="239">
        <v>-192</v>
      </c>
      <c r="EN129" s="239">
        <v>-11209</v>
      </c>
      <c r="EO129" s="239">
        <v>0</v>
      </c>
      <c r="EP129" s="239">
        <v>-11209</v>
      </c>
      <c r="EQ129" s="239">
        <v>-112881</v>
      </c>
      <c r="ER129" s="239">
        <v>0</v>
      </c>
      <c r="ES129" s="239">
        <v>-112881</v>
      </c>
      <c r="ET129" s="239">
        <v>0</v>
      </c>
      <c r="EU129" s="239">
        <v>0</v>
      </c>
      <c r="EV129" s="239">
        <v>0</v>
      </c>
      <c r="EW129" s="239">
        <v>0</v>
      </c>
      <c r="EX129" s="239">
        <v>0</v>
      </c>
      <c r="EY129" s="239">
        <v>0</v>
      </c>
      <c r="EZ129" s="239">
        <v>0</v>
      </c>
      <c r="FA129" s="239">
        <v>0</v>
      </c>
      <c r="FB129" s="239">
        <v>0</v>
      </c>
      <c r="FC129" s="239">
        <v>26898116</v>
      </c>
      <c r="FD129" s="239">
        <v>0</v>
      </c>
      <c r="FE129" s="239">
        <v>26898116</v>
      </c>
      <c r="FF129" s="239">
        <v>131986</v>
      </c>
      <c r="FG129" s="239">
        <v>0</v>
      </c>
      <c r="FH129" s="239">
        <v>131986</v>
      </c>
      <c r="FI129" s="239">
        <v>-4929455</v>
      </c>
      <c r="FJ129" s="239">
        <v>0</v>
      </c>
      <c r="FK129" s="239">
        <v>-4929455</v>
      </c>
      <c r="FL129" s="239">
        <v>-712728</v>
      </c>
      <c r="FM129" s="239">
        <v>0</v>
      </c>
      <c r="FN129" s="239">
        <v>-712728</v>
      </c>
      <c r="FO129" s="239">
        <v>-258976</v>
      </c>
      <c r="FP129" s="239">
        <v>0</v>
      </c>
      <c r="FQ129" s="239">
        <v>-258976</v>
      </c>
      <c r="FR129" s="239">
        <v>-112881</v>
      </c>
      <c r="FS129" s="239">
        <v>0</v>
      </c>
      <c r="FT129" s="239">
        <v>-112881</v>
      </c>
      <c r="FU129" s="239">
        <v>0</v>
      </c>
      <c r="FV129" s="239">
        <v>0</v>
      </c>
      <c r="FW129" s="239">
        <v>0</v>
      </c>
      <c r="FX129" s="239">
        <v>-5882054</v>
      </c>
      <c r="FY129" s="239">
        <v>0</v>
      </c>
      <c r="FZ129" s="239">
        <v>-5882054</v>
      </c>
      <c r="GA129" s="239">
        <v>21016062</v>
      </c>
      <c r="GB129" s="239">
        <v>0</v>
      </c>
      <c r="GC129" s="239">
        <v>21016062</v>
      </c>
      <c r="GD129" s="214" t="s">
        <v>1190</v>
      </c>
    </row>
    <row r="130" spans="2:186" s="214" customFormat="1" x14ac:dyDescent="0.2">
      <c r="B130" s="609" t="s">
        <v>342</v>
      </c>
      <c r="C130" s="609" t="s">
        <v>341</v>
      </c>
      <c r="D130" s="239">
        <v>0</v>
      </c>
      <c r="E130" s="239">
        <v>0</v>
      </c>
      <c r="F130" s="239">
        <v>0</v>
      </c>
      <c r="G130" s="239">
        <v>324666</v>
      </c>
      <c r="H130" s="239">
        <v>0</v>
      </c>
      <c r="I130" s="239">
        <v>324666</v>
      </c>
      <c r="J130" s="239">
        <v>0</v>
      </c>
      <c r="K130" s="239">
        <v>0</v>
      </c>
      <c r="L130" s="239">
        <v>0</v>
      </c>
      <c r="M130" s="239">
        <v>1570</v>
      </c>
      <c r="N130" s="239">
        <v>0</v>
      </c>
      <c r="O130" s="239">
        <v>1570</v>
      </c>
      <c r="P130" s="239">
        <v>326236</v>
      </c>
      <c r="Q130" s="239">
        <v>0</v>
      </c>
      <c r="R130" s="239">
        <v>326236</v>
      </c>
      <c r="S130" s="239">
        <v>-2150478</v>
      </c>
      <c r="T130" s="239">
        <v>0</v>
      </c>
      <c r="U130" s="239">
        <v>-2150478</v>
      </c>
      <c r="V130" s="239">
        <v>-338</v>
      </c>
      <c r="W130" s="239">
        <v>0</v>
      </c>
      <c r="X130" s="239">
        <v>-338</v>
      </c>
      <c r="Y130" s="239">
        <v>-23739</v>
      </c>
      <c r="Z130" s="239">
        <v>0</v>
      </c>
      <c r="AA130" s="239">
        <v>-23739</v>
      </c>
      <c r="AB130" s="239">
        <v>-19085</v>
      </c>
      <c r="AC130" s="239">
        <v>0</v>
      </c>
      <c r="AD130" s="239">
        <v>-19085</v>
      </c>
      <c r="AE130" s="239">
        <v>0</v>
      </c>
      <c r="AF130" s="239">
        <v>0</v>
      </c>
      <c r="AG130" s="239">
        <v>0</v>
      </c>
      <c r="AH130" s="239">
        <v>900268</v>
      </c>
      <c r="AI130" s="239">
        <v>0</v>
      </c>
      <c r="AJ130" s="239">
        <v>900268</v>
      </c>
      <c r="AK130" s="239">
        <v>-25055</v>
      </c>
      <c r="AL130" s="239">
        <v>0</v>
      </c>
      <c r="AM130" s="239">
        <v>-25055</v>
      </c>
      <c r="AN130" s="239">
        <v>-1989927</v>
      </c>
      <c r="AO130" s="239">
        <v>0</v>
      </c>
      <c r="AP130" s="239">
        <v>-1989927</v>
      </c>
      <c r="AQ130" s="239">
        <v>-2471</v>
      </c>
      <c r="AR130" s="239">
        <v>0</v>
      </c>
      <c r="AS130" s="239">
        <v>-2471</v>
      </c>
      <c r="AT130" s="239">
        <v>-9990</v>
      </c>
      <c r="AU130" s="239">
        <v>0</v>
      </c>
      <c r="AV130" s="239">
        <v>-9990</v>
      </c>
      <c r="AW130" s="239">
        <v>-582</v>
      </c>
      <c r="AX130" s="239">
        <v>0</v>
      </c>
      <c r="AY130" s="239">
        <v>-582</v>
      </c>
      <c r="AZ130" s="239">
        <v>-1988</v>
      </c>
      <c r="BA130" s="239">
        <v>0</v>
      </c>
      <c r="BB130" s="239">
        <v>-1988</v>
      </c>
      <c r="BC130" s="239">
        <v>0</v>
      </c>
      <c r="BD130" s="239">
        <v>0</v>
      </c>
      <c r="BE130" s="239">
        <v>0</v>
      </c>
      <c r="BF130" s="239">
        <v>-3303962</v>
      </c>
      <c r="BG130" s="239">
        <v>0</v>
      </c>
      <c r="BH130" s="239">
        <v>-3303962</v>
      </c>
      <c r="BI130" s="239">
        <v>-17712</v>
      </c>
      <c r="BJ130" s="239">
        <v>0</v>
      </c>
      <c r="BK130" s="239">
        <v>-17712</v>
      </c>
      <c r="BL130" s="239">
        <v>-47123</v>
      </c>
      <c r="BM130" s="239">
        <v>0</v>
      </c>
      <c r="BN130" s="239">
        <v>-47123</v>
      </c>
      <c r="BO130" s="239">
        <v>-683243</v>
      </c>
      <c r="BP130" s="239">
        <v>0</v>
      </c>
      <c r="BQ130" s="239">
        <v>-683243</v>
      </c>
      <c r="BR130" s="239">
        <v>20421</v>
      </c>
      <c r="BS130" s="239">
        <v>0</v>
      </c>
      <c r="BT130" s="239">
        <v>20421</v>
      </c>
      <c r="BU130" s="239">
        <v>-727657</v>
      </c>
      <c r="BV130" s="239">
        <v>0</v>
      </c>
      <c r="BW130" s="239">
        <v>-727657</v>
      </c>
      <c r="BX130" s="239">
        <v>-118727</v>
      </c>
      <c r="BY130" s="239">
        <v>0</v>
      </c>
      <c r="BZ130" s="239">
        <v>-118727</v>
      </c>
      <c r="CA130" s="239">
        <v>-4</v>
      </c>
      <c r="CB130" s="239">
        <v>0</v>
      </c>
      <c r="CC130" s="239">
        <v>-4</v>
      </c>
      <c r="CD130" s="239">
        <v>-86866</v>
      </c>
      <c r="CE130" s="239">
        <v>0</v>
      </c>
      <c r="CF130" s="239">
        <v>-86866</v>
      </c>
      <c r="CG130" s="239">
        <v>546</v>
      </c>
      <c r="CH130" s="239">
        <v>0</v>
      </c>
      <c r="CI130" s="239">
        <v>546</v>
      </c>
      <c r="CJ130" s="239">
        <v>-393</v>
      </c>
      <c r="CK130" s="239">
        <v>0</v>
      </c>
      <c r="CL130" s="239">
        <v>-393</v>
      </c>
      <c r="CM130" s="239">
        <v>0</v>
      </c>
      <c r="CN130" s="239">
        <v>0</v>
      </c>
      <c r="CO130" s="239">
        <v>0</v>
      </c>
      <c r="CP130" s="239">
        <v>-1988</v>
      </c>
      <c r="CQ130" s="239">
        <v>0</v>
      </c>
      <c r="CR130" s="239">
        <v>-1988</v>
      </c>
      <c r="CS130" s="239">
        <v>0</v>
      </c>
      <c r="CT130" s="239">
        <v>0</v>
      </c>
      <c r="CU130" s="239">
        <v>0</v>
      </c>
      <c r="CV130" s="239">
        <v>0</v>
      </c>
      <c r="CW130" s="239">
        <v>0</v>
      </c>
      <c r="CX130" s="239">
        <v>0</v>
      </c>
      <c r="CY130" s="239">
        <v>0</v>
      </c>
      <c r="CZ130" s="239">
        <v>0</v>
      </c>
      <c r="DA130" s="239">
        <v>0</v>
      </c>
      <c r="DB130" s="239">
        <v>0</v>
      </c>
      <c r="DC130" s="239">
        <v>0</v>
      </c>
      <c r="DD130" s="239">
        <v>0</v>
      </c>
      <c r="DE130" s="239">
        <v>0</v>
      </c>
      <c r="DF130" s="239">
        <v>0</v>
      </c>
      <c r="DG130" s="239">
        <v>0</v>
      </c>
      <c r="DH130" s="239">
        <v>0</v>
      </c>
      <c r="DI130" s="239">
        <v>0</v>
      </c>
      <c r="DJ130" s="239">
        <v>-207432</v>
      </c>
      <c r="DK130" s="239">
        <v>0</v>
      </c>
      <c r="DL130" s="239">
        <v>-207432</v>
      </c>
      <c r="DM130" s="239">
        <v>0</v>
      </c>
      <c r="DN130" s="239">
        <v>0</v>
      </c>
      <c r="DO130" s="239">
        <v>0</v>
      </c>
      <c r="DP130" s="239">
        <v>0</v>
      </c>
      <c r="DQ130" s="239">
        <v>0</v>
      </c>
      <c r="DR130" s="239">
        <v>0</v>
      </c>
      <c r="DS130" s="239">
        <v>-3055</v>
      </c>
      <c r="DT130" s="239">
        <v>0</v>
      </c>
      <c r="DU130" s="239">
        <v>-3055</v>
      </c>
      <c r="DV130" s="239">
        <v>-11448</v>
      </c>
      <c r="DW130" s="239">
        <v>0</v>
      </c>
      <c r="DX130" s="239">
        <v>-11448</v>
      </c>
      <c r="DY130" s="239">
        <v>0</v>
      </c>
      <c r="DZ130" s="239">
        <v>0</v>
      </c>
      <c r="EA130" s="239">
        <v>0</v>
      </c>
      <c r="EB130" s="239">
        <v>-1586</v>
      </c>
      <c r="EC130" s="239">
        <v>0</v>
      </c>
      <c r="ED130" s="239">
        <v>-1586</v>
      </c>
      <c r="EE130" s="239">
        <v>0</v>
      </c>
      <c r="EF130" s="239">
        <v>0</v>
      </c>
      <c r="EG130" s="239">
        <v>0</v>
      </c>
      <c r="EH130" s="239">
        <v>0</v>
      </c>
      <c r="EI130" s="239">
        <v>0</v>
      </c>
      <c r="EJ130" s="239">
        <v>0</v>
      </c>
      <c r="EK130" s="239">
        <v>-5367</v>
      </c>
      <c r="EL130" s="239">
        <v>0</v>
      </c>
      <c r="EM130" s="239">
        <v>-5367</v>
      </c>
      <c r="EN130" s="239">
        <v>2049</v>
      </c>
      <c r="EO130" s="239">
        <v>0</v>
      </c>
      <c r="EP130" s="239">
        <v>2049</v>
      </c>
      <c r="EQ130" s="239">
        <v>-19407</v>
      </c>
      <c r="ER130" s="239">
        <v>0</v>
      </c>
      <c r="ES130" s="239">
        <v>-19407</v>
      </c>
      <c r="ET130" s="239">
        <v>0</v>
      </c>
      <c r="EU130" s="239">
        <v>0</v>
      </c>
      <c r="EV130" s="239">
        <v>0</v>
      </c>
      <c r="EW130" s="239">
        <v>0</v>
      </c>
      <c r="EX130" s="239">
        <v>0</v>
      </c>
      <c r="EY130" s="239">
        <v>0</v>
      </c>
      <c r="EZ130" s="239">
        <v>0</v>
      </c>
      <c r="FA130" s="239">
        <v>0</v>
      </c>
      <c r="FB130" s="239">
        <v>0</v>
      </c>
      <c r="FC130" s="239">
        <v>38456910</v>
      </c>
      <c r="FD130" s="239">
        <v>0</v>
      </c>
      <c r="FE130" s="239">
        <v>38456910</v>
      </c>
      <c r="FF130" s="239">
        <v>326236</v>
      </c>
      <c r="FG130" s="239">
        <v>0</v>
      </c>
      <c r="FH130" s="239">
        <v>326236</v>
      </c>
      <c r="FI130" s="239">
        <v>-3303962</v>
      </c>
      <c r="FJ130" s="239">
        <v>0</v>
      </c>
      <c r="FK130" s="239">
        <v>-3303962</v>
      </c>
      <c r="FL130" s="239">
        <v>-727657</v>
      </c>
      <c r="FM130" s="239">
        <v>0</v>
      </c>
      <c r="FN130" s="239">
        <v>-727657</v>
      </c>
      <c r="FO130" s="239">
        <v>-207432</v>
      </c>
      <c r="FP130" s="239">
        <v>0</v>
      </c>
      <c r="FQ130" s="239">
        <v>-207432</v>
      </c>
      <c r="FR130" s="239">
        <v>-19407</v>
      </c>
      <c r="FS130" s="239">
        <v>0</v>
      </c>
      <c r="FT130" s="239">
        <v>-19407</v>
      </c>
      <c r="FU130" s="239">
        <v>0</v>
      </c>
      <c r="FV130" s="239">
        <v>0</v>
      </c>
      <c r="FW130" s="239">
        <v>0</v>
      </c>
      <c r="FX130" s="239">
        <v>-3932222</v>
      </c>
      <c r="FY130" s="239">
        <v>0</v>
      </c>
      <c r="FZ130" s="239">
        <v>-3932222</v>
      </c>
      <c r="GA130" s="239">
        <v>34524688</v>
      </c>
      <c r="GB130" s="239">
        <v>0</v>
      </c>
      <c r="GC130" s="239">
        <v>34524688</v>
      </c>
      <c r="GD130" s="214" t="s">
        <v>1190</v>
      </c>
    </row>
    <row r="131" spans="2:186" s="214" customFormat="1" x14ac:dyDescent="0.2">
      <c r="B131" s="609" t="s">
        <v>344</v>
      </c>
      <c r="C131" s="609" t="s">
        <v>343</v>
      </c>
      <c r="D131" s="239">
        <v>0</v>
      </c>
      <c r="E131" s="239">
        <v>0</v>
      </c>
      <c r="F131" s="239">
        <v>0</v>
      </c>
      <c r="G131" s="239">
        <v>37048</v>
      </c>
      <c r="H131" s="239">
        <v>0</v>
      </c>
      <c r="I131" s="239">
        <v>37048</v>
      </c>
      <c r="J131" s="239">
        <v>0</v>
      </c>
      <c r="K131" s="239">
        <v>0</v>
      </c>
      <c r="L131" s="239">
        <v>0</v>
      </c>
      <c r="M131" s="239">
        <v>49814</v>
      </c>
      <c r="N131" s="239">
        <v>0</v>
      </c>
      <c r="O131" s="239">
        <v>49814</v>
      </c>
      <c r="P131" s="239">
        <v>86862</v>
      </c>
      <c r="Q131" s="239">
        <v>0</v>
      </c>
      <c r="R131" s="239">
        <v>86862</v>
      </c>
      <c r="S131" s="239">
        <v>-3788754</v>
      </c>
      <c r="T131" s="239">
        <v>0</v>
      </c>
      <c r="U131" s="239">
        <v>-3788754</v>
      </c>
      <c r="V131" s="239">
        <v>0</v>
      </c>
      <c r="W131" s="239">
        <v>0</v>
      </c>
      <c r="X131" s="239">
        <v>0</v>
      </c>
      <c r="Y131" s="239">
        <v>-253727</v>
      </c>
      <c r="Z131" s="239">
        <v>0</v>
      </c>
      <c r="AA131" s="239">
        <v>-253727</v>
      </c>
      <c r="AB131" s="239">
        <v>0</v>
      </c>
      <c r="AC131" s="239">
        <v>0</v>
      </c>
      <c r="AD131" s="239">
        <v>0</v>
      </c>
      <c r="AE131" s="239">
        <v>0</v>
      </c>
      <c r="AF131" s="239">
        <v>0</v>
      </c>
      <c r="AG131" s="239">
        <v>0</v>
      </c>
      <c r="AH131" s="239">
        <v>1888861</v>
      </c>
      <c r="AI131" s="239">
        <v>0</v>
      </c>
      <c r="AJ131" s="239">
        <v>1888861</v>
      </c>
      <c r="AK131" s="239">
        <v>-41802</v>
      </c>
      <c r="AL131" s="239">
        <v>0</v>
      </c>
      <c r="AM131" s="239">
        <v>-41802</v>
      </c>
      <c r="AN131" s="239">
        <v>-4682696</v>
      </c>
      <c r="AO131" s="239">
        <v>0</v>
      </c>
      <c r="AP131" s="239">
        <v>-4682696</v>
      </c>
      <c r="AQ131" s="239">
        <v>61263</v>
      </c>
      <c r="AR131" s="239">
        <v>0</v>
      </c>
      <c r="AS131" s="239">
        <v>61263</v>
      </c>
      <c r="AT131" s="239">
        <v>-329889</v>
      </c>
      <c r="AU131" s="239">
        <v>0</v>
      </c>
      <c r="AV131" s="239">
        <v>-329889</v>
      </c>
      <c r="AW131" s="239">
        <v>0</v>
      </c>
      <c r="AX131" s="239">
        <v>0</v>
      </c>
      <c r="AY131" s="239">
        <v>0</v>
      </c>
      <c r="AZ131" s="239">
        <v>0</v>
      </c>
      <c r="BA131" s="239">
        <v>0</v>
      </c>
      <c r="BB131" s="239">
        <v>0</v>
      </c>
      <c r="BC131" s="239">
        <v>0</v>
      </c>
      <c r="BD131" s="239">
        <v>0</v>
      </c>
      <c r="BE131" s="239">
        <v>0</v>
      </c>
      <c r="BF131" s="239">
        <v>-7146744</v>
      </c>
      <c r="BG131" s="239">
        <v>0</v>
      </c>
      <c r="BH131" s="239">
        <v>-7146744</v>
      </c>
      <c r="BI131" s="239">
        <v>-79140</v>
      </c>
      <c r="BJ131" s="239">
        <v>0</v>
      </c>
      <c r="BK131" s="239">
        <v>-79140</v>
      </c>
      <c r="BL131" s="239">
        <v>-12853</v>
      </c>
      <c r="BM131" s="239">
        <v>0</v>
      </c>
      <c r="BN131" s="239">
        <v>-12853</v>
      </c>
      <c r="BO131" s="239">
        <v>-2885990</v>
      </c>
      <c r="BP131" s="239">
        <v>0</v>
      </c>
      <c r="BQ131" s="239">
        <v>-2885990</v>
      </c>
      <c r="BR131" s="239">
        <v>49903</v>
      </c>
      <c r="BS131" s="239">
        <v>0</v>
      </c>
      <c r="BT131" s="239">
        <v>49903</v>
      </c>
      <c r="BU131" s="239">
        <v>-2928080</v>
      </c>
      <c r="BV131" s="239">
        <v>0</v>
      </c>
      <c r="BW131" s="239">
        <v>-2928080</v>
      </c>
      <c r="BX131" s="239">
        <v>-127019</v>
      </c>
      <c r="BY131" s="239">
        <v>0</v>
      </c>
      <c r="BZ131" s="239">
        <v>-127019</v>
      </c>
      <c r="CA131" s="239">
        <v>557</v>
      </c>
      <c r="CB131" s="239">
        <v>0</v>
      </c>
      <c r="CC131" s="239">
        <v>557</v>
      </c>
      <c r="CD131" s="239">
        <v>-10708</v>
      </c>
      <c r="CE131" s="239">
        <v>0</v>
      </c>
      <c r="CF131" s="239">
        <v>-10708</v>
      </c>
      <c r="CG131" s="239">
        <v>0</v>
      </c>
      <c r="CH131" s="239">
        <v>0</v>
      </c>
      <c r="CI131" s="239">
        <v>0</v>
      </c>
      <c r="CJ131" s="239">
        <v>-74500</v>
      </c>
      <c r="CK131" s="239">
        <v>0</v>
      </c>
      <c r="CL131" s="239">
        <v>-74500</v>
      </c>
      <c r="CM131" s="239">
        <v>0</v>
      </c>
      <c r="CN131" s="239">
        <v>0</v>
      </c>
      <c r="CO131" s="239">
        <v>0</v>
      </c>
      <c r="CP131" s="239">
        <v>0</v>
      </c>
      <c r="CQ131" s="239">
        <v>0</v>
      </c>
      <c r="CR131" s="239">
        <v>0</v>
      </c>
      <c r="CS131" s="239">
        <v>0</v>
      </c>
      <c r="CT131" s="239">
        <v>0</v>
      </c>
      <c r="CU131" s="239">
        <v>0</v>
      </c>
      <c r="CV131" s="239">
        <v>0</v>
      </c>
      <c r="CW131" s="239">
        <v>0</v>
      </c>
      <c r="CX131" s="239">
        <v>0</v>
      </c>
      <c r="CY131" s="239">
        <v>0</v>
      </c>
      <c r="CZ131" s="239">
        <v>0</v>
      </c>
      <c r="DA131" s="239">
        <v>0</v>
      </c>
      <c r="DB131" s="239">
        <v>0</v>
      </c>
      <c r="DC131" s="239">
        <v>0</v>
      </c>
      <c r="DD131" s="239">
        <v>0</v>
      </c>
      <c r="DE131" s="239">
        <v>0</v>
      </c>
      <c r="DF131" s="239">
        <v>0</v>
      </c>
      <c r="DG131" s="239">
        <v>0</v>
      </c>
      <c r="DH131" s="239">
        <v>0</v>
      </c>
      <c r="DI131" s="239">
        <v>0</v>
      </c>
      <c r="DJ131" s="239">
        <v>-211670</v>
      </c>
      <c r="DK131" s="239">
        <v>0</v>
      </c>
      <c r="DL131" s="239">
        <v>-211670</v>
      </c>
      <c r="DM131" s="239">
        <v>-150</v>
      </c>
      <c r="DN131" s="239">
        <v>0</v>
      </c>
      <c r="DO131" s="239">
        <v>-150</v>
      </c>
      <c r="DP131" s="239">
        <v>1301</v>
      </c>
      <c r="DQ131" s="239">
        <v>0</v>
      </c>
      <c r="DR131" s="239">
        <v>1301</v>
      </c>
      <c r="DS131" s="239">
        <v>-48816</v>
      </c>
      <c r="DT131" s="239">
        <v>0</v>
      </c>
      <c r="DU131" s="239">
        <v>-48816</v>
      </c>
      <c r="DV131" s="239">
        <v>-26025</v>
      </c>
      <c r="DW131" s="239">
        <v>0</v>
      </c>
      <c r="DX131" s="239">
        <v>-26025</v>
      </c>
      <c r="DY131" s="239">
        <v>0</v>
      </c>
      <c r="DZ131" s="239">
        <v>0</v>
      </c>
      <c r="EA131" s="239">
        <v>0</v>
      </c>
      <c r="EB131" s="239">
        <v>-23142</v>
      </c>
      <c r="EC131" s="239">
        <v>0</v>
      </c>
      <c r="ED131" s="239">
        <v>-23142</v>
      </c>
      <c r="EE131" s="239">
        <v>0</v>
      </c>
      <c r="EF131" s="239">
        <v>0</v>
      </c>
      <c r="EG131" s="239">
        <v>0</v>
      </c>
      <c r="EH131" s="239">
        <v>0</v>
      </c>
      <c r="EI131" s="239">
        <v>0</v>
      </c>
      <c r="EJ131" s="239">
        <v>0</v>
      </c>
      <c r="EK131" s="239">
        <v>-1935</v>
      </c>
      <c r="EL131" s="239">
        <v>0</v>
      </c>
      <c r="EM131" s="239">
        <v>-1935</v>
      </c>
      <c r="EN131" s="239">
        <v>0</v>
      </c>
      <c r="EO131" s="239">
        <v>0</v>
      </c>
      <c r="EP131" s="239">
        <v>0</v>
      </c>
      <c r="EQ131" s="239">
        <v>-98767</v>
      </c>
      <c r="ER131" s="239">
        <v>0</v>
      </c>
      <c r="ES131" s="239">
        <v>-98767</v>
      </c>
      <c r="ET131" s="239">
        <v>0</v>
      </c>
      <c r="EU131" s="239">
        <v>0</v>
      </c>
      <c r="EV131" s="239">
        <v>0</v>
      </c>
      <c r="EW131" s="239">
        <v>0</v>
      </c>
      <c r="EX131" s="239">
        <v>0</v>
      </c>
      <c r="EY131" s="239">
        <v>0</v>
      </c>
      <c r="EZ131" s="239">
        <v>0</v>
      </c>
      <c r="FA131" s="239">
        <v>0</v>
      </c>
      <c r="FB131" s="239">
        <v>0</v>
      </c>
      <c r="FC131" s="239">
        <v>85435710</v>
      </c>
      <c r="FD131" s="239">
        <v>0</v>
      </c>
      <c r="FE131" s="239">
        <v>85435710</v>
      </c>
      <c r="FF131" s="239">
        <v>86862</v>
      </c>
      <c r="FG131" s="239">
        <v>0</v>
      </c>
      <c r="FH131" s="239">
        <v>86862</v>
      </c>
      <c r="FI131" s="239">
        <v>-7146744</v>
      </c>
      <c r="FJ131" s="239">
        <v>0</v>
      </c>
      <c r="FK131" s="239">
        <v>-7146744</v>
      </c>
      <c r="FL131" s="239">
        <v>-2928080</v>
      </c>
      <c r="FM131" s="239">
        <v>0</v>
      </c>
      <c r="FN131" s="239">
        <v>-2928080</v>
      </c>
      <c r="FO131" s="239">
        <v>-211670</v>
      </c>
      <c r="FP131" s="239">
        <v>0</v>
      </c>
      <c r="FQ131" s="239">
        <v>-211670</v>
      </c>
      <c r="FR131" s="239">
        <v>-98767</v>
      </c>
      <c r="FS131" s="239">
        <v>0</v>
      </c>
      <c r="FT131" s="239">
        <v>-98767</v>
      </c>
      <c r="FU131" s="239">
        <v>0</v>
      </c>
      <c r="FV131" s="239">
        <v>0</v>
      </c>
      <c r="FW131" s="239">
        <v>0</v>
      </c>
      <c r="FX131" s="239">
        <v>-10298399</v>
      </c>
      <c r="FY131" s="239">
        <v>0</v>
      </c>
      <c r="FZ131" s="239">
        <v>-10298399</v>
      </c>
      <c r="GA131" s="239">
        <v>75137311</v>
      </c>
      <c r="GB131" s="239">
        <v>0</v>
      </c>
      <c r="GC131" s="239">
        <v>75137311</v>
      </c>
      <c r="GD131" s="214" t="s">
        <v>1191</v>
      </c>
    </row>
    <row r="132" spans="2:186" s="214" customFormat="1" x14ac:dyDescent="0.2">
      <c r="B132" s="609" t="s">
        <v>346</v>
      </c>
      <c r="C132" s="609" t="s">
        <v>345</v>
      </c>
      <c r="D132" s="239">
        <v>0</v>
      </c>
      <c r="E132" s="239">
        <v>0</v>
      </c>
      <c r="F132" s="239">
        <v>0</v>
      </c>
      <c r="G132" s="239">
        <v>-5654</v>
      </c>
      <c r="H132" s="239">
        <v>0</v>
      </c>
      <c r="I132" s="239">
        <v>-5654</v>
      </c>
      <c r="J132" s="239">
        <v>0</v>
      </c>
      <c r="K132" s="239">
        <v>0</v>
      </c>
      <c r="L132" s="239">
        <v>0</v>
      </c>
      <c r="M132" s="239">
        <v>15157</v>
      </c>
      <c r="N132" s="239">
        <v>0</v>
      </c>
      <c r="O132" s="239">
        <v>15157</v>
      </c>
      <c r="P132" s="239">
        <v>9503</v>
      </c>
      <c r="Q132" s="239">
        <v>0</v>
      </c>
      <c r="R132" s="239">
        <v>9503</v>
      </c>
      <c r="S132" s="239">
        <v>-5824388</v>
      </c>
      <c r="T132" s="239">
        <v>-51568</v>
      </c>
      <c r="U132" s="239">
        <v>-5875956</v>
      </c>
      <c r="V132" s="239">
        <v>0</v>
      </c>
      <c r="W132" s="239">
        <v>0</v>
      </c>
      <c r="X132" s="239">
        <v>0</v>
      </c>
      <c r="Y132" s="239">
        <v>-343095</v>
      </c>
      <c r="Z132" s="239">
        <v>2819</v>
      </c>
      <c r="AA132" s="239">
        <v>-340276</v>
      </c>
      <c r="AB132" s="239">
        <v>0</v>
      </c>
      <c r="AC132" s="239">
        <v>0</v>
      </c>
      <c r="AD132" s="239">
        <v>0</v>
      </c>
      <c r="AE132" s="239">
        <v>0</v>
      </c>
      <c r="AF132" s="239">
        <v>0</v>
      </c>
      <c r="AG132" s="239">
        <v>0</v>
      </c>
      <c r="AH132" s="239">
        <v>1287982</v>
      </c>
      <c r="AI132" s="239">
        <v>11919</v>
      </c>
      <c r="AJ132" s="239">
        <v>1299901</v>
      </c>
      <c r="AK132" s="239">
        <v>-30276</v>
      </c>
      <c r="AL132" s="239">
        <v>330</v>
      </c>
      <c r="AM132" s="239">
        <v>-29946</v>
      </c>
      <c r="AN132" s="239">
        <v>-4422064</v>
      </c>
      <c r="AO132" s="239">
        <v>0</v>
      </c>
      <c r="AP132" s="239">
        <v>-4422064</v>
      </c>
      <c r="AQ132" s="239">
        <v>-34783</v>
      </c>
      <c r="AR132" s="239">
        <v>212</v>
      </c>
      <c r="AS132" s="239">
        <v>-34571</v>
      </c>
      <c r="AT132" s="239">
        <v>-85108</v>
      </c>
      <c r="AU132" s="239">
        <v>0</v>
      </c>
      <c r="AV132" s="239">
        <v>-85108</v>
      </c>
      <c r="AW132" s="239">
        <v>-2096</v>
      </c>
      <c r="AX132" s="239">
        <v>0</v>
      </c>
      <c r="AY132" s="239">
        <v>-2096</v>
      </c>
      <c r="AZ132" s="239">
        <v>-104183</v>
      </c>
      <c r="BA132" s="239">
        <v>0</v>
      </c>
      <c r="BB132" s="239">
        <v>-104183</v>
      </c>
      <c r="BC132" s="239">
        <v>-16762</v>
      </c>
      <c r="BD132" s="239">
        <v>0</v>
      </c>
      <c r="BE132" s="239">
        <v>-16762</v>
      </c>
      <c r="BF132" s="239">
        <v>-9574773</v>
      </c>
      <c r="BG132" s="239">
        <v>-36288</v>
      </c>
      <c r="BH132" s="239">
        <v>-9611061</v>
      </c>
      <c r="BI132" s="239">
        <v>-4562</v>
      </c>
      <c r="BJ132" s="239">
        <v>0</v>
      </c>
      <c r="BK132" s="239">
        <v>-4562</v>
      </c>
      <c r="BL132" s="239">
        <v>-1125</v>
      </c>
      <c r="BM132" s="239">
        <v>0</v>
      </c>
      <c r="BN132" s="239">
        <v>-1125</v>
      </c>
      <c r="BO132" s="239">
        <v>-1777426</v>
      </c>
      <c r="BP132" s="239">
        <v>-4341</v>
      </c>
      <c r="BQ132" s="239">
        <v>-1781767</v>
      </c>
      <c r="BR132" s="239">
        <v>52591</v>
      </c>
      <c r="BS132" s="239">
        <v>-2044</v>
      </c>
      <c r="BT132" s="239">
        <v>50547</v>
      </c>
      <c r="BU132" s="239">
        <v>-1730522</v>
      </c>
      <c r="BV132" s="239">
        <v>-6385</v>
      </c>
      <c r="BW132" s="239">
        <v>-1736907</v>
      </c>
      <c r="BX132" s="239">
        <v>-366437</v>
      </c>
      <c r="BY132" s="239">
        <v>0</v>
      </c>
      <c r="BZ132" s="239">
        <v>-366437</v>
      </c>
      <c r="CA132" s="239">
        <v>-2285</v>
      </c>
      <c r="CB132" s="239">
        <v>0</v>
      </c>
      <c r="CC132" s="239">
        <v>-2285</v>
      </c>
      <c r="CD132" s="239">
        <v>-152658</v>
      </c>
      <c r="CE132" s="239">
        <v>0</v>
      </c>
      <c r="CF132" s="239">
        <v>-152658</v>
      </c>
      <c r="CG132" s="239">
        <v>4574</v>
      </c>
      <c r="CH132" s="239">
        <v>0</v>
      </c>
      <c r="CI132" s="239">
        <v>4574</v>
      </c>
      <c r="CJ132" s="239">
        <v>-12172</v>
      </c>
      <c r="CK132" s="239">
        <v>0</v>
      </c>
      <c r="CL132" s="239">
        <v>-12172</v>
      </c>
      <c r="CM132" s="239">
        <v>-430</v>
      </c>
      <c r="CN132" s="239">
        <v>0</v>
      </c>
      <c r="CO132" s="239">
        <v>-430</v>
      </c>
      <c r="CP132" s="239">
        <v>-63563</v>
      </c>
      <c r="CQ132" s="239">
        <v>0</v>
      </c>
      <c r="CR132" s="239">
        <v>-63563</v>
      </c>
      <c r="CS132" s="239">
        <v>-9291</v>
      </c>
      <c r="CT132" s="239">
        <v>0</v>
      </c>
      <c r="CU132" s="239">
        <v>-9291</v>
      </c>
      <c r="CV132" s="239">
        <v>0</v>
      </c>
      <c r="CW132" s="239">
        <v>0</v>
      </c>
      <c r="CX132" s="239">
        <v>0</v>
      </c>
      <c r="CY132" s="239">
        <v>0</v>
      </c>
      <c r="CZ132" s="239">
        <v>0</v>
      </c>
      <c r="DA132" s="239">
        <v>0</v>
      </c>
      <c r="DB132" s="239">
        <v>0</v>
      </c>
      <c r="DC132" s="239">
        <v>-293304</v>
      </c>
      <c r="DD132" s="239">
        <v>-293304</v>
      </c>
      <c r="DE132" s="239">
        <v>0</v>
      </c>
      <c r="DF132" s="239">
        <v>-16899</v>
      </c>
      <c r="DG132" s="239">
        <v>-16899</v>
      </c>
      <c r="DH132" s="239">
        <v>-310203</v>
      </c>
      <c r="DI132" s="239">
        <v>0</v>
      </c>
      <c r="DJ132" s="239">
        <v>-602262</v>
      </c>
      <c r="DK132" s="239">
        <v>-310203</v>
      </c>
      <c r="DL132" s="239">
        <v>-912465</v>
      </c>
      <c r="DM132" s="239">
        <v>-302</v>
      </c>
      <c r="DN132" s="239">
        <v>0</v>
      </c>
      <c r="DO132" s="239">
        <v>-302</v>
      </c>
      <c r="DP132" s="239">
        <v>4364</v>
      </c>
      <c r="DQ132" s="239">
        <v>0</v>
      </c>
      <c r="DR132" s="239">
        <v>4364</v>
      </c>
      <c r="DS132" s="239">
        <v>-36394</v>
      </c>
      <c r="DT132" s="239">
        <v>0</v>
      </c>
      <c r="DU132" s="239">
        <v>-36394</v>
      </c>
      <c r="DV132" s="239">
        <v>-17672</v>
      </c>
      <c r="DW132" s="239">
        <v>0</v>
      </c>
      <c r="DX132" s="239">
        <v>-17672</v>
      </c>
      <c r="DY132" s="239">
        <v>0</v>
      </c>
      <c r="DZ132" s="239">
        <v>0</v>
      </c>
      <c r="EA132" s="239">
        <v>0</v>
      </c>
      <c r="EB132" s="239">
        <v>18625</v>
      </c>
      <c r="EC132" s="239">
        <v>0</v>
      </c>
      <c r="ED132" s="239">
        <v>18625</v>
      </c>
      <c r="EE132" s="239">
        <v>0</v>
      </c>
      <c r="EF132" s="239">
        <v>0</v>
      </c>
      <c r="EG132" s="239">
        <v>0</v>
      </c>
      <c r="EH132" s="239">
        <v>0</v>
      </c>
      <c r="EI132" s="239">
        <v>0</v>
      </c>
      <c r="EJ132" s="239">
        <v>0</v>
      </c>
      <c r="EK132" s="239">
        <v>-39522</v>
      </c>
      <c r="EL132" s="239">
        <v>0</v>
      </c>
      <c r="EM132" s="239">
        <v>-39522</v>
      </c>
      <c r="EN132" s="239">
        <v>646</v>
      </c>
      <c r="EO132" s="239">
        <v>0</v>
      </c>
      <c r="EP132" s="239">
        <v>646</v>
      </c>
      <c r="EQ132" s="239">
        <v>-70255</v>
      </c>
      <c r="ER132" s="239">
        <v>0</v>
      </c>
      <c r="ES132" s="239">
        <v>-70255</v>
      </c>
      <c r="ET132" s="239">
        <v>-20453</v>
      </c>
      <c r="EU132" s="239">
        <v>0</v>
      </c>
      <c r="EV132" s="239">
        <v>-20453</v>
      </c>
      <c r="EW132" s="239">
        <v>-58315</v>
      </c>
      <c r="EX132" s="239">
        <v>0</v>
      </c>
      <c r="EY132" s="239">
        <v>-58315</v>
      </c>
      <c r="EZ132" s="239">
        <v>-78768</v>
      </c>
      <c r="FA132" s="239">
        <v>0</v>
      </c>
      <c r="FB132" s="239">
        <v>-78768</v>
      </c>
      <c r="FC132" s="239">
        <v>60712577</v>
      </c>
      <c r="FD132" s="239">
        <v>655431</v>
      </c>
      <c r="FE132" s="239">
        <v>61368008</v>
      </c>
      <c r="FF132" s="239">
        <v>9503</v>
      </c>
      <c r="FG132" s="239">
        <v>0</v>
      </c>
      <c r="FH132" s="239">
        <v>9503</v>
      </c>
      <c r="FI132" s="239">
        <v>-9574773</v>
      </c>
      <c r="FJ132" s="239">
        <v>-36288</v>
      </c>
      <c r="FK132" s="239">
        <v>-9611061</v>
      </c>
      <c r="FL132" s="239">
        <v>-1730522</v>
      </c>
      <c r="FM132" s="239">
        <v>-6385</v>
      </c>
      <c r="FN132" s="239">
        <v>-1736907</v>
      </c>
      <c r="FO132" s="239">
        <v>-602262</v>
      </c>
      <c r="FP132" s="239">
        <v>-310203</v>
      </c>
      <c r="FQ132" s="239">
        <v>-912465</v>
      </c>
      <c r="FR132" s="239">
        <v>-70255</v>
      </c>
      <c r="FS132" s="239">
        <v>0</v>
      </c>
      <c r="FT132" s="239">
        <v>-70255</v>
      </c>
      <c r="FU132" s="239">
        <v>-78768</v>
      </c>
      <c r="FV132" s="239">
        <v>0</v>
      </c>
      <c r="FW132" s="239">
        <v>-78768</v>
      </c>
      <c r="FX132" s="239">
        <v>-12047077</v>
      </c>
      <c r="FY132" s="239">
        <v>-352876</v>
      </c>
      <c r="FZ132" s="239">
        <v>-12399953</v>
      </c>
      <c r="GA132" s="239">
        <v>48665500</v>
      </c>
      <c r="GB132" s="239">
        <v>302555</v>
      </c>
      <c r="GC132" s="239">
        <v>48968055</v>
      </c>
      <c r="GD132" s="214" t="s">
        <v>747</v>
      </c>
    </row>
    <row r="133" spans="2:186" s="214" customFormat="1" x14ac:dyDescent="0.2">
      <c r="B133" s="609" t="s">
        <v>348</v>
      </c>
      <c r="C133" s="609" t="s">
        <v>347</v>
      </c>
      <c r="D133" s="239">
        <v>0</v>
      </c>
      <c r="E133" s="239">
        <v>0</v>
      </c>
      <c r="F133" s="239">
        <v>0</v>
      </c>
      <c r="G133" s="239">
        <v>69402</v>
      </c>
      <c r="H133" s="239">
        <v>0</v>
      </c>
      <c r="I133" s="239">
        <v>69402</v>
      </c>
      <c r="J133" s="239">
        <v>0</v>
      </c>
      <c r="K133" s="239">
        <v>0</v>
      </c>
      <c r="L133" s="239">
        <v>0</v>
      </c>
      <c r="M133" s="239">
        <v>10070</v>
      </c>
      <c r="N133" s="239">
        <v>0</v>
      </c>
      <c r="O133" s="239">
        <v>10070</v>
      </c>
      <c r="P133" s="239">
        <v>79472</v>
      </c>
      <c r="Q133" s="239">
        <v>0</v>
      </c>
      <c r="R133" s="239">
        <v>79472</v>
      </c>
      <c r="S133" s="239">
        <v>-1676878</v>
      </c>
      <c r="T133" s="239">
        <v>0</v>
      </c>
      <c r="U133" s="239">
        <v>-1676878</v>
      </c>
      <c r="V133" s="239">
        <v>0</v>
      </c>
      <c r="W133" s="239">
        <v>0</v>
      </c>
      <c r="X133" s="239">
        <v>0</v>
      </c>
      <c r="Y133" s="239">
        <v>-130636</v>
      </c>
      <c r="Z133" s="239">
        <v>0</v>
      </c>
      <c r="AA133" s="239">
        <v>-130636</v>
      </c>
      <c r="AB133" s="239">
        <v>-98096</v>
      </c>
      <c r="AC133" s="239">
        <v>0</v>
      </c>
      <c r="AD133" s="239">
        <v>-98096</v>
      </c>
      <c r="AE133" s="239">
        <v>0</v>
      </c>
      <c r="AF133" s="239">
        <v>0</v>
      </c>
      <c r="AG133" s="239">
        <v>0</v>
      </c>
      <c r="AH133" s="239">
        <v>1287095</v>
      </c>
      <c r="AI133" s="239">
        <v>0</v>
      </c>
      <c r="AJ133" s="239">
        <v>1287095</v>
      </c>
      <c r="AK133" s="239">
        <v>-35876</v>
      </c>
      <c r="AL133" s="239">
        <v>0</v>
      </c>
      <c r="AM133" s="239">
        <v>-35876</v>
      </c>
      <c r="AN133" s="239">
        <v>-5028802</v>
      </c>
      <c r="AO133" s="239">
        <v>0</v>
      </c>
      <c r="AP133" s="239">
        <v>-5028802</v>
      </c>
      <c r="AQ133" s="239">
        <v>6494</v>
      </c>
      <c r="AR133" s="239">
        <v>0</v>
      </c>
      <c r="AS133" s="239">
        <v>6494</v>
      </c>
      <c r="AT133" s="239">
        <v>-59720</v>
      </c>
      <c r="AU133" s="239">
        <v>0</v>
      </c>
      <c r="AV133" s="239">
        <v>-59720</v>
      </c>
      <c r="AW133" s="239">
        <v>0</v>
      </c>
      <c r="AX133" s="239">
        <v>0</v>
      </c>
      <c r="AY133" s="239">
        <v>0</v>
      </c>
      <c r="AZ133" s="239">
        <v>0</v>
      </c>
      <c r="BA133" s="239">
        <v>0</v>
      </c>
      <c r="BB133" s="239">
        <v>0</v>
      </c>
      <c r="BC133" s="239">
        <v>0</v>
      </c>
      <c r="BD133" s="239">
        <v>0</v>
      </c>
      <c r="BE133" s="239">
        <v>0</v>
      </c>
      <c r="BF133" s="239">
        <v>-5638323</v>
      </c>
      <c r="BG133" s="239">
        <v>0</v>
      </c>
      <c r="BH133" s="239">
        <v>-5638323</v>
      </c>
      <c r="BI133" s="239">
        <v>0</v>
      </c>
      <c r="BJ133" s="239">
        <v>0</v>
      </c>
      <c r="BK133" s="239">
        <v>0</v>
      </c>
      <c r="BL133" s="239">
        <v>0</v>
      </c>
      <c r="BM133" s="239">
        <v>0</v>
      </c>
      <c r="BN133" s="239">
        <v>0</v>
      </c>
      <c r="BO133" s="239">
        <v>-649481</v>
      </c>
      <c r="BP133" s="239">
        <v>0</v>
      </c>
      <c r="BQ133" s="239">
        <v>-649481</v>
      </c>
      <c r="BR133" s="239">
        <v>-102209</v>
      </c>
      <c r="BS133" s="239">
        <v>0</v>
      </c>
      <c r="BT133" s="239">
        <v>-102209</v>
      </c>
      <c r="BU133" s="239">
        <v>-751690</v>
      </c>
      <c r="BV133" s="239">
        <v>0</v>
      </c>
      <c r="BW133" s="239">
        <v>-751690</v>
      </c>
      <c r="BX133" s="239">
        <v>-102709</v>
      </c>
      <c r="BY133" s="239">
        <v>0</v>
      </c>
      <c r="BZ133" s="239">
        <v>-102709</v>
      </c>
      <c r="CA133" s="239">
        <v>-151</v>
      </c>
      <c r="CB133" s="239">
        <v>0</v>
      </c>
      <c r="CC133" s="239">
        <v>-151</v>
      </c>
      <c r="CD133" s="239">
        <v>-34861</v>
      </c>
      <c r="CE133" s="239">
        <v>0</v>
      </c>
      <c r="CF133" s="239">
        <v>-34861</v>
      </c>
      <c r="CG133" s="239">
        <v>8319</v>
      </c>
      <c r="CH133" s="239">
        <v>0</v>
      </c>
      <c r="CI133" s="239">
        <v>8319</v>
      </c>
      <c r="CJ133" s="239">
        <v>0</v>
      </c>
      <c r="CK133" s="239">
        <v>0</v>
      </c>
      <c r="CL133" s="239">
        <v>0</v>
      </c>
      <c r="CM133" s="239">
        <v>0</v>
      </c>
      <c r="CN133" s="239">
        <v>0</v>
      </c>
      <c r="CO133" s="239">
        <v>0</v>
      </c>
      <c r="CP133" s="239">
        <v>0</v>
      </c>
      <c r="CQ133" s="239">
        <v>0</v>
      </c>
      <c r="CR133" s="239">
        <v>0</v>
      </c>
      <c r="CS133" s="239">
        <v>0</v>
      </c>
      <c r="CT133" s="239">
        <v>0</v>
      </c>
      <c r="CU133" s="239">
        <v>0</v>
      </c>
      <c r="CV133" s="239">
        <v>0</v>
      </c>
      <c r="CW133" s="239">
        <v>0</v>
      </c>
      <c r="CX133" s="239">
        <v>0</v>
      </c>
      <c r="CY133" s="239">
        <v>0</v>
      </c>
      <c r="CZ133" s="239">
        <v>0</v>
      </c>
      <c r="DA133" s="239">
        <v>0</v>
      </c>
      <c r="DB133" s="239">
        <v>0</v>
      </c>
      <c r="DC133" s="239">
        <v>0</v>
      </c>
      <c r="DD133" s="239">
        <v>0</v>
      </c>
      <c r="DE133" s="239">
        <v>0</v>
      </c>
      <c r="DF133" s="239">
        <v>0</v>
      </c>
      <c r="DG133" s="239">
        <v>0</v>
      </c>
      <c r="DH133" s="239">
        <v>0</v>
      </c>
      <c r="DI133" s="239">
        <v>0</v>
      </c>
      <c r="DJ133" s="239">
        <v>-129402</v>
      </c>
      <c r="DK133" s="239">
        <v>0</v>
      </c>
      <c r="DL133" s="239">
        <v>-129402</v>
      </c>
      <c r="DM133" s="239">
        <v>0</v>
      </c>
      <c r="DN133" s="239">
        <v>0</v>
      </c>
      <c r="DO133" s="239">
        <v>0</v>
      </c>
      <c r="DP133" s="239">
        <v>0</v>
      </c>
      <c r="DQ133" s="239">
        <v>0</v>
      </c>
      <c r="DR133" s="239">
        <v>0</v>
      </c>
      <c r="DS133" s="239">
        <v>-37806</v>
      </c>
      <c r="DT133" s="239">
        <v>0</v>
      </c>
      <c r="DU133" s="239">
        <v>-37806</v>
      </c>
      <c r="DV133" s="239">
        <v>-4908</v>
      </c>
      <c r="DW133" s="239">
        <v>0</v>
      </c>
      <c r="DX133" s="239">
        <v>-4908</v>
      </c>
      <c r="DY133" s="239">
        <v>0</v>
      </c>
      <c r="DZ133" s="239">
        <v>0</v>
      </c>
      <c r="EA133" s="239">
        <v>0</v>
      </c>
      <c r="EB133" s="239">
        <v>-1397</v>
      </c>
      <c r="EC133" s="239">
        <v>0</v>
      </c>
      <c r="ED133" s="239">
        <v>-1397</v>
      </c>
      <c r="EE133" s="239">
        <v>0</v>
      </c>
      <c r="EF133" s="239">
        <v>0</v>
      </c>
      <c r="EG133" s="239">
        <v>0</v>
      </c>
      <c r="EH133" s="239">
        <v>0</v>
      </c>
      <c r="EI133" s="239">
        <v>0</v>
      </c>
      <c r="EJ133" s="239">
        <v>0</v>
      </c>
      <c r="EK133" s="239">
        <v>-2644</v>
      </c>
      <c r="EL133" s="239">
        <v>0</v>
      </c>
      <c r="EM133" s="239">
        <v>-2644</v>
      </c>
      <c r="EN133" s="239">
        <v>353</v>
      </c>
      <c r="EO133" s="239">
        <v>0</v>
      </c>
      <c r="EP133" s="239">
        <v>353</v>
      </c>
      <c r="EQ133" s="239">
        <v>-46402</v>
      </c>
      <c r="ER133" s="239">
        <v>0</v>
      </c>
      <c r="ES133" s="239">
        <v>-46402</v>
      </c>
      <c r="ET133" s="239">
        <v>0</v>
      </c>
      <c r="EU133" s="239">
        <v>0</v>
      </c>
      <c r="EV133" s="239">
        <v>0</v>
      </c>
      <c r="EW133" s="239">
        <v>0</v>
      </c>
      <c r="EX133" s="239">
        <v>0</v>
      </c>
      <c r="EY133" s="239">
        <v>0</v>
      </c>
      <c r="EZ133" s="239">
        <v>0</v>
      </c>
      <c r="FA133" s="239">
        <v>0</v>
      </c>
      <c r="FB133" s="239">
        <v>0</v>
      </c>
      <c r="FC133" s="239">
        <v>53185412</v>
      </c>
      <c r="FD133" s="239">
        <v>0</v>
      </c>
      <c r="FE133" s="239">
        <v>53185412</v>
      </c>
      <c r="FF133" s="239">
        <v>79472</v>
      </c>
      <c r="FG133" s="239">
        <v>0</v>
      </c>
      <c r="FH133" s="239">
        <v>79472</v>
      </c>
      <c r="FI133" s="239">
        <v>-5638323</v>
      </c>
      <c r="FJ133" s="239">
        <v>0</v>
      </c>
      <c r="FK133" s="239">
        <v>-5638323</v>
      </c>
      <c r="FL133" s="239">
        <v>-751690</v>
      </c>
      <c r="FM133" s="239">
        <v>0</v>
      </c>
      <c r="FN133" s="239">
        <v>-751690</v>
      </c>
      <c r="FO133" s="239">
        <v>-129402</v>
      </c>
      <c r="FP133" s="239">
        <v>0</v>
      </c>
      <c r="FQ133" s="239">
        <v>-129402</v>
      </c>
      <c r="FR133" s="239">
        <v>-46402</v>
      </c>
      <c r="FS133" s="239">
        <v>0</v>
      </c>
      <c r="FT133" s="239">
        <v>-46402</v>
      </c>
      <c r="FU133" s="239">
        <v>0</v>
      </c>
      <c r="FV133" s="239">
        <v>0</v>
      </c>
      <c r="FW133" s="239">
        <v>0</v>
      </c>
      <c r="FX133" s="239">
        <v>-6486345</v>
      </c>
      <c r="FY133" s="239">
        <v>0</v>
      </c>
      <c r="FZ133" s="239">
        <v>-6486345</v>
      </c>
      <c r="GA133" s="239">
        <v>46699067</v>
      </c>
      <c r="GB133" s="239">
        <v>0</v>
      </c>
      <c r="GC133" s="239">
        <v>46699067</v>
      </c>
      <c r="GD133" s="214" t="s">
        <v>1190</v>
      </c>
    </row>
    <row r="134" spans="2:186" s="214" customFormat="1" x14ac:dyDescent="0.2">
      <c r="B134" s="609" t="s">
        <v>350</v>
      </c>
      <c r="C134" s="609" t="s">
        <v>349</v>
      </c>
      <c r="D134" s="239">
        <v>0</v>
      </c>
      <c r="E134" s="239">
        <v>0</v>
      </c>
      <c r="F134" s="239">
        <v>0</v>
      </c>
      <c r="G134" s="239">
        <v>3078</v>
      </c>
      <c r="H134" s="239">
        <v>0</v>
      </c>
      <c r="I134" s="239">
        <v>3078</v>
      </c>
      <c r="J134" s="239">
        <v>0</v>
      </c>
      <c r="K134" s="239">
        <v>0</v>
      </c>
      <c r="L134" s="239">
        <v>0</v>
      </c>
      <c r="M134" s="239">
        <v>-1032</v>
      </c>
      <c r="N134" s="239">
        <v>0</v>
      </c>
      <c r="O134" s="239">
        <v>-1032</v>
      </c>
      <c r="P134" s="239">
        <v>2046</v>
      </c>
      <c r="Q134" s="239">
        <v>0</v>
      </c>
      <c r="R134" s="239">
        <v>2046</v>
      </c>
      <c r="S134" s="239">
        <v>-2792808</v>
      </c>
      <c r="T134" s="239">
        <v>0</v>
      </c>
      <c r="U134" s="239">
        <v>-2792808</v>
      </c>
      <c r="V134" s="239">
        <v>0</v>
      </c>
      <c r="W134" s="239">
        <v>0</v>
      </c>
      <c r="X134" s="239">
        <v>0</v>
      </c>
      <c r="Y134" s="239">
        <v>-71313</v>
      </c>
      <c r="Z134" s="239">
        <v>0</v>
      </c>
      <c r="AA134" s="239">
        <v>-71313</v>
      </c>
      <c r="AB134" s="239">
        <v>-48326</v>
      </c>
      <c r="AC134" s="239">
        <v>0</v>
      </c>
      <c r="AD134" s="239">
        <v>-48326</v>
      </c>
      <c r="AE134" s="239">
        <v>0</v>
      </c>
      <c r="AF134" s="239">
        <v>0</v>
      </c>
      <c r="AG134" s="239">
        <v>0</v>
      </c>
      <c r="AH134" s="239">
        <v>617139</v>
      </c>
      <c r="AI134" s="239">
        <v>0</v>
      </c>
      <c r="AJ134" s="239">
        <v>617139</v>
      </c>
      <c r="AK134" s="239">
        <v>-6571</v>
      </c>
      <c r="AL134" s="239">
        <v>0</v>
      </c>
      <c r="AM134" s="239">
        <v>-6571</v>
      </c>
      <c r="AN134" s="239">
        <v>-951527</v>
      </c>
      <c r="AO134" s="239">
        <v>0</v>
      </c>
      <c r="AP134" s="239">
        <v>-951527</v>
      </c>
      <c r="AQ134" s="239">
        <v>-12027</v>
      </c>
      <c r="AR134" s="239">
        <v>0</v>
      </c>
      <c r="AS134" s="239">
        <v>-12027</v>
      </c>
      <c r="AT134" s="239">
        <v>-91080</v>
      </c>
      <c r="AU134" s="239">
        <v>0</v>
      </c>
      <c r="AV134" s="239">
        <v>-91080</v>
      </c>
      <c r="AW134" s="239">
        <v>-5050</v>
      </c>
      <c r="AX134" s="239">
        <v>0</v>
      </c>
      <c r="AY134" s="239">
        <v>-5050</v>
      </c>
      <c r="AZ134" s="239">
        <v>-14244</v>
      </c>
      <c r="BA134" s="239">
        <v>0</v>
      </c>
      <c r="BB134" s="239">
        <v>-14244</v>
      </c>
      <c r="BC134" s="239">
        <v>0</v>
      </c>
      <c r="BD134" s="239">
        <v>0</v>
      </c>
      <c r="BE134" s="239">
        <v>0</v>
      </c>
      <c r="BF134" s="239">
        <v>-3327481</v>
      </c>
      <c r="BG134" s="239">
        <v>0</v>
      </c>
      <c r="BH134" s="239">
        <v>-3327481</v>
      </c>
      <c r="BI134" s="239">
        <v>-77965</v>
      </c>
      <c r="BJ134" s="239">
        <v>0</v>
      </c>
      <c r="BK134" s="239">
        <v>-77965</v>
      </c>
      <c r="BL134" s="239">
        <v>-81722</v>
      </c>
      <c r="BM134" s="239">
        <v>0</v>
      </c>
      <c r="BN134" s="239">
        <v>-81722</v>
      </c>
      <c r="BO134" s="239">
        <v>-492707</v>
      </c>
      <c r="BP134" s="239">
        <v>0</v>
      </c>
      <c r="BQ134" s="239">
        <v>-492707</v>
      </c>
      <c r="BR134" s="239">
        <v>-50906</v>
      </c>
      <c r="BS134" s="239">
        <v>0</v>
      </c>
      <c r="BT134" s="239">
        <v>-50906</v>
      </c>
      <c r="BU134" s="239">
        <v>-703300</v>
      </c>
      <c r="BV134" s="239">
        <v>0</v>
      </c>
      <c r="BW134" s="239">
        <v>-703300</v>
      </c>
      <c r="BX134" s="239">
        <v>-32781</v>
      </c>
      <c r="BY134" s="239">
        <v>0</v>
      </c>
      <c r="BZ134" s="239">
        <v>-32781</v>
      </c>
      <c r="CA134" s="239">
        <v>2042</v>
      </c>
      <c r="CB134" s="239">
        <v>0</v>
      </c>
      <c r="CC134" s="239">
        <v>2042</v>
      </c>
      <c r="CD134" s="239">
        <v>-169857</v>
      </c>
      <c r="CE134" s="239">
        <v>0</v>
      </c>
      <c r="CF134" s="239">
        <v>-169857</v>
      </c>
      <c r="CG134" s="239">
        <v>-3254</v>
      </c>
      <c r="CH134" s="239">
        <v>0</v>
      </c>
      <c r="CI134" s="239">
        <v>-3254</v>
      </c>
      <c r="CJ134" s="239">
        <v>-145</v>
      </c>
      <c r="CK134" s="239">
        <v>0</v>
      </c>
      <c r="CL134" s="239">
        <v>-145</v>
      </c>
      <c r="CM134" s="239">
        <v>0</v>
      </c>
      <c r="CN134" s="239">
        <v>0</v>
      </c>
      <c r="CO134" s="239">
        <v>0</v>
      </c>
      <c r="CP134" s="239">
        <v>-5556</v>
      </c>
      <c r="CQ134" s="239">
        <v>0</v>
      </c>
      <c r="CR134" s="239">
        <v>-5556</v>
      </c>
      <c r="CS134" s="239">
        <v>0</v>
      </c>
      <c r="CT134" s="239">
        <v>0</v>
      </c>
      <c r="CU134" s="239">
        <v>0</v>
      </c>
      <c r="CV134" s="239">
        <v>0</v>
      </c>
      <c r="CW134" s="239">
        <v>0</v>
      </c>
      <c r="CX134" s="239">
        <v>0</v>
      </c>
      <c r="CY134" s="239">
        <v>0</v>
      </c>
      <c r="CZ134" s="239">
        <v>0</v>
      </c>
      <c r="DA134" s="239">
        <v>0</v>
      </c>
      <c r="DB134" s="239">
        <v>0</v>
      </c>
      <c r="DC134" s="239">
        <v>0</v>
      </c>
      <c r="DD134" s="239">
        <v>0</v>
      </c>
      <c r="DE134" s="239">
        <v>0</v>
      </c>
      <c r="DF134" s="239">
        <v>0</v>
      </c>
      <c r="DG134" s="239">
        <v>0</v>
      </c>
      <c r="DH134" s="239">
        <v>0</v>
      </c>
      <c r="DI134" s="239">
        <v>0</v>
      </c>
      <c r="DJ134" s="239">
        <v>-209551</v>
      </c>
      <c r="DK134" s="239">
        <v>0</v>
      </c>
      <c r="DL134" s="239">
        <v>-209551</v>
      </c>
      <c r="DM134" s="239">
        <v>0</v>
      </c>
      <c r="DN134" s="239">
        <v>0</v>
      </c>
      <c r="DO134" s="239">
        <v>0</v>
      </c>
      <c r="DP134" s="239">
        <v>0</v>
      </c>
      <c r="DQ134" s="239">
        <v>0</v>
      </c>
      <c r="DR134" s="239">
        <v>0</v>
      </c>
      <c r="DS134" s="239">
        <v>-10495</v>
      </c>
      <c r="DT134" s="239">
        <v>0</v>
      </c>
      <c r="DU134" s="239">
        <v>-10495</v>
      </c>
      <c r="DV134" s="239">
        <v>44</v>
      </c>
      <c r="DW134" s="239">
        <v>0</v>
      </c>
      <c r="DX134" s="239">
        <v>44</v>
      </c>
      <c r="DY134" s="239">
        <v>0</v>
      </c>
      <c r="DZ134" s="239">
        <v>0</v>
      </c>
      <c r="EA134" s="239">
        <v>0</v>
      </c>
      <c r="EB134" s="239">
        <v>9560</v>
      </c>
      <c r="EC134" s="239">
        <v>0</v>
      </c>
      <c r="ED134" s="239">
        <v>9560</v>
      </c>
      <c r="EE134" s="239">
        <v>0</v>
      </c>
      <c r="EF134" s="239">
        <v>0</v>
      </c>
      <c r="EG134" s="239">
        <v>0</v>
      </c>
      <c r="EH134" s="239">
        <v>0</v>
      </c>
      <c r="EI134" s="239">
        <v>0</v>
      </c>
      <c r="EJ134" s="239">
        <v>0</v>
      </c>
      <c r="EK134" s="239">
        <v>-24909</v>
      </c>
      <c r="EL134" s="239">
        <v>0</v>
      </c>
      <c r="EM134" s="239">
        <v>-24909</v>
      </c>
      <c r="EN134" s="239">
        <v>255</v>
      </c>
      <c r="EO134" s="239">
        <v>0</v>
      </c>
      <c r="EP134" s="239">
        <v>255</v>
      </c>
      <c r="EQ134" s="239">
        <v>-25545</v>
      </c>
      <c r="ER134" s="239">
        <v>0</v>
      </c>
      <c r="ES134" s="239">
        <v>-25545</v>
      </c>
      <c r="ET134" s="239">
        <v>-40254</v>
      </c>
      <c r="EU134" s="239">
        <v>0</v>
      </c>
      <c r="EV134" s="239">
        <v>-40254</v>
      </c>
      <c r="EW134" s="239">
        <v>-18718</v>
      </c>
      <c r="EX134" s="239">
        <v>0</v>
      </c>
      <c r="EY134" s="239">
        <v>-18718</v>
      </c>
      <c r="EZ134" s="239">
        <v>-58972</v>
      </c>
      <c r="FA134" s="239">
        <v>0</v>
      </c>
      <c r="FB134" s="239">
        <v>-58972</v>
      </c>
      <c r="FC134" s="239">
        <v>29211587</v>
      </c>
      <c r="FD134" s="239">
        <v>0</v>
      </c>
      <c r="FE134" s="239">
        <v>29211587</v>
      </c>
      <c r="FF134" s="239">
        <v>2046</v>
      </c>
      <c r="FG134" s="239">
        <v>0</v>
      </c>
      <c r="FH134" s="239">
        <v>2046</v>
      </c>
      <c r="FI134" s="239">
        <v>-3327481</v>
      </c>
      <c r="FJ134" s="239">
        <v>0</v>
      </c>
      <c r="FK134" s="239">
        <v>-3327481</v>
      </c>
      <c r="FL134" s="239">
        <v>-703300</v>
      </c>
      <c r="FM134" s="239">
        <v>0</v>
      </c>
      <c r="FN134" s="239">
        <v>-703300</v>
      </c>
      <c r="FO134" s="239">
        <v>-209551</v>
      </c>
      <c r="FP134" s="239">
        <v>0</v>
      </c>
      <c r="FQ134" s="239">
        <v>-209551</v>
      </c>
      <c r="FR134" s="239">
        <v>-25545</v>
      </c>
      <c r="FS134" s="239">
        <v>0</v>
      </c>
      <c r="FT134" s="239">
        <v>-25545</v>
      </c>
      <c r="FU134" s="239">
        <v>-58972</v>
      </c>
      <c r="FV134" s="239">
        <v>0</v>
      </c>
      <c r="FW134" s="239">
        <v>-58972</v>
      </c>
      <c r="FX134" s="239">
        <v>-4322803</v>
      </c>
      <c r="FY134" s="239">
        <v>0</v>
      </c>
      <c r="FZ134" s="239">
        <v>-4322803</v>
      </c>
      <c r="GA134" s="239">
        <v>24888784</v>
      </c>
      <c r="GB134" s="239">
        <v>0</v>
      </c>
      <c r="GC134" s="239">
        <v>24888784</v>
      </c>
      <c r="GD134" s="214" t="s">
        <v>1190</v>
      </c>
    </row>
    <row r="135" spans="2:186" s="214" customFormat="1" x14ac:dyDescent="0.2">
      <c r="B135" s="609" t="s">
        <v>352</v>
      </c>
      <c r="C135" s="609" t="s">
        <v>351</v>
      </c>
      <c r="D135" s="239">
        <v>0</v>
      </c>
      <c r="E135" s="239">
        <v>0</v>
      </c>
      <c r="F135" s="239">
        <v>0</v>
      </c>
      <c r="G135" s="239">
        <v>0</v>
      </c>
      <c r="H135" s="239">
        <v>0</v>
      </c>
      <c r="I135" s="239">
        <v>0</v>
      </c>
      <c r="J135" s="239">
        <v>0</v>
      </c>
      <c r="K135" s="239">
        <v>0</v>
      </c>
      <c r="L135" s="239">
        <v>0</v>
      </c>
      <c r="M135" s="239">
        <v>228361</v>
      </c>
      <c r="N135" s="239">
        <v>0</v>
      </c>
      <c r="O135" s="239">
        <v>228361</v>
      </c>
      <c r="P135" s="239">
        <v>228361</v>
      </c>
      <c r="Q135" s="239">
        <v>0</v>
      </c>
      <c r="R135" s="239">
        <v>228361</v>
      </c>
      <c r="S135" s="239">
        <v>-3614601</v>
      </c>
      <c r="T135" s="239">
        <v>0</v>
      </c>
      <c r="U135" s="239">
        <v>-3614601</v>
      </c>
      <c r="V135" s="239">
        <v>-23381</v>
      </c>
      <c r="W135" s="239">
        <v>0</v>
      </c>
      <c r="X135" s="239">
        <v>-23381</v>
      </c>
      <c r="Y135" s="239">
        <v>-444603</v>
      </c>
      <c r="Z135" s="239">
        <v>0</v>
      </c>
      <c r="AA135" s="239">
        <v>-444603</v>
      </c>
      <c r="AB135" s="239">
        <v>-343058</v>
      </c>
      <c r="AC135" s="239">
        <v>0</v>
      </c>
      <c r="AD135" s="239">
        <v>-343058</v>
      </c>
      <c r="AE135" s="239">
        <v>3324</v>
      </c>
      <c r="AF135" s="239">
        <v>0</v>
      </c>
      <c r="AG135" s="239">
        <v>3324</v>
      </c>
      <c r="AH135" s="239">
        <v>9973542</v>
      </c>
      <c r="AI135" s="239">
        <v>0</v>
      </c>
      <c r="AJ135" s="239">
        <v>9973542</v>
      </c>
      <c r="AK135" s="239">
        <v>532091</v>
      </c>
      <c r="AL135" s="239">
        <v>0</v>
      </c>
      <c r="AM135" s="239">
        <v>532091</v>
      </c>
      <c r="AN135" s="239">
        <v>-9078055</v>
      </c>
      <c r="AO135" s="239">
        <v>0</v>
      </c>
      <c r="AP135" s="239">
        <v>-9078055</v>
      </c>
      <c r="AQ135" s="239">
        <v>49030</v>
      </c>
      <c r="AR135" s="239">
        <v>0</v>
      </c>
      <c r="AS135" s="239">
        <v>49030</v>
      </c>
      <c r="AT135" s="239">
        <v>-61191</v>
      </c>
      <c r="AU135" s="239">
        <v>0</v>
      </c>
      <c r="AV135" s="239">
        <v>-61191</v>
      </c>
      <c r="AW135" s="239">
        <v>0</v>
      </c>
      <c r="AX135" s="239">
        <v>0</v>
      </c>
      <c r="AY135" s="239">
        <v>0</v>
      </c>
      <c r="AZ135" s="239">
        <v>0</v>
      </c>
      <c r="BA135" s="239">
        <v>0</v>
      </c>
      <c r="BB135" s="239">
        <v>0</v>
      </c>
      <c r="BC135" s="239">
        <v>0</v>
      </c>
      <c r="BD135" s="239">
        <v>0</v>
      </c>
      <c r="BE135" s="239">
        <v>0</v>
      </c>
      <c r="BF135" s="239">
        <v>-2643787</v>
      </c>
      <c r="BG135" s="239">
        <v>0</v>
      </c>
      <c r="BH135" s="239">
        <v>-2643787</v>
      </c>
      <c r="BI135" s="239">
        <v>-114834</v>
      </c>
      <c r="BJ135" s="239">
        <v>0</v>
      </c>
      <c r="BK135" s="239">
        <v>-114834</v>
      </c>
      <c r="BL135" s="239">
        <v>1242</v>
      </c>
      <c r="BM135" s="239">
        <v>0</v>
      </c>
      <c r="BN135" s="239">
        <v>1242</v>
      </c>
      <c r="BO135" s="239">
        <v>-11538642</v>
      </c>
      <c r="BP135" s="239">
        <v>0</v>
      </c>
      <c r="BQ135" s="239">
        <v>-11538642</v>
      </c>
      <c r="BR135" s="239">
        <v>-390664</v>
      </c>
      <c r="BS135" s="239">
        <v>0</v>
      </c>
      <c r="BT135" s="239">
        <v>-390664</v>
      </c>
      <c r="BU135" s="239">
        <v>-12042898</v>
      </c>
      <c r="BV135" s="239">
        <v>0</v>
      </c>
      <c r="BW135" s="239">
        <v>-12042898</v>
      </c>
      <c r="BX135" s="239">
        <v>-208770</v>
      </c>
      <c r="BY135" s="239">
        <v>0</v>
      </c>
      <c r="BZ135" s="239">
        <v>-208770</v>
      </c>
      <c r="CA135" s="239">
        <v>16892</v>
      </c>
      <c r="CB135" s="239">
        <v>0</v>
      </c>
      <c r="CC135" s="239">
        <v>16892</v>
      </c>
      <c r="CD135" s="239">
        <v>-14179</v>
      </c>
      <c r="CE135" s="239">
        <v>0</v>
      </c>
      <c r="CF135" s="239">
        <v>-14179</v>
      </c>
      <c r="CG135" s="239">
        <v>0</v>
      </c>
      <c r="CH135" s="239">
        <v>0</v>
      </c>
      <c r="CI135" s="239">
        <v>0</v>
      </c>
      <c r="CJ135" s="239">
        <v>0</v>
      </c>
      <c r="CK135" s="239">
        <v>0</v>
      </c>
      <c r="CL135" s="239">
        <v>0</v>
      </c>
      <c r="CM135" s="239">
        <v>0</v>
      </c>
      <c r="CN135" s="239">
        <v>0</v>
      </c>
      <c r="CO135" s="239">
        <v>0</v>
      </c>
      <c r="CP135" s="239">
        <v>0</v>
      </c>
      <c r="CQ135" s="239">
        <v>0</v>
      </c>
      <c r="CR135" s="239">
        <v>0</v>
      </c>
      <c r="CS135" s="239">
        <v>0</v>
      </c>
      <c r="CT135" s="239">
        <v>0</v>
      </c>
      <c r="CU135" s="239">
        <v>0</v>
      </c>
      <c r="CV135" s="239">
        <v>0</v>
      </c>
      <c r="CW135" s="239">
        <v>0</v>
      </c>
      <c r="CX135" s="239">
        <v>0</v>
      </c>
      <c r="CY135" s="239">
        <v>0</v>
      </c>
      <c r="CZ135" s="239">
        <v>0</v>
      </c>
      <c r="DA135" s="239">
        <v>0</v>
      </c>
      <c r="DB135" s="239">
        <v>0</v>
      </c>
      <c r="DC135" s="239">
        <v>0</v>
      </c>
      <c r="DD135" s="239">
        <v>0</v>
      </c>
      <c r="DE135" s="239">
        <v>0</v>
      </c>
      <c r="DF135" s="239">
        <v>0</v>
      </c>
      <c r="DG135" s="239">
        <v>0</v>
      </c>
      <c r="DH135" s="239">
        <v>0</v>
      </c>
      <c r="DI135" s="239">
        <v>0</v>
      </c>
      <c r="DJ135" s="239">
        <v>-206057</v>
      </c>
      <c r="DK135" s="239">
        <v>0</v>
      </c>
      <c r="DL135" s="239">
        <v>-206057</v>
      </c>
      <c r="DM135" s="239">
        <v>0</v>
      </c>
      <c r="DN135" s="239">
        <v>0</v>
      </c>
      <c r="DO135" s="239">
        <v>0</v>
      </c>
      <c r="DP135" s="239">
        <v>0</v>
      </c>
      <c r="DQ135" s="239">
        <v>0</v>
      </c>
      <c r="DR135" s="239">
        <v>0</v>
      </c>
      <c r="DS135" s="239">
        <v>-20303</v>
      </c>
      <c r="DT135" s="239">
        <v>0</v>
      </c>
      <c r="DU135" s="239">
        <v>-20303</v>
      </c>
      <c r="DV135" s="239">
        <v>-121921</v>
      </c>
      <c r="DW135" s="239">
        <v>0</v>
      </c>
      <c r="DX135" s="239">
        <v>-121921</v>
      </c>
      <c r="DY135" s="239">
        <v>0</v>
      </c>
      <c r="DZ135" s="239">
        <v>0</v>
      </c>
      <c r="EA135" s="239">
        <v>0</v>
      </c>
      <c r="EB135" s="239">
        <v>-68348</v>
      </c>
      <c r="EC135" s="239">
        <v>0</v>
      </c>
      <c r="ED135" s="239">
        <v>-68348</v>
      </c>
      <c r="EE135" s="239">
        <v>0</v>
      </c>
      <c r="EF135" s="239">
        <v>0</v>
      </c>
      <c r="EG135" s="239">
        <v>0</v>
      </c>
      <c r="EH135" s="239">
        <v>0</v>
      </c>
      <c r="EI135" s="239">
        <v>0</v>
      </c>
      <c r="EJ135" s="239">
        <v>0</v>
      </c>
      <c r="EK135" s="239">
        <v>0</v>
      </c>
      <c r="EL135" s="239">
        <v>0</v>
      </c>
      <c r="EM135" s="239">
        <v>0</v>
      </c>
      <c r="EN135" s="239">
        <v>0</v>
      </c>
      <c r="EO135" s="239">
        <v>0</v>
      </c>
      <c r="EP135" s="239">
        <v>0</v>
      </c>
      <c r="EQ135" s="239">
        <v>-210572</v>
      </c>
      <c r="ER135" s="239">
        <v>0</v>
      </c>
      <c r="ES135" s="239">
        <v>-210572</v>
      </c>
      <c r="ET135" s="239">
        <v>0</v>
      </c>
      <c r="EU135" s="239">
        <v>0</v>
      </c>
      <c r="EV135" s="239">
        <v>0</v>
      </c>
      <c r="EW135" s="239">
        <v>0</v>
      </c>
      <c r="EX135" s="239">
        <v>0</v>
      </c>
      <c r="EY135" s="239">
        <v>0</v>
      </c>
      <c r="EZ135" s="239">
        <v>0</v>
      </c>
      <c r="FA135" s="239">
        <v>0</v>
      </c>
      <c r="FB135" s="239">
        <v>0</v>
      </c>
      <c r="FC135" s="239">
        <v>391311914</v>
      </c>
      <c r="FD135" s="239">
        <v>0</v>
      </c>
      <c r="FE135" s="239">
        <v>391311914</v>
      </c>
      <c r="FF135" s="239">
        <v>228361</v>
      </c>
      <c r="FG135" s="239">
        <v>0</v>
      </c>
      <c r="FH135" s="239">
        <v>228361</v>
      </c>
      <c r="FI135" s="239">
        <v>-2643787</v>
      </c>
      <c r="FJ135" s="239">
        <v>0</v>
      </c>
      <c r="FK135" s="239">
        <v>-2643787</v>
      </c>
      <c r="FL135" s="239">
        <v>-12042898</v>
      </c>
      <c r="FM135" s="239">
        <v>0</v>
      </c>
      <c r="FN135" s="239">
        <v>-12042898</v>
      </c>
      <c r="FO135" s="239">
        <v>-206057</v>
      </c>
      <c r="FP135" s="239">
        <v>0</v>
      </c>
      <c r="FQ135" s="239">
        <v>-206057</v>
      </c>
      <c r="FR135" s="239">
        <v>-210572</v>
      </c>
      <c r="FS135" s="239">
        <v>0</v>
      </c>
      <c r="FT135" s="239">
        <v>-210572</v>
      </c>
      <c r="FU135" s="239">
        <v>0</v>
      </c>
      <c r="FV135" s="239">
        <v>0</v>
      </c>
      <c r="FW135" s="239">
        <v>0</v>
      </c>
      <c r="FX135" s="239">
        <v>-14874953</v>
      </c>
      <c r="FY135" s="239">
        <v>0</v>
      </c>
      <c r="FZ135" s="239">
        <v>-14874953</v>
      </c>
      <c r="GA135" s="239">
        <v>376436961</v>
      </c>
      <c r="GB135" s="239">
        <v>0</v>
      </c>
      <c r="GC135" s="239">
        <v>376436961</v>
      </c>
      <c r="GD135" s="214" t="s">
        <v>1191</v>
      </c>
    </row>
    <row r="136" spans="2:186" s="214" customFormat="1" x14ac:dyDescent="0.2">
      <c r="B136" s="609" t="s">
        <v>354</v>
      </c>
      <c r="C136" s="609" t="s">
        <v>353</v>
      </c>
      <c r="D136" s="239">
        <v>0</v>
      </c>
      <c r="E136" s="239">
        <v>0</v>
      </c>
      <c r="F136" s="239">
        <v>0</v>
      </c>
      <c r="G136" s="239">
        <v>1792</v>
      </c>
      <c r="H136" s="239">
        <v>0</v>
      </c>
      <c r="I136" s="239">
        <v>1792</v>
      </c>
      <c r="J136" s="239">
        <v>0</v>
      </c>
      <c r="K136" s="239">
        <v>0</v>
      </c>
      <c r="L136" s="239">
        <v>0</v>
      </c>
      <c r="M136" s="239">
        <v>5259</v>
      </c>
      <c r="N136" s="239">
        <v>0</v>
      </c>
      <c r="O136" s="239">
        <v>5259</v>
      </c>
      <c r="P136" s="239">
        <v>7051</v>
      </c>
      <c r="Q136" s="239">
        <v>0</v>
      </c>
      <c r="R136" s="239">
        <v>7051</v>
      </c>
      <c r="S136" s="239">
        <v>-2459249</v>
      </c>
      <c r="T136" s="239">
        <v>0</v>
      </c>
      <c r="U136" s="239">
        <v>-2459249</v>
      </c>
      <c r="V136" s="239">
        <v>-2267</v>
      </c>
      <c r="W136" s="239">
        <v>0</v>
      </c>
      <c r="X136" s="239">
        <v>-2267</v>
      </c>
      <c r="Y136" s="239">
        <v>-56889</v>
      </c>
      <c r="Z136" s="239">
        <v>0</v>
      </c>
      <c r="AA136" s="239">
        <v>-56889</v>
      </c>
      <c r="AB136" s="239">
        <v>-61692</v>
      </c>
      <c r="AC136" s="239">
        <v>0</v>
      </c>
      <c r="AD136" s="239">
        <v>-61692</v>
      </c>
      <c r="AE136" s="239">
        <v>4804</v>
      </c>
      <c r="AF136" s="239">
        <v>0</v>
      </c>
      <c r="AG136" s="239">
        <v>4804</v>
      </c>
      <c r="AH136" s="239">
        <v>817634</v>
      </c>
      <c r="AI136" s="239">
        <v>28431</v>
      </c>
      <c r="AJ136" s="239">
        <v>846065</v>
      </c>
      <c r="AK136" s="239">
        <v>22303</v>
      </c>
      <c r="AL136" s="239">
        <v>0</v>
      </c>
      <c r="AM136" s="239">
        <v>22303</v>
      </c>
      <c r="AN136" s="239">
        <v>-1934254</v>
      </c>
      <c r="AO136" s="239">
        <v>0</v>
      </c>
      <c r="AP136" s="239">
        <v>-1934254</v>
      </c>
      <c r="AQ136" s="239">
        <v>2939</v>
      </c>
      <c r="AR136" s="239">
        <v>0</v>
      </c>
      <c r="AS136" s="239">
        <v>2939</v>
      </c>
      <c r="AT136" s="239">
        <v>-6203</v>
      </c>
      <c r="AU136" s="239">
        <v>0</v>
      </c>
      <c r="AV136" s="239">
        <v>-6203</v>
      </c>
      <c r="AW136" s="239">
        <v>4090</v>
      </c>
      <c r="AX136" s="239">
        <v>0</v>
      </c>
      <c r="AY136" s="239">
        <v>4090</v>
      </c>
      <c r="AZ136" s="239">
        <v>-10486</v>
      </c>
      <c r="BA136" s="239">
        <v>0</v>
      </c>
      <c r="BB136" s="239">
        <v>-10486</v>
      </c>
      <c r="BC136" s="239">
        <v>0</v>
      </c>
      <c r="BD136" s="239">
        <v>0</v>
      </c>
      <c r="BE136" s="239">
        <v>0</v>
      </c>
      <c r="BF136" s="239">
        <v>-3620115</v>
      </c>
      <c r="BG136" s="239">
        <v>28431</v>
      </c>
      <c r="BH136" s="239">
        <v>-3591684</v>
      </c>
      <c r="BI136" s="239">
        <v>0</v>
      </c>
      <c r="BJ136" s="239">
        <v>0</v>
      </c>
      <c r="BK136" s="239">
        <v>0</v>
      </c>
      <c r="BL136" s="239">
        <v>0</v>
      </c>
      <c r="BM136" s="239">
        <v>0</v>
      </c>
      <c r="BN136" s="239">
        <v>0</v>
      </c>
      <c r="BO136" s="239">
        <v>-616861</v>
      </c>
      <c r="BP136" s="239">
        <v>0</v>
      </c>
      <c r="BQ136" s="239">
        <v>-616861</v>
      </c>
      <c r="BR136" s="239">
        <v>957</v>
      </c>
      <c r="BS136" s="239">
        <v>0</v>
      </c>
      <c r="BT136" s="239">
        <v>957</v>
      </c>
      <c r="BU136" s="239">
        <v>-615904</v>
      </c>
      <c r="BV136" s="239">
        <v>0</v>
      </c>
      <c r="BW136" s="239">
        <v>-615904</v>
      </c>
      <c r="BX136" s="239">
        <v>-95584</v>
      </c>
      <c r="BY136" s="239">
        <v>0</v>
      </c>
      <c r="BZ136" s="239">
        <v>-95584</v>
      </c>
      <c r="CA136" s="239">
        <v>3014</v>
      </c>
      <c r="CB136" s="239">
        <v>0</v>
      </c>
      <c r="CC136" s="239">
        <v>3014</v>
      </c>
      <c r="CD136" s="239">
        <v>-91697</v>
      </c>
      <c r="CE136" s="239">
        <v>0</v>
      </c>
      <c r="CF136" s="239">
        <v>-91697</v>
      </c>
      <c r="CG136" s="239">
        <v>-6358</v>
      </c>
      <c r="CH136" s="239">
        <v>0</v>
      </c>
      <c r="CI136" s="239">
        <v>-6358</v>
      </c>
      <c r="CJ136" s="239">
        <v>-1551</v>
      </c>
      <c r="CK136" s="239">
        <v>0</v>
      </c>
      <c r="CL136" s="239">
        <v>-1551</v>
      </c>
      <c r="CM136" s="239">
        <v>1023</v>
      </c>
      <c r="CN136" s="239">
        <v>0</v>
      </c>
      <c r="CO136" s="239">
        <v>1023</v>
      </c>
      <c r="CP136" s="239">
        <v>0</v>
      </c>
      <c r="CQ136" s="239">
        <v>0</v>
      </c>
      <c r="CR136" s="239">
        <v>0</v>
      </c>
      <c r="CS136" s="239">
        <v>0</v>
      </c>
      <c r="CT136" s="239">
        <v>0</v>
      </c>
      <c r="CU136" s="239">
        <v>0</v>
      </c>
      <c r="CV136" s="239">
        <v>0</v>
      </c>
      <c r="CW136" s="239">
        <v>0</v>
      </c>
      <c r="CX136" s="239">
        <v>0</v>
      </c>
      <c r="CY136" s="239">
        <v>0</v>
      </c>
      <c r="CZ136" s="239">
        <v>0</v>
      </c>
      <c r="DA136" s="239">
        <v>0</v>
      </c>
      <c r="DB136" s="239">
        <v>0</v>
      </c>
      <c r="DC136" s="239">
        <v>-144368</v>
      </c>
      <c r="DD136" s="239">
        <v>-144368</v>
      </c>
      <c r="DE136" s="239">
        <v>0</v>
      </c>
      <c r="DF136" s="239">
        <v>-236082</v>
      </c>
      <c r="DG136" s="239">
        <v>-236082</v>
      </c>
      <c r="DH136" s="239">
        <v>-380450</v>
      </c>
      <c r="DI136" s="239">
        <v>0</v>
      </c>
      <c r="DJ136" s="239">
        <v>-191153</v>
      </c>
      <c r="DK136" s="239">
        <v>-380450</v>
      </c>
      <c r="DL136" s="239">
        <v>-571603</v>
      </c>
      <c r="DM136" s="239">
        <v>-126346</v>
      </c>
      <c r="DN136" s="239">
        <v>0</v>
      </c>
      <c r="DO136" s="239">
        <v>-126346</v>
      </c>
      <c r="DP136" s="239">
        <v>0</v>
      </c>
      <c r="DQ136" s="239">
        <v>0</v>
      </c>
      <c r="DR136" s="239">
        <v>0</v>
      </c>
      <c r="DS136" s="239">
        <v>0</v>
      </c>
      <c r="DT136" s="239">
        <v>0</v>
      </c>
      <c r="DU136" s="239">
        <v>0</v>
      </c>
      <c r="DV136" s="239">
        <v>0</v>
      </c>
      <c r="DW136" s="239">
        <v>0</v>
      </c>
      <c r="DX136" s="239">
        <v>0</v>
      </c>
      <c r="DY136" s="239">
        <v>0</v>
      </c>
      <c r="DZ136" s="239">
        <v>0</v>
      </c>
      <c r="EA136" s="239">
        <v>0</v>
      </c>
      <c r="EB136" s="239">
        <v>-3447</v>
      </c>
      <c r="EC136" s="239">
        <v>0</v>
      </c>
      <c r="ED136" s="239">
        <v>-3447</v>
      </c>
      <c r="EE136" s="239">
        <v>0</v>
      </c>
      <c r="EF136" s="239">
        <v>0</v>
      </c>
      <c r="EG136" s="239">
        <v>0</v>
      </c>
      <c r="EH136" s="239">
        <v>0</v>
      </c>
      <c r="EI136" s="239">
        <v>0</v>
      </c>
      <c r="EJ136" s="239">
        <v>0</v>
      </c>
      <c r="EK136" s="239">
        <v>-498</v>
      </c>
      <c r="EL136" s="239">
        <v>0</v>
      </c>
      <c r="EM136" s="239">
        <v>-498</v>
      </c>
      <c r="EN136" s="239">
        <v>0</v>
      </c>
      <c r="EO136" s="239">
        <v>0</v>
      </c>
      <c r="EP136" s="239">
        <v>0</v>
      </c>
      <c r="EQ136" s="239">
        <v>-130291</v>
      </c>
      <c r="ER136" s="239">
        <v>0</v>
      </c>
      <c r="ES136" s="239">
        <v>-130291</v>
      </c>
      <c r="ET136" s="239">
        <v>0</v>
      </c>
      <c r="EU136" s="239">
        <v>0</v>
      </c>
      <c r="EV136" s="239">
        <v>0</v>
      </c>
      <c r="EW136" s="239">
        <v>0</v>
      </c>
      <c r="EX136" s="239">
        <v>0</v>
      </c>
      <c r="EY136" s="239">
        <v>0</v>
      </c>
      <c r="EZ136" s="239">
        <v>0</v>
      </c>
      <c r="FA136" s="239">
        <v>0</v>
      </c>
      <c r="FB136" s="239">
        <v>0</v>
      </c>
      <c r="FC136" s="239">
        <v>37158199</v>
      </c>
      <c r="FD136" s="239">
        <v>1294591</v>
      </c>
      <c r="FE136" s="239">
        <v>38452790</v>
      </c>
      <c r="FF136" s="239">
        <v>7051</v>
      </c>
      <c r="FG136" s="239">
        <v>0</v>
      </c>
      <c r="FH136" s="239">
        <v>7051</v>
      </c>
      <c r="FI136" s="239">
        <v>-3620115</v>
      </c>
      <c r="FJ136" s="239">
        <v>28431</v>
      </c>
      <c r="FK136" s="239">
        <v>-3591684</v>
      </c>
      <c r="FL136" s="239">
        <v>-615904</v>
      </c>
      <c r="FM136" s="239">
        <v>0</v>
      </c>
      <c r="FN136" s="239">
        <v>-615904</v>
      </c>
      <c r="FO136" s="239">
        <v>-191153</v>
      </c>
      <c r="FP136" s="239">
        <v>-380450</v>
      </c>
      <c r="FQ136" s="239">
        <v>-571603</v>
      </c>
      <c r="FR136" s="239">
        <v>-130291</v>
      </c>
      <c r="FS136" s="239">
        <v>0</v>
      </c>
      <c r="FT136" s="239">
        <v>-130291</v>
      </c>
      <c r="FU136" s="239">
        <v>0</v>
      </c>
      <c r="FV136" s="239">
        <v>0</v>
      </c>
      <c r="FW136" s="239">
        <v>0</v>
      </c>
      <c r="FX136" s="239">
        <v>-4550412</v>
      </c>
      <c r="FY136" s="239">
        <v>-352019</v>
      </c>
      <c r="FZ136" s="239">
        <v>-4902431</v>
      </c>
      <c r="GA136" s="239">
        <v>32607787</v>
      </c>
      <c r="GB136" s="239">
        <v>942572</v>
      </c>
      <c r="GC136" s="239">
        <v>33550359</v>
      </c>
      <c r="GD136" s="214" t="s">
        <v>1190</v>
      </c>
    </row>
    <row r="137" spans="2:186" s="214" customFormat="1" x14ac:dyDescent="0.2">
      <c r="B137" s="609" t="s">
        <v>356</v>
      </c>
      <c r="C137" s="609" t="s">
        <v>355</v>
      </c>
      <c r="D137" s="239">
        <v>0</v>
      </c>
      <c r="E137" s="239">
        <v>0</v>
      </c>
      <c r="F137" s="239">
        <v>0</v>
      </c>
      <c r="G137" s="239">
        <v>30411</v>
      </c>
      <c r="H137" s="239">
        <v>0</v>
      </c>
      <c r="I137" s="239">
        <v>30411</v>
      </c>
      <c r="J137" s="239">
        <v>0</v>
      </c>
      <c r="K137" s="239">
        <v>0</v>
      </c>
      <c r="L137" s="239">
        <v>0</v>
      </c>
      <c r="M137" s="239">
        <v>154278</v>
      </c>
      <c r="N137" s="239">
        <v>0</v>
      </c>
      <c r="O137" s="239">
        <v>154278</v>
      </c>
      <c r="P137" s="239">
        <v>184689</v>
      </c>
      <c r="Q137" s="239">
        <v>0</v>
      </c>
      <c r="R137" s="239">
        <v>184689</v>
      </c>
      <c r="S137" s="239">
        <v>-3049852</v>
      </c>
      <c r="T137" s="239">
        <v>0</v>
      </c>
      <c r="U137" s="239">
        <v>-3049852</v>
      </c>
      <c r="V137" s="239">
        <v>-2903</v>
      </c>
      <c r="W137" s="239">
        <v>0</v>
      </c>
      <c r="X137" s="239">
        <v>-2903</v>
      </c>
      <c r="Y137" s="239">
        <v>-240318</v>
      </c>
      <c r="Z137" s="239">
        <v>0</v>
      </c>
      <c r="AA137" s="239">
        <v>-240318</v>
      </c>
      <c r="AB137" s="239">
        <v>-183740</v>
      </c>
      <c r="AC137" s="239">
        <v>0</v>
      </c>
      <c r="AD137" s="239">
        <v>-183740</v>
      </c>
      <c r="AE137" s="239">
        <v>0</v>
      </c>
      <c r="AF137" s="239">
        <v>0</v>
      </c>
      <c r="AG137" s="239">
        <v>0</v>
      </c>
      <c r="AH137" s="239">
        <v>1088980</v>
      </c>
      <c r="AI137" s="239">
        <v>0</v>
      </c>
      <c r="AJ137" s="239">
        <v>1088980</v>
      </c>
      <c r="AK137" s="239">
        <v>-25264</v>
      </c>
      <c r="AL137" s="239">
        <v>0</v>
      </c>
      <c r="AM137" s="239">
        <v>-25264</v>
      </c>
      <c r="AN137" s="239">
        <v>-2854846</v>
      </c>
      <c r="AO137" s="239">
        <v>0</v>
      </c>
      <c r="AP137" s="239">
        <v>-2854846</v>
      </c>
      <c r="AQ137" s="239">
        <v>27970</v>
      </c>
      <c r="AR137" s="239">
        <v>0</v>
      </c>
      <c r="AS137" s="239">
        <v>27970</v>
      </c>
      <c r="AT137" s="239">
        <v>-56996</v>
      </c>
      <c r="AU137" s="239">
        <v>0</v>
      </c>
      <c r="AV137" s="239">
        <v>-56996</v>
      </c>
      <c r="AW137" s="239">
        <v>-493</v>
      </c>
      <c r="AX137" s="239">
        <v>0</v>
      </c>
      <c r="AY137" s="239">
        <v>-493</v>
      </c>
      <c r="AZ137" s="239">
        <v>-16588</v>
      </c>
      <c r="BA137" s="239">
        <v>0</v>
      </c>
      <c r="BB137" s="239">
        <v>-16588</v>
      </c>
      <c r="BC137" s="239">
        <v>6381</v>
      </c>
      <c r="BD137" s="239">
        <v>0</v>
      </c>
      <c r="BE137" s="239">
        <v>6381</v>
      </c>
      <c r="BF137" s="239">
        <v>-5121026</v>
      </c>
      <c r="BG137" s="239">
        <v>0</v>
      </c>
      <c r="BH137" s="239">
        <v>-5121026</v>
      </c>
      <c r="BI137" s="239">
        <v>-3671</v>
      </c>
      <c r="BJ137" s="239">
        <v>0</v>
      </c>
      <c r="BK137" s="239">
        <v>-3671</v>
      </c>
      <c r="BL137" s="239">
        <v>795</v>
      </c>
      <c r="BM137" s="239">
        <v>0</v>
      </c>
      <c r="BN137" s="239">
        <v>795</v>
      </c>
      <c r="BO137" s="239">
        <v>-995761</v>
      </c>
      <c r="BP137" s="239">
        <v>0</v>
      </c>
      <c r="BQ137" s="239">
        <v>-995761</v>
      </c>
      <c r="BR137" s="239">
        <v>-136319</v>
      </c>
      <c r="BS137" s="239">
        <v>0</v>
      </c>
      <c r="BT137" s="239">
        <v>-136319</v>
      </c>
      <c r="BU137" s="239">
        <v>-1134956</v>
      </c>
      <c r="BV137" s="239">
        <v>0</v>
      </c>
      <c r="BW137" s="239">
        <v>-1134956</v>
      </c>
      <c r="BX137" s="239">
        <v>-61859</v>
      </c>
      <c r="BY137" s="239">
        <v>0</v>
      </c>
      <c r="BZ137" s="239">
        <v>-61859</v>
      </c>
      <c r="CA137" s="239">
        <v>-737</v>
      </c>
      <c r="CB137" s="239">
        <v>0</v>
      </c>
      <c r="CC137" s="239">
        <v>-737</v>
      </c>
      <c r="CD137" s="239">
        <v>-457915</v>
      </c>
      <c r="CE137" s="239">
        <v>0</v>
      </c>
      <c r="CF137" s="239">
        <v>-457915</v>
      </c>
      <c r="CG137" s="239">
        <v>0</v>
      </c>
      <c r="CH137" s="239">
        <v>0</v>
      </c>
      <c r="CI137" s="239">
        <v>0</v>
      </c>
      <c r="CJ137" s="239">
        <v>-4201</v>
      </c>
      <c r="CK137" s="239">
        <v>0</v>
      </c>
      <c r="CL137" s="239">
        <v>-4201</v>
      </c>
      <c r="CM137" s="239">
        <v>0</v>
      </c>
      <c r="CN137" s="239">
        <v>0</v>
      </c>
      <c r="CO137" s="239">
        <v>0</v>
      </c>
      <c r="CP137" s="239">
        <v>-4548</v>
      </c>
      <c r="CQ137" s="239">
        <v>0</v>
      </c>
      <c r="CR137" s="239">
        <v>-4548</v>
      </c>
      <c r="CS137" s="239">
        <v>2583</v>
      </c>
      <c r="CT137" s="239">
        <v>0</v>
      </c>
      <c r="CU137" s="239">
        <v>2583</v>
      </c>
      <c r="CV137" s="239">
        <v>0</v>
      </c>
      <c r="CW137" s="239">
        <v>0</v>
      </c>
      <c r="CX137" s="239">
        <v>0</v>
      </c>
      <c r="CY137" s="239">
        <v>0</v>
      </c>
      <c r="CZ137" s="239">
        <v>0</v>
      </c>
      <c r="DA137" s="239">
        <v>0</v>
      </c>
      <c r="DB137" s="239">
        <v>0</v>
      </c>
      <c r="DC137" s="239">
        <v>0</v>
      </c>
      <c r="DD137" s="239">
        <v>0</v>
      </c>
      <c r="DE137" s="239">
        <v>0</v>
      </c>
      <c r="DF137" s="239">
        <v>0</v>
      </c>
      <c r="DG137" s="239">
        <v>0</v>
      </c>
      <c r="DH137" s="239">
        <v>0</v>
      </c>
      <c r="DI137" s="239">
        <v>0</v>
      </c>
      <c r="DJ137" s="239">
        <v>-526677</v>
      </c>
      <c r="DK137" s="239">
        <v>0</v>
      </c>
      <c r="DL137" s="239">
        <v>-526677</v>
      </c>
      <c r="DM137" s="239">
        <v>-70025</v>
      </c>
      <c r="DN137" s="239">
        <v>0</v>
      </c>
      <c r="DO137" s="239">
        <v>-70025</v>
      </c>
      <c r="DP137" s="239">
        <v>-9861</v>
      </c>
      <c r="DQ137" s="239">
        <v>0</v>
      </c>
      <c r="DR137" s="239">
        <v>-9861</v>
      </c>
      <c r="DS137" s="239">
        <v>-22026</v>
      </c>
      <c r="DT137" s="239">
        <v>0</v>
      </c>
      <c r="DU137" s="239">
        <v>-22026</v>
      </c>
      <c r="DV137" s="239">
        <v>-19921</v>
      </c>
      <c r="DW137" s="239">
        <v>0</v>
      </c>
      <c r="DX137" s="239">
        <v>-19921</v>
      </c>
      <c r="DY137" s="239">
        <v>0</v>
      </c>
      <c r="DZ137" s="239">
        <v>0</v>
      </c>
      <c r="EA137" s="239">
        <v>0</v>
      </c>
      <c r="EB137" s="239">
        <v>5067</v>
      </c>
      <c r="EC137" s="239">
        <v>0</v>
      </c>
      <c r="ED137" s="239">
        <v>5067</v>
      </c>
      <c r="EE137" s="239">
        <v>0</v>
      </c>
      <c r="EF137" s="239">
        <v>0</v>
      </c>
      <c r="EG137" s="239">
        <v>0</v>
      </c>
      <c r="EH137" s="239">
        <v>0</v>
      </c>
      <c r="EI137" s="239">
        <v>0</v>
      </c>
      <c r="EJ137" s="239">
        <v>0</v>
      </c>
      <c r="EK137" s="239">
        <v>-1277</v>
      </c>
      <c r="EL137" s="239">
        <v>0</v>
      </c>
      <c r="EM137" s="239">
        <v>-1277</v>
      </c>
      <c r="EN137" s="239">
        <v>-352</v>
      </c>
      <c r="EO137" s="239">
        <v>0</v>
      </c>
      <c r="EP137" s="239">
        <v>-352</v>
      </c>
      <c r="EQ137" s="239">
        <v>-118395</v>
      </c>
      <c r="ER137" s="239">
        <v>0</v>
      </c>
      <c r="ES137" s="239">
        <v>-118395</v>
      </c>
      <c r="ET137" s="239">
        <v>0</v>
      </c>
      <c r="EU137" s="239">
        <v>0</v>
      </c>
      <c r="EV137" s="239">
        <v>0</v>
      </c>
      <c r="EW137" s="239">
        <v>0</v>
      </c>
      <c r="EX137" s="239">
        <v>0</v>
      </c>
      <c r="EY137" s="239">
        <v>0</v>
      </c>
      <c r="EZ137" s="239">
        <v>0</v>
      </c>
      <c r="FA137" s="239">
        <v>0</v>
      </c>
      <c r="FB137" s="239">
        <v>0</v>
      </c>
      <c r="FC137" s="239">
        <v>48946726</v>
      </c>
      <c r="FD137" s="239">
        <v>0</v>
      </c>
      <c r="FE137" s="239">
        <v>48946726</v>
      </c>
      <c r="FF137" s="239">
        <v>184689</v>
      </c>
      <c r="FG137" s="239">
        <v>0</v>
      </c>
      <c r="FH137" s="239">
        <v>184689</v>
      </c>
      <c r="FI137" s="239">
        <v>-5121026</v>
      </c>
      <c r="FJ137" s="239">
        <v>0</v>
      </c>
      <c r="FK137" s="239">
        <v>-5121026</v>
      </c>
      <c r="FL137" s="239">
        <v>-1134956</v>
      </c>
      <c r="FM137" s="239">
        <v>0</v>
      </c>
      <c r="FN137" s="239">
        <v>-1134956</v>
      </c>
      <c r="FO137" s="239">
        <v>-526677</v>
      </c>
      <c r="FP137" s="239">
        <v>0</v>
      </c>
      <c r="FQ137" s="239">
        <v>-526677</v>
      </c>
      <c r="FR137" s="239">
        <v>-118395</v>
      </c>
      <c r="FS137" s="239">
        <v>0</v>
      </c>
      <c r="FT137" s="239">
        <v>-118395</v>
      </c>
      <c r="FU137" s="239">
        <v>0</v>
      </c>
      <c r="FV137" s="239">
        <v>0</v>
      </c>
      <c r="FW137" s="239">
        <v>0</v>
      </c>
      <c r="FX137" s="239">
        <v>-6716365</v>
      </c>
      <c r="FY137" s="239">
        <v>0</v>
      </c>
      <c r="FZ137" s="239">
        <v>-6716365</v>
      </c>
      <c r="GA137" s="239">
        <v>42230361</v>
      </c>
      <c r="GB137" s="239">
        <v>0</v>
      </c>
      <c r="GC137" s="239">
        <v>42230361</v>
      </c>
      <c r="GD137" s="214" t="s">
        <v>1190</v>
      </c>
    </row>
    <row r="138" spans="2:186" s="214" customFormat="1" x14ac:dyDescent="0.2">
      <c r="B138" s="609" t="s">
        <v>358</v>
      </c>
      <c r="C138" s="609" t="s">
        <v>357</v>
      </c>
      <c r="D138" s="239">
        <v>0</v>
      </c>
      <c r="E138" s="239">
        <v>0</v>
      </c>
      <c r="F138" s="239">
        <v>0</v>
      </c>
      <c r="G138" s="239">
        <v>315697</v>
      </c>
      <c r="H138" s="239">
        <v>0</v>
      </c>
      <c r="I138" s="239">
        <v>315697</v>
      </c>
      <c r="J138" s="239">
        <v>0</v>
      </c>
      <c r="K138" s="239">
        <v>0</v>
      </c>
      <c r="L138" s="239">
        <v>0</v>
      </c>
      <c r="M138" s="239">
        <v>733536</v>
      </c>
      <c r="N138" s="239">
        <v>0</v>
      </c>
      <c r="O138" s="239">
        <v>733536</v>
      </c>
      <c r="P138" s="239">
        <v>1049233</v>
      </c>
      <c r="Q138" s="239">
        <v>0</v>
      </c>
      <c r="R138" s="239">
        <v>1049233</v>
      </c>
      <c r="S138" s="239">
        <v>-3116264</v>
      </c>
      <c r="T138" s="239">
        <v>0</v>
      </c>
      <c r="U138" s="239">
        <v>-3116264</v>
      </c>
      <c r="V138" s="239">
        <v>0</v>
      </c>
      <c r="W138" s="239">
        <v>0</v>
      </c>
      <c r="X138" s="239">
        <v>0</v>
      </c>
      <c r="Y138" s="239">
        <v>-486666</v>
      </c>
      <c r="Z138" s="239">
        <v>0</v>
      </c>
      <c r="AA138" s="239">
        <v>-486666</v>
      </c>
      <c r="AB138" s="239">
        <v>-359917</v>
      </c>
      <c r="AC138" s="239">
        <v>0</v>
      </c>
      <c r="AD138" s="239">
        <v>-359917</v>
      </c>
      <c r="AE138" s="239">
        <v>0</v>
      </c>
      <c r="AF138" s="239">
        <v>0</v>
      </c>
      <c r="AG138" s="239">
        <v>0</v>
      </c>
      <c r="AH138" s="239">
        <v>4394314</v>
      </c>
      <c r="AI138" s="239">
        <v>0</v>
      </c>
      <c r="AJ138" s="239">
        <v>4394314</v>
      </c>
      <c r="AK138" s="239">
        <v>-82355</v>
      </c>
      <c r="AL138" s="239">
        <v>0</v>
      </c>
      <c r="AM138" s="239">
        <v>-82355</v>
      </c>
      <c r="AN138" s="239">
        <v>-5499902</v>
      </c>
      <c r="AO138" s="239">
        <v>0</v>
      </c>
      <c r="AP138" s="239">
        <v>-5499902</v>
      </c>
      <c r="AQ138" s="239">
        <v>-39011</v>
      </c>
      <c r="AR138" s="239">
        <v>0</v>
      </c>
      <c r="AS138" s="239">
        <v>-39011</v>
      </c>
      <c r="AT138" s="239">
        <v>-46559</v>
      </c>
      <c r="AU138" s="239">
        <v>0</v>
      </c>
      <c r="AV138" s="239">
        <v>-46559</v>
      </c>
      <c r="AW138" s="239">
        <v>0</v>
      </c>
      <c r="AX138" s="239">
        <v>0</v>
      </c>
      <c r="AY138" s="239">
        <v>0</v>
      </c>
      <c r="AZ138" s="239">
        <v>0</v>
      </c>
      <c r="BA138" s="239">
        <v>0</v>
      </c>
      <c r="BB138" s="239">
        <v>0</v>
      </c>
      <c r="BC138" s="239">
        <v>0</v>
      </c>
      <c r="BD138" s="239">
        <v>0</v>
      </c>
      <c r="BE138" s="239">
        <v>0</v>
      </c>
      <c r="BF138" s="239">
        <v>-4876443</v>
      </c>
      <c r="BG138" s="239">
        <v>0</v>
      </c>
      <c r="BH138" s="239">
        <v>-4876443</v>
      </c>
      <c r="BI138" s="239">
        <v>-610204</v>
      </c>
      <c r="BJ138" s="239">
        <v>0</v>
      </c>
      <c r="BK138" s="239">
        <v>-610204</v>
      </c>
      <c r="BL138" s="239">
        <v>-86537</v>
      </c>
      <c r="BM138" s="239">
        <v>0</v>
      </c>
      <c r="BN138" s="239">
        <v>-86537</v>
      </c>
      <c r="BO138" s="239">
        <v>-8291004</v>
      </c>
      <c r="BP138" s="239">
        <v>0</v>
      </c>
      <c r="BQ138" s="239">
        <v>-8291004</v>
      </c>
      <c r="BR138" s="239">
        <v>-442657</v>
      </c>
      <c r="BS138" s="239">
        <v>0</v>
      </c>
      <c r="BT138" s="239">
        <v>-442657</v>
      </c>
      <c r="BU138" s="239">
        <v>-9430402</v>
      </c>
      <c r="BV138" s="239">
        <v>0</v>
      </c>
      <c r="BW138" s="239">
        <v>-9430402</v>
      </c>
      <c r="BX138" s="239">
        <v>-291233</v>
      </c>
      <c r="BY138" s="239">
        <v>0</v>
      </c>
      <c r="BZ138" s="239">
        <v>-291233</v>
      </c>
      <c r="CA138" s="239">
        <v>-8604</v>
      </c>
      <c r="CB138" s="239">
        <v>0</v>
      </c>
      <c r="CC138" s="239">
        <v>-8604</v>
      </c>
      <c r="CD138" s="239">
        <v>-528435</v>
      </c>
      <c r="CE138" s="239">
        <v>0</v>
      </c>
      <c r="CF138" s="239">
        <v>-528435</v>
      </c>
      <c r="CG138" s="239">
        <v>312</v>
      </c>
      <c r="CH138" s="239">
        <v>0</v>
      </c>
      <c r="CI138" s="239">
        <v>312</v>
      </c>
      <c r="CJ138" s="239">
        <v>-1541</v>
      </c>
      <c r="CK138" s="239">
        <v>0</v>
      </c>
      <c r="CL138" s="239">
        <v>-1541</v>
      </c>
      <c r="CM138" s="239">
        <v>0</v>
      </c>
      <c r="CN138" s="239">
        <v>0</v>
      </c>
      <c r="CO138" s="239">
        <v>0</v>
      </c>
      <c r="CP138" s="239">
        <v>0</v>
      </c>
      <c r="CQ138" s="239">
        <v>0</v>
      </c>
      <c r="CR138" s="239">
        <v>0</v>
      </c>
      <c r="CS138" s="239">
        <v>0</v>
      </c>
      <c r="CT138" s="239">
        <v>0</v>
      </c>
      <c r="CU138" s="239">
        <v>0</v>
      </c>
      <c r="CV138" s="239">
        <v>0</v>
      </c>
      <c r="CW138" s="239">
        <v>0</v>
      </c>
      <c r="CX138" s="239">
        <v>0</v>
      </c>
      <c r="CY138" s="239">
        <v>0</v>
      </c>
      <c r="CZ138" s="239">
        <v>0</v>
      </c>
      <c r="DA138" s="239">
        <v>0</v>
      </c>
      <c r="DB138" s="239">
        <v>0</v>
      </c>
      <c r="DC138" s="239">
        <v>0</v>
      </c>
      <c r="DD138" s="239">
        <v>0</v>
      </c>
      <c r="DE138" s="239">
        <v>0</v>
      </c>
      <c r="DF138" s="239">
        <v>0</v>
      </c>
      <c r="DG138" s="239">
        <v>0</v>
      </c>
      <c r="DH138" s="239">
        <v>0</v>
      </c>
      <c r="DI138" s="239">
        <v>0</v>
      </c>
      <c r="DJ138" s="239">
        <v>-829501</v>
      </c>
      <c r="DK138" s="239">
        <v>0</v>
      </c>
      <c r="DL138" s="239">
        <v>-829501</v>
      </c>
      <c r="DM138" s="239">
        <v>-2593</v>
      </c>
      <c r="DN138" s="239">
        <v>0</v>
      </c>
      <c r="DO138" s="239">
        <v>-2593</v>
      </c>
      <c r="DP138" s="239">
        <v>-13489</v>
      </c>
      <c r="DQ138" s="239">
        <v>0</v>
      </c>
      <c r="DR138" s="239">
        <v>-13489</v>
      </c>
      <c r="DS138" s="239">
        <v>-23061</v>
      </c>
      <c r="DT138" s="239">
        <v>0</v>
      </c>
      <c r="DU138" s="239">
        <v>-23061</v>
      </c>
      <c r="DV138" s="239">
        <v>3234</v>
      </c>
      <c r="DW138" s="239">
        <v>0</v>
      </c>
      <c r="DX138" s="239">
        <v>3234</v>
      </c>
      <c r="DY138" s="239">
        <v>0</v>
      </c>
      <c r="DZ138" s="239">
        <v>0</v>
      </c>
      <c r="EA138" s="239">
        <v>0</v>
      </c>
      <c r="EB138" s="239">
        <v>-12625</v>
      </c>
      <c r="EC138" s="239">
        <v>0</v>
      </c>
      <c r="ED138" s="239">
        <v>-12625</v>
      </c>
      <c r="EE138" s="239">
        <v>0</v>
      </c>
      <c r="EF138" s="239">
        <v>0</v>
      </c>
      <c r="EG138" s="239">
        <v>0</v>
      </c>
      <c r="EH138" s="239">
        <v>0</v>
      </c>
      <c r="EI138" s="239">
        <v>0</v>
      </c>
      <c r="EJ138" s="239">
        <v>0</v>
      </c>
      <c r="EK138" s="239">
        <v>-1914</v>
      </c>
      <c r="EL138" s="239">
        <v>0</v>
      </c>
      <c r="EM138" s="239">
        <v>-1914</v>
      </c>
      <c r="EN138" s="239">
        <v>0</v>
      </c>
      <c r="EO138" s="239">
        <v>0</v>
      </c>
      <c r="EP138" s="239">
        <v>0</v>
      </c>
      <c r="EQ138" s="239">
        <v>-50448</v>
      </c>
      <c r="ER138" s="239">
        <v>0</v>
      </c>
      <c r="ES138" s="239">
        <v>-50448</v>
      </c>
      <c r="ET138" s="239">
        <v>0</v>
      </c>
      <c r="EU138" s="239">
        <v>0</v>
      </c>
      <c r="EV138" s="239">
        <v>0</v>
      </c>
      <c r="EW138" s="239">
        <v>0</v>
      </c>
      <c r="EX138" s="239">
        <v>0</v>
      </c>
      <c r="EY138" s="239">
        <v>0</v>
      </c>
      <c r="EZ138" s="239">
        <v>0</v>
      </c>
      <c r="FA138" s="239">
        <v>0</v>
      </c>
      <c r="FB138" s="239">
        <v>0</v>
      </c>
      <c r="FC138" s="239">
        <v>176980338</v>
      </c>
      <c r="FD138" s="239">
        <v>0</v>
      </c>
      <c r="FE138" s="239">
        <v>176980338</v>
      </c>
      <c r="FF138" s="239">
        <v>1049233</v>
      </c>
      <c r="FG138" s="239">
        <v>0</v>
      </c>
      <c r="FH138" s="239">
        <v>1049233</v>
      </c>
      <c r="FI138" s="239">
        <v>-4876443</v>
      </c>
      <c r="FJ138" s="239">
        <v>0</v>
      </c>
      <c r="FK138" s="239">
        <v>-4876443</v>
      </c>
      <c r="FL138" s="239">
        <v>-9430402</v>
      </c>
      <c r="FM138" s="239">
        <v>0</v>
      </c>
      <c r="FN138" s="239">
        <v>-9430402</v>
      </c>
      <c r="FO138" s="239">
        <v>-829501</v>
      </c>
      <c r="FP138" s="239">
        <v>0</v>
      </c>
      <c r="FQ138" s="239">
        <v>-829501</v>
      </c>
      <c r="FR138" s="239">
        <v>-50448</v>
      </c>
      <c r="FS138" s="239">
        <v>0</v>
      </c>
      <c r="FT138" s="239">
        <v>-50448</v>
      </c>
      <c r="FU138" s="239">
        <v>0</v>
      </c>
      <c r="FV138" s="239">
        <v>0</v>
      </c>
      <c r="FW138" s="239">
        <v>0</v>
      </c>
      <c r="FX138" s="239">
        <v>-14137561</v>
      </c>
      <c r="FY138" s="239">
        <v>0</v>
      </c>
      <c r="FZ138" s="239">
        <v>-14137561</v>
      </c>
      <c r="GA138" s="239">
        <v>162842777</v>
      </c>
      <c r="GB138" s="239">
        <v>0</v>
      </c>
      <c r="GC138" s="239">
        <v>162842777</v>
      </c>
      <c r="GD138" s="214" t="s">
        <v>1191</v>
      </c>
    </row>
    <row r="139" spans="2:186" s="214" customFormat="1" x14ac:dyDescent="0.2">
      <c r="B139" s="609" t="s">
        <v>360</v>
      </c>
      <c r="C139" s="609" t="s">
        <v>359</v>
      </c>
      <c r="D139" s="239">
        <v>0</v>
      </c>
      <c r="E139" s="239">
        <v>0</v>
      </c>
      <c r="F139" s="239">
        <v>0</v>
      </c>
      <c r="G139" s="239">
        <v>0</v>
      </c>
      <c r="H139" s="239">
        <v>22820</v>
      </c>
      <c r="I139" s="239">
        <v>22820</v>
      </c>
      <c r="J139" s="239">
        <v>0</v>
      </c>
      <c r="K139" s="239">
        <v>0</v>
      </c>
      <c r="L139" s="239">
        <v>0</v>
      </c>
      <c r="M139" s="239">
        <v>0</v>
      </c>
      <c r="N139" s="239">
        <v>7568</v>
      </c>
      <c r="O139" s="239">
        <v>7568</v>
      </c>
      <c r="P139" s="239">
        <v>0</v>
      </c>
      <c r="Q139" s="239">
        <v>30388</v>
      </c>
      <c r="R139" s="239">
        <v>30388</v>
      </c>
      <c r="S139" s="239">
        <v>-3231888</v>
      </c>
      <c r="T139" s="239">
        <v>-959</v>
      </c>
      <c r="U139" s="239">
        <v>-3232847</v>
      </c>
      <c r="V139" s="239">
        <v>-14495</v>
      </c>
      <c r="W139" s="239">
        <v>0</v>
      </c>
      <c r="X139" s="239">
        <v>-14495</v>
      </c>
      <c r="Y139" s="239">
        <v>-110246</v>
      </c>
      <c r="Z139" s="239">
        <v>0</v>
      </c>
      <c r="AA139" s="239">
        <v>-110246</v>
      </c>
      <c r="AB139" s="239">
        <v>0</v>
      </c>
      <c r="AC139" s="239">
        <v>0</v>
      </c>
      <c r="AD139" s="239">
        <v>0</v>
      </c>
      <c r="AE139" s="239">
        <v>0</v>
      </c>
      <c r="AF139" s="239">
        <v>0</v>
      </c>
      <c r="AG139" s="239">
        <v>0</v>
      </c>
      <c r="AH139" s="239">
        <v>1568019</v>
      </c>
      <c r="AI139" s="239">
        <v>1245</v>
      </c>
      <c r="AJ139" s="239">
        <v>1569264</v>
      </c>
      <c r="AK139" s="239">
        <v>-8593</v>
      </c>
      <c r="AL139" s="239">
        <v>374</v>
      </c>
      <c r="AM139" s="239">
        <v>-8219</v>
      </c>
      <c r="AN139" s="239">
        <v>-2731652</v>
      </c>
      <c r="AO139" s="239">
        <v>-10213</v>
      </c>
      <c r="AP139" s="239">
        <v>-2741865</v>
      </c>
      <c r="AQ139" s="239">
        <v>74484</v>
      </c>
      <c r="AR139" s="239">
        <v>0</v>
      </c>
      <c r="AS139" s="239">
        <v>74484</v>
      </c>
      <c r="AT139" s="239">
        <v>-193376</v>
      </c>
      <c r="AU139" s="239">
        <v>0</v>
      </c>
      <c r="AV139" s="239">
        <v>-193376</v>
      </c>
      <c r="AW139" s="239">
        <v>-6261</v>
      </c>
      <c r="AX139" s="239">
        <v>0</v>
      </c>
      <c r="AY139" s="239">
        <v>-6261</v>
      </c>
      <c r="AZ139" s="239">
        <v>-44613</v>
      </c>
      <c r="BA139" s="239">
        <v>0</v>
      </c>
      <c r="BB139" s="239">
        <v>-44613</v>
      </c>
      <c r="BC139" s="239">
        <v>4206</v>
      </c>
      <c r="BD139" s="239">
        <v>0</v>
      </c>
      <c r="BE139" s="239">
        <v>4206</v>
      </c>
      <c r="BF139" s="239">
        <v>-4679920</v>
      </c>
      <c r="BG139" s="239">
        <v>-9553</v>
      </c>
      <c r="BH139" s="239">
        <v>-4689473</v>
      </c>
      <c r="BI139" s="239">
        <v>0</v>
      </c>
      <c r="BJ139" s="239">
        <v>0</v>
      </c>
      <c r="BK139" s="239">
        <v>0</v>
      </c>
      <c r="BL139" s="239">
        <v>70</v>
      </c>
      <c r="BM139" s="239">
        <v>0</v>
      </c>
      <c r="BN139" s="239">
        <v>70</v>
      </c>
      <c r="BO139" s="239">
        <v>-1948143</v>
      </c>
      <c r="BP139" s="239">
        <v>-43923</v>
      </c>
      <c r="BQ139" s="239">
        <v>-1992066</v>
      </c>
      <c r="BR139" s="239">
        <v>-55157</v>
      </c>
      <c r="BS139" s="239">
        <v>29120</v>
      </c>
      <c r="BT139" s="239">
        <v>-26037</v>
      </c>
      <c r="BU139" s="239">
        <v>-2003230</v>
      </c>
      <c r="BV139" s="239">
        <v>-14803</v>
      </c>
      <c r="BW139" s="239">
        <v>-2018033</v>
      </c>
      <c r="BX139" s="239">
        <v>-1670</v>
      </c>
      <c r="BY139" s="239">
        <v>0</v>
      </c>
      <c r="BZ139" s="239">
        <v>-1670</v>
      </c>
      <c r="CA139" s="239">
        <v>0</v>
      </c>
      <c r="CB139" s="239">
        <v>0</v>
      </c>
      <c r="CC139" s="239">
        <v>0</v>
      </c>
      <c r="CD139" s="239">
        <v>-45407</v>
      </c>
      <c r="CE139" s="239">
        <v>0</v>
      </c>
      <c r="CF139" s="239">
        <v>-45407</v>
      </c>
      <c r="CG139" s="239">
        <v>6261</v>
      </c>
      <c r="CH139" s="239">
        <v>0</v>
      </c>
      <c r="CI139" s="239">
        <v>6261</v>
      </c>
      <c r="CJ139" s="239">
        <v>0</v>
      </c>
      <c r="CK139" s="239">
        <v>0</v>
      </c>
      <c r="CL139" s="239">
        <v>0</v>
      </c>
      <c r="CM139" s="239">
        <v>0</v>
      </c>
      <c r="CN139" s="239">
        <v>0</v>
      </c>
      <c r="CO139" s="239">
        <v>0</v>
      </c>
      <c r="CP139" s="239">
        <v>-21257</v>
      </c>
      <c r="CQ139" s="239">
        <v>0</v>
      </c>
      <c r="CR139" s="239">
        <v>-21257</v>
      </c>
      <c r="CS139" s="239">
        <v>4206</v>
      </c>
      <c r="CT139" s="239">
        <v>0</v>
      </c>
      <c r="CU139" s="239">
        <v>4206</v>
      </c>
      <c r="CV139" s="239">
        <v>0</v>
      </c>
      <c r="CW139" s="239">
        <v>0</v>
      </c>
      <c r="CX139" s="239">
        <v>0</v>
      </c>
      <c r="CY139" s="239">
        <v>0</v>
      </c>
      <c r="CZ139" s="239">
        <v>0</v>
      </c>
      <c r="DA139" s="239">
        <v>0</v>
      </c>
      <c r="DB139" s="239">
        <v>0</v>
      </c>
      <c r="DC139" s="239">
        <v>-198329</v>
      </c>
      <c r="DD139" s="239">
        <v>-198329</v>
      </c>
      <c r="DE139" s="239">
        <v>0</v>
      </c>
      <c r="DF139" s="239">
        <v>-6551</v>
      </c>
      <c r="DG139" s="239">
        <v>-6551</v>
      </c>
      <c r="DH139" s="239">
        <v>-204880</v>
      </c>
      <c r="DI139" s="239">
        <v>0</v>
      </c>
      <c r="DJ139" s="239">
        <v>-57867</v>
      </c>
      <c r="DK139" s="239">
        <v>-204880</v>
      </c>
      <c r="DL139" s="239">
        <v>-262747</v>
      </c>
      <c r="DM139" s="239">
        <v>0</v>
      </c>
      <c r="DN139" s="239">
        <v>0</v>
      </c>
      <c r="DO139" s="239">
        <v>0</v>
      </c>
      <c r="DP139" s="239">
        <v>0</v>
      </c>
      <c r="DQ139" s="239">
        <v>0</v>
      </c>
      <c r="DR139" s="239">
        <v>0</v>
      </c>
      <c r="DS139" s="239">
        <v>-3883</v>
      </c>
      <c r="DT139" s="239">
        <v>0</v>
      </c>
      <c r="DU139" s="239">
        <v>-3883</v>
      </c>
      <c r="DV139" s="239">
        <v>-36012</v>
      </c>
      <c r="DW139" s="239">
        <v>0</v>
      </c>
      <c r="DX139" s="239">
        <v>-36012</v>
      </c>
      <c r="DY139" s="239">
        <v>0</v>
      </c>
      <c r="DZ139" s="239">
        <v>0</v>
      </c>
      <c r="EA139" s="239">
        <v>0</v>
      </c>
      <c r="EB139" s="239">
        <v>-6073</v>
      </c>
      <c r="EC139" s="239">
        <v>0</v>
      </c>
      <c r="ED139" s="239">
        <v>-6073</v>
      </c>
      <c r="EE139" s="239">
        <v>0</v>
      </c>
      <c r="EF139" s="239">
        <v>0</v>
      </c>
      <c r="EG139" s="239">
        <v>0</v>
      </c>
      <c r="EH139" s="239">
        <v>0</v>
      </c>
      <c r="EI139" s="239">
        <v>0</v>
      </c>
      <c r="EJ139" s="239">
        <v>0</v>
      </c>
      <c r="EK139" s="239">
        <v>0</v>
      </c>
      <c r="EL139" s="239">
        <v>0</v>
      </c>
      <c r="EM139" s="239">
        <v>0</v>
      </c>
      <c r="EN139" s="239">
        <v>0</v>
      </c>
      <c r="EO139" s="239">
        <v>0</v>
      </c>
      <c r="EP139" s="239">
        <v>0</v>
      </c>
      <c r="EQ139" s="239">
        <v>-45968</v>
      </c>
      <c r="ER139" s="239">
        <v>0</v>
      </c>
      <c r="ES139" s="239">
        <v>-45968</v>
      </c>
      <c r="ET139" s="239">
        <v>-13570</v>
      </c>
      <c r="EU139" s="239">
        <v>0</v>
      </c>
      <c r="EV139" s="239">
        <v>-13570</v>
      </c>
      <c r="EW139" s="239">
        <v>0</v>
      </c>
      <c r="EX139" s="239">
        <v>0</v>
      </c>
      <c r="EY139" s="239">
        <v>0</v>
      </c>
      <c r="EZ139" s="239">
        <v>-13570</v>
      </c>
      <c r="FA139" s="239">
        <v>0</v>
      </c>
      <c r="FB139" s="239">
        <v>-13570</v>
      </c>
      <c r="FC139" s="239">
        <v>66430405</v>
      </c>
      <c r="FD139" s="239">
        <v>548639</v>
      </c>
      <c r="FE139" s="239">
        <v>66979044</v>
      </c>
      <c r="FF139" s="239">
        <v>0</v>
      </c>
      <c r="FG139" s="239">
        <v>30388</v>
      </c>
      <c r="FH139" s="239">
        <v>30388</v>
      </c>
      <c r="FI139" s="239">
        <v>-4679920</v>
      </c>
      <c r="FJ139" s="239">
        <v>-9553</v>
      </c>
      <c r="FK139" s="239">
        <v>-4689473</v>
      </c>
      <c r="FL139" s="239">
        <v>-2003230</v>
      </c>
      <c r="FM139" s="239">
        <v>-14803</v>
      </c>
      <c r="FN139" s="239">
        <v>-2018033</v>
      </c>
      <c r="FO139" s="239">
        <v>-57867</v>
      </c>
      <c r="FP139" s="239">
        <v>-204880</v>
      </c>
      <c r="FQ139" s="239">
        <v>-262747</v>
      </c>
      <c r="FR139" s="239">
        <v>-45968</v>
      </c>
      <c r="FS139" s="239">
        <v>0</v>
      </c>
      <c r="FT139" s="239">
        <v>-45968</v>
      </c>
      <c r="FU139" s="239">
        <v>-13570</v>
      </c>
      <c r="FV139" s="239">
        <v>0</v>
      </c>
      <c r="FW139" s="239">
        <v>-13570</v>
      </c>
      <c r="FX139" s="239">
        <v>-6800555</v>
      </c>
      <c r="FY139" s="239">
        <v>-198848</v>
      </c>
      <c r="FZ139" s="239">
        <v>-6999403</v>
      </c>
      <c r="GA139" s="239">
        <v>59629850</v>
      </c>
      <c r="GB139" s="239">
        <v>349791</v>
      </c>
      <c r="GC139" s="239">
        <v>59979641</v>
      </c>
      <c r="GD139" s="214" t="s">
        <v>1190</v>
      </c>
    </row>
    <row r="140" spans="2:186" s="214" customFormat="1" x14ac:dyDescent="0.2">
      <c r="B140" s="609" t="s">
        <v>362</v>
      </c>
      <c r="C140" s="609" t="s">
        <v>361</v>
      </c>
      <c r="D140" s="239">
        <v>0</v>
      </c>
      <c r="E140" s="239">
        <v>0</v>
      </c>
      <c r="F140" s="239">
        <v>0</v>
      </c>
      <c r="G140" s="239">
        <v>2681</v>
      </c>
      <c r="H140" s="239">
        <v>0</v>
      </c>
      <c r="I140" s="239">
        <v>2681</v>
      </c>
      <c r="J140" s="239">
        <v>0</v>
      </c>
      <c r="K140" s="239">
        <v>0</v>
      </c>
      <c r="L140" s="239">
        <v>0</v>
      </c>
      <c r="M140" s="239">
        <v>-24183</v>
      </c>
      <c r="N140" s="239">
        <v>0</v>
      </c>
      <c r="O140" s="239">
        <v>-24183</v>
      </c>
      <c r="P140" s="239">
        <v>-21502</v>
      </c>
      <c r="Q140" s="239">
        <v>0</v>
      </c>
      <c r="R140" s="239">
        <v>-21502</v>
      </c>
      <c r="S140" s="239">
        <v>-2641702</v>
      </c>
      <c r="T140" s="239">
        <v>0</v>
      </c>
      <c r="U140" s="239">
        <v>-2641702</v>
      </c>
      <c r="V140" s="239">
        <v>-3518</v>
      </c>
      <c r="W140" s="239">
        <v>0</v>
      </c>
      <c r="X140" s="239">
        <v>-3518</v>
      </c>
      <c r="Y140" s="239">
        <v>-129748</v>
      </c>
      <c r="Z140" s="239">
        <v>0</v>
      </c>
      <c r="AA140" s="239">
        <v>-129748</v>
      </c>
      <c r="AB140" s="239">
        <v>0</v>
      </c>
      <c r="AC140" s="239">
        <v>0</v>
      </c>
      <c r="AD140" s="239">
        <v>0</v>
      </c>
      <c r="AE140" s="239">
        <v>0</v>
      </c>
      <c r="AF140" s="239">
        <v>0</v>
      </c>
      <c r="AG140" s="239">
        <v>0</v>
      </c>
      <c r="AH140" s="239">
        <v>622641</v>
      </c>
      <c r="AI140" s="239">
        <v>0</v>
      </c>
      <c r="AJ140" s="239">
        <v>622641</v>
      </c>
      <c r="AK140" s="239">
        <v>12646</v>
      </c>
      <c r="AL140" s="239">
        <v>0</v>
      </c>
      <c r="AM140" s="239">
        <v>12646</v>
      </c>
      <c r="AN140" s="239">
        <v>-1453211</v>
      </c>
      <c r="AO140" s="239">
        <v>0</v>
      </c>
      <c r="AP140" s="239">
        <v>-1453211</v>
      </c>
      <c r="AQ140" s="239">
        <v>-9695</v>
      </c>
      <c r="AR140" s="239">
        <v>0</v>
      </c>
      <c r="AS140" s="239">
        <v>-9695</v>
      </c>
      <c r="AT140" s="239">
        <v>-41314</v>
      </c>
      <c r="AU140" s="239">
        <v>0</v>
      </c>
      <c r="AV140" s="239">
        <v>-41314</v>
      </c>
      <c r="AW140" s="239">
        <v>0</v>
      </c>
      <c r="AX140" s="239">
        <v>0</v>
      </c>
      <c r="AY140" s="239">
        <v>0</v>
      </c>
      <c r="AZ140" s="239">
        <v>0</v>
      </c>
      <c r="BA140" s="239">
        <v>0</v>
      </c>
      <c r="BB140" s="239">
        <v>0</v>
      </c>
      <c r="BC140" s="239">
        <v>0</v>
      </c>
      <c r="BD140" s="239">
        <v>0</v>
      </c>
      <c r="BE140" s="239">
        <v>0</v>
      </c>
      <c r="BF140" s="239">
        <v>-3640383</v>
      </c>
      <c r="BG140" s="239">
        <v>0</v>
      </c>
      <c r="BH140" s="239">
        <v>-3640383</v>
      </c>
      <c r="BI140" s="239">
        <v>-70778</v>
      </c>
      <c r="BJ140" s="239">
        <v>0</v>
      </c>
      <c r="BK140" s="239">
        <v>-70778</v>
      </c>
      <c r="BL140" s="239">
        <v>-78757</v>
      </c>
      <c r="BM140" s="239">
        <v>0</v>
      </c>
      <c r="BN140" s="239">
        <v>-78757</v>
      </c>
      <c r="BO140" s="239">
        <v>-1714673</v>
      </c>
      <c r="BP140" s="239">
        <v>0</v>
      </c>
      <c r="BQ140" s="239">
        <v>-1714673</v>
      </c>
      <c r="BR140" s="239">
        <v>-152645</v>
      </c>
      <c r="BS140" s="239">
        <v>0</v>
      </c>
      <c r="BT140" s="239">
        <v>-152645</v>
      </c>
      <c r="BU140" s="239">
        <v>-2016853</v>
      </c>
      <c r="BV140" s="239">
        <v>0</v>
      </c>
      <c r="BW140" s="239">
        <v>-2016853</v>
      </c>
      <c r="BX140" s="239">
        <v>-131998</v>
      </c>
      <c r="BY140" s="239">
        <v>0</v>
      </c>
      <c r="BZ140" s="239">
        <v>-131998</v>
      </c>
      <c r="CA140" s="239">
        <v>-702</v>
      </c>
      <c r="CB140" s="239">
        <v>0</v>
      </c>
      <c r="CC140" s="239">
        <v>-702</v>
      </c>
      <c r="CD140" s="239">
        <v>-65122</v>
      </c>
      <c r="CE140" s="239">
        <v>0</v>
      </c>
      <c r="CF140" s="239">
        <v>-65122</v>
      </c>
      <c r="CG140" s="239">
        <v>2948</v>
      </c>
      <c r="CH140" s="239">
        <v>0</v>
      </c>
      <c r="CI140" s="239">
        <v>2948</v>
      </c>
      <c r="CJ140" s="239">
        <v>-2361</v>
      </c>
      <c r="CK140" s="239">
        <v>0</v>
      </c>
      <c r="CL140" s="239">
        <v>-2361</v>
      </c>
      <c r="CM140" s="239">
        <v>0</v>
      </c>
      <c r="CN140" s="239">
        <v>0</v>
      </c>
      <c r="CO140" s="239">
        <v>0</v>
      </c>
      <c r="CP140" s="239">
        <v>0</v>
      </c>
      <c r="CQ140" s="239">
        <v>0</v>
      </c>
      <c r="CR140" s="239">
        <v>0</v>
      </c>
      <c r="CS140" s="239">
        <v>0</v>
      </c>
      <c r="CT140" s="239">
        <v>0</v>
      </c>
      <c r="CU140" s="239">
        <v>0</v>
      </c>
      <c r="CV140" s="239">
        <v>0</v>
      </c>
      <c r="CW140" s="239">
        <v>0</v>
      </c>
      <c r="CX140" s="239">
        <v>0</v>
      </c>
      <c r="CY140" s="239">
        <v>0</v>
      </c>
      <c r="CZ140" s="239">
        <v>0</v>
      </c>
      <c r="DA140" s="239">
        <v>0</v>
      </c>
      <c r="DB140" s="239">
        <v>0</v>
      </c>
      <c r="DC140" s="239">
        <v>0</v>
      </c>
      <c r="DD140" s="239">
        <v>0</v>
      </c>
      <c r="DE140" s="239">
        <v>0</v>
      </c>
      <c r="DF140" s="239">
        <v>0</v>
      </c>
      <c r="DG140" s="239">
        <v>0</v>
      </c>
      <c r="DH140" s="239">
        <v>0</v>
      </c>
      <c r="DI140" s="239">
        <v>0</v>
      </c>
      <c r="DJ140" s="239">
        <v>-197235</v>
      </c>
      <c r="DK140" s="239">
        <v>0</v>
      </c>
      <c r="DL140" s="239">
        <v>-197235</v>
      </c>
      <c r="DM140" s="239">
        <v>0</v>
      </c>
      <c r="DN140" s="239">
        <v>0</v>
      </c>
      <c r="DO140" s="239">
        <v>0</v>
      </c>
      <c r="DP140" s="239">
        <v>0</v>
      </c>
      <c r="DQ140" s="239">
        <v>0</v>
      </c>
      <c r="DR140" s="239">
        <v>0</v>
      </c>
      <c r="DS140" s="239">
        <v>-18782</v>
      </c>
      <c r="DT140" s="239">
        <v>0</v>
      </c>
      <c r="DU140" s="239">
        <v>-18782</v>
      </c>
      <c r="DV140" s="239">
        <v>0</v>
      </c>
      <c r="DW140" s="239">
        <v>0</v>
      </c>
      <c r="DX140" s="239">
        <v>0</v>
      </c>
      <c r="DY140" s="239">
        <v>0</v>
      </c>
      <c r="DZ140" s="239">
        <v>0</v>
      </c>
      <c r="EA140" s="239">
        <v>0</v>
      </c>
      <c r="EB140" s="239">
        <v>14992</v>
      </c>
      <c r="EC140" s="239">
        <v>0</v>
      </c>
      <c r="ED140" s="239">
        <v>14992</v>
      </c>
      <c r="EE140" s="239">
        <v>0</v>
      </c>
      <c r="EF140" s="239">
        <v>0</v>
      </c>
      <c r="EG140" s="239">
        <v>0</v>
      </c>
      <c r="EH140" s="239">
        <v>0</v>
      </c>
      <c r="EI140" s="239">
        <v>0</v>
      </c>
      <c r="EJ140" s="239">
        <v>0</v>
      </c>
      <c r="EK140" s="239">
        <v>-920</v>
      </c>
      <c r="EL140" s="239">
        <v>0</v>
      </c>
      <c r="EM140" s="239">
        <v>-920</v>
      </c>
      <c r="EN140" s="239">
        <v>0</v>
      </c>
      <c r="EO140" s="239">
        <v>0</v>
      </c>
      <c r="EP140" s="239">
        <v>0</v>
      </c>
      <c r="EQ140" s="239">
        <v>-4710</v>
      </c>
      <c r="ER140" s="239">
        <v>0</v>
      </c>
      <c r="ES140" s="239">
        <v>-4710</v>
      </c>
      <c r="ET140" s="239">
        <v>0</v>
      </c>
      <c r="EU140" s="239">
        <v>0</v>
      </c>
      <c r="EV140" s="239">
        <v>0</v>
      </c>
      <c r="EW140" s="239">
        <v>0</v>
      </c>
      <c r="EX140" s="239">
        <v>0</v>
      </c>
      <c r="EY140" s="239">
        <v>0</v>
      </c>
      <c r="EZ140" s="239">
        <v>0</v>
      </c>
      <c r="FA140" s="239">
        <v>0</v>
      </c>
      <c r="FB140" s="239">
        <v>0</v>
      </c>
      <c r="FC140" s="239">
        <v>29274710</v>
      </c>
      <c r="FD140" s="239">
        <v>0</v>
      </c>
      <c r="FE140" s="239">
        <v>29274710</v>
      </c>
      <c r="FF140" s="239">
        <v>-21502</v>
      </c>
      <c r="FG140" s="239">
        <v>0</v>
      </c>
      <c r="FH140" s="239">
        <v>-21502</v>
      </c>
      <c r="FI140" s="239">
        <v>-3640383</v>
      </c>
      <c r="FJ140" s="239">
        <v>0</v>
      </c>
      <c r="FK140" s="239">
        <v>-3640383</v>
      </c>
      <c r="FL140" s="239">
        <v>-2016853</v>
      </c>
      <c r="FM140" s="239">
        <v>0</v>
      </c>
      <c r="FN140" s="239">
        <v>-2016853</v>
      </c>
      <c r="FO140" s="239">
        <v>-197235</v>
      </c>
      <c r="FP140" s="239">
        <v>0</v>
      </c>
      <c r="FQ140" s="239">
        <v>-197235</v>
      </c>
      <c r="FR140" s="239">
        <v>-4710</v>
      </c>
      <c r="FS140" s="239">
        <v>0</v>
      </c>
      <c r="FT140" s="239">
        <v>-4710</v>
      </c>
      <c r="FU140" s="239">
        <v>0</v>
      </c>
      <c r="FV140" s="239">
        <v>0</v>
      </c>
      <c r="FW140" s="239">
        <v>0</v>
      </c>
      <c r="FX140" s="239">
        <v>-5880683</v>
      </c>
      <c r="FY140" s="239">
        <v>0</v>
      </c>
      <c r="FZ140" s="239">
        <v>-5880683</v>
      </c>
      <c r="GA140" s="239">
        <v>23394027</v>
      </c>
      <c r="GB140" s="239">
        <v>0</v>
      </c>
      <c r="GC140" s="239">
        <v>23394027</v>
      </c>
      <c r="GD140" s="214" t="s">
        <v>1190</v>
      </c>
    </row>
    <row r="141" spans="2:186" s="214" customFormat="1" x14ac:dyDescent="0.2">
      <c r="B141" s="609" t="s">
        <v>364</v>
      </c>
      <c r="C141" s="609" t="s">
        <v>363</v>
      </c>
      <c r="D141" s="239">
        <v>0</v>
      </c>
      <c r="E141" s="239">
        <v>0</v>
      </c>
      <c r="F141" s="239">
        <v>0</v>
      </c>
      <c r="G141" s="239">
        <v>38639</v>
      </c>
      <c r="H141" s="239">
        <v>0</v>
      </c>
      <c r="I141" s="239">
        <v>38639</v>
      </c>
      <c r="J141" s="239">
        <v>0</v>
      </c>
      <c r="K141" s="239">
        <v>0</v>
      </c>
      <c r="L141" s="239">
        <v>0</v>
      </c>
      <c r="M141" s="239">
        <v>12982</v>
      </c>
      <c r="N141" s="239">
        <v>0</v>
      </c>
      <c r="O141" s="239">
        <v>12982</v>
      </c>
      <c r="P141" s="239">
        <v>51621</v>
      </c>
      <c r="Q141" s="239">
        <v>0</v>
      </c>
      <c r="R141" s="239">
        <v>51621</v>
      </c>
      <c r="S141" s="239">
        <v>-2526049</v>
      </c>
      <c r="T141" s="239">
        <v>0</v>
      </c>
      <c r="U141" s="239">
        <v>-2526049</v>
      </c>
      <c r="V141" s="239">
        <v>-24873</v>
      </c>
      <c r="W141" s="239">
        <v>0</v>
      </c>
      <c r="X141" s="239">
        <v>-24873</v>
      </c>
      <c r="Y141" s="239">
        <v>-55317</v>
      </c>
      <c r="Z141" s="239">
        <v>0</v>
      </c>
      <c r="AA141" s="239">
        <v>-55317</v>
      </c>
      <c r="AB141" s="239">
        <v>-40698</v>
      </c>
      <c r="AC141" s="239">
        <v>0</v>
      </c>
      <c r="AD141" s="239">
        <v>-40698</v>
      </c>
      <c r="AE141" s="239">
        <v>-1172</v>
      </c>
      <c r="AF141" s="239">
        <v>0</v>
      </c>
      <c r="AG141" s="239">
        <v>-1172</v>
      </c>
      <c r="AH141" s="239">
        <v>1534855</v>
      </c>
      <c r="AI141" s="239">
        <v>0</v>
      </c>
      <c r="AJ141" s="239">
        <v>1534855</v>
      </c>
      <c r="AK141" s="239">
        <v>8244</v>
      </c>
      <c r="AL141" s="239">
        <v>0</v>
      </c>
      <c r="AM141" s="239">
        <v>8244</v>
      </c>
      <c r="AN141" s="239">
        <v>-3781566</v>
      </c>
      <c r="AO141" s="239">
        <v>0</v>
      </c>
      <c r="AP141" s="239">
        <v>-3781566</v>
      </c>
      <c r="AQ141" s="239">
        <v>-73951</v>
      </c>
      <c r="AR141" s="239">
        <v>0</v>
      </c>
      <c r="AS141" s="239">
        <v>-73951</v>
      </c>
      <c r="AT141" s="239">
        <v>-90255</v>
      </c>
      <c r="AU141" s="239">
        <v>0</v>
      </c>
      <c r="AV141" s="239">
        <v>-90255</v>
      </c>
      <c r="AW141" s="239">
        <v>0</v>
      </c>
      <c r="AX141" s="239">
        <v>0</v>
      </c>
      <c r="AY141" s="239">
        <v>0</v>
      </c>
      <c r="AZ141" s="239">
        <v>0</v>
      </c>
      <c r="BA141" s="239">
        <v>0</v>
      </c>
      <c r="BB141" s="239">
        <v>0</v>
      </c>
      <c r="BC141" s="239">
        <v>0</v>
      </c>
      <c r="BD141" s="239">
        <v>0</v>
      </c>
      <c r="BE141" s="239">
        <v>0</v>
      </c>
      <c r="BF141" s="239">
        <v>-4984039</v>
      </c>
      <c r="BG141" s="239">
        <v>0</v>
      </c>
      <c r="BH141" s="239">
        <v>-4984039</v>
      </c>
      <c r="BI141" s="239">
        <v>-12080</v>
      </c>
      <c r="BJ141" s="239">
        <v>0</v>
      </c>
      <c r="BK141" s="239">
        <v>-12080</v>
      </c>
      <c r="BL141" s="239">
        <v>32856</v>
      </c>
      <c r="BM141" s="239">
        <v>0</v>
      </c>
      <c r="BN141" s="239">
        <v>32856</v>
      </c>
      <c r="BO141" s="239">
        <v>-1939937</v>
      </c>
      <c r="BP141" s="239">
        <v>0</v>
      </c>
      <c r="BQ141" s="239">
        <v>-1939937</v>
      </c>
      <c r="BR141" s="239">
        <v>-77085</v>
      </c>
      <c r="BS141" s="239">
        <v>0</v>
      </c>
      <c r="BT141" s="239">
        <v>-77085</v>
      </c>
      <c r="BU141" s="239">
        <v>-1996246</v>
      </c>
      <c r="BV141" s="239">
        <v>0</v>
      </c>
      <c r="BW141" s="239">
        <v>-1996246</v>
      </c>
      <c r="BX141" s="239">
        <v>-129342</v>
      </c>
      <c r="BY141" s="239">
        <v>0</v>
      </c>
      <c r="BZ141" s="239">
        <v>-129342</v>
      </c>
      <c r="CA141" s="239">
        <v>-6175</v>
      </c>
      <c r="CB141" s="239">
        <v>0</v>
      </c>
      <c r="CC141" s="239">
        <v>-6175</v>
      </c>
      <c r="CD141" s="239">
        <v>-57611</v>
      </c>
      <c r="CE141" s="239">
        <v>0</v>
      </c>
      <c r="CF141" s="239">
        <v>-57611</v>
      </c>
      <c r="CG141" s="239">
        <v>6476</v>
      </c>
      <c r="CH141" s="239">
        <v>0</v>
      </c>
      <c r="CI141" s="239">
        <v>6476</v>
      </c>
      <c r="CJ141" s="239">
        <v>0</v>
      </c>
      <c r="CK141" s="239">
        <v>0</v>
      </c>
      <c r="CL141" s="239">
        <v>0</v>
      </c>
      <c r="CM141" s="239">
        <v>0</v>
      </c>
      <c r="CN141" s="239">
        <v>0</v>
      </c>
      <c r="CO141" s="239">
        <v>0</v>
      </c>
      <c r="CP141" s="239">
        <v>0</v>
      </c>
      <c r="CQ141" s="239">
        <v>0</v>
      </c>
      <c r="CR141" s="239">
        <v>0</v>
      </c>
      <c r="CS141" s="239">
        <v>0</v>
      </c>
      <c r="CT141" s="239">
        <v>0</v>
      </c>
      <c r="CU141" s="239">
        <v>0</v>
      </c>
      <c r="CV141" s="239">
        <v>0</v>
      </c>
      <c r="CW141" s="239">
        <v>0</v>
      </c>
      <c r="CX141" s="239">
        <v>0</v>
      </c>
      <c r="CY141" s="239">
        <v>0</v>
      </c>
      <c r="CZ141" s="239">
        <v>0</v>
      </c>
      <c r="DA141" s="239">
        <v>0</v>
      </c>
      <c r="DB141" s="239">
        <v>0</v>
      </c>
      <c r="DC141" s="239">
        <v>0</v>
      </c>
      <c r="DD141" s="239">
        <v>0</v>
      </c>
      <c r="DE141" s="239">
        <v>0</v>
      </c>
      <c r="DF141" s="239">
        <v>0</v>
      </c>
      <c r="DG141" s="239">
        <v>0</v>
      </c>
      <c r="DH141" s="239">
        <v>0</v>
      </c>
      <c r="DI141" s="239">
        <v>0</v>
      </c>
      <c r="DJ141" s="239">
        <v>-186652</v>
      </c>
      <c r="DK141" s="239">
        <v>0</v>
      </c>
      <c r="DL141" s="239">
        <v>-186652</v>
      </c>
      <c r="DM141" s="239">
        <v>0</v>
      </c>
      <c r="DN141" s="239">
        <v>-133400</v>
      </c>
      <c r="DO141" s="239">
        <v>-133400</v>
      </c>
      <c r="DP141" s="239">
        <v>0</v>
      </c>
      <c r="DQ141" s="239">
        <v>0</v>
      </c>
      <c r="DR141" s="239">
        <v>0</v>
      </c>
      <c r="DS141" s="239">
        <v>-60461</v>
      </c>
      <c r="DT141" s="239">
        <v>0</v>
      </c>
      <c r="DU141" s="239">
        <v>-60461</v>
      </c>
      <c r="DV141" s="239">
        <v>-581</v>
      </c>
      <c r="DW141" s="239">
        <v>0</v>
      </c>
      <c r="DX141" s="239">
        <v>-581</v>
      </c>
      <c r="DY141" s="239">
        <v>0</v>
      </c>
      <c r="DZ141" s="239">
        <v>0</v>
      </c>
      <c r="EA141" s="239">
        <v>0</v>
      </c>
      <c r="EB141" s="239">
        <v>-10199</v>
      </c>
      <c r="EC141" s="239">
        <v>0</v>
      </c>
      <c r="ED141" s="239">
        <v>-10199</v>
      </c>
      <c r="EE141" s="239">
        <v>0</v>
      </c>
      <c r="EF141" s="239">
        <v>0</v>
      </c>
      <c r="EG141" s="239">
        <v>0</v>
      </c>
      <c r="EH141" s="239">
        <v>0</v>
      </c>
      <c r="EI141" s="239">
        <v>0</v>
      </c>
      <c r="EJ141" s="239">
        <v>0</v>
      </c>
      <c r="EK141" s="239">
        <v>0</v>
      </c>
      <c r="EL141" s="239">
        <v>0</v>
      </c>
      <c r="EM141" s="239">
        <v>0</v>
      </c>
      <c r="EN141" s="239">
        <v>3859</v>
      </c>
      <c r="EO141" s="239">
        <v>0</v>
      </c>
      <c r="EP141" s="239">
        <v>3859</v>
      </c>
      <c r="EQ141" s="239">
        <v>-67382</v>
      </c>
      <c r="ER141" s="239">
        <v>-133400</v>
      </c>
      <c r="ES141" s="239">
        <v>-200782</v>
      </c>
      <c r="ET141" s="239">
        <v>0</v>
      </c>
      <c r="EU141" s="239">
        <v>0</v>
      </c>
      <c r="EV141" s="239">
        <v>0</v>
      </c>
      <c r="EW141" s="239">
        <v>0</v>
      </c>
      <c r="EX141" s="239">
        <v>0</v>
      </c>
      <c r="EY141" s="239">
        <v>0</v>
      </c>
      <c r="EZ141" s="239">
        <v>0</v>
      </c>
      <c r="FA141" s="239">
        <v>0</v>
      </c>
      <c r="FB141" s="239">
        <v>0</v>
      </c>
      <c r="FC141" s="239">
        <v>63504633</v>
      </c>
      <c r="FD141" s="239">
        <v>133400</v>
      </c>
      <c r="FE141" s="239">
        <v>63638033</v>
      </c>
      <c r="FF141" s="239">
        <v>51621</v>
      </c>
      <c r="FG141" s="239">
        <v>0</v>
      </c>
      <c r="FH141" s="239">
        <v>51621</v>
      </c>
      <c r="FI141" s="239">
        <v>-4984039</v>
      </c>
      <c r="FJ141" s="239">
        <v>0</v>
      </c>
      <c r="FK141" s="239">
        <v>-4984039</v>
      </c>
      <c r="FL141" s="239">
        <v>-1996246</v>
      </c>
      <c r="FM141" s="239">
        <v>0</v>
      </c>
      <c r="FN141" s="239">
        <v>-1996246</v>
      </c>
      <c r="FO141" s="239">
        <v>-186652</v>
      </c>
      <c r="FP141" s="239">
        <v>0</v>
      </c>
      <c r="FQ141" s="239">
        <v>-186652</v>
      </c>
      <c r="FR141" s="239">
        <v>-67382</v>
      </c>
      <c r="FS141" s="239">
        <v>-133400</v>
      </c>
      <c r="FT141" s="239">
        <v>-200782</v>
      </c>
      <c r="FU141" s="239">
        <v>0</v>
      </c>
      <c r="FV141" s="239">
        <v>0</v>
      </c>
      <c r="FW141" s="239">
        <v>0</v>
      </c>
      <c r="FX141" s="239">
        <v>-7182698</v>
      </c>
      <c r="FY141" s="239">
        <v>-133400</v>
      </c>
      <c r="FZ141" s="239">
        <v>-7316098</v>
      </c>
      <c r="GA141" s="239">
        <v>56321935</v>
      </c>
      <c r="GB141" s="239">
        <v>0</v>
      </c>
      <c r="GC141" s="239">
        <v>56321935</v>
      </c>
      <c r="GD141" s="214" t="s">
        <v>1190</v>
      </c>
    </row>
    <row r="142" spans="2:186" s="214" customFormat="1" x14ac:dyDescent="0.2">
      <c r="B142" s="609" t="s">
        <v>366</v>
      </c>
      <c r="C142" s="609" t="s">
        <v>365</v>
      </c>
      <c r="D142" s="239">
        <v>0</v>
      </c>
      <c r="E142" s="239">
        <v>0</v>
      </c>
      <c r="F142" s="239">
        <v>0</v>
      </c>
      <c r="G142" s="239">
        <v>159969</v>
      </c>
      <c r="H142" s="239">
        <v>0</v>
      </c>
      <c r="I142" s="239">
        <v>159969</v>
      </c>
      <c r="J142" s="239">
        <v>0</v>
      </c>
      <c r="K142" s="239">
        <v>0</v>
      </c>
      <c r="L142" s="239">
        <v>0</v>
      </c>
      <c r="M142" s="239">
        <v>96569</v>
      </c>
      <c r="N142" s="239">
        <v>0</v>
      </c>
      <c r="O142" s="239">
        <v>96569</v>
      </c>
      <c r="P142" s="239">
        <v>256538</v>
      </c>
      <c r="Q142" s="239">
        <v>0</v>
      </c>
      <c r="R142" s="239">
        <v>256538</v>
      </c>
      <c r="S142" s="239">
        <v>-5405438</v>
      </c>
      <c r="T142" s="239">
        <v>0</v>
      </c>
      <c r="U142" s="239">
        <v>-5405438</v>
      </c>
      <c r="V142" s="239">
        <v>-20788</v>
      </c>
      <c r="W142" s="239">
        <v>0</v>
      </c>
      <c r="X142" s="239">
        <v>-20788</v>
      </c>
      <c r="Y142" s="239">
        <v>-441525</v>
      </c>
      <c r="Z142" s="239">
        <v>0</v>
      </c>
      <c r="AA142" s="239">
        <v>-441525</v>
      </c>
      <c r="AB142" s="239">
        <v>-369009</v>
      </c>
      <c r="AC142" s="239">
        <v>0</v>
      </c>
      <c r="AD142" s="239">
        <v>-369009</v>
      </c>
      <c r="AE142" s="239">
        <v>3743</v>
      </c>
      <c r="AF142" s="239">
        <v>0</v>
      </c>
      <c r="AG142" s="239">
        <v>3743</v>
      </c>
      <c r="AH142" s="239">
        <v>899312</v>
      </c>
      <c r="AI142" s="239">
        <v>0</v>
      </c>
      <c r="AJ142" s="239">
        <v>899312</v>
      </c>
      <c r="AK142" s="239">
        <v>12709</v>
      </c>
      <c r="AL142" s="239">
        <v>0</v>
      </c>
      <c r="AM142" s="239">
        <v>12709</v>
      </c>
      <c r="AN142" s="239">
        <v>-3013341</v>
      </c>
      <c r="AO142" s="239">
        <v>0</v>
      </c>
      <c r="AP142" s="239">
        <v>-3013341</v>
      </c>
      <c r="AQ142" s="239">
        <v>-68370</v>
      </c>
      <c r="AR142" s="239">
        <v>0</v>
      </c>
      <c r="AS142" s="239">
        <v>-68370</v>
      </c>
      <c r="AT142" s="239">
        <v>-96786</v>
      </c>
      <c r="AU142" s="239">
        <v>0</v>
      </c>
      <c r="AV142" s="239">
        <v>-96786</v>
      </c>
      <c r="AW142" s="239">
        <v>0</v>
      </c>
      <c r="AX142" s="239">
        <v>0</v>
      </c>
      <c r="AY142" s="239">
        <v>0</v>
      </c>
      <c r="AZ142" s="239">
        <v>-10635</v>
      </c>
      <c r="BA142" s="239">
        <v>0</v>
      </c>
      <c r="BB142" s="239">
        <v>-10635</v>
      </c>
      <c r="BC142" s="239">
        <v>0</v>
      </c>
      <c r="BD142" s="239">
        <v>0</v>
      </c>
      <c r="BE142" s="239">
        <v>0</v>
      </c>
      <c r="BF142" s="239">
        <v>-8124074</v>
      </c>
      <c r="BG142" s="239">
        <v>0</v>
      </c>
      <c r="BH142" s="239">
        <v>-8124074</v>
      </c>
      <c r="BI142" s="239">
        <v>-545</v>
      </c>
      <c r="BJ142" s="239">
        <v>0</v>
      </c>
      <c r="BK142" s="239">
        <v>-545</v>
      </c>
      <c r="BL142" s="239">
        <v>-507</v>
      </c>
      <c r="BM142" s="239">
        <v>0</v>
      </c>
      <c r="BN142" s="239">
        <v>-507</v>
      </c>
      <c r="BO142" s="239">
        <v>-945537</v>
      </c>
      <c r="BP142" s="239">
        <v>0</v>
      </c>
      <c r="BQ142" s="239">
        <v>-945537</v>
      </c>
      <c r="BR142" s="239">
        <v>-42717</v>
      </c>
      <c r="BS142" s="239">
        <v>0</v>
      </c>
      <c r="BT142" s="239">
        <v>-42717</v>
      </c>
      <c r="BU142" s="239">
        <v>-989306</v>
      </c>
      <c r="BV142" s="239">
        <v>0</v>
      </c>
      <c r="BW142" s="239">
        <v>-989306</v>
      </c>
      <c r="BX142" s="239">
        <v>-101130</v>
      </c>
      <c r="BY142" s="239">
        <v>0</v>
      </c>
      <c r="BZ142" s="239">
        <v>-101130</v>
      </c>
      <c r="CA142" s="239">
        <v>-4045</v>
      </c>
      <c r="CB142" s="239">
        <v>0</v>
      </c>
      <c r="CC142" s="239">
        <v>-4045</v>
      </c>
      <c r="CD142" s="239">
        <v>-63565</v>
      </c>
      <c r="CE142" s="239">
        <v>0</v>
      </c>
      <c r="CF142" s="239">
        <v>-63565</v>
      </c>
      <c r="CG142" s="239">
        <v>-6063</v>
      </c>
      <c r="CH142" s="239">
        <v>0</v>
      </c>
      <c r="CI142" s="239">
        <v>-6063</v>
      </c>
      <c r="CJ142" s="239">
        <v>-944</v>
      </c>
      <c r="CK142" s="239">
        <v>0</v>
      </c>
      <c r="CL142" s="239">
        <v>-944</v>
      </c>
      <c r="CM142" s="239">
        <v>0</v>
      </c>
      <c r="CN142" s="239">
        <v>0</v>
      </c>
      <c r="CO142" s="239">
        <v>0</v>
      </c>
      <c r="CP142" s="239">
        <v>-6080</v>
      </c>
      <c r="CQ142" s="239">
        <v>0</v>
      </c>
      <c r="CR142" s="239">
        <v>-6080</v>
      </c>
      <c r="CS142" s="239">
        <v>0</v>
      </c>
      <c r="CT142" s="239">
        <v>0</v>
      </c>
      <c r="CU142" s="239">
        <v>0</v>
      </c>
      <c r="CV142" s="239">
        <v>0</v>
      </c>
      <c r="CW142" s="239">
        <v>0</v>
      </c>
      <c r="CX142" s="239">
        <v>0</v>
      </c>
      <c r="CY142" s="239">
        <v>0</v>
      </c>
      <c r="CZ142" s="239">
        <v>0</v>
      </c>
      <c r="DA142" s="239">
        <v>0</v>
      </c>
      <c r="DB142" s="239">
        <v>0</v>
      </c>
      <c r="DC142" s="239">
        <v>0</v>
      </c>
      <c r="DD142" s="239">
        <v>0</v>
      </c>
      <c r="DE142" s="239">
        <v>0</v>
      </c>
      <c r="DF142" s="239">
        <v>0</v>
      </c>
      <c r="DG142" s="239">
        <v>0</v>
      </c>
      <c r="DH142" s="239">
        <v>0</v>
      </c>
      <c r="DI142" s="239">
        <v>0</v>
      </c>
      <c r="DJ142" s="239">
        <v>-181827</v>
      </c>
      <c r="DK142" s="239">
        <v>0</v>
      </c>
      <c r="DL142" s="239">
        <v>-181827</v>
      </c>
      <c r="DM142" s="239">
        <v>0</v>
      </c>
      <c r="DN142" s="239">
        <v>0</v>
      </c>
      <c r="DO142" s="239">
        <v>0</v>
      </c>
      <c r="DP142" s="239">
        <v>714</v>
      </c>
      <c r="DQ142" s="239">
        <v>0</v>
      </c>
      <c r="DR142" s="239">
        <v>714</v>
      </c>
      <c r="DS142" s="239">
        <v>-8328</v>
      </c>
      <c r="DT142" s="239">
        <v>0</v>
      </c>
      <c r="DU142" s="239">
        <v>-8328</v>
      </c>
      <c r="DV142" s="239">
        <v>60</v>
      </c>
      <c r="DW142" s="239">
        <v>0</v>
      </c>
      <c r="DX142" s="239">
        <v>60</v>
      </c>
      <c r="DY142" s="239">
        <v>0</v>
      </c>
      <c r="DZ142" s="239">
        <v>0</v>
      </c>
      <c r="EA142" s="239">
        <v>0</v>
      </c>
      <c r="EB142" s="239">
        <v>8462</v>
      </c>
      <c r="EC142" s="239">
        <v>0</v>
      </c>
      <c r="ED142" s="239">
        <v>8462</v>
      </c>
      <c r="EE142" s="239">
        <v>0</v>
      </c>
      <c r="EF142" s="239">
        <v>0</v>
      </c>
      <c r="EG142" s="239">
        <v>0</v>
      </c>
      <c r="EH142" s="239">
        <v>0</v>
      </c>
      <c r="EI142" s="239">
        <v>0</v>
      </c>
      <c r="EJ142" s="239">
        <v>0</v>
      </c>
      <c r="EK142" s="239">
        <v>-3814</v>
      </c>
      <c r="EL142" s="239">
        <v>0</v>
      </c>
      <c r="EM142" s="239">
        <v>-3814</v>
      </c>
      <c r="EN142" s="239">
        <v>-36</v>
      </c>
      <c r="EO142" s="239">
        <v>0</v>
      </c>
      <c r="EP142" s="239">
        <v>-36</v>
      </c>
      <c r="EQ142" s="239">
        <v>-2942</v>
      </c>
      <c r="ER142" s="239">
        <v>0</v>
      </c>
      <c r="ES142" s="239">
        <v>-2942</v>
      </c>
      <c r="ET142" s="239">
        <v>-9244</v>
      </c>
      <c r="EU142" s="239">
        <v>0</v>
      </c>
      <c r="EV142" s="239">
        <v>-9244</v>
      </c>
      <c r="EW142" s="239">
        <v>1266</v>
      </c>
      <c r="EX142" s="239">
        <v>0</v>
      </c>
      <c r="EY142" s="239">
        <v>1266</v>
      </c>
      <c r="EZ142" s="239">
        <v>-7978</v>
      </c>
      <c r="FA142" s="239">
        <v>0</v>
      </c>
      <c r="FB142" s="239">
        <v>-7978</v>
      </c>
      <c r="FC142" s="239">
        <v>44677440</v>
      </c>
      <c r="FD142" s="239">
        <v>0</v>
      </c>
      <c r="FE142" s="239">
        <v>44677440</v>
      </c>
      <c r="FF142" s="239">
        <v>256538</v>
      </c>
      <c r="FG142" s="239">
        <v>0</v>
      </c>
      <c r="FH142" s="239">
        <v>256538</v>
      </c>
      <c r="FI142" s="239">
        <v>-8124074</v>
      </c>
      <c r="FJ142" s="239">
        <v>0</v>
      </c>
      <c r="FK142" s="239">
        <v>-8124074</v>
      </c>
      <c r="FL142" s="239">
        <v>-989306</v>
      </c>
      <c r="FM142" s="239">
        <v>0</v>
      </c>
      <c r="FN142" s="239">
        <v>-989306</v>
      </c>
      <c r="FO142" s="239">
        <v>-181827</v>
      </c>
      <c r="FP142" s="239">
        <v>0</v>
      </c>
      <c r="FQ142" s="239">
        <v>-181827</v>
      </c>
      <c r="FR142" s="239">
        <v>-2942</v>
      </c>
      <c r="FS142" s="239">
        <v>0</v>
      </c>
      <c r="FT142" s="239">
        <v>-2942</v>
      </c>
      <c r="FU142" s="239">
        <v>-7978</v>
      </c>
      <c r="FV142" s="239">
        <v>0</v>
      </c>
      <c r="FW142" s="239">
        <v>-7978</v>
      </c>
      <c r="FX142" s="239">
        <v>-9049589</v>
      </c>
      <c r="FY142" s="239">
        <v>0</v>
      </c>
      <c r="FZ142" s="239">
        <v>-9049589</v>
      </c>
      <c r="GA142" s="239">
        <v>35627851</v>
      </c>
      <c r="GB142" s="239">
        <v>0</v>
      </c>
      <c r="GC142" s="239">
        <v>35627851</v>
      </c>
      <c r="GD142" s="214" t="s">
        <v>747</v>
      </c>
    </row>
    <row r="143" spans="2:186" s="214" customFormat="1" x14ac:dyDescent="0.2">
      <c r="B143" s="609" t="s">
        <v>368</v>
      </c>
      <c r="C143" s="609" t="s">
        <v>367</v>
      </c>
      <c r="D143" s="239">
        <v>0</v>
      </c>
      <c r="E143" s="239">
        <v>0</v>
      </c>
      <c r="F143" s="239">
        <v>0</v>
      </c>
      <c r="G143" s="239">
        <v>0</v>
      </c>
      <c r="H143" s="239">
        <v>0</v>
      </c>
      <c r="I143" s="239">
        <v>0</v>
      </c>
      <c r="J143" s="239">
        <v>0</v>
      </c>
      <c r="K143" s="239">
        <v>0</v>
      </c>
      <c r="L143" s="239">
        <v>0</v>
      </c>
      <c r="M143" s="239">
        <v>0</v>
      </c>
      <c r="N143" s="239">
        <v>0</v>
      </c>
      <c r="O143" s="239">
        <v>0</v>
      </c>
      <c r="P143" s="239">
        <v>0</v>
      </c>
      <c r="Q143" s="239">
        <v>0</v>
      </c>
      <c r="R143" s="239">
        <v>0</v>
      </c>
      <c r="S143" s="239">
        <v>-368332</v>
      </c>
      <c r="T143" s="239">
        <v>0</v>
      </c>
      <c r="U143" s="239">
        <v>-368332</v>
      </c>
      <c r="V143" s="239">
        <v>0</v>
      </c>
      <c r="W143" s="239">
        <v>0</v>
      </c>
      <c r="X143" s="239">
        <v>0</v>
      </c>
      <c r="Y143" s="239">
        <v>0</v>
      </c>
      <c r="Z143" s="239">
        <v>0</v>
      </c>
      <c r="AA143" s="239">
        <v>0</v>
      </c>
      <c r="AB143" s="239">
        <v>0</v>
      </c>
      <c r="AC143" s="239">
        <v>0</v>
      </c>
      <c r="AD143" s="239">
        <v>0</v>
      </c>
      <c r="AE143" s="239">
        <v>0</v>
      </c>
      <c r="AF143" s="239">
        <v>0</v>
      </c>
      <c r="AG143" s="239">
        <v>0</v>
      </c>
      <c r="AH143" s="239">
        <v>0</v>
      </c>
      <c r="AI143" s="239">
        <v>0</v>
      </c>
      <c r="AJ143" s="239">
        <v>0</v>
      </c>
      <c r="AK143" s="239">
        <v>0</v>
      </c>
      <c r="AL143" s="239">
        <v>0</v>
      </c>
      <c r="AM143" s="239">
        <v>0</v>
      </c>
      <c r="AN143" s="239">
        <v>-16441</v>
      </c>
      <c r="AO143" s="239">
        <v>0</v>
      </c>
      <c r="AP143" s="239">
        <v>-16441</v>
      </c>
      <c r="AQ143" s="239">
        <v>0</v>
      </c>
      <c r="AR143" s="239">
        <v>0</v>
      </c>
      <c r="AS143" s="239">
        <v>0</v>
      </c>
      <c r="AT143" s="239">
        <v>-6570</v>
      </c>
      <c r="AU143" s="239">
        <v>0</v>
      </c>
      <c r="AV143" s="239">
        <v>-6570</v>
      </c>
      <c r="AW143" s="239">
        <v>0</v>
      </c>
      <c r="AX143" s="239">
        <v>0</v>
      </c>
      <c r="AY143" s="239">
        <v>0</v>
      </c>
      <c r="AZ143" s="239">
        <v>-1814</v>
      </c>
      <c r="BA143" s="239">
        <v>0</v>
      </c>
      <c r="BB143" s="239">
        <v>-1814</v>
      </c>
      <c r="BC143" s="239">
        <v>0</v>
      </c>
      <c r="BD143" s="239">
        <v>0</v>
      </c>
      <c r="BE143" s="239">
        <v>0</v>
      </c>
      <c r="BF143" s="239">
        <v>-393157</v>
      </c>
      <c r="BG143" s="239">
        <v>0</v>
      </c>
      <c r="BH143" s="239">
        <v>-393157</v>
      </c>
      <c r="BI143" s="239">
        <v>0</v>
      </c>
      <c r="BJ143" s="239">
        <v>0</v>
      </c>
      <c r="BK143" s="239">
        <v>0</v>
      </c>
      <c r="BL143" s="239">
        <v>0</v>
      </c>
      <c r="BM143" s="239">
        <v>0</v>
      </c>
      <c r="BN143" s="239">
        <v>0</v>
      </c>
      <c r="BO143" s="239">
        <v>-709</v>
      </c>
      <c r="BP143" s="239">
        <v>0</v>
      </c>
      <c r="BQ143" s="239">
        <v>-709</v>
      </c>
      <c r="BR143" s="239">
        <v>0</v>
      </c>
      <c r="BS143" s="239">
        <v>0</v>
      </c>
      <c r="BT143" s="239">
        <v>0</v>
      </c>
      <c r="BU143" s="239">
        <v>-709</v>
      </c>
      <c r="BV143" s="239">
        <v>0</v>
      </c>
      <c r="BW143" s="239">
        <v>-709</v>
      </c>
      <c r="BX143" s="239">
        <v>-2475</v>
      </c>
      <c r="BY143" s="239">
        <v>0</v>
      </c>
      <c r="BZ143" s="239">
        <v>-2475</v>
      </c>
      <c r="CA143" s="239">
        <v>0</v>
      </c>
      <c r="CB143" s="239">
        <v>0</v>
      </c>
      <c r="CC143" s="239">
        <v>0</v>
      </c>
      <c r="CD143" s="239">
        <v>-4641</v>
      </c>
      <c r="CE143" s="239">
        <v>0</v>
      </c>
      <c r="CF143" s="239">
        <v>-4641</v>
      </c>
      <c r="CG143" s="239">
        <v>0</v>
      </c>
      <c r="CH143" s="239">
        <v>0</v>
      </c>
      <c r="CI143" s="239">
        <v>0</v>
      </c>
      <c r="CJ143" s="239">
        <v>-1446</v>
      </c>
      <c r="CK143" s="239">
        <v>0</v>
      </c>
      <c r="CL143" s="239">
        <v>-1446</v>
      </c>
      <c r="CM143" s="239">
        <v>0</v>
      </c>
      <c r="CN143" s="239">
        <v>0</v>
      </c>
      <c r="CO143" s="239">
        <v>0</v>
      </c>
      <c r="CP143" s="239">
        <v>-1267</v>
      </c>
      <c r="CQ143" s="239">
        <v>0</v>
      </c>
      <c r="CR143" s="239">
        <v>-1267</v>
      </c>
      <c r="CS143" s="239">
        <v>0</v>
      </c>
      <c r="CT143" s="239">
        <v>0</v>
      </c>
      <c r="CU143" s="239">
        <v>0</v>
      </c>
      <c r="CV143" s="239">
        <v>0</v>
      </c>
      <c r="CW143" s="239">
        <v>0</v>
      </c>
      <c r="CX143" s="239">
        <v>0</v>
      </c>
      <c r="CY143" s="239">
        <v>0</v>
      </c>
      <c r="CZ143" s="239">
        <v>0</v>
      </c>
      <c r="DA143" s="239">
        <v>0</v>
      </c>
      <c r="DB143" s="239">
        <v>0</v>
      </c>
      <c r="DC143" s="239">
        <v>0</v>
      </c>
      <c r="DD143" s="239">
        <v>0</v>
      </c>
      <c r="DE143" s="239">
        <v>0</v>
      </c>
      <c r="DF143" s="239">
        <v>0</v>
      </c>
      <c r="DG143" s="239">
        <v>0</v>
      </c>
      <c r="DH143" s="239">
        <v>0</v>
      </c>
      <c r="DI143" s="239">
        <v>0</v>
      </c>
      <c r="DJ143" s="239">
        <v>-9829</v>
      </c>
      <c r="DK143" s="239">
        <v>0</v>
      </c>
      <c r="DL143" s="239">
        <v>-9829</v>
      </c>
      <c r="DM143" s="239">
        <v>0</v>
      </c>
      <c r="DN143" s="239">
        <v>0</v>
      </c>
      <c r="DO143" s="239">
        <v>0</v>
      </c>
      <c r="DP143" s="239">
        <v>0</v>
      </c>
      <c r="DQ143" s="239">
        <v>0</v>
      </c>
      <c r="DR143" s="239">
        <v>0</v>
      </c>
      <c r="DS143" s="239">
        <v>0</v>
      </c>
      <c r="DT143" s="239">
        <v>0</v>
      </c>
      <c r="DU143" s="239">
        <v>0</v>
      </c>
      <c r="DV143" s="239">
        <v>0</v>
      </c>
      <c r="DW143" s="239">
        <v>0</v>
      </c>
      <c r="DX143" s="239">
        <v>0</v>
      </c>
      <c r="DY143" s="239">
        <v>0</v>
      </c>
      <c r="DZ143" s="239">
        <v>0</v>
      </c>
      <c r="EA143" s="239">
        <v>0</v>
      </c>
      <c r="EB143" s="239">
        <v>0</v>
      </c>
      <c r="EC143" s="239">
        <v>0</v>
      </c>
      <c r="ED143" s="239">
        <v>0</v>
      </c>
      <c r="EE143" s="239">
        <v>0</v>
      </c>
      <c r="EF143" s="239">
        <v>0</v>
      </c>
      <c r="EG143" s="239">
        <v>0</v>
      </c>
      <c r="EH143" s="239">
        <v>0</v>
      </c>
      <c r="EI143" s="239">
        <v>0</v>
      </c>
      <c r="EJ143" s="239">
        <v>0</v>
      </c>
      <c r="EK143" s="239">
        <v>0</v>
      </c>
      <c r="EL143" s="239">
        <v>0</v>
      </c>
      <c r="EM143" s="239">
        <v>0</v>
      </c>
      <c r="EN143" s="239">
        <v>0</v>
      </c>
      <c r="EO143" s="239">
        <v>0</v>
      </c>
      <c r="EP143" s="239">
        <v>0</v>
      </c>
      <c r="EQ143" s="239">
        <v>0</v>
      </c>
      <c r="ER143" s="239">
        <v>0</v>
      </c>
      <c r="ES143" s="239">
        <v>0</v>
      </c>
      <c r="ET143" s="239">
        <v>0</v>
      </c>
      <c r="EU143" s="239">
        <v>0</v>
      </c>
      <c r="EV143" s="239">
        <v>0</v>
      </c>
      <c r="EW143" s="239">
        <v>0</v>
      </c>
      <c r="EX143" s="239">
        <v>0</v>
      </c>
      <c r="EY143" s="239">
        <v>0</v>
      </c>
      <c r="EZ143" s="239">
        <v>0</v>
      </c>
      <c r="FA143" s="239">
        <v>0</v>
      </c>
      <c r="FB143" s="239">
        <v>0</v>
      </c>
      <c r="FC143" s="239">
        <v>1896741</v>
      </c>
      <c r="FD143" s="239">
        <v>0</v>
      </c>
      <c r="FE143" s="239">
        <v>1896741</v>
      </c>
      <c r="FF143" s="239">
        <v>0</v>
      </c>
      <c r="FG143" s="239">
        <v>0</v>
      </c>
      <c r="FH143" s="239">
        <v>0</v>
      </c>
      <c r="FI143" s="239">
        <v>-393157</v>
      </c>
      <c r="FJ143" s="239">
        <v>0</v>
      </c>
      <c r="FK143" s="239">
        <v>-393157</v>
      </c>
      <c r="FL143" s="239">
        <v>-709</v>
      </c>
      <c r="FM143" s="239">
        <v>0</v>
      </c>
      <c r="FN143" s="239">
        <v>-709</v>
      </c>
      <c r="FO143" s="239">
        <v>-9829</v>
      </c>
      <c r="FP143" s="239">
        <v>0</v>
      </c>
      <c r="FQ143" s="239">
        <v>-9829</v>
      </c>
      <c r="FR143" s="239">
        <v>0</v>
      </c>
      <c r="FS143" s="239">
        <v>0</v>
      </c>
      <c r="FT143" s="239">
        <v>0</v>
      </c>
      <c r="FU143" s="239">
        <v>0</v>
      </c>
      <c r="FV143" s="239">
        <v>0</v>
      </c>
      <c r="FW143" s="239">
        <v>0</v>
      </c>
      <c r="FX143" s="239">
        <v>-403695</v>
      </c>
      <c r="FY143" s="239">
        <v>0</v>
      </c>
      <c r="FZ143" s="239">
        <v>-403695</v>
      </c>
      <c r="GA143" s="239">
        <v>1493046</v>
      </c>
      <c r="GB143" s="239">
        <v>0</v>
      </c>
      <c r="GC143" s="239">
        <v>1493046</v>
      </c>
      <c r="GD143" s="214" t="s">
        <v>747</v>
      </c>
    </row>
    <row r="144" spans="2:186" s="214" customFormat="1" x14ac:dyDescent="0.2">
      <c r="B144" s="609" t="s">
        <v>370</v>
      </c>
      <c r="C144" s="609" t="s">
        <v>369</v>
      </c>
      <c r="D144" s="239">
        <v>0</v>
      </c>
      <c r="E144" s="239">
        <v>0</v>
      </c>
      <c r="F144" s="239">
        <v>0</v>
      </c>
      <c r="G144" s="239">
        <v>0</v>
      </c>
      <c r="H144" s="239">
        <v>0</v>
      </c>
      <c r="I144" s="239">
        <v>0</v>
      </c>
      <c r="J144" s="239">
        <v>0</v>
      </c>
      <c r="K144" s="239">
        <v>0</v>
      </c>
      <c r="L144" s="239">
        <v>0</v>
      </c>
      <c r="M144" s="239">
        <v>2365598</v>
      </c>
      <c r="N144" s="239">
        <v>0</v>
      </c>
      <c r="O144" s="239">
        <v>2365598</v>
      </c>
      <c r="P144" s="239">
        <v>2365598</v>
      </c>
      <c r="Q144" s="239">
        <v>0</v>
      </c>
      <c r="R144" s="239">
        <v>2365598</v>
      </c>
      <c r="S144" s="239">
        <v>-3498282</v>
      </c>
      <c r="T144" s="239">
        <v>0</v>
      </c>
      <c r="U144" s="239">
        <v>-3498282</v>
      </c>
      <c r="V144" s="239">
        <v>0</v>
      </c>
      <c r="W144" s="239">
        <v>0</v>
      </c>
      <c r="X144" s="239">
        <v>0</v>
      </c>
      <c r="Y144" s="239">
        <v>-257611</v>
      </c>
      <c r="Z144" s="239">
        <v>0</v>
      </c>
      <c r="AA144" s="239">
        <v>-257611</v>
      </c>
      <c r="AB144" s="239">
        <v>-209605</v>
      </c>
      <c r="AC144" s="239">
        <v>0</v>
      </c>
      <c r="AD144" s="239">
        <v>-209605</v>
      </c>
      <c r="AE144" s="239">
        <v>0</v>
      </c>
      <c r="AF144" s="239">
        <v>0</v>
      </c>
      <c r="AG144" s="239">
        <v>0</v>
      </c>
      <c r="AH144" s="239">
        <v>5547610</v>
      </c>
      <c r="AI144" s="239">
        <v>0</v>
      </c>
      <c r="AJ144" s="239">
        <v>5547610</v>
      </c>
      <c r="AK144" s="239">
        <v>112301</v>
      </c>
      <c r="AL144" s="239">
        <v>0</v>
      </c>
      <c r="AM144" s="239">
        <v>112301</v>
      </c>
      <c r="AN144" s="239">
        <v>-18864310</v>
      </c>
      <c r="AO144" s="239">
        <v>0</v>
      </c>
      <c r="AP144" s="239">
        <v>-18864310</v>
      </c>
      <c r="AQ144" s="239">
        <v>515551</v>
      </c>
      <c r="AR144" s="239">
        <v>0</v>
      </c>
      <c r="AS144" s="239">
        <v>515551</v>
      </c>
      <c r="AT144" s="239">
        <v>0</v>
      </c>
      <c r="AU144" s="239">
        <v>0</v>
      </c>
      <c r="AV144" s="239">
        <v>0</v>
      </c>
      <c r="AW144" s="239">
        <v>0</v>
      </c>
      <c r="AX144" s="239">
        <v>0</v>
      </c>
      <c r="AY144" s="239">
        <v>0</v>
      </c>
      <c r="AZ144" s="239">
        <v>0</v>
      </c>
      <c r="BA144" s="239">
        <v>0</v>
      </c>
      <c r="BB144" s="239">
        <v>0</v>
      </c>
      <c r="BC144" s="239">
        <v>0</v>
      </c>
      <c r="BD144" s="239">
        <v>0</v>
      </c>
      <c r="BE144" s="239">
        <v>0</v>
      </c>
      <c r="BF144" s="239">
        <v>-16444741</v>
      </c>
      <c r="BG144" s="239">
        <v>0</v>
      </c>
      <c r="BH144" s="239">
        <v>-16444741</v>
      </c>
      <c r="BI144" s="239">
        <v>-314489</v>
      </c>
      <c r="BJ144" s="239">
        <v>0</v>
      </c>
      <c r="BK144" s="239">
        <v>-314489</v>
      </c>
      <c r="BL144" s="239">
        <v>5006</v>
      </c>
      <c r="BM144" s="239">
        <v>0</v>
      </c>
      <c r="BN144" s="239">
        <v>5006</v>
      </c>
      <c r="BO144" s="239">
        <v>-6923757</v>
      </c>
      <c r="BP144" s="239">
        <v>0</v>
      </c>
      <c r="BQ144" s="239">
        <v>-6923757</v>
      </c>
      <c r="BR144" s="239">
        <v>-792683</v>
      </c>
      <c r="BS144" s="239">
        <v>0</v>
      </c>
      <c r="BT144" s="239">
        <v>-792683</v>
      </c>
      <c r="BU144" s="239">
        <v>-8025923</v>
      </c>
      <c r="BV144" s="239">
        <v>0</v>
      </c>
      <c r="BW144" s="239">
        <v>-8025923</v>
      </c>
      <c r="BX144" s="239">
        <v>-681994</v>
      </c>
      <c r="BY144" s="239">
        <v>0</v>
      </c>
      <c r="BZ144" s="239">
        <v>-681994</v>
      </c>
      <c r="CA144" s="239">
        <v>15420</v>
      </c>
      <c r="CB144" s="239">
        <v>0</v>
      </c>
      <c r="CC144" s="239">
        <v>15420</v>
      </c>
      <c r="CD144" s="239">
        <v>-322204</v>
      </c>
      <c r="CE144" s="239">
        <v>0</v>
      </c>
      <c r="CF144" s="239">
        <v>-322204</v>
      </c>
      <c r="CG144" s="239">
        <v>-9233</v>
      </c>
      <c r="CH144" s="239">
        <v>0</v>
      </c>
      <c r="CI144" s="239">
        <v>-9233</v>
      </c>
      <c r="CJ144" s="239">
        <v>0</v>
      </c>
      <c r="CK144" s="239">
        <v>0</v>
      </c>
      <c r="CL144" s="239">
        <v>0</v>
      </c>
      <c r="CM144" s="239">
        <v>0</v>
      </c>
      <c r="CN144" s="239">
        <v>0</v>
      </c>
      <c r="CO144" s="239">
        <v>0</v>
      </c>
      <c r="CP144" s="239">
        <v>0</v>
      </c>
      <c r="CQ144" s="239">
        <v>0</v>
      </c>
      <c r="CR144" s="239">
        <v>0</v>
      </c>
      <c r="CS144" s="239">
        <v>0</v>
      </c>
      <c r="CT144" s="239">
        <v>0</v>
      </c>
      <c r="CU144" s="239">
        <v>0</v>
      </c>
      <c r="CV144" s="239">
        <v>0</v>
      </c>
      <c r="CW144" s="239">
        <v>0</v>
      </c>
      <c r="CX144" s="239">
        <v>0</v>
      </c>
      <c r="CY144" s="239">
        <v>0</v>
      </c>
      <c r="CZ144" s="239">
        <v>0</v>
      </c>
      <c r="DA144" s="239">
        <v>0</v>
      </c>
      <c r="DB144" s="239">
        <v>0</v>
      </c>
      <c r="DC144" s="239">
        <v>0</v>
      </c>
      <c r="DD144" s="239">
        <v>0</v>
      </c>
      <c r="DE144" s="239">
        <v>0</v>
      </c>
      <c r="DF144" s="239">
        <v>0</v>
      </c>
      <c r="DG144" s="239">
        <v>0</v>
      </c>
      <c r="DH144" s="239">
        <v>0</v>
      </c>
      <c r="DI144" s="239">
        <v>0</v>
      </c>
      <c r="DJ144" s="239">
        <v>-998011</v>
      </c>
      <c r="DK144" s="239">
        <v>0</v>
      </c>
      <c r="DL144" s="239">
        <v>-998011</v>
      </c>
      <c r="DM144" s="239">
        <v>-18999</v>
      </c>
      <c r="DN144" s="239">
        <v>0</v>
      </c>
      <c r="DO144" s="239">
        <v>-18999</v>
      </c>
      <c r="DP144" s="239">
        <v>0</v>
      </c>
      <c r="DQ144" s="239">
        <v>0</v>
      </c>
      <c r="DR144" s="239">
        <v>0</v>
      </c>
      <c r="DS144" s="239">
        <v>-45121</v>
      </c>
      <c r="DT144" s="239">
        <v>0</v>
      </c>
      <c r="DU144" s="239">
        <v>-45121</v>
      </c>
      <c r="DV144" s="239">
        <v>-5609</v>
      </c>
      <c r="DW144" s="239">
        <v>0</v>
      </c>
      <c r="DX144" s="239">
        <v>-5609</v>
      </c>
      <c r="DY144" s="239">
        <v>0</v>
      </c>
      <c r="DZ144" s="239">
        <v>0</v>
      </c>
      <c r="EA144" s="239">
        <v>0</v>
      </c>
      <c r="EB144" s="239">
        <v>-43753</v>
      </c>
      <c r="EC144" s="239">
        <v>0</v>
      </c>
      <c r="ED144" s="239">
        <v>-43753</v>
      </c>
      <c r="EE144" s="239">
        <v>0</v>
      </c>
      <c r="EF144" s="239">
        <v>0</v>
      </c>
      <c r="EG144" s="239">
        <v>0</v>
      </c>
      <c r="EH144" s="239">
        <v>0</v>
      </c>
      <c r="EI144" s="239">
        <v>0</v>
      </c>
      <c r="EJ144" s="239">
        <v>0</v>
      </c>
      <c r="EK144" s="239">
        <v>0</v>
      </c>
      <c r="EL144" s="239">
        <v>0</v>
      </c>
      <c r="EM144" s="239">
        <v>0</v>
      </c>
      <c r="EN144" s="239">
        <v>0</v>
      </c>
      <c r="EO144" s="239">
        <v>0</v>
      </c>
      <c r="EP144" s="239">
        <v>0</v>
      </c>
      <c r="EQ144" s="239">
        <v>-113482</v>
      </c>
      <c r="ER144" s="239">
        <v>0</v>
      </c>
      <c r="ES144" s="239">
        <v>-113482</v>
      </c>
      <c r="ET144" s="239">
        <v>0</v>
      </c>
      <c r="EU144" s="239">
        <v>0</v>
      </c>
      <c r="EV144" s="239">
        <v>0</v>
      </c>
      <c r="EW144" s="239">
        <v>0</v>
      </c>
      <c r="EX144" s="239">
        <v>0</v>
      </c>
      <c r="EY144" s="239">
        <v>0</v>
      </c>
      <c r="EZ144" s="239">
        <v>0</v>
      </c>
      <c r="FA144" s="239">
        <v>0</v>
      </c>
      <c r="FB144" s="239">
        <v>0</v>
      </c>
      <c r="FC144" s="239">
        <v>232467701</v>
      </c>
      <c r="FD144" s="239">
        <v>0</v>
      </c>
      <c r="FE144" s="239">
        <v>232467701</v>
      </c>
      <c r="FF144" s="239">
        <v>2365598</v>
      </c>
      <c r="FG144" s="239">
        <v>0</v>
      </c>
      <c r="FH144" s="239">
        <v>2365598</v>
      </c>
      <c r="FI144" s="239">
        <v>-16444741</v>
      </c>
      <c r="FJ144" s="239">
        <v>0</v>
      </c>
      <c r="FK144" s="239">
        <v>-16444741</v>
      </c>
      <c r="FL144" s="239">
        <v>-8025923</v>
      </c>
      <c r="FM144" s="239">
        <v>0</v>
      </c>
      <c r="FN144" s="239">
        <v>-8025923</v>
      </c>
      <c r="FO144" s="239">
        <v>-998011</v>
      </c>
      <c r="FP144" s="239">
        <v>0</v>
      </c>
      <c r="FQ144" s="239">
        <v>-998011</v>
      </c>
      <c r="FR144" s="239">
        <v>-113482</v>
      </c>
      <c r="FS144" s="239">
        <v>0</v>
      </c>
      <c r="FT144" s="239">
        <v>-113482</v>
      </c>
      <c r="FU144" s="239">
        <v>0</v>
      </c>
      <c r="FV144" s="239">
        <v>0</v>
      </c>
      <c r="FW144" s="239">
        <v>0</v>
      </c>
      <c r="FX144" s="239">
        <v>-23216559</v>
      </c>
      <c r="FY144" s="239">
        <v>0</v>
      </c>
      <c r="FZ144" s="239">
        <v>-23216559</v>
      </c>
      <c r="GA144" s="239">
        <v>209251142</v>
      </c>
      <c r="GB144" s="239">
        <v>0</v>
      </c>
      <c r="GC144" s="239">
        <v>209251142</v>
      </c>
      <c r="GD144" s="214" t="s">
        <v>1193</v>
      </c>
    </row>
    <row r="145" spans="2:186" s="214" customFormat="1" x14ac:dyDescent="0.2">
      <c r="B145" s="609" t="s">
        <v>372</v>
      </c>
      <c r="C145" s="609" t="s">
        <v>371</v>
      </c>
      <c r="D145" s="239">
        <v>0</v>
      </c>
      <c r="E145" s="239">
        <v>0</v>
      </c>
      <c r="F145" s="239">
        <v>0</v>
      </c>
      <c r="G145" s="239">
        <v>719166</v>
      </c>
      <c r="H145" s="239">
        <v>0</v>
      </c>
      <c r="I145" s="239">
        <v>719166</v>
      </c>
      <c r="J145" s="239">
        <v>0</v>
      </c>
      <c r="K145" s="239">
        <v>0</v>
      </c>
      <c r="L145" s="239">
        <v>0</v>
      </c>
      <c r="M145" s="239">
        <v>-853748</v>
      </c>
      <c r="N145" s="239">
        <v>0</v>
      </c>
      <c r="O145" s="239">
        <v>-853748</v>
      </c>
      <c r="P145" s="239">
        <v>-134582</v>
      </c>
      <c r="Q145" s="239">
        <v>0</v>
      </c>
      <c r="R145" s="239">
        <v>-134582</v>
      </c>
      <c r="S145" s="239">
        <v>-1908026</v>
      </c>
      <c r="T145" s="239">
        <v>0</v>
      </c>
      <c r="U145" s="239">
        <v>-1908026</v>
      </c>
      <c r="V145" s="239">
        <v>-1536</v>
      </c>
      <c r="W145" s="239">
        <v>0</v>
      </c>
      <c r="X145" s="239">
        <v>-1536</v>
      </c>
      <c r="Y145" s="239">
        <v>-116748</v>
      </c>
      <c r="Z145" s="239">
        <v>0</v>
      </c>
      <c r="AA145" s="239">
        <v>-116748</v>
      </c>
      <c r="AB145" s="239">
        <v>-96411</v>
      </c>
      <c r="AC145" s="239">
        <v>0</v>
      </c>
      <c r="AD145" s="239">
        <v>-96411</v>
      </c>
      <c r="AE145" s="239">
        <v>0</v>
      </c>
      <c r="AF145" s="239">
        <v>0</v>
      </c>
      <c r="AG145" s="239">
        <v>0</v>
      </c>
      <c r="AH145" s="239">
        <v>7828364</v>
      </c>
      <c r="AI145" s="239">
        <v>0</v>
      </c>
      <c r="AJ145" s="239">
        <v>7828364</v>
      </c>
      <c r="AK145" s="239">
        <v>-142613</v>
      </c>
      <c r="AL145" s="239">
        <v>0</v>
      </c>
      <c r="AM145" s="239">
        <v>-142613</v>
      </c>
      <c r="AN145" s="239">
        <v>-16637896</v>
      </c>
      <c r="AO145" s="239">
        <v>0</v>
      </c>
      <c r="AP145" s="239">
        <v>-16637896</v>
      </c>
      <c r="AQ145" s="239">
        <v>1632000</v>
      </c>
      <c r="AR145" s="239">
        <v>0</v>
      </c>
      <c r="AS145" s="239">
        <v>1632000</v>
      </c>
      <c r="AT145" s="239">
        <v>0</v>
      </c>
      <c r="AU145" s="239">
        <v>0</v>
      </c>
      <c r="AV145" s="239">
        <v>0</v>
      </c>
      <c r="AW145" s="239">
        <v>0</v>
      </c>
      <c r="AX145" s="239">
        <v>0</v>
      </c>
      <c r="AY145" s="239">
        <v>0</v>
      </c>
      <c r="AZ145" s="239">
        <v>0</v>
      </c>
      <c r="BA145" s="239">
        <v>0</v>
      </c>
      <c r="BB145" s="239">
        <v>0</v>
      </c>
      <c r="BC145" s="239">
        <v>0</v>
      </c>
      <c r="BD145" s="239">
        <v>0</v>
      </c>
      <c r="BE145" s="239">
        <v>0</v>
      </c>
      <c r="BF145" s="239">
        <v>-9344919</v>
      </c>
      <c r="BG145" s="239">
        <v>0</v>
      </c>
      <c r="BH145" s="239">
        <v>-9344919</v>
      </c>
      <c r="BI145" s="239">
        <v>-3719</v>
      </c>
      <c r="BJ145" s="239">
        <v>0</v>
      </c>
      <c r="BK145" s="239">
        <v>-3719</v>
      </c>
      <c r="BL145" s="239">
        <v>19779</v>
      </c>
      <c r="BM145" s="239">
        <v>0</v>
      </c>
      <c r="BN145" s="239">
        <v>19779</v>
      </c>
      <c r="BO145" s="239">
        <v>-8804926</v>
      </c>
      <c r="BP145" s="239">
        <v>0</v>
      </c>
      <c r="BQ145" s="239">
        <v>-8804926</v>
      </c>
      <c r="BR145" s="239">
        <v>-491271</v>
      </c>
      <c r="BS145" s="239">
        <v>0</v>
      </c>
      <c r="BT145" s="239">
        <v>-491271</v>
      </c>
      <c r="BU145" s="239">
        <v>-9280137</v>
      </c>
      <c r="BV145" s="239">
        <v>0</v>
      </c>
      <c r="BW145" s="239">
        <v>-9280137</v>
      </c>
      <c r="BX145" s="239">
        <v>-73452</v>
      </c>
      <c r="BY145" s="239">
        <v>0</v>
      </c>
      <c r="BZ145" s="239">
        <v>-73452</v>
      </c>
      <c r="CA145" s="239">
        <v>1663</v>
      </c>
      <c r="CB145" s="239">
        <v>0</v>
      </c>
      <c r="CC145" s="239">
        <v>1663</v>
      </c>
      <c r="CD145" s="239">
        <v>-84050</v>
      </c>
      <c r="CE145" s="239">
        <v>0</v>
      </c>
      <c r="CF145" s="239">
        <v>-84050</v>
      </c>
      <c r="CG145" s="239">
        <v>156</v>
      </c>
      <c r="CH145" s="239">
        <v>0</v>
      </c>
      <c r="CI145" s="239">
        <v>156</v>
      </c>
      <c r="CJ145" s="239">
        <v>0</v>
      </c>
      <c r="CK145" s="239">
        <v>0</v>
      </c>
      <c r="CL145" s="239">
        <v>0</v>
      </c>
      <c r="CM145" s="239">
        <v>0</v>
      </c>
      <c r="CN145" s="239">
        <v>0</v>
      </c>
      <c r="CO145" s="239">
        <v>0</v>
      </c>
      <c r="CP145" s="239">
        <v>0</v>
      </c>
      <c r="CQ145" s="239">
        <v>0</v>
      </c>
      <c r="CR145" s="239">
        <v>0</v>
      </c>
      <c r="CS145" s="239">
        <v>0</v>
      </c>
      <c r="CT145" s="239">
        <v>0</v>
      </c>
      <c r="CU145" s="239">
        <v>0</v>
      </c>
      <c r="CV145" s="239">
        <v>0</v>
      </c>
      <c r="CW145" s="239">
        <v>0</v>
      </c>
      <c r="CX145" s="239">
        <v>0</v>
      </c>
      <c r="CY145" s="239">
        <v>0</v>
      </c>
      <c r="CZ145" s="239">
        <v>0</v>
      </c>
      <c r="DA145" s="239">
        <v>0</v>
      </c>
      <c r="DB145" s="239">
        <v>0</v>
      </c>
      <c r="DC145" s="239">
        <v>0</v>
      </c>
      <c r="DD145" s="239">
        <v>0</v>
      </c>
      <c r="DE145" s="239">
        <v>0</v>
      </c>
      <c r="DF145" s="239">
        <v>0</v>
      </c>
      <c r="DG145" s="239">
        <v>0</v>
      </c>
      <c r="DH145" s="239">
        <v>0</v>
      </c>
      <c r="DI145" s="239">
        <v>0</v>
      </c>
      <c r="DJ145" s="239">
        <v>-155683</v>
      </c>
      <c r="DK145" s="239">
        <v>0</v>
      </c>
      <c r="DL145" s="239">
        <v>-155683</v>
      </c>
      <c r="DM145" s="239">
        <v>0</v>
      </c>
      <c r="DN145" s="239">
        <v>0</v>
      </c>
      <c r="DO145" s="239">
        <v>0</v>
      </c>
      <c r="DP145" s="239">
        <v>0</v>
      </c>
      <c r="DQ145" s="239">
        <v>0</v>
      </c>
      <c r="DR145" s="239">
        <v>0</v>
      </c>
      <c r="DS145" s="239">
        <v>-173340</v>
      </c>
      <c r="DT145" s="239">
        <v>0</v>
      </c>
      <c r="DU145" s="239">
        <v>-173340</v>
      </c>
      <c r="DV145" s="239">
        <v>-76484</v>
      </c>
      <c r="DW145" s="239">
        <v>0</v>
      </c>
      <c r="DX145" s="239">
        <v>-76484</v>
      </c>
      <c r="DY145" s="239">
        <v>0</v>
      </c>
      <c r="DZ145" s="239">
        <v>0</v>
      </c>
      <c r="EA145" s="239">
        <v>0</v>
      </c>
      <c r="EB145" s="239">
        <v>-3036</v>
      </c>
      <c r="EC145" s="239">
        <v>0</v>
      </c>
      <c r="ED145" s="239">
        <v>-3036</v>
      </c>
      <c r="EE145" s="239">
        <v>0</v>
      </c>
      <c r="EF145" s="239">
        <v>0</v>
      </c>
      <c r="EG145" s="239">
        <v>0</v>
      </c>
      <c r="EH145" s="239">
        <v>0</v>
      </c>
      <c r="EI145" s="239">
        <v>0</v>
      </c>
      <c r="EJ145" s="239">
        <v>0</v>
      </c>
      <c r="EK145" s="239">
        <v>-9412</v>
      </c>
      <c r="EL145" s="239">
        <v>0</v>
      </c>
      <c r="EM145" s="239">
        <v>-9412</v>
      </c>
      <c r="EN145" s="239">
        <v>1738</v>
      </c>
      <c r="EO145" s="239">
        <v>0</v>
      </c>
      <c r="EP145" s="239">
        <v>1738</v>
      </c>
      <c r="EQ145" s="239">
        <v>-260534</v>
      </c>
      <c r="ER145" s="239">
        <v>0</v>
      </c>
      <c r="ES145" s="239">
        <v>-260534</v>
      </c>
      <c r="ET145" s="239">
        <v>-39072</v>
      </c>
      <c r="EU145" s="239">
        <v>0</v>
      </c>
      <c r="EV145" s="239">
        <v>-39072</v>
      </c>
      <c r="EW145" s="239">
        <v>-5517</v>
      </c>
      <c r="EX145" s="239">
        <v>0</v>
      </c>
      <c r="EY145" s="239">
        <v>-5517</v>
      </c>
      <c r="EZ145" s="239">
        <v>-44589</v>
      </c>
      <c r="FA145" s="239">
        <v>0</v>
      </c>
      <c r="FB145" s="239">
        <v>-44589</v>
      </c>
      <c r="FC145" s="239">
        <v>304157037</v>
      </c>
      <c r="FD145" s="239">
        <v>0</v>
      </c>
      <c r="FE145" s="239">
        <v>304157037</v>
      </c>
      <c r="FF145" s="239">
        <v>-134582</v>
      </c>
      <c r="FG145" s="239">
        <v>0</v>
      </c>
      <c r="FH145" s="239">
        <v>-134582</v>
      </c>
      <c r="FI145" s="239">
        <v>-9344919</v>
      </c>
      <c r="FJ145" s="239">
        <v>0</v>
      </c>
      <c r="FK145" s="239">
        <v>-9344919</v>
      </c>
      <c r="FL145" s="239">
        <v>-9280137</v>
      </c>
      <c r="FM145" s="239">
        <v>0</v>
      </c>
      <c r="FN145" s="239">
        <v>-9280137</v>
      </c>
      <c r="FO145" s="239">
        <v>-155683</v>
      </c>
      <c r="FP145" s="239">
        <v>0</v>
      </c>
      <c r="FQ145" s="239">
        <v>-155683</v>
      </c>
      <c r="FR145" s="239">
        <v>-260534</v>
      </c>
      <c r="FS145" s="239">
        <v>0</v>
      </c>
      <c r="FT145" s="239">
        <v>-260534</v>
      </c>
      <c r="FU145" s="239">
        <v>-44589</v>
      </c>
      <c r="FV145" s="239">
        <v>0</v>
      </c>
      <c r="FW145" s="239">
        <v>-44589</v>
      </c>
      <c r="FX145" s="239">
        <v>-19220444</v>
      </c>
      <c r="FY145" s="239">
        <v>0</v>
      </c>
      <c r="FZ145" s="239">
        <v>-19220444</v>
      </c>
      <c r="GA145" s="239">
        <v>284936593</v>
      </c>
      <c r="GB145" s="239">
        <v>0</v>
      </c>
      <c r="GC145" s="239">
        <v>284936593</v>
      </c>
      <c r="GD145" s="214" t="s">
        <v>1193</v>
      </c>
    </row>
    <row r="146" spans="2:186" s="214" customFormat="1" x14ac:dyDescent="0.2">
      <c r="B146" s="609" t="s">
        <v>374</v>
      </c>
      <c r="C146" s="609" t="s">
        <v>373</v>
      </c>
      <c r="D146" s="239">
        <v>0</v>
      </c>
      <c r="E146" s="239">
        <v>0</v>
      </c>
      <c r="F146" s="239">
        <v>0</v>
      </c>
      <c r="G146" s="239">
        <v>-3246</v>
      </c>
      <c r="H146" s="239">
        <v>0</v>
      </c>
      <c r="I146" s="239">
        <v>-3246</v>
      </c>
      <c r="J146" s="239">
        <v>0</v>
      </c>
      <c r="K146" s="239">
        <v>0</v>
      </c>
      <c r="L146" s="239">
        <v>0</v>
      </c>
      <c r="M146" s="239">
        <v>85859</v>
      </c>
      <c r="N146" s="239">
        <v>0</v>
      </c>
      <c r="O146" s="239">
        <v>85859</v>
      </c>
      <c r="P146" s="239">
        <v>82613</v>
      </c>
      <c r="Q146" s="239">
        <v>0</v>
      </c>
      <c r="R146" s="239">
        <v>82613</v>
      </c>
      <c r="S146" s="239">
        <v>-1773459</v>
      </c>
      <c r="T146" s="239">
        <v>0</v>
      </c>
      <c r="U146" s="239">
        <v>-1773459</v>
      </c>
      <c r="V146" s="239">
        <v>-4639.6499999999996</v>
      </c>
      <c r="W146" s="239">
        <v>0</v>
      </c>
      <c r="X146" s="239">
        <v>-4639.6499999999996</v>
      </c>
      <c r="Y146" s="239">
        <v>-117173</v>
      </c>
      <c r="Z146" s="239">
        <v>0</v>
      </c>
      <c r="AA146" s="239">
        <v>-117173</v>
      </c>
      <c r="AB146" s="239">
        <v>163</v>
      </c>
      <c r="AC146" s="239">
        <v>0</v>
      </c>
      <c r="AD146" s="239">
        <v>163</v>
      </c>
      <c r="AE146" s="239">
        <v>163</v>
      </c>
      <c r="AF146" s="239">
        <v>0</v>
      </c>
      <c r="AG146" s="239">
        <v>163</v>
      </c>
      <c r="AH146" s="239">
        <v>874342</v>
      </c>
      <c r="AI146" s="239">
        <v>0</v>
      </c>
      <c r="AJ146" s="239">
        <v>874342</v>
      </c>
      <c r="AK146" s="239">
        <v>-33707</v>
      </c>
      <c r="AL146" s="239">
        <v>0</v>
      </c>
      <c r="AM146" s="239">
        <v>-33707</v>
      </c>
      <c r="AN146" s="239">
        <v>-2762201</v>
      </c>
      <c r="AO146" s="239">
        <v>0</v>
      </c>
      <c r="AP146" s="239">
        <v>-2762201</v>
      </c>
      <c r="AQ146" s="239">
        <v>-18227</v>
      </c>
      <c r="AR146" s="239">
        <v>0</v>
      </c>
      <c r="AS146" s="239">
        <v>-18227</v>
      </c>
      <c r="AT146" s="239">
        <v>-69341</v>
      </c>
      <c r="AU146" s="239">
        <v>0</v>
      </c>
      <c r="AV146" s="239">
        <v>-69341</v>
      </c>
      <c r="AW146" s="239">
        <v>0</v>
      </c>
      <c r="AX146" s="239">
        <v>0</v>
      </c>
      <c r="AY146" s="239">
        <v>0</v>
      </c>
      <c r="AZ146" s="239">
        <v>-5287</v>
      </c>
      <c r="BA146" s="239">
        <v>0</v>
      </c>
      <c r="BB146" s="239">
        <v>-5287</v>
      </c>
      <c r="BC146" s="239">
        <v>0</v>
      </c>
      <c r="BD146" s="239">
        <v>0</v>
      </c>
      <c r="BE146" s="239">
        <v>0</v>
      </c>
      <c r="BF146" s="239">
        <v>-3905053</v>
      </c>
      <c r="BG146" s="239">
        <v>0</v>
      </c>
      <c r="BH146" s="239">
        <v>-3905053</v>
      </c>
      <c r="BI146" s="239">
        <v>0</v>
      </c>
      <c r="BJ146" s="239">
        <v>0</v>
      </c>
      <c r="BK146" s="239">
        <v>0</v>
      </c>
      <c r="BL146" s="239">
        <v>0</v>
      </c>
      <c r="BM146" s="239">
        <v>0</v>
      </c>
      <c r="BN146" s="239">
        <v>0</v>
      </c>
      <c r="BO146" s="239">
        <v>-447423</v>
      </c>
      <c r="BP146" s="239">
        <v>0</v>
      </c>
      <c r="BQ146" s="239">
        <v>-447423</v>
      </c>
      <c r="BR146" s="239">
        <v>-23052</v>
      </c>
      <c r="BS146" s="239">
        <v>0</v>
      </c>
      <c r="BT146" s="239">
        <v>-23052</v>
      </c>
      <c r="BU146" s="239">
        <v>-470475</v>
      </c>
      <c r="BV146" s="239">
        <v>0</v>
      </c>
      <c r="BW146" s="239">
        <v>-470475</v>
      </c>
      <c r="BX146" s="239">
        <v>-9861</v>
      </c>
      <c r="BY146" s="239">
        <v>0</v>
      </c>
      <c r="BZ146" s="239">
        <v>-9861</v>
      </c>
      <c r="CA146" s="239">
        <v>6</v>
      </c>
      <c r="CB146" s="239">
        <v>0</v>
      </c>
      <c r="CC146" s="239">
        <v>6</v>
      </c>
      <c r="CD146" s="239">
        <v>-44536</v>
      </c>
      <c r="CE146" s="239">
        <v>0</v>
      </c>
      <c r="CF146" s="239">
        <v>-44536</v>
      </c>
      <c r="CG146" s="239">
        <v>0</v>
      </c>
      <c r="CH146" s="239">
        <v>0</v>
      </c>
      <c r="CI146" s="239">
        <v>0</v>
      </c>
      <c r="CJ146" s="239">
        <v>-2090</v>
      </c>
      <c r="CK146" s="239">
        <v>0</v>
      </c>
      <c r="CL146" s="239">
        <v>-2090</v>
      </c>
      <c r="CM146" s="239">
        <v>0</v>
      </c>
      <c r="CN146" s="239">
        <v>0</v>
      </c>
      <c r="CO146" s="239">
        <v>0</v>
      </c>
      <c r="CP146" s="239">
        <v>-1342</v>
      </c>
      <c r="CQ146" s="239">
        <v>0</v>
      </c>
      <c r="CR146" s="239">
        <v>-1342</v>
      </c>
      <c r="CS146" s="239">
        <v>0</v>
      </c>
      <c r="CT146" s="239">
        <v>0</v>
      </c>
      <c r="CU146" s="239">
        <v>0</v>
      </c>
      <c r="CV146" s="239">
        <v>0</v>
      </c>
      <c r="CW146" s="239">
        <v>0</v>
      </c>
      <c r="CX146" s="239">
        <v>0</v>
      </c>
      <c r="CY146" s="239">
        <v>0</v>
      </c>
      <c r="CZ146" s="239">
        <v>0</v>
      </c>
      <c r="DA146" s="239">
        <v>0</v>
      </c>
      <c r="DB146" s="239">
        <v>0</v>
      </c>
      <c r="DC146" s="239">
        <v>0</v>
      </c>
      <c r="DD146" s="239">
        <v>0</v>
      </c>
      <c r="DE146" s="239">
        <v>0</v>
      </c>
      <c r="DF146" s="239">
        <v>0</v>
      </c>
      <c r="DG146" s="239">
        <v>0</v>
      </c>
      <c r="DH146" s="239">
        <v>0</v>
      </c>
      <c r="DI146" s="239">
        <v>0</v>
      </c>
      <c r="DJ146" s="239">
        <v>-57823</v>
      </c>
      <c r="DK146" s="239">
        <v>0</v>
      </c>
      <c r="DL146" s="239">
        <v>-57823</v>
      </c>
      <c r="DM146" s="239">
        <v>-15039</v>
      </c>
      <c r="DN146" s="239">
        <v>0</v>
      </c>
      <c r="DO146" s="239">
        <v>-15039</v>
      </c>
      <c r="DP146" s="239">
        <v>0</v>
      </c>
      <c r="DQ146" s="239">
        <v>0</v>
      </c>
      <c r="DR146" s="239">
        <v>0</v>
      </c>
      <c r="DS146" s="239">
        <v>-5373</v>
      </c>
      <c r="DT146" s="239">
        <v>0</v>
      </c>
      <c r="DU146" s="239">
        <v>-5373</v>
      </c>
      <c r="DV146" s="239">
        <v>0</v>
      </c>
      <c r="DW146" s="239">
        <v>0</v>
      </c>
      <c r="DX146" s="239">
        <v>0</v>
      </c>
      <c r="DY146" s="239">
        <v>0</v>
      </c>
      <c r="DZ146" s="239">
        <v>0</v>
      </c>
      <c r="EA146" s="239">
        <v>0</v>
      </c>
      <c r="EB146" s="239">
        <v>-1458</v>
      </c>
      <c r="EC146" s="239">
        <v>0</v>
      </c>
      <c r="ED146" s="239">
        <v>-1458</v>
      </c>
      <c r="EE146" s="239">
        <v>0</v>
      </c>
      <c r="EF146" s="239">
        <v>0</v>
      </c>
      <c r="EG146" s="239">
        <v>0</v>
      </c>
      <c r="EH146" s="239">
        <v>0</v>
      </c>
      <c r="EI146" s="239">
        <v>0</v>
      </c>
      <c r="EJ146" s="239">
        <v>0</v>
      </c>
      <c r="EK146" s="239">
        <v>0</v>
      </c>
      <c r="EL146" s="239">
        <v>0</v>
      </c>
      <c r="EM146" s="239">
        <v>0</v>
      </c>
      <c r="EN146" s="239">
        <v>0</v>
      </c>
      <c r="EO146" s="239">
        <v>0</v>
      </c>
      <c r="EP146" s="239">
        <v>0</v>
      </c>
      <c r="EQ146" s="239">
        <v>-21870</v>
      </c>
      <c r="ER146" s="239">
        <v>0</v>
      </c>
      <c r="ES146" s="239">
        <v>-21870</v>
      </c>
      <c r="ET146" s="239">
        <v>0</v>
      </c>
      <c r="EU146" s="239">
        <v>0</v>
      </c>
      <c r="EV146" s="239">
        <v>0</v>
      </c>
      <c r="EW146" s="239">
        <v>0</v>
      </c>
      <c r="EX146" s="239">
        <v>0</v>
      </c>
      <c r="EY146" s="239">
        <v>0</v>
      </c>
      <c r="EZ146" s="239">
        <v>0</v>
      </c>
      <c r="FA146" s="239">
        <v>0</v>
      </c>
      <c r="FB146" s="239">
        <v>0</v>
      </c>
      <c r="FC146" s="239">
        <v>35887531</v>
      </c>
      <c r="FD146" s="239">
        <v>0</v>
      </c>
      <c r="FE146" s="239">
        <v>35887531</v>
      </c>
      <c r="FF146" s="239">
        <v>82613</v>
      </c>
      <c r="FG146" s="239">
        <v>0</v>
      </c>
      <c r="FH146" s="239">
        <v>82613</v>
      </c>
      <c r="FI146" s="239">
        <v>-3905053</v>
      </c>
      <c r="FJ146" s="239">
        <v>0</v>
      </c>
      <c r="FK146" s="239">
        <v>-3905053</v>
      </c>
      <c r="FL146" s="239">
        <v>-470475</v>
      </c>
      <c r="FM146" s="239">
        <v>0</v>
      </c>
      <c r="FN146" s="239">
        <v>-470475</v>
      </c>
      <c r="FO146" s="239">
        <v>-57823</v>
      </c>
      <c r="FP146" s="239">
        <v>0</v>
      </c>
      <c r="FQ146" s="239">
        <v>-57823</v>
      </c>
      <c r="FR146" s="239">
        <v>-21870</v>
      </c>
      <c r="FS146" s="239">
        <v>0</v>
      </c>
      <c r="FT146" s="239">
        <v>-21870</v>
      </c>
      <c r="FU146" s="239">
        <v>0</v>
      </c>
      <c r="FV146" s="239">
        <v>0</v>
      </c>
      <c r="FW146" s="239">
        <v>0</v>
      </c>
      <c r="FX146" s="239">
        <v>-4372608</v>
      </c>
      <c r="FY146" s="239">
        <v>0</v>
      </c>
      <c r="FZ146" s="239">
        <v>-4372608</v>
      </c>
      <c r="GA146" s="239">
        <v>31514923</v>
      </c>
      <c r="GB146" s="239">
        <v>0</v>
      </c>
      <c r="GC146" s="239">
        <v>31514923</v>
      </c>
      <c r="GD146" s="214" t="s">
        <v>1190</v>
      </c>
    </row>
    <row r="147" spans="2:186" s="214" customFormat="1" x14ac:dyDescent="0.2">
      <c r="B147" s="609" t="s">
        <v>376</v>
      </c>
      <c r="C147" s="609" t="s">
        <v>375</v>
      </c>
      <c r="D147" s="239">
        <v>0</v>
      </c>
      <c r="E147" s="239">
        <v>0</v>
      </c>
      <c r="F147" s="239">
        <v>0</v>
      </c>
      <c r="G147" s="239">
        <v>888135</v>
      </c>
      <c r="H147" s="239">
        <v>0</v>
      </c>
      <c r="I147" s="239">
        <v>888135</v>
      </c>
      <c r="J147" s="239">
        <v>0</v>
      </c>
      <c r="K147" s="239">
        <v>0</v>
      </c>
      <c r="L147" s="239">
        <v>0</v>
      </c>
      <c r="M147" s="239">
        <v>305260</v>
      </c>
      <c r="N147" s="239">
        <v>0</v>
      </c>
      <c r="O147" s="239">
        <v>305260</v>
      </c>
      <c r="P147" s="239">
        <v>1193395</v>
      </c>
      <c r="Q147" s="239">
        <v>0</v>
      </c>
      <c r="R147" s="239">
        <v>1193395</v>
      </c>
      <c r="S147" s="239">
        <v>-3692428</v>
      </c>
      <c r="T147" s="239">
        <v>-2002</v>
      </c>
      <c r="U147" s="239">
        <v>-3694430</v>
      </c>
      <c r="V147" s="239">
        <v>-23723</v>
      </c>
      <c r="W147" s="239">
        <v>0</v>
      </c>
      <c r="X147" s="239">
        <v>-23723</v>
      </c>
      <c r="Y147" s="239">
        <v>-426526</v>
      </c>
      <c r="Z147" s="239">
        <v>0</v>
      </c>
      <c r="AA147" s="239">
        <v>-426526</v>
      </c>
      <c r="AB147" s="239">
        <v>-315324</v>
      </c>
      <c r="AC147" s="239">
        <v>0</v>
      </c>
      <c r="AD147" s="239">
        <v>-315324</v>
      </c>
      <c r="AE147" s="239">
        <v>-922</v>
      </c>
      <c r="AF147" s="239">
        <v>0</v>
      </c>
      <c r="AG147" s="239">
        <v>-922</v>
      </c>
      <c r="AH147" s="239">
        <v>1203260</v>
      </c>
      <c r="AI147" s="239">
        <v>1684</v>
      </c>
      <c r="AJ147" s="239">
        <v>1204944</v>
      </c>
      <c r="AK147" s="239">
        <v>-27161</v>
      </c>
      <c r="AL147" s="239">
        <v>0</v>
      </c>
      <c r="AM147" s="239">
        <v>-27161</v>
      </c>
      <c r="AN147" s="239">
        <v>-2910141</v>
      </c>
      <c r="AO147" s="239">
        <v>0</v>
      </c>
      <c r="AP147" s="239">
        <v>-2910141</v>
      </c>
      <c r="AQ147" s="239">
        <v>-81376</v>
      </c>
      <c r="AR147" s="239">
        <v>0</v>
      </c>
      <c r="AS147" s="239">
        <v>-81376</v>
      </c>
      <c r="AT147" s="239">
        <v>-33261</v>
      </c>
      <c r="AU147" s="239">
        <v>0</v>
      </c>
      <c r="AV147" s="239">
        <v>-33261</v>
      </c>
      <c r="AW147" s="239">
        <v>-6617</v>
      </c>
      <c r="AX147" s="239">
        <v>0</v>
      </c>
      <c r="AY147" s="239">
        <v>-6617</v>
      </c>
      <c r="AZ147" s="239">
        <v>-81341</v>
      </c>
      <c r="BA147" s="239">
        <v>0</v>
      </c>
      <c r="BB147" s="239">
        <v>-81341</v>
      </c>
      <c r="BC147" s="239">
        <v>15115</v>
      </c>
      <c r="BD147" s="239">
        <v>0</v>
      </c>
      <c r="BE147" s="239">
        <v>15115</v>
      </c>
      <c r="BF147" s="239">
        <v>-6040476</v>
      </c>
      <c r="BG147" s="239">
        <v>-318</v>
      </c>
      <c r="BH147" s="239">
        <v>-6040794</v>
      </c>
      <c r="BI147" s="239">
        <v>-17867</v>
      </c>
      <c r="BJ147" s="239">
        <v>0</v>
      </c>
      <c r="BK147" s="239">
        <v>-17867</v>
      </c>
      <c r="BL147" s="239">
        <v>224260</v>
      </c>
      <c r="BM147" s="239">
        <v>0</v>
      </c>
      <c r="BN147" s="239">
        <v>224260</v>
      </c>
      <c r="BO147" s="239">
        <v>-1119613</v>
      </c>
      <c r="BP147" s="239">
        <v>-23683</v>
      </c>
      <c r="BQ147" s="239">
        <v>-1143296</v>
      </c>
      <c r="BR147" s="239">
        <v>199333</v>
      </c>
      <c r="BS147" s="239">
        <v>0</v>
      </c>
      <c r="BT147" s="239">
        <v>199333</v>
      </c>
      <c r="BU147" s="239">
        <v>-713887</v>
      </c>
      <c r="BV147" s="239">
        <v>-23683</v>
      </c>
      <c r="BW147" s="239">
        <v>-737570</v>
      </c>
      <c r="BX147" s="239">
        <v>-206891</v>
      </c>
      <c r="BY147" s="239">
        <v>0</v>
      </c>
      <c r="BZ147" s="239">
        <v>-206891</v>
      </c>
      <c r="CA147" s="239">
        <v>35</v>
      </c>
      <c r="CB147" s="239">
        <v>0</v>
      </c>
      <c r="CC147" s="239">
        <v>35</v>
      </c>
      <c r="CD147" s="239">
        <v>-58533</v>
      </c>
      <c r="CE147" s="239">
        <v>0</v>
      </c>
      <c r="CF147" s="239">
        <v>-58533</v>
      </c>
      <c r="CG147" s="239">
        <v>33</v>
      </c>
      <c r="CH147" s="239">
        <v>0</v>
      </c>
      <c r="CI147" s="239">
        <v>33</v>
      </c>
      <c r="CJ147" s="239">
        <v>-324</v>
      </c>
      <c r="CK147" s="239">
        <v>0</v>
      </c>
      <c r="CL147" s="239">
        <v>-324</v>
      </c>
      <c r="CM147" s="239">
        <v>0</v>
      </c>
      <c r="CN147" s="239">
        <v>0</v>
      </c>
      <c r="CO147" s="239">
        <v>0</v>
      </c>
      <c r="CP147" s="239">
        <v>-29210</v>
      </c>
      <c r="CQ147" s="239">
        <v>0</v>
      </c>
      <c r="CR147" s="239">
        <v>-29210</v>
      </c>
      <c r="CS147" s="239">
        <v>7239</v>
      </c>
      <c r="CT147" s="239">
        <v>0</v>
      </c>
      <c r="CU147" s="239">
        <v>7239</v>
      </c>
      <c r="CV147" s="239">
        <v>-20024</v>
      </c>
      <c r="CW147" s="239">
        <v>0</v>
      </c>
      <c r="CX147" s="239">
        <v>-20024</v>
      </c>
      <c r="CY147" s="239">
        <v>0</v>
      </c>
      <c r="CZ147" s="239">
        <v>0</v>
      </c>
      <c r="DA147" s="239">
        <v>0</v>
      </c>
      <c r="DB147" s="239">
        <v>0</v>
      </c>
      <c r="DC147" s="239">
        <v>-71513</v>
      </c>
      <c r="DD147" s="239">
        <v>-71513</v>
      </c>
      <c r="DE147" s="239">
        <v>0</v>
      </c>
      <c r="DF147" s="239">
        <v>0</v>
      </c>
      <c r="DG147" s="239">
        <v>0</v>
      </c>
      <c r="DH147" s="239">
        <v>-71513</v>
      </c>
      <c r="DI147" s="239">
        <v>0</v>
      </c>
      <c r="DJ147" s="239">
        <v>-307675</v>
      </c>
      <c r="DK147" s="239">
        <v>-71513</v>
      </c>
      <c r="DL147" s="239">
        <v>-379188</v>
      </c>
      <c r="DM147" s="239">
        <v>-29855</v>
      </c>
      <c r="DN147" s="239">
        <v>0</v>
      </c>
      <c r="DO147" s="239">
        <v>-29855</v>
      </c>
      <c r="DP147" s="239">
        <v>0</v>
      </c>
      <c r="DQ147" s="239">
        <v>0</v>
      </c>
      <c r="DR147" s="239">
        <v>0</v>
      </c>
      <c r="DS147" s="239">
        <v>-7434</v>
      </c>
      <c r="DT147" s="239">
        <v>0</v>
      </c>
      <c r="DU147" s="239">
        <v>-7434</v>
      </c>
      <c r="DV147" s="239">
        <v>-2498</v>
      </c>
      <c r="DW147" s="239">
        <v>0</v>
      </c>
      <c r="DX147" s="239">
        <v>-2498</v>
      </c>
      <c r="DY147" s="239">
        <v>0</v>
      </c>
      <c r="DZ147" s="239">
        <v>0</v>
      </c>
      <c r="EA147" s="239">
        <v>0</v>
      </c>
      <c r="EB147" s="239">
        <v>3378</v>
      </c>
      <c r="EC147" s="239">
        <v>0</v>
      </c>
      <c r="ED147" s="239">
        <v>3378</v>
      </c>
      <c r="EE147" s="239">
        <v>0</v>
      </c>
      <c r="EF147" s="239">
        <v>0</v>
      </c>
      <c r="EG147" s="239">
        <v>0</v>
      </c>
      <c r="EH147" s="239">
        <v>0</v>
      </c>
      <c r="EI147" s="239">
        <v>0</v>
      </c>
      <c r="EJ147" s="239">
        <v>0</v>
      </c>
      <c r="EK147" s="239">
        <v>-26112</v>
      </c>
      <c r="EL147" s="239">
        <v>0</v>
      </c>
      <c r="EM147" s="239">
        <v>-26112</v>
      </c>
      <c r="EN147" s="239">
        <v>3389</v>
      </c>
      <c r="EO147" s="239">
        <v>0</v>
      </c>
      <c r="EP147" s="239">
        <v>3389</v>
      </c>
      <c r="EQ147" s="239">
        <v>-59132</v>
      </c>
      <c r="ER147" s="239">
        <v>0</v>
      </c>
      <c r="ES147" s="239">
        <v>-59132</v>
      </c>
      <c r="ET147" s="239">
        <v>-26391</v>
      </c>
      <c r="EU147" s="239">
        <v>0</v>
      </c>
      <c r="EV147" s="239">
        <v>-26391</v>
      </c>
      <c r="EW147" s="239">
        <v>-3650</v>
      </c>
      <c r="EX147" s="239">
        <v>0</v>
      </c>
      <c r="EY147" s="239">
        <v>-3650</v>
      </c>
      <c r="EZ147" s="239">
        <v>-30041</v>
      </c>
      <c r="FA147" s="239">
        <v>0</v>
      </c>
      <c r="FB147" s="239">
        <v>-30041</v>
      </c>
      <c r="FC147" s="239">
        <v>52610925</v>
      </c>
      <c r="FD147" s="239">
        <v>95514</v>
      </c>
      <c r="FE147" s="239">
        <v>52706439</v>
      </c>
      <c r="FF147" s="239">
        <v>1193395</v>
      </c>
      <c r="FG147" s="239">
        <v>0</v>
      </c>
      <c r="FH147" s="239">
        <v>1193395</v>
      </c>
      <c r="FI147" s="239">
        <v>-6040476</v>
      </c>
      <c r="FJ147" s="239">
        <v>-318</v>
      </c>
      <c r="FK147" s="239">
        <v>-6040794</v>
      </c>
      <c r="FL147" s="239">
        <v>-713887</v>
      </c>
      <c r="FM147" s="239">
        <v>-23683</v>
      </c>
      <c r="FN147" s="239">
        <v>-737570</v>
      </c>
      <c r="FO147" s="239">
        <v>-307675</v>
      </c>
      <c r="FP147" s="239">
        <v>-71513</v>
      </c>
      <c r="FQ147" s="239">
        <v>-379188</v>
      </c>
      <c r="FR147" s="239">
        <v>-59132</v>
      </c>
      <c r="FS147" s="239">
        <v>0</v>
      </c>
      <c r="FT147" s="239">
        <v>-59132</v>
      </c>
      <c r="FU147" s="239">
        <v>-30041</v>
      </c>
      <c r="FV147" s="239">
        <v>0</v>
      </c>
      <c r="FW147" s="239">
        <v>-30041</v>
      </c>
      <c r="FX147" s="239">
        <v>-5957816</v>
      </c>
      <c r="FY147" s="239">
        <v>-95514</v>
      </c>
      <c r="FZ147" s="239">
        <v>-6053330</v>
      </c>
      <c r="GA147" s="239">
        <v>46653109</v>
      </c>
      <c r="GB147" s="239">
        <v>0</v>
      </c>
      <c r="GC147" s="239">
        <v>46653109</v>
      </c>
      <c r="GD147" s="214" t="s">
        <v>1190</v>
      </c>
    </row>
    <row r="148" spans="2:186" s="214" customFormat="1" x14ac:dyDescent="0.2">
      <c r="B148" s="609" t="s">
        <v>378</v>
      </c>
      <c r="C148" s="609" t="s">
        <v>377</v>
      </c>
      <c r="D148" s="239">
        <v>0</v>
      </c>
      <c r="E148" s="239">
        <v>0</v>
      </c>
      <c r="F148" s="239">
        <v>0</v>
      </c>
      <c r="G148" s="239">
        <v>142501</v>
      </c>
      <c r="H148" s="239">
        <v>0</v>
      </c>
      <c r="I148" s="239">
        <v>142501</v>
      </c>
      <c r="J148" s="239">
        <v>0</v>
      </c>
      <c r="K148" s="239">
        <v>0</v>
      </c>
      <c r="L148" s="239">
        <v>0</v>
      </c>
      <c r="M148" s="239">
        <v>-293437</v>
      </c>
      <c r="N148" s="239">
        <v>0</v>
      </c>
      <c r="O148" s="239">
        <v>-293437</v>
      </c>
      <c r="P148" s="239">
        <v>-150936</v>
      </c>
      <c r="Q148" s="239">
        <v>0</v>
      </c>
      <c r="R148" s="239">
        <v>-150936</v>
      </c>
      <c r="S148" s="239">
        <v>-6173553</v>
      </c>
      <c r="T148" s="239">
        <v>0</v>
      </c>
      <c r="U148" s="239">
        <v>-6173553</v>
      </c>
      <c r="V148" s="239">
        <v>0</v>
      </c>
      <c r="W148" s="239">
        <v>0</v>
      </c>
      <c r="X148" s="239">
        <v>0</v>
      </c>
      <c r="Y148" s="239">
        <v>-205705</v>
      </c>
      <c r="Z148" s="239">
        <v>0</v>
      </c>
      <c r="AA148" s="239">
        <v>-205705</v>
      </c>
      <c r="AB148" s="239">
        <v>0</v>
      </c>
      <c r="AC148" s="239">
        <v>0</v>
      </c>
      <c r="AD148" s="239">
        <v>0</v>
      </c>
      <c r="AE148" s="239">
        <v>0</v>
      </c>
      <c r="AF148" s="239">
        <v>0</v>
      </c>
      <c r="AG148" s="239">
        <v>0</v>
      </c>
      <c r="AH148" s="239">
        <v>2497230</v>
      </c>
      <c r="AI148" s="239">
        <v>0</v>
      </c>
      <c r="AJ148" s="239">
        <v>2497230</v>
      </c>
      <c r="AK148" s="239">
        <v>-166617</v>
      </c>
      <c r="AL148" s="239">
        <v>0</v>
      </c>
      <c r="AM148" s="239">
        <v>-166617</v>
      </c>
      <c r="AN148" s="239">
        <v>-7772494</v>
      </c>
      <c r="AO148" s="239">
        <v>0</v>
      </c>
      <c r="AP148" s="239">
        <v>-7772494</v>
      </c>
      <c r="AQ148" s="239">
        <v>-92184</v>
      </c>
      <c r="AR148" s="239">
        <v>0</v>
      </c>
      <c r="AS148" s="239">
        <v>-92184</v>
      </c>
      <c r="AT148" s="239">
        <v>-17096</v>
      </c>
      <c r="AU148" s="239">
        <v>0</v>
      </c>
      <c r="AV148" s="239">
        <v>-17096</v>
      </c>
      <c r="AW148" s="239">
        <v>0</v>
      </c>
      <c r="AX148" s="239">
        <v>0</v>
      </c>
      <c r="AY148" s="239">
        <v>0</v>
      </c>
      <c r="AZ148" s="239">
        <v>0</v>
      </c>
      <c r="BA148" s="239">
        <v>0</v>
      </c>
      <c r="BB148" s="239">
        <v>0</v>
      </c>
      <c r="BC148" s="239">
        <v>0</v>
      </c>
      <c r="BD148" s="239">
        <v>0</v>
      </c>
      <c r="BE148" s="239">
        <v>0</v>
      </c>
      <c r="BF148" s="239">
        <v>-11930419</v>
      </c>
      <c r="BG148" s="239">
        <v>0</v>
      </c>
      <c r="BH148" s="239">
        <v>-11930419</v>
      </c>
      <c r="BI148" s="239">
        <v>0</v>
      </c>
      <c r="BJ148" s="239">
        <v>0</v>
      </c>
      <c r="BK148" s="239">
        <v>0</v>
      </c>
      <c r="BL148" s="239">
        <v>-27</v>
      </c>
      <c r="BM148" s="239">
        <v>0</v>
      </c>
      <c r="BN148" s="239">
        <v>-27</v>
      </c>
      <c r="BO148" s="239">
        <v>-4016624</v>
      </c>
      <c r="BP148" s="239">
        <v>-53303</v>
      </c>
      <c r="BQ148" s="239">
        <v>-4069927</v>
      </c>
      <c r="BR148" s="239">
        <v>-109288</v>
      </c>
      <c r="BS148" s="239">
        <v>0</v>
      </c>
      <c r="BT148" s="239">
        <v>-109288</v>
      </c>
      <c r="BU148" s="239">
        <v>-4125939</v>
      </c>
      <c r="BV148" s="239">
        <v>-53303</v>
      </c>
      <c r="BW148" s="239">
        <v>-4179242</v>
      </c>
      <c r="BX148" s="239">
        <v>-5135</v>
      </c>
      <c r="BY148" s="239">
        <v>0</v>
      </c>
      <c r="BZ148" s="239">
        <v>-5135</v>
      </c>
      <c r="CA148" s="239">
        <v>-312</v>
      </c>
      <c r="CB148" s="239">
        <v>0</v>
      </c>
      <c r="CC148" s="239">
        <v>-312</v>
      </c>
      <c r="CD148" s="239">
        <v>-939695</v>
      </c>
      <c r="CE148" s="239">
        <v>0</v>
      </c>
      <c r="CF148" s="239">
        <v>-939695</v>
      </c>
      <c r="CG148" s="239">
        <v>-56984</v>
      </c>
      <c r="CH148" s="239">
        <v>0</v>
      </c>
      <c r="CI148" s="239">
        <v>-56984</v>
      </c>
      <c r="CJ148" s="239">
        <v>0</v>
      </c>
      <c r="CK148" s="239">
        <v>0</v>
      </c>
      <c r="CL148" s="239">
        <v>0</v>
      </c>
      <c r="CM148" s="239">
        <v>0</v>
      </c>
      <c r="CN148" s="239">
        <v>0</v>
      </c>
      <c r="CO148" s="239">
        <v>0</v>
      </c>
      <c r="CP148" s="239">
        <v>0</v>
      </c>
      <c r="CQ148" s="239">
        <v>0</v>
      </c>
      <c r="CR148" s="239">
        <v>0</v>
      </c>
      <c r="CS148" s="239">
        <v>0</v>
      </c>
      <c r="CT148" s="239">
        <v>0</v>
      </c>
      <c r="CU148" s="239">
        <v>0</v>
      </c>
      <c r="CV148" s="239">
        <v>0</v>
      </c>
      <c r="CW148" s="239">
        <v>0</v>
      </c>
      <c r="CX148" s="239">
        <v>0</v>
      </c>
      <c r="CY148" s="239">
        <v>0</v>
      </c>
      <c r="CZ148" s="239">
        <v>0</v>
      </c>
      <c r="DA148" s="239">
        <v>0</v>
      </c>
      <c r="DB148" s="239">
        <v>0</v>
      </c>
      <c r="DC148" s="239">
        <v>-98644</v>
      </c>
      <c r="DD148" s="239">
        <v>-98644</v>
      </c>
      <c r="DE148" s="239">
        <v>0</v>
      </c>
      <c r="DF148" s="239">
        <v>0</v>
      </c>
      <c r="DG148" s="239">
        <v>0</v>
      </c>
      <c r="DH148" s="239">
        <v>-98644</v>
      </c>
      <c r="DI148" s="239">
        <v>0</v>
      </c>
      <c r="DJ148" s="239">
        <v>-1002126</v>
      </c>
      <c r="DK148" s="239">
        <v>-98644</v>
      </c>
      <c r="DL148" s="239">
        <v>-1100770</v>
      </c>
      <c r="DM148" s="239">
        <v>0</v>
      </c>
      <c r="DN148" s="239">
        <v>0</v>
      </c>
      <c r="DO148" s="239">
        <v>0</v>
      </c>
      <c r="DP148" s="239">
        <v>0</v>
      </c>
      <c r="DQ148" s="239">
        <v>0</v>
      </c>
      <c r="DR148" s="239">
        <v>0</v>
      </c>
      <c r="DS148" s="239">
        <v>-37509</v>
      </c>
      <c r="DT148" s="239">
        <v>0</v>
      </c>
      <c r="DU148" s="239">
        <v>-37509</v>
      </c>
      <c r="DV148" s="239">
        <v>-10919</v>
      </c>
      <c r="DW148" s="239">
        <v>0</v>
      </c>
      <c r="DX148" s="239">
        <v>-10919</v>
      </c>
      <c r="DY148" s="239">
        <v>0</v>
      </c>
      <c r="DZ148" s="239">
        <v>0</v>
      </c>
      <c r="EA148" s="239">
        <v>0</v>
      </c>
      <c r="EB148" s="239">
        <v>-14519</v>
      </c>
      <c r="EC148" s="239">
        <v>0</v>
      </c>
      <c r="ED148" s="239">
        <v>-14519</v>
      </c>
      <c r="EE148" s="239">
        <v>0</v>
      </c>
      <c r="EF148" s="239">
        <v>0</v>
      </c>
      <c r="EG148" s="239">
        <v>0</v>
      </c>
      <c r="EH148" s="239">
        <v>0</v>
      </c>
      <c r="EI148" s="239">
        <v>0</v>
      </c>
      <c r="EJ148" s="239">
        <v>0</v>
      </c>
      <c r="EK148" s="239">
        <v>-10919</v>
      </c>
      <c r="EL148" s="239">
        <v>0</v>
      </c>
      <c r="EM148" s="239">
        <v>-10919</v>
      </c>
      <c r="EN148" s="239">
        <v>-638</v>
      </c>
      <c r="EO148" s="239">
        <v>0</v>
      </c>
      <c r="EP148" s="239">
        <v>-638</v>
      </c>
      <c r="EQ148" s="239">
        <v>-74504</v>
      </c>
      <c r="ER148" s="239">
        <v>0</v>
      </c>
      <c r="ES148" s="239">
        <v>-74504</v>
      </c>
      <c r="ET148" s="239">
        <v>0</v>
      </c>
      <c r="EU148" s="239">
        <v>0</v>
      </c>
      <c r="EV148" s="239">
        <v>0</v>
      </c>
      <c r="EW148" s="239">
        <v>0</v>
      </c>
      <c r="EX148" s="239">
        <v>0</v>
      </c>
      <c r="EY148" s="239">
        <v>0</v>
      </c>
      <c r="EZ148" s="239">
        <v>0</v>
      </c>
      <c r="FA148" s="239">
        <v>0</v>
      </c>
      <c r="FB148" s="239">
        <v>0</v>
      </c>
      <c r="FC148" s="239">
        <v>100078305</v>
      </c>
      <c r="FD148" s="239">
        <v>165461</v>
      </c>
      <c r="FE148" s="239">
        <v>100243766</v>
      </c>
      <c r="FF148" s="239">
        <v>-150936</v>
      </c>
      <c r="FG148" s="239">
        <v>0</v>
      </c>
      <c r="FH148" s="239">
        <v>-150936</v>
      </c>
      <c r="FI148" s="239">
        <v>-11930419</v>
      </c>
      <c r="FJ148" s="239">
        <v>0</v>
      </c>
      <c r="FK148" s="239">
        <v>-11930419</v>
      </c>
      <c r="FL148" s="239">
        <v>-4125939</v>
      </c>
      <c r="FM148" s="239">
        <v>-53303</v>
      </c>
      <c r="FN148" s="239">
        <v>-4179242</v>
      </c>
      <c r="FO148" s="239">
        <v>-1002126</v>
      </c>
      <c r="FP148" s="239">
        <v>-98644</v>
      </c>
      <c r="FQ148" s="239">
        <v>-1100770</v>
      </c>
      <c r="FR148" s="239">
        <v>-74504</v>
      </c>
      <c r="FS148" s="239">
        <v>0</v>
      </c>
      <c r="FT148" s="239">
        <v>-74504</v>
      </c>
      <c r="FU148" s="239">
        <v>0</v>
      </c>
      <c r="FV148" s="239">
        <v>0</v>
      </c>
      <c r="FW148" s="239">
        <v>0</v>
      </c>
      <c r="FX148" s="239">
        <v>-17283924</v>
      </c>
      <c r="FY148" s="239">
        <v>-151947</v>
      </c>
      <c r="FZ148" s="239">
        <v>-17435871</v>
      </c>
      <c r="GA148" s="239">
        <v>82794381</v>
      </c>
      <c r="GB148" s="239">
        <v>13514</v>
      </c>
      <c r="GC148" s="239">
        <v>82807895</v>
      </c>
      <c r="GD148" s="214" t="s">
        <v>747</v>
      </c>
    </row>
    <row r="149" spans="2:186" s="214" customFormat="1" x14ac:dyDescent="0.2">
      <c r="B149" s="609" t="s">
        <v>380</v>
      </c>
      <c r="C149" s="609" t="s">
        <v>379</v>
      </c>
      <c r="D149" s="239">
        <v>0</v>
      </c>
      <c r="E149" s="239">
        <v>0</v>
      </c>
      <c r="F149" s="239">
        <v>0</v>
      </c>
      <c r="G149" s="239">
        <v>79178</v>
      </c>
      <c r="H149" s="239">
        <v>0</v>
      </c>
      <c r="I149" s="239">
        <v>79178</v>
      </c>
      <c r="J149" s="239">
        <v>0</v>
      </c>
      <c r="K149" s="239">
        <v>0</v>
      </c>
      <c r="L149" s="239">
        <v>0</v>
      </c>
      <c r="M149" s="239">
        <v>114809</v>
      </c>
      <c r="N149" s="239">
        <v>0</v>
      </c>
      <c r="O149" s="239">
        <v>114809</v>
      </c>
      <c r="P149" s="239">
        <v>193987</v>
      </c>
      <c r="Q149" s="239">
        <v>0</v>
      </c>
      <c r="R149" s="239">
        <v>193987</v>
      </c>
      <c r="S149" s="239">
        <v>-2383951</v>
      </c>
      <c r="T149" s="239">
        <v>0</v>
      </c>
      <c r="U149" s="239">
        <v>-2383951</v>
      </c>
      <c r="V149" s="239">
        <v>-4757</v>
      </c>
      <c r="W149" s="239">
        <v>0</v>
      </c>
      <c r="X149" s="239">
        <v>-4757</v>
      </c>
      <c r="Y149" s="239">
        <v>-68221</v>
      </c>
      <c r="Z149" s="239">
        <v>0</v>
      </c>
      <c r="AA149" s="239">
        <v>-68221</v>
      </c>
      <c r="AB149" s="239">
        <v>0</v>
      </c>
      <c r="AC149" s="239">
        <v>0</v>
      </c>
      <c r="AD149" s="239">
        <v>0</v>
      </c>
      <c r="AE149" s="239">
        <v>1536</v>
      </c>
      <c r="AF149" s="239">
        <v>0</v>
      </c>
      <c r="AG149" s="239">
        <v>1536</v>
      </c>
      <c r="AH149" s="239">
        <v>2277629</v>
      </c>
      <c r="AI149" s="239">
        <v>0</v>
      </c>
      <c r="AJ149" s="239">
        <v>2277629</v>
      </c>
      <c r="AK149" s="239">
        <v>-17653</v>
      </c>
      <c r="AL149" s="239">
        <v>0</v>
      </c>
      <c r="AM149" s="239">
        <v>-17653</v>
      </c>
      <c r="AN149" s="239">
        <v>-6290436</v>
      </c>
      <c r="AO149" s="239">
        <v>0</v>
      </c>
      <c r="AP149" s="239">
        <v>-6290436</v>
      </c>
      <c r="AQ149" s="239">
        <v>33236</v>
      </c>
      <c r="AR149" s="239">
        <v>0</v>
      </c>
      <c r="AS149" s="239">
        <v>33236</v>
      </c>
      <c r="AT149" s="239">
        <v>-124807</v>
      </c>
      <c r="AU149" s="239">
        <v>0</v>
      </c>
      <c r="AV149" s="239">
        <v>-124807</v>
      </c>
      <c r="AW149" s="239">
        <v>0</v>
      </c>
      <c r="AX149" s="239">
        <v>0</v>
      </c>
      <c r="AY149" s="239">
        <v>0</v>
      </c>
      <c r="AZ149" s="239">
        <v>0</v>
      </c>
      <c r="BA149" s="239">
        <v>0</v>
      </c>
      <c r="BB149" s="239">
        <v>0</v>
      </c>
      <c r="BC149" s="239">
        <v>0</v>
      </c>
      <c r="BD149" s="239">
        <v>0</v>
      </c>
      <c r="BE149" s="239">
        <v>0</v>
      </c>
      <c r="BF149" s="239">
        <v>-6574203</v>
      </c>
      <c r="BG149" s="239">
        <v>0</v>
      </c>
      <c r="BH149" s="239">
        <v>-6574203</v>
      </c>
      <c r="BI149" s="239">
        <v>-109347</v>
      </c>
      <c r="BJ149" s="239">
        <v>0</v>
      </c>
      <c r="BK149" s="239">
        <v>-109347</v>
      </c>
      <c r="BL149" s="239">
        <v>-1413</v>
      </c>
      <c r="BM149" s="239">
        <v>0</v>
      </c>
      <c r="BN149" s="239">
        <v>-1413</v>
      </c>
      <c r="BO149" s="239">
        <v>-2718214</v>
      </c>
      <c r="BP149" s="239">
        <v>0</v>
      </c>
      <c r="BQ149" s="239">
        <v>-2718214</v>
      </c>
      <c r="BR149" s="239">
        <v>818751</v>
      </c>
      <c r="BS149" s="239">
        <v>0</v>
      </c>
      <c r="BT149" s="239">
        <v>818751</v>
      </c>
      <c r="BU149" s="239">
        <v>-2010223</v>
      </c>
      <c r="BV149" s="239">
        <v>0</v>
      </c>
      <c r="BW149" s="239">
        <v>-2010223</v>
      </c>
      <c r="BX149" s="239">
        <v>-53507</v>
      </c>
      <c r="BY149" s="239">
        <v>0</v>
      </c>
      <c r="BZ149" s="239">
        <v>-53507</v>
      </c>
      <c r="CA149" s="239">
        <v>0</v>
      </c>
      <c r="CB149" s="239">
        <v>0</v>
      </c>
      <c r="CC149" s="239">
        <v>0</v>
      </c>
      <c r="CD149" s="239">
        <v>-395959</v>
      </c>
      <c r="CE149" s="239">
        <v>0</v>
      </c>
      <c r="CF149" s="239">
        <v>-395959</v>
      </c>
      <c r="CG149" s="239">
        <v>-5856</v>
      </c>
      <c r="CH149" s="239">
        <v>0</v>
      </c>
      <c r="CI149" s="239">
        <v>-5856</v>
      </c>
      <c r="CJ149" s="239">
        <v>0</v>
      </c>
      <c r="CK149" s="239">
        <v>0</v>
      </c>
      <c r="CL149" s="239">
        <v>0</v>
      </c>
      <c r="CM149" s="239">
        <v>0</v>
      </c>
      <c r="CN149" s="239">
        <v>0</v>
      </c>
      <c r="CO149" s="239">
        <v>0</v>
      </c>
      <c r="CP149" s="239">
        <v>0</v>
      </c>
      <c r="CQ149" s="239">
        <v>0</v>
      </c>
      <c r="CR149" s="239">
        <v>0</v>
      </c>
      <c r="CS149" s="239">
        <v>0</v>
      </c>
      <c r="CT149" s="239">
        <v>0</v>
      </c>
      <c r="CU149" s="239">
        <v>0</v>
      </c>
      <c r="CV149" s="239">
        <v>0</v>
      </c>
      <c r="CW149" s="239">
        <v>0</v>
      </c>
      <c r="CX149" s="239">
        <v>0</v>
      </c>
      <c r="CY149" s="239">
        <v>0</v>
      </c>
      <c r="CZ149" s="239">
        <v>0</v>
      </c>
      <c r="DA149" s="239">
        <v>0</v>
      </c>
      <c r="DB149" s="239">
        <v>0</v>
      </c>
      <c r="DC149" s="239">
        <v>0</v>
      </c>
      <c r="DD149" s="239">
        <v>0</v>
      </c>
      <c r="DE149" s="239">
        <v>0</v>
      </c>
      <c r="DF149" s="239">
        <v>0</v>
      </c>
      <c r="DG149" s="239">
        <v>0</v>
      </c>
      <c r="DH149" s="239">
        <v>0</v>
      </c>
      <c r="DI149" s="239">
        <v>0</v>
      </c>
      <c r="DJ149" s="239">
        <v>-455322</v>
      </c>
      <c r="DK149" s="239">
        <v>0</v>
      </c>
      <c r="DL149" s="239">
        <v>-455322</v>
      </c>
      <c r="DM149" s="239">
        <v>-1879</v>
      </c>
      <c r="DN149" s="239">
        <v>0</v>
      </c>
      <c r="DO149" s="239">
        <v>-1879</v>
      </c>
      <c r="DP149" s="239">
        <v>-13020</v>
      </c>
      <c r="DQ149" s="239">
        <v>0</v>
      </c>
      <c r="DR149" s="239">
        <v>-13020</v>
      </c>
      <c r="DS149" s="239">
        <v>0</v>
      </c>
      <c r="DT149" s="239">
        <v>0</v>
      </c>
      <c r="DU149" s="239">
        <v>0</v>
      </c>
      <c r="DV149" s="239">
        <v>0</v>
      </c>
      <c r="DW149" s="239">
        <v>0</v>
      </c>
      <c r="DX149" s="239">
        <v>0</v>
      </c>
      <c r="DY149" s="239">
        <v>0</v>
      </c>
      <c r="DZ149" s="239">
        <v>0</v>
      </c>
      <c r="EA149" s="239">
        <v>0</v>
      </c>
      <c r="EB149" s="239">
        <v>-36779.58</v>
      </c>
      <c r="EC149" s="239">
        <v>0</v>
      </c>
      <c r="ED149" s="239">
        <v>-36779.58</v>
      </c>
      <c r="EE149" s="239">
        <v>0</v>
      </c>
      <c r="EF149" s="239">
        <v>0</v>
      </c>
      <c r="EG149" s="239">
        <v>0</v>
      </c>
      <c r="EH149" s="239">
        <v>0</v>
      </c>
      <c r="EI149" s="239">
        <v>0</v>
      </c>
      <c r="EJ149" s="239">
        <v>0</v>
      </c>
      <c r="EK149" s="239">
        <v>0</v>
      </c>
      <c r="EL149" s="239">
        <v>0</v>
      </c>
      <c r="EM149" s="239">
        <v>0</v>
      </c>
      <c r="EN149" s="239">
        <v>0</v>
      </c>
      <c r="EO149" s="239">
        <v>0</v>
      </c>
      <c r="EP149" s="239">
        <v>0</v>
      </c>
      <c r="EQ149" s="239">
        <v>-51679</v>
      </c>
      <c r="ER149" s="239">
        <v>0</v>
      </c>
      <c r="ES149" s="239">
        <v>-51679</v>
      </c>
      <c r="ET149" s="239">
        <v>0</v>
      </c>
      <c r="EU149" s="239">
        <v>0</v>
      </c>
      <c r="EV149" s="239">
        <v>0</v>
      </c>
      <c r="EW149" s="239">
        <v>0</v>
      </c>
      <c r="EX149" s="239">
        <v>0</v>
      </c>
      <c r="EY149" s="239">
        <v>0</v>
      </c>
      <c r="EZ149" s="239">
        <v>0</v>
      </c>
      <c r="FA149" s="239">
        <v>0</v>
      </c>
      <c r="FB149" s="239">
        <v>0</v>
      </c>
      <c r="FC149" s="239">
        <v>93147192</v>
      </c>
      <c r="FD149" s="239">
        <v>0</v>
      </c>
      <c r="FE149" s="239">
        <v>93147192</v>
      </c>
      <c r="FF149" s="239">
        <v>193987</v>
      </c>
      <c r="FG149" s="239">
        <v>0</v>
      </c>
      <c r="FH149" s="239">
        <v>193987</v>
      </c>
      <c r="FI149" s="239">
        <v>-6574203</v>
      </c>
      <c r="FJ149" s="239">
        <v>0</v>
      </c>
      <c r="FK149" s="239">
        <v>-6574203</v>
      </c>
      <c r="FL149" s="239">
        <v>-2010223</v>
      </c>
      <c r="FM149" s="239">
        <v>0</v>
      </c>
      <c r="FN149" s="239">
        <v>-2010223</v>
      </c>
      <c r="FO149" s="239">
        <v>-455322</v>
      </c>
      <c r="FP149" s="239">
        <v>0</v>
      </c>
      <c r="FQ149" s="239">
        <v>-455322</v>
      </c>
      <c r="FR149" s="239">
        <v>-51679</v>
      </c>
      <c r="FS149" s="239">
        <v>0</v>
      </c>
      <c r="FT149" s="239">
        <v>-51679</v>
      </c>
      <c r="FU149" s="239">
        <v>0</v>
      </c>
      <c r="FV149" s="239">
        <v>0</v>
      </c>
      <c r="FW149" s="239">
        <v>0</v>
      </c>
      <c r="FX149" s="239">
        <v>-8897440</v>
      </c>
      <c r="FY149" s="239">
        <v>0</v>
      </c>
      <c r="FZ149" s="239">
        <v>-8897440</v>
      </c>
      <c r="GA149" s="239">
        <v>84249752</v>
      </c>
      <c r="GB149" s="239">
        <v>0</v>
      </c>
      <c r="GC149" s="239">
        <v>84249752</v>
      </c>
      <c r="GD149" s="214" t="s">
        <v>1191</v>
      </c>
    </row>
    <row r="150" spans="2:186" s="214" customFormat="1" x14ac:dyDescent="0.2">
      <c r="B150" s="609" t="s">
        <v>382</v>
      </c>
      <c r="C150" s="609" t="s">
        <v>381</v>
      </c>
      <c r="D150" s="239">
        <v>0</v>
      </c>
      <c r="E150" s="239">
        <v>0</v>
      </c>
      <c r="F150" s="239">
        <v>0</v>
      </c>
      <c r="G150" s="239">
        <v>422375</v>
      </c>
      <c r="H150" s="239">
        <v>0</v>
      </c>
      <c r="I150" s="239">
        <v>422375</v>
      </c>
      <c r="J150" s="239">
        <v>0</v>
      </c>
      <c r="K150" s="239">
        <v>0</v>
      </c>
      <c r="L150" s="239">
        <v>0</v>
      </c>
      <c r="M150" s="239">
        <v>130625</v>
      </c>
      <c r="N150" s="239">
        <v>0</v>
      </c>
      <c r="O150" s="239">
        <v>130625</v>
      </c>
      <c r="P150" s="239">
        <v>553000</v>
      </c>
      <c r="Q150" s="239">
        <v>0</v>
      </c>
      <c r="R150" s="239">
        <v>553000</v>
      </c>
      <c r="S150" s="239">
        <v>-13008589</v>
      </c>
      <c r="T150" s="239">
        <v>0</v>
      </c>
      <c r="U150" s="239">
        <v>-13008589</v>
      </c>
      <c r="V150" s="239">
        <v>-68176</v>
      </c>
      <c r="W150" s="239">
        <v>0</v>
      </c>
      <c r="X150" s="239">
        <v>-68176</v>
      </c>
      <c r="Y150" s="239">
        <v>-456273</v>
      </c>
      <c r="Z150" s="239">
        <v>0</v>
      </c>
      <c r="AA150" s="239">
        <v>-456273</v>
      </c>
      <c r="AB150" s="239">
        <v>-351807</v>
      </c>
      <c r="AC150" s="239">
        <v>0</v>
      </c>
      <c r="AD150" s="239">
        <v>-351807</v>
      </c>
      <c r="AE150" s="239">
        <v>4228</v>
      </c>
      <c r="AF150" s="239">
        <v>0</v>
      </c>
      <c r="AG150" s="239">
        <v>4228</v>
      </c>
      <c r="AH150" s="239">
        <v>2869870</v>
      </c>
      <c r="AI150" s="239">
        <v>0</v>
      </c>
      <c r="AJ150" s="239">
        <v>2869870</v>
      </c>
      <c r="AK150" s="239">
        <v>-57865</v>
      </c>
      <c r="AL150" s="239">
        <v>0</v>
      </c>
      <c r="AM150" s="239">
        <v>-57865</v>
      </c>
      <c r="AN150" s="239">
        <v>-7810009</v>
      </c>
      <c r="AO150" s="239">
        <v>0</v>
      </c>
      <c r="AP150" s="239">
        <v>-7810009</v>
      </c>
      <c r="AQ150" s="239">
        <v>125214</v>
      </c>
      <c r="AR150" s="239">
        <v>0</v>
      </c>
      <c r="AS150" s="239">
        <v>125214</v>
      </c>
      <c r="AT150" s="239">
        <v>-138269</v>
      </c>
      <c r="AU150" s="239">
        <v>0</v>
      </c>
      <c r="AV150" s="239">
        <v>-138269</v>
      </c>
      <c r="AW150" s="239">
        <v>3451</v>
      </c>
      <c r="AX150" s="239">
        <v>0</v>
      </c>
      <c r="AY150" s="239">
        <v>3451</v>
      </c>
      <c r="AZ150" s="239">
        <v>-8556</v>
      </c>
      <c r="BA150" s="239">
        <v>0</v>
      </c>
      <c r="BB150" s="239">
        <v>-8556</v>
      </c>
      <c r="BC150" s="239">
        <v>-948</v>
      </c>
      <c r="BD150" s="239">
        <v>0</v>
      </c>
      <c r="BE150" s="239">
        <v>-948</v>
      </c>
      <c r="BF150" s="239">
        <v>-18481974</v>
      </c>
      <c r="BG150" s="239">
        <v>0</v>
      </c>
      <c r="BH150" s="239">
        <v>-18481974</v>
      </c>
      <c r="BI150" s="239">
        <v>-38697</v>
      </c>
      <c r="BJ150" s="239">
        <v>0</v>
      </c>
      <c r="BK150" s="239">
        <v>-38697</v>
      </c>
      <c r="BL150" s="239">
        <v>-11960</v>
      </c>
      <c r="BM150" s="239">
        <v>0</v>
      </c>
      <c r="BN150" s="239">
        <v>-11960</v>
      </c>
      <c r="BO150" s="239">
        <v>-5444635</v>
      </c>
      <c r="BP150" s="239">
        <v>0</v>
      </c>
      <c r="BQ150" s="239">
        <v>-5444635</v>
      </c>
      <c r="BR150" s="239">
        <v>-86637</v>
      </c>
      <c r="BS150" s="239">
        <v>0</v>
      </c>
      <c r="BT150" s="239">
        <v>-86637</v>
      </c>
      <c r="BU150" s="239">
        <v>-5581929</v>
      </c>
      <c r="BV150" s="239">
        <v>0</v>
      </c>
      <c r="BW150" s="239">
        <v>-5581929</v>
      </c>
      <c r="BX150" s="239">
        <v>-313209</v>
      </c>
      <c r="BY150" s="239">
        <v>0</v>
      </c>
      <c r="BZ150" s="239">
        <v>-313209</v>
      </c>
      <c r="CA150" s="239">
        <v>-2321</v>
      </c>
      <c r="CB150" s="239">
        <v>0</v>
      </c>
      <c r="CC150" s="239">
        <v>-2321</v>
      </c>
      <c r="CD150" s="239">
        <v>-91525</v>
      </c>
      <c r="CE150" s="239">
        <v>0</v>
      </c>
      <c r="CF150" s="239">
        <v>-91525</v>
      </c>
      <c r="CG150" s="239">
        <v>1090</v>
      </c>
      <c r="CH150" s="239">
        <v>0</v>
      </c>
      <c r="CI150" s="239">
        <v>1090</v>
      </c>
      <c r="CJ150" s="239">
        <v>0</v>
      </c>
      <c r="CK150" s="239">
        <v>0</v>
      </c>
      <c r="CL150" s="239">
        <v>0</v>
      </c>
      <c r="CM150" s="239">
        <v>0</v>
      </c>
      <c r="CN150" s="239">
        <v>0</v>
      </c>
      <c r="CO150" s="239">
        <v>0</v>
      </c>
      <c r="CP150" s="239">
        <v>-2967</v>
      </c>
      <c r="CQ150" s="239">
        <v>0</v>
      </c>
      <c r="CR150" s="239">
        <v>-2967</v>
      </c>
      <c r="CS150" s="239">
        <v>420</v>
      </c>
      <c r="CT150" s="239">
        <v>0</v>
      </c>
      <c r="CU150" s="239">
        <v>420</v>
      </c>
      <c r="CV150" s="239">
        <v>-115912</v>
      </c>
      <c r="CW150" s="239">
        <v>0</v>
      </c>
      <c r="CX150" s="239">
        <v>-115912</v>
      </c>
      <c r="CY150" s="239">
        <v>5612</v>
      </c>
      <c r="CZ150" s="239">
        <v>0</v>
      </c>
      <c r="DA150" s="239">
        <v>5612</v>
      </c>
      <c r="DB150" s="239">
        <v>0</v>
      </c>
      <c r="DC150" s="239">
        <v>0</v>
      </c>
      <c r="DD150" s="239">
        <v>0</v>
      </c>
      <c r="DE150" s="239">
        <v>0</v>
      </c>
      <c r="DF150" s="239">
        <v>0</v>
      </c>
      <c r="DG150" s="239">
        <v>0</v>
      </c>
      <c r="DH150" s="239">
        <v>0</v>
      </c>
      <c r="DI150" s="239">
        <v>0</v>
      </c>
      <c r="DJ150" s="239">
        <v>-518812</v>
      </c>
      <c r="DK150" s="239">
        <v>0</v>
      </c>
      <c r="DL150" s="239">
        <v>-518812</v>
      </c>
      <c r="DM150" s="239">
        <v>0</v>
      </c>
      <c r="DN150" s="239">
        <v>0</v>
      </c>
      <c r="DO150" s="239">
        <v>0</v>
      </c>
      <c r="DP150" s="239">
        <v>0</v>
      </c>
      <c r="DQ150" s="239">
        <v>0</v>
      </c>
      <c r="DR150" s="239">
        <v>0</v>
      </c>
      <c r="DS150" s="239">
        <v>-63447</v>
      </c>
      <c r="DT150" s="239">
        <v>0</v>
      </c>
      <c r="DU150" s="239">
        <v>-63447</v>
      </c>
      <c r="DV150" s="239">
        <v>4285</v>
      </c>
      <c r="DW150" s="239">
        <v>0</v>
      </c>
      <c r="DX150" s="239">
        <v>4285</v>
      </c>
      <c r="DY150" s="239">
        <v>0</v>
      </c>
      <c r="DZ150" s="239">
        <v>0</v>
      </c>
      <c r="EA150" s="239">
        <v>0</v>
      </c>
      <c r="EB150" s="239">
        <v>-70367</v>
      </c>
      <c r="EC150" s="239">
        <v>0</v>
      </c>
      <c r="ED150" s="239">
        <v>-70367</v>
      </c>
      <c r="EE150" s="239">
        <v>0</v>
      </c>
      <c r="EF150" s="239">
        <v>0</v>
      </c>
      <c r="EG150" s="239">
        <v>0</v>
      </c>
      <c r="EH150" s="239">
        <v>-996</v>
      </c>
      <c r="EI150" s="239">
        <v>0</v>
      </c>
      <c r="EJ150" s="239">
        <v>-996</v>
      </c>
      <c r="EK150" s="239">
        <v>-9530</v>
      </c>
      <c r="EL150" s="239">
        <v>0</v>
      </c>
      <c r="EM150" s="239">
        <v>-9530</v>
      </c>
      <c r="EN150" s="239">
        <v>-1811</v>
      </c>
      <c r="EO150" s="239">
        <v>0</v>
      </c>
      <c r="EP150" s="239">
        <v>-1811</v>
      </c>
      <c r="EQ150" s="239">
        <v>-141866</v>
      </c>
      <c r="ER150" s="239">
        <v>0</v>
      </c>
      <c r="ES150" s="239">
        <v>-141866</v>
      </c>
      <c r="ET150" s="239">
        <v>-1900</v>
      </c>
      <c r="EU150" s="239">
        <v>0</v>
      </c>
      <c r="EV150" s="239">
        <v>-1900</v>
      </c>
      <c r="EW150" s="239">
        <v>-4711</v>
      </c>
      <c r="EX150" s="239">
        <v>0</v>
      </c>
      <c r="EY150" s="239">
        <v>-4711</v>
      </c>
      <c r="EZ150" s="239">
        <v>-6611</v>
      </c>
      <c r="FA150" s="239">
        <v>0</v>
      </c>
      <c r="FB150" s="239">
        <v>-6611</v>
      </c>
      <c r="FC150" s="239">
        <v>130584731</v>
      </c>
      <c r="FD150" s="239">
        <v>0</v>
      </c>
      <c r="FE150" s="239">
        <v>130584731</v>
      </c>
      <c r="FF150" s="239">
        <v>553000</v>
      </c>
      <c r="FG150" s="239">
        <v>0</v>
      </c>
      <c r="FH150" s="239">
        <v>553000</v>
      </c>
      <c r="FI150" s="239">
        <v>-18481974</v>
      </c>
      <c r="FJ150" s="239">
        <v>0</v>
      </c>
      <c r="FK150" s="239">
        <v>-18481974</v>
      </c>
      <c r="FL150" s="239">
        <v>-5581929</v>
      </c>
      <c r="FM150" s="239">
        <v>0</v>
      </c>
      <c r="FN150" s="239">
        <v>-5581929</v>
      </c>
      <c r="FO150" s="239">
        <v>-518812</v>
      </c>
      <c r="FP150" s="239">
        <v>0</v>
      </c>
      <c r="FQ150" s="239">
        <v>-518812</v>
      </c>
      <c r="FR150" s="239">
        <v>-141866</v>
      </c>
      <c r="FS150" s="239">
        <v>0</v>
      </c>
      <c r="FT150" s="239">
        <v>-141866</v>
      </c>
      <c r="FU150" s="239">
        <v>-6611</v>
      </c>
      <c r="FV150" s="239">
        <v>0</v>
      </c>
      <c r="FW150" s="239">
        <v>-6611</v>
      </c>
      <c r="FX150" s="239">
        <v>-24178192</v>
      </c>
      <c r="FY150" s="239">
        <v>0</v>
      </c>
      <c r="FZ150" s="239">
        <v>-24178192</v>
      </c>
      <c r="GA150" s="239">
        <v>106406539</v>
      </c>
      <c r="GB150" s="239">
        <v>0</v>
      </c>
      <c r="GC150" s="239">
        <v>106406539</v>
      </c>
      <c r="GD150" s="214" t="s">
        <v>1192</v>
      </c>
    </row>
    <row r="151" spans="2:186" s="214" customFormat="1" x14ac:dyDescent="0.2">
      <c r="B151" s="609" t="s">
        <v>384</v>
      </c>
      <c r="C151" s="609" t="s">
        <v>383</v>
      </c>
      <c r="D151" s="239">
        <v>0</v>
      </c>
      <c r="E151" s="239">
        <v>0</v>
      </c>
      <c r="F151" s="239">
        <v>0</v>
      </c>
      <c r="G151" s="239">
        <v>14709</v>
      </c>
      <c r="H151" s="239">
        <v>0</v>
      </c>
      <c r="I151" s="239">
        <v>14709</v>
      </c>
      <c r="J151" s="239">
        <v>0</v>
      </c>
      <c r="K151" s="239">
        <v>0</v>
      </c>
      <c r="L151" s="239">
        <v>0</v>
      </c>
      <c r="M151" s="239">
        <v>39859</v>
      </c>
      <c r="N151" s="239">
        <v>0</v>
      </c>
      <c r="O151" s="239">
        <v>39859</v>
      </c>
      <c r="P151" s="239">
        <v>54568</v>
      </c>
      <c r="Q151" s="239">
        <v>0</v>
      </c>
      <c r="R151" s="239">
        <v>54568</v>
      </c>
      <c r="S151" s="239">
        <v>-1998893</v>
      </c>
      <c r="T151" s="239">
        <v>0</v>
      </c>
      <c r="U151" s="239">
        <v>-1998893</v>
      </c>
      <c r="V151" s="239">
        <v>-9761</v>
      </c>
      <c r="W151" s="239">
        <v>0</v>
      </c>
      <c r="X151" s="239">
        <v>-9761</v>
      </c>
      <c r="Y151" s="239">
        <v>-69901</v>
      </c>
      <c r="Z151" s="239">
        <v>0</v>
      </c>
      <c r="AA151" s="239">
        <v>-69901</v>
      </c>
      <c r="AB151" s="239">
        <v>-65472</v>
      </c>
      <c r="AC151" s="239">
        <v>0</v>
      </c>
      <c r="AD151" s="239">
        <v>-65472</v>
      </c>
      <c r="AE151" s="239">
        <v>-392</v>
      </c>
      <c r="AF151" s="239">
        <v>0</v>
      </c>
      <c r="AG151" s="239">
        <v>-392</v>
      </c>
      <c r="AH151" s="239">
        <v>1195449</v>
      </c>
      <c r="AI151" s="239">
        <v>0</v>
      </c>
      <c r="AJ151" s="239">
        <v>1195449</v>
      </c>
      <c r="AK151" s="239">
        <v>44079</v>
      </c>
      <c r="AL151" s="239">
        <v>0</v>
      </c>
      <c r="AM151" s="239">
        <v>44079</v>
      </c>
      <c r="AN151" s="239">
        <v>-2299244</v>
      </c>
      <c r="AO151" s="239">
        <v>0</v>
      </c>
      <c r="AP151" s="239">
        <v>-2299244</v>
      </c>
      <c r="AQ151" s="239">
        <v>-44240</v>
      </c>
      <c r="AR151" s="239">
        <v>0</v>
      </c>
      <c r="AS151" s="239">
        <v>-44240</v>
      </c>
      <c r="AT151" s="239">
        <v>-15864</v>
      </c>
      <c r="AU151" s="239">
        <v>0</v>
      </c>
      <c r="AV151" s="239">
        <v>-15864</v>
      </c>
      <c r="AW151" s="239">
        <v>0</v>
      </c>
      <c r="AX151" s="239">
        <v>0</v>
      </c>
      <c r="AY151" s="239">
        <v>0</v>
      </c>
      <c r="AZ151" s="239">
        <v>0</v>
      </c>
      <c r="BA151" s="239">
        <v>0</v>
      </c>
      <c r="BB151" s="239">
        <v>0</v>
      </c>
      <c r="BC151" s="239">
        <v>0</v>
      </c>
      <c r="BD151" s="239">
        <v>0</v>
      </c>
      <c r="BE151" s="239">
        <v>0</v>
      </c>
      <c r="BF151" s="239">
        <v>-3188614</v>
      </c>
      <c r="BG151" s="239">
        <v>0</v>
      </c>
      <c r="BH151" s="239">
        <v>-3188614</v>
      </c>
      <c r="BI151" s="239">
        <v>0</v>
      </c>
      <c r="BJ151" s="239">
        <v>0</v>
      </c>
      <c r="BK151" s="239">
        <v>0</v>
      </c>
      <c r="BL151" s="239">
        <v>0</v>
      </c>
      <c r="BM151" s="239">
        <v>0</v>
      </c>
      <c r="BN151" s="239">
        <v>0</v>
      </c>
      <c r="BO151" s="239">
        <v>-1375729</v>
      </c>
      <c r="BP151" s="239">
        <v>0</v>
      </c>
      <c r="BQ151" s="239">
        <v>-1375729</v>
      </c>
      <c r="BR151" s="239">
        <v>-300387</v>
      </c>
      <c r="BS151" s="239">
        <v>0</v>
      </c>
      <c r="BT151" s="239">
        <v>-300387</v>
      </c>
      <c r="BU151" s="239">
        <v>-1676116</v>
      </c>
      <c r="BV151" s="239">
        <v>0</v>
      </c>
      <c r="BW151" s="239">
        <v>-1676116</v>
      </c>
      <c r="BX151" s="239">
        <v>-199828</v>
      </c>
      <c r="BY151" s="239">
        <v>0</v>
      </c>
      <c r="BZ151" s="239">
        <v>-199828</v>
      </c>
      <c r="CA151" s="239">
        <v>2088</v>
      </c>
      <c r="CB151" s="239">
        <v>0</v>
      </c>
      <c r="CC151" s="239">
        <v>2088</v>
      </c>
      <c r="CD151" s="239">
        <v>-751422</v>
      </c>
      <c r="CE151" s="239">
        <v>0</v>
      </c>
      <c r="CF151" s="239">
        <v>-751422</v>
      </c>
      <c r="CG151" s="239">
        <v>-7128</v>
      </c>
      <c r="CH151" s="239">
        <v>0</v>
      </c>
      <c r="CI151" s="239">
        <v>-7128</v>
      </c>
      <c r="CJ151" s="239">
        <v>0</v>
      </c>
      <c r="CK151" s="239">
        <v>0</v>
      </c>
      <c r="CL151" s="239">
        <v>0</v>
      </c>
      <c r="CM151" s="239">
        <v>0</v>
      </c>
      <c r="CN151" s="239">
        <v>0</v>
      </c>
      <c r="CO151" s="239">
        <v>0</v>
      </c>
      <c r="CP151" s="239">
        <v>0</v>
      </c>
      <c r="CQ151" s="239">
        <v>0</v>
      </c>
      <c r="CR151" s="239">
        <v>0</v>
      </c>
      <c r="CS151" s="239">
        <v>0</v>
      </c>
      <c r="CT151" s="239">
        <v>0</v>
      </c>
      <c r="CU151" s="239">
        <v>0</v>
      </c>
      <c r="CV151" s="239">
        <v>0</v>
      </c>
      <c r="CW151" s="239">
        <v>0</v>
      </c>
      <c r="CX151" s="239">
        <v>0</v>
      </c>
      <c r="CY151" s="239">
        <v>0</v>
      </c>
      <c r="CZ151" s="239">
        <v>0</v>
      </c>
      <c r="DA151" s="239">
        <v>0</v>
      </c>
      <c r="DB151" s="239">
        <v>0</v>
      </c>
      <c r="DC151" s="239">
        <v>0</v>
      </c>
      <c r="DD151" s="239">
        <v>0</v>
      </c>
      <c r="DE151" s="239">
        <v>0</v>
      </c>
      <c r="DF151" s="239">
        <v>0</v>
      </c>
      <c r="DG151" s="239">
        <v>0</v>
      </c>
      <c r="DH151" s="239">
        <v>0</v>
      </c>
      <c r="DI151" s="239">
        <v>0</v>
      </c>
      <c r="DJ151" s="239">
        <v>-956290</v>
      </c>
      <c r="DK151" s="239">
        <v>0</v>
      </c>
      <c r="DL151" s="239">
        <v>-956290</v>
      </c>
      <c r="DM151" s="239">
        <v>-5577</v>
      </c>
      <c r="DN151" s="239">
        <v>0</v>
      </c>
      <c r="DO151" s="239">
        <v>-5577</v>
      </c>
      <c r="DP151" s="239">
        <v>-1375</v>
      </c>
      <c r="DQ151" s="239">
        <v>0</v>
      </c>
      <c r="DR151" s="239">
        <v>-1375</v>
      </c>
      <c r="DS151" s="239">
        <v>-42423</v>
      </c>
      <c r="DT151" s="239">
        <v>0</v>
      </c>
      <c r="DU151" s="239">
        <v>-42423</v>
      </c>
      <c r="DV151" s="239">
        <v>609</v>
      </c>
      <c r="DW151" s="239">
        <v>0</v>
      </c>
      <c r="DX151" s="239">
        <v>609</v>
      </c>
      <c r="DY151" s="239">
        <v>0</v>
      </c>
      <c r="DZ151" s="239">
        <v>0</v>
      </c>
      <c r="EA151" s="239">
        <v>0</v>
      </c>
      <c r="EB151" s="239">
        <v>-14108</v>
      </c>
      <c r="EC151" s="239">
        <v>0</v>
      </c>
      <c r="ED151" s="239">
        <v>-14108</v>
      </c>
      <c r="EE151" s="239">
        <v>0</v>
      </c>
      <c r="EF151" s="239">
        <v>0</v>
      </c>
      <c r="EG151" s="239">
        <v>0</v>
      </c>
      <c r="EH151" s="239">
        <v>0</v>
      </c>
      <c r="EI151" s="239">
        <v>0</v>
      </c>
      <c r="EJ151" s="239">
        <v>0</v>
      </c>
      <c r="EK151" s="239">
        <v>0</v>
      </c>
      <c r="EL151" s="239">
        <v>0</v>
      </c>
      <c r="EM151" s="239">
        <v>0</v>
      </c>
      <c r="EN151" s="239">
        <v>0</v>
      </c>
      <c r="EO151" s="239">
        <v>0</v>
      </c>
      <c r="EP151" s="239">
        <v>0</v>
      </c>
      <c r="EQ151" s="239">
        <v>-62874</v>
      </c>
      <c r="ER151" s="239">
        <v>0</v>
      </c>
      <c r="ES151" s="239">
        <v>-62874</v>
      </c>
      <c r="ET151" s="239">
        <v>0</v>
      </c>
      <c r="EU151" s="239">
        <v>0</v>
      </c>
      <c r="EV151" s="239">
        <v>0</v>
      </c>
      <c r="EW151" s="239">
        <v>0</v>
      </c>
      <c r="EX151" s="239">
        <v>0</v>
      </c>
      <c r="EY151" s="239">
        <v>0</v>
      </c>
      <c r="EZ151" s="239">
        <v>0</v>
      </c>
      <c r="FA151" s="239">
        <v>0</v>
      </c>
      <c r="FB151" s="239">
        <v>0</v>
      </c>
      <c r="FC151" s="239">
        <v>49389924</v>
      </c>
      <c r="FD151" s="239">
        <v>0</v>
      </c>
      <c r="FE151" s="239">
        <v>49389924</v>
      </c>
      <c r="FF151" s="239">
        <v>54568</v>
      </c>
      <c r="FG151" s="239">
        <v>0</v>
      </c>
      <c r="FH151" s="239">
        <v>54568</v>
      </c>
      <c r="FI151" s="239">
        <v>-3188614</v>
      </c>
      <c r="FJ151" s="239">
        <v>0</v>
      </c>
      <c r="FK151" s="239">
        <v>-3188614</v>
      </c>
      <c r="FL151" s="239">
        <v>-1676116</v>
      </c>
      <c r="FM151" s="239">
        <v>0</v>
      </c>
      <c r="FN151" s="239">
        <v>-1676116</v>
      </c>
      <c r="FO151" s="239">
        <v>-956290</v>
      </c>
      <c r="FP151" s="239">
        <v>0</v>
      </c>
      <c r="FQ151" s="239">
        <v>-956290</v>
      </c>
      <c r="FR151" s="239">
        <v>-62874</v>
      </c>
      <c r="FS151" s="239">
        <v>0</v>
      </c>
      <c r="FT151" s="239">
        <v>-62874</v>
      </c>
      <c r="FU151" s="239">
        <v>0</v>
      </c>
      <c r="FV151" s="239">
        <v>0</v>
      </c>
      <c r="FW151" s="239">
        <v>0</v>
      </c>
      <c r="FX151" s="239">
        <v>-5829326</v>
      </c>
      <c r="FY151" s="239">
        <v>0</v>
      </c>
      <c r="FZ151" s="239">
        <v>-5829326</v>
      </c>
      <c r="GA151" s="239">
        <v>43560598</v>
      </c>
      <c r="GB151" s="239">
        <v>0</v>
      </c>
      <c r="GC151" s="239">
        <v>43560598</v>
      </c>
      <c r="GD151" s="214" t="s">
        <v>1192</v>
      </c>
    </row>
    <row r="152" spans="2:186" s="214" customFormat="1" x14ac:dyDescent="0.2">
      <c r="B152" s="609" t="s">
        <v>386</v>
      </c>
      <c r="C152" s="609" t="s">
        <v>385</v>
      </c>
      <c r="D152" s="239">
        <v>0</v>
      </c>
      <c r="E152" s="239">
        <v>0</v>
      </c>
      <c r="F152" s="239">
        <v>0</v>
      </c>
      <c r="G152" s="239">
        <v>2004885</v>
      </c>
      <c r="H152" s="239">
        <v>0</v>
      </c>
      <c r="I152" s="239">
        <v>2004885</v>
      </c>
      <c r="J152" s="239">
        <v>0</v>
      </c>
      <c r="K152" s="239">
        <v>0</v>
      </c>
      <c r="L152" s="239">
        <v>0</v>
      </c>
      <c r="M152" s="239">
        <v>15434</v>
      </c>
      <c r="N152" s="239">
        <v>0</v>
      </c>
      <c r="O152" s="239">
        <v>15434</v>
      </c>
      <c r="P152" s="239">
        <v>2020319</v>
      </c>
      <c r="Q152" s="239">
        <v>0</v>
      </c>
      <c r="R152" s="239">
        <v>2020319</v>
      </c>
      <c r="S152" s="239">
        <v>-5919213</v>
      </c>
      <c r="T152" s="239">
        <v>0</v>
      </c>
      <c r="U152" s="239">
        <v>-5919213</v>
      </c>
      <c r="V152" s="239">
        <v>0</v>
      </c>
      <c r="W152" s="239">
        <v>0</v>
      </c>
      <c r="X152" s="239">
        <v>0</v>
      </c>
      <c r="Y152" s="239">
        <v>-198018</v>
      </c>
      <c r="Z152" s="239">
        <v>0</v>
      </c>
      <c r="AA152" s="239">
        <v>-198018</v>
      </c>
      <c r="AB152" s="239">
        <v>-150002</v>
      </c>
      <c r="AC152" s="239">
        <v>0</v>
      </c>
      <c r="AD152" s="239">
        <v>-150002</v>
      </c>
      <c r="AE152" s="239">
        <v>0</v>
      </c>
      <c r="AF152" s="239">
        <v>0</v>
      </c>
      <c r="AG152" s="239">
        <v>0</v>
      </c>
      <c r="AH152" s="239">
        <v>3314527</v>
      </c>
      <c r="AI152" s="239">
        <v>55213</v>
      </c>
      <c r="AJ152" s="239">
        <v>3369740</v>
      </c>
      <c r="AK152" s="239">
        <v>-135940</v>
      </c>
      <c r="AL152" s="239">
        <v>0</v>
      </c>
      <c r="AM152" s="239">
        <v>-135940</v>
      </c>
      <c r="AN152" s="239">
        <v>-16691337</v>
      </c>
      <c r="AO152" s="239">
        <v>0</v>
      </c>
      <c r="AP152" s="239">
        <v>-16691337</v>
      </c>
      <c r="AQ152" s="239">
        <v>-18054</v>
      </c>
      <c r="AR152" s="239">
        <v>0</v>
      </c>
      <c r="AS152" s="239">
        <v>-18054</v>
      </c>
      <c r="AT152" s="239">
        <v>-7853</v>
      </c>
      <c r="AU152" s="239">
        <v>0</v>
      </c>
      <c r="AV152" s="239">
        <v>-7853</v>
      </c>
      <c r="AW152" s="239">
        <v>0</v>
      </c>
      <c r="AX152" s="239">
        <v>0</v>
      </c>
      <c r="AY152" s="239">
        <v>0</v>
      </c>
      <c r="AZ152" s="239">
        <v>0</v>
      </c>
      <c r="BA152" s="239">
        <v>0</v>
      </c>
      <c r="BB152" s="239">
        <v>0</v>
      </c>
      <c r="BC152" s="239">
        <v>0</v>
      </c>
      <c r="BD152" s="239">
        <v>0</v>
      </c>
      <c r="BE152" s="239">
        <v>0</v>
      </c>
      <c r="BF152" s="239">
        <v>-19655888</v>
      </c>
      <c r="BG152" s="239">
        <v>55213</v>
      </c>
      <c r="BH152" s="239">
        <v>-19600675</v>
      </c>
      <c r="BI152" s="239">
        <v>0</v>
      </c>
      <c r="BJ152" s="239">
        <v>0</v>
      </c>
      <c r="BK152" s="239">
        <v>0</v>
      </c>
      <c r="BL152" s="239">
        <v>0</v>
      </c>
      <c r="BM152" s="239">
        <v>0</v>
      </c>
      <c r="BN152" s="239">
        <v>0</v>
      </c>
      <c r="BO152" s="239">
        <v>-3322418</v>
      </c>
      <c r="BP152" s="239">
        <v>-263585</v>
      </c>
      <c r="BQ152" s="239">
        <v>-3586003</v>
      </c>
      <c r="BR152" s="239">
        <v>-971086</v>
      </c>
      <c r="BS152" s="239">
        <v>0</v>
      </c>
      <c r="BT152" s="239">
        <v>-971086</v>
      </c>
      <c r="BU152" s="239">
        <v>-4293504</v>
      </c>
      <c r="BV152" s="239">
        <v>-263585</v>
      </c>
      <c r="BW152" s="239">
        <v>-4557089</v>
      </c>
      <c r="BX152" s="239">
        <v>-221394</v>
      </c>
      <c r="BY152" s="239">
        <v>0</v>
      </c>
      <c r="BZ152" s="239">
        <v>-221394</v>
      </c>
      <c r="CA152" s="239">
        <v>8754</v>
      </c>
      <c r="CB152" s="239">
        <v>0</v>
      </c>
      <c r="CC152" s="239">
        <v>8754</v>
      </c>
      <c r="CD152" s="239">
        <v>-303145</v>
      </c>
      <c r="CE152" s="239">
        <v>0</v>
      </c>
      <c r="CF152" s="239">
        <v>-303145</v>
      </c>
      <c r="CG152" s="239">
        <v>99977</v>
      </c>
      <c r="CH152" s="239">
        <v>0</v>
      </c>
      <c r="CI152" s="239">
        <v>99977</v>
      </c>
      <c r="CJ152" s="239">
        <v>0</v>
      </c>
      <c r="CK152" s="239">
        <v>0</v>
      </c>
      <c r="CL152" s="239">
        <v>0</v>
      </c>
      <c r="CM152" s="239">
        <v>0</v>
      </c>
      <c r="CN152" s="239">
        <v>0</v>
      </c>
      <c r="CO152" s="239">
        <v>0</v>
      </c>
      <c r="CP152" s="239">
        <v>0</v>
      </c>
      <c r="CQ152" s="239">
        <v>0</v>
      </c>
      <c r="CR152" s="239">
        <v>0</v>
      </c>
      <c r="CS152" s="239">
        <v>0</v>
      </c>
      <c r="CT152" s="239">
        <v>0</v>
      </c>
      <c r="CU152" s="239">
        <v>0</v>
      </c>
      <c r="CV152" s="239">
        <v>0</v>
      </c>
      <c r="CW152" s="239">
        <v>0</v>
      </c>
      <c r="CX152" s="239">
        <v>0</v>
      </c>
      <c r="CY152" s="239">
        <v>0</v>
      </c>
      <c r="CZ152" s="239">
        <v>0</v>
      </c>
      <c r="DA152" s="239">
        <v>0</v>
      </c>
      <c r="DB152" s="239">
        <v>0</v>
      </c>
      <c r="DC152" s="239">
        <v>0</v>
      </c>
      <c r="DD152" s="239">
        <v>0</v>
      </c>
      <c r="DE152" s="239">
        <v>0</v>
      </c>
      <c r="DF152" s="239">
        <v>0</v>
      </c>
      <c r="DG152" s="239">
        <v>0</v>
      </c>
      <c r="DH152" s="239">
        <v>0</v>
      </c>
      <c r="DI152" s="239">
        <v>0</v>
      </c>
      <c r="DJ152" s="239">
        <v>-415808</v>
      </c>
      <c r="DK152" s="239">
        <v>0</v>
      </c>
      <c r="DL152" s="239">
        <v>-415808</v>
      </c>
      <c r="DM152" s="239">
        <v>-9191</v>
      </c>
      <c r="DN152" s="239">
        <v>0</v>
      </c>
      <c r="DO152" s="239">
        <v>-9191</v>
      </c>
      <c r="DP152" s="239">
        <v>0</v>
      </c>
      <c r="DQ152" s="239">
        <v>0</v>
      </c>
      <c r="DR152" s="239">
        <v>0</v>
      </c>
      <c r="DS152" s="239">
        <v>-14021</v>
      </c>
      <c r="DT152" s="239">
        <v>0</v>
      </c>
      <c r="DU152" s="239">
        <v>-14021</v>
      </c>
      <c r="DV152" s="239">
        <v>-4798</v>
      </c>
      <c r="DW152" s="239">
        <v>0</v>
      </c>
      <c r="DX152" s="239">
        <v>-4798</v>
      </c>
      <c r="DY152" s="239">
        <v>0</v>
      </c>
      <c r="DZ152" s="239">
        <v>0</v>
      </c>
      <c r="EA152" s="239">
        <v>0</v>
      </c>
      <c r="EB152" s="239">
        <v>14461</v>
      </c>
      <c r="EC152" s="239">
        <v>0</v>
      </c>
      <c r="ED152" s="239">
        <v>14461</v>
      </c>
      <c r="EE152" s="239">
        <v>0</v>
      </c>
      <c r="EF152" s="239">
        <v>0</v>
      </c>
      <c r="EG152" s="239">
        <v>0</v>
      </c>
      <c r="EH152" s="239">
        <v>0</v>
      </c>
      <c r="EI152" s="239">
        <v>0</v>
      </c>
      <c r="EJ152" s="239">
        <v>0</v>
      </c>
      <c r="EK152" s="239">
        <v>-25678</v>
      </c>
      <c r="EL152" s="239">
        <v>0</v>
      </c>
      <c r="EM152" s="239">
        <v>-25678</v>
      </c>
      <c r="EN152" s="239">
        <v>60</v>
      </c>
      <c r="EO152" s="239">
        <v>0</v>
      </c>
      <c r="EP152" s="239">
        <v>60</v>
      </c>
      <c r="EQ152" s="239">
        <v>-39167</v>
      </c>
      <c r="ER152" s="239">
        <v>0</v>
      </c>
      <c r="ES152" s="239">
        <v>-39167</v>
      </c>
      <c r="ET152" s="239">
        <v>0</v>
      </c>
      <c r="EU152" s="239">
        <v>0</v>
      </c>
      <c r="EV152" s="239">
        <v>0</v>
      </c>
      <c r="EW152" s="239">
        <v>0</v>
      </c>
      <c r="EX152" s="239">
        <v>0</v>
      </c>
      <c r="EY152" s="239">
        <v>0</v>
      </c>
      <c r="EZ152" s="239">
        <v>0</v>
      </c>
      <c r="FA152" s="239">
        <v>0</v>
      </c>
      <c r="FB152" s="239">
        <v>0</v>
      </c>
      <c r="FC152" s="239">
        <v>140750776</v>
      </c>
      <c r="FD152" s="239">
        <v>2082213</v>
      </c>
      <c r="FE152" s="239">
        <v>142832989</v>
      </c>
      <c r="FF152" s="239">
        <v>2020319</v>
      </c>
      <c r="FG152" s="239">
        <v>0</v>
      </c>
      <c r="FH152" s="239">
        <v>2020319</v>
      </c>
      <c r="FI152" s="239">
        <v>-19655888</v>
      </c>
      <c r="FJ152" s="239">
        <v>55213</v>
      </c>
      <c r="FK152" s="239">
        <v>-19600675</v>
      </c>
      <c r="FL152" s="239">
        <v>-4293504</v>
      </c>
      <c r="FM152" s="239">
        <v>-263585</v>
      </c>
      <c r="FN152" s="239">
        <v>-4557089</v>
      </c>
      <c r="FO152" s="239">
        <v>-415808</v>
      </c>
      <c r="FP152" s="239">
        <v>0</v>
      </c>
      <c r="FQ152" s="239">
        <v>-415808</v>
      </c>
      <c r="FR152" s="239">
        <v>-39167</v>
      </c>
      <c r="FS152" s="239">
        <v>0</v>
      </c>
      <c r="FT152" s="239">
        <v>-39167</v>
      </c>
      <c r="FU152" s="239">
        <v>0</v>
      </c>
      <c r="FV152" s="239">
        <v>0</v>
      </c>
      <c r="FW152" s="239">
        <v>0</v>
      </c>
      <c r="FX152" s="239">
        <v>-22384048</v>
      </c>
      <c r="FY152" s="239">
        <v>-208372</v>
      </c>
      <c r="FZ152" s="239">
        <v>-22592420</v>
      </c>
      <c r="GA152" s="239">
        <v>118366728</v>
      </c>
      <c r="GB152" s="239">
        <v>1873841</v>
      </c>
      <c r="GC152" s="239">
        <v>120240569</v>
      </c>
      <c r="GD152" s="214" t="s">
        <v>1193</v>
      </c>
    </row>
    <row r="153" spans="2:186" s="214" customFormat="1" x14ac:dyDescent="0.2">
      <c r="B153" s="609" t="s">
        <v>388</v>
      </c>
      <c r="C153" s="609" t="s">
        <v>387</v>
      </c>
      <c r="D153" s="239">
        <v>0</v>
      </c>
      <c r="E153" s="239">
        <v>0</v>
      </c>
      <c r="F153" s="239">
        <v>0</v>
      </c>
      <c r="G153" s="239">
        <v>4025507</v>
      </c>
      <c r="H153" s="239">
        <v>0</v>
      </c>
      <c r="I153" s="239">
        <v>4025507</v>
      </c>
      <c r="J153" s="239">
        <v>0</v>
      </c>
      <c r="K153" s="239">
        <v>0</v>
      </c>
      <c r="L153" s="239">
        <v>0</v>
      </c>
      <c r="M153" s="239">
        <v>6880</v>
      </c>
      <c r="N153" s="239">
        <v>0</v>
      </c>
      <c r="O153" s="239">
        <v>6880</v>
      </c>
      <c r="P153" s="239">
        <v>4032387</v>
      </c>
      <c r="Q153" s="239">
        <v>0</v>
      </c>
      <c r="R153" s="239">
        <v>4032387</v>
      </c>
      <c r="S153" s="239">
        <v>-3535938</v>
      </c>
      <c r="T153" s="239">
        <v>0</v>
      </c>
      <c r="U153" s="239">
        <v>-3535938</v>
      </c>
      <c r="V153" s="239">
        <v>-19858</v>
      </c>
      <c r="W153" s="239">
        <v>0</v>
      </c>
      <c r="X153" s="239">
        <v>-19858</v>
      </c>
      <c r="Y153" s="239">
        <v>-130428</v>
      </c>
      <c r="Z153" s="239">
        <v>0</v>
      </c>
      <c r="AA153" s="239">
        <v>-130428</v>
      </c>
      <c r="AB153" s="239">
        <v>0</v>
      </c>
      <c r="AC153" s="239">
        <v>0</v>
      </c>
      <c r="AD153" s="239">
        <v>0</v>
      </c>
      <c r="AE153" s="239">
        <v>-57563</v>
      </c>
      <c r="AF153" s="239">
        <v>0</v>
      </c>
      <c r="AG153" s="239">
        <v>-57563</v>
      </c>
      <c r="AH153" s="239">
        <v>1769040</v>
      </c>
      <c r="AI153" s="239">
        <v>0</v>
      </c>
      <c r="AJ153" s="239">
        <v>1769040</v>
      </c>
      <c r="AK153" s="239">
        <v>-225066</v>
      </c>
      <c r="AL153" s="239">
        <v>0</v>
      </c>
      <c r="AM153" s="239">
        <v>-225066</v>
      </c>
      <c r="AN153" s="239">
        <v>-3667120</v>
      </c>
      <c r="AO153" s="239">
        <v>0</v>
      </c>
      <c r="AP153" s="239">
        <v>-3667120</v>
      </c>
      <c r="AQ153" s="239">
        <v>-126696</v>
      </c>
      <c r="AR153" s="239">
        <v>0</v>
      </c>
      <c r="AS153" s="239">
        <v>-126696</v>
      </c>
      <c r="AT153" s="239">
        <v>-44322</v>
      </c>
      <c r="AU153" s="239">
        <v>0</v>
      </c>
      <c r="AV153" s="239">
        <v>-44322</v>
      </c>
      <c r="AW153" s="239">
        <v>0</v>
      </c>
      <c r="AX153" s="239">
        <v>0</v>
      </c>
      <c r="AY153" s="239">
        <v>0</v>
      </c>
      <c r="AZ153" s="239">
        <v>-24768</v>
      </c>
      <c r="BA153" s="239">
        <v>0</v>
      </c>
      <c r="BB153" s="239">
        <v>-24768</v>
      </c>
      <c r="BC153" s="239">
        <v>455</v>
      </c>
      <c r="BD153" s="239">
        <v>0</v>
      </c>
      <c r="BE153" s="239">
        <v>455</v>
      </c>
      <c r="BF153" s="239">
        <v>-5984843</v>
      </c>
      <c r="BG153" s="239">
        <v>0</v>
      </c>
      <c r="BH153" s="239">
        <v>-5984843</v>
      </c>
      <c r="BI153" s="239">
        <v>0</v>
      </c>
      <c r="BJ153" s="239">
        <v>0</v>
      </c>
      <c r="BK153" s="239">
        <v>0</v>
      </c>
      <c r="BL153" s="239">
        <v>0</v>
      </c>
      <c r="BM153" s="239">
        <v>0</v>
      </c>
      <c r="BN153" s="239">
        <v>0</v>
      </c>
      <c r="BO153" s="239">
        <v>-1534416</v>
      </c>
      <c r="BP153" s="239">
        <v>0</v>
      </c>
      <c r="BQ153" s="239">
        <v>-1534416</v>
      </c>
      <c r="BR153" s="239">
        <v>-60368</v>
      </c>
      <c r="BS153" s="239">
        <v>0</v>
      </c>
      <c r="BT153" s="239">
        <v>-60368</v>
      </c>
      <c r="BU153" s="239">
        <v>-1594784</v>
      </c>
      <c r="BV153" s="239">
        <v>0</v>
      </c>
      <c r="BW153" s="239">
        <v>-1594784</v>
      </c>
      <c r="BX153" s="239">
        <v>-98475</v>
      </c>
      <c r="BY153" s="239">
        <v>0</v>
      </c>
      <c r="BZ153" s="239">
        <v>-98475</v>
      </c>
      <c r="CA153" s="239">
        <v>-25612</v>
      </c>
      <c r="CB153" s="239">
        <v>0</v>
      </c>
      <c r="CC153" s="239">
        <v>-25612</v>
      </c>
      <c r="CD153" s="239">
        <v>-57935</v>
      </c>
      <c r="CE153" s="239">
        <v>0</v>
      </c>
      <c r="CF153" s="239">
        <v>-57935</v>
      </c>
      <c r="CG153" s="239">
        <v>0</v>
      </c>
      <c r="CH153" s="239">
        <v>0</v>
      </c>
      <c r="CI153" s="239">
        <v>0</v>
      </c>
      <c r="CJ153" s="239">
        <v>-2410</v>
      </c>
      <c r="CK153" s="239">
        <v>0</v>
      </c>
      <c r="CL153" s="239">
        <v>-2410</v>
      </c>
      <c r="CM153" s="239">
        <v>0</v>
      </c>
      <c r="CN153" s="239">
        <v>0</v>
      </c>
      <c r="CO153" s="239">
        <v>0</v>
      </c>
      <c r="CP153" s="239">
        <v>-6435</v>
      </c>
      <c r="CQ153" s="239">
        <v>0</v>
      </c>
      <c r="CR153" s="239">
        <v>-6435</v>
      </c>
      <c r="CS153" s="239">
        <v>0</v>
      </c>
      <c r="CT153" s="239">
        <v>0</v>
      </c>
      <c r="CU153" s="239">
        <v>0</v>
      </c>
      <c r="CV153" s="239">
        <v>0</v>
      </c>
      <c r="CW153" s="239">
        <v>0</v>
      </c>
      <c r="CX153" s="239">
        <v>0</v>
      </c>
      <c r="CY153" s="239">
        <v>0</v>
      </c>
      <c r="CZ153" s="239">
        <v>0</v>
      </c>
      <c r="DA153" s="239">
        <v>0</v>
      </c>
      <c r="DB153" s="239">
        <v>0</v>
      </c>
      <c r="DC153" s="239">
        <v>0</v>
      </c>
      <c r="DD153" s="239">
        <v>0</v>
      </c>
      <c r="DE153" s="239">
        <v>0</v>
      </c>
      <c r="DF153" s="239">
        <v>0</v>
      </c>
      <c r="DG153" s="239">
        <v>0</v>
      </c>
      <c r="DH153" s="239">
        <v>0</v>
      </c>
      <c r="DI153" s="239">
        <v>0</v>
      </c>
      <c r="DJ153" s="239">
        <v>-190867</v>
      </c>
      <c r="DK153" s="239">
        <v>0</v>
      </c>
      <c r="DL153" s="239">
        <v>-190867</v>
      </c>
      <c r="DM153" s="239">
        <v>-1952</v>
      </c>
      <c r="DN153" s="239">
        <v>0</v>
      </c>
      <c r="DO153" s="239">
        <v>-1952</v>
      </c>
      <c r="DP153" s="239">
        <v>0</v>
      </c>
      <c r="DQ153" s="239">
        <v>0</v>
      </c>
      <c r="DR153" s="239">
        <v>0</v>
      </c>
      <c r="DS153" s="239">
        <v>-6634</v>
      </c>
      <c r="DT153" s="239">
        <v>0</v>
      </c>
      <c r="DU153" s="239">
        <v>-6634</v>
      </c>
      <c r="DV153" s="239">
        <v>1879</v>
      </c>
      <c r="DW153" s="239">
        <v>0</v>
      </c>
      <c r="DX153" s="239">
        <v>1879</v>
      </c>
      <c r="DY153" s="239">
        <v>0</v>
      </c>
      <c r="DZ153" s="239">
        <v>0</v>
      </c>
      <c r="EA153" s="239">
        <v>0</v>
      </c>
      <c r="EB153" s="239">
        <v>9500</v>
      </c>
      <c r="EC153" s="239">
        <v>0</v>
      </c>
      <c r="ED153" s="239">
        <v>9500</v>
      </c>
      <c r="EE153" s="239">
        <v>-263692</v>
      </c>
      <c r="EF153" s="239">
        <v>0</v>
      </c>
      <c r="EG153" s="239">
        <v>-263692</v>
      </c>
      <c r="EH153" s="239">
        <v>-164535</v>
      </c>
      <c r="EI153" s="239">
        <v>0</v>
      </c>
      <c r="EJ153" s="239">
        <v>-164535</v>
      </c>
      <c r="EK153" s="239">
        <v>-16761</v>
      </c>
      <c r="EL153" s="239">
        <v>0</v>
      </c>
      <c r="EM153" s="239">
        <v>-16761</v>
      </c>
      <c r="EN153" s="239">
        <v>437</v>
      </c>
      <c r="EO153" s="239">
        <v>0</v>
      </c>
      <c r="EP153" s="239">
        <v>437</v>
      </c>
      <c r="EQ153" s="239">
        <v>-441758</v>
      </c>
      <c r="ER153" s="239">
        <v>0</v>
      </c>
      <c r="ES153" s="239">
        <v>-441758</v>
      </c>
      <c r="ET153" s="239">
        <v>0</v>
      </c>
      <c r="EU153" s="239">
        <v>0</v>
      </c>
      <c r="EV153" s="239">
        <v>0</v>
      </c>
      <c r="EW153" s="239">
        <v>0</v>
      </c>
      <c r="EX153" s="239">
        <v>0</v>
      </c>
      <c r="EY153" s="239">
        <v>0</v>
      </c>
      <c r="EZ153" s="239">
        <v>0</v>
      </c>
      <c r="FA153" s="239">
        <v>0</v>
      </c>
      <c r="FB153" s="239">
        <v>0</v>
      </c>
      <c r="FC153" s="239">
        <v>64049629</v>
      </c>
      <c r="FD153" s="239">
        <v>0</v>
      </c>
      <c r="FE153" s="239">
        <v>64049629</v>
      </c>
      <c r="FF153" s="239">
        <v>4032387</v>
      </c>
      <c r="FG153" s="239">
        <v>0</v>
      </c>
      <c r="FH153" s="239">
        <v>4032387</v>
      </c>
      <c r="FI153" s="239">
        <v>-5984843</v>
      </c>
      <c r="FJ153" s="239">
        <v>0</v>
      </c>
      <c r="FK153" s="239">
        <v>-5984843</v>
      </c>
      <c r="FL153" s="239">
        <v>-1594784</v>
      </c>
      <c r="FM153" s="239">
        <v>0</v>
      </c>
      <c r="FN153" s="239">
        <v>-1594784</v>
      </c>
      <c r="FO153" s="239">
        <v>-190867</v>
      </c>
      <c r="FP153" s="239">
        <v>0</v>
      </c>
      <c r="FQ153" s="239">
        <v>-190867</v>
      </c>
      <c r="FR153" s="239">
        <v>-441758</v>
      </c>
      <c r="FS153" s="239">
        <v>0</v>
      </c>
      <c r="FT153" s="239">
        <v>-441758</v>
      </c>
      <c r="FU153" s="239">
        <v>0</v>
      </c>
      <c r="FV153" s="239">
        <v>0</v>
      </c>
      <c r="FW153" s="239">
        <v>0</v>
      </c>
      <c r="FX153" s="239">
        <v>-4179865</v>
      </c>
      <c r="FY153" s="239">
        <v>0</v>
      </c>
      <c r="FZ153" s="239">
        <v>-4179865</v>
      </c>
      <c r="GA153" s="239">
        <v>59869764</v>
      </c>
      <c r="GB153" s="239">
        <v>0</v>
      </c>
      <c r="GC153" s="239">
        <v>59869764</v>
      </c>
      <c r="GD153" s="214" t="s">
        <v>1190</v>
      </c>
    </row>
    <row r="154" spans="2:186" s="214" customFormat="1" x14ac:dyDescent="0.2">
      <c r="B154" s="609" t="s">
        <v>390</v>
      </c>
      <c r="C154" s="609" t="s">
        <v>389</v>
      </c>
      <c r="D154" s="239">
        <v>0</v>
      </c>
      <c r="E154" s="239">
        <v>0</v>
      </c>
      <c r="F154" s="239">
        <v>0</v>
      </c>
      <c r="G154" s="239">
        <v>1841507</v>
      </c>
      <c r="H154" s="239">
        <v>0</v>
      </c>
      <c r="I154" s="239">
        <v>1841507</v>
      </c>
      <c r="J154" s="239">
        <v>0</v>
      </c>
      <c r="K154" s="239">
        <v>0</v>
      </c>
      <c r="L154" s="239">
        <v>0</v>
      </c>
      <c r="M154" s="239">
        <v>389411</v>
      </c>
      <c r="N154" s="239">
        <v>0</v>
      </c>
      <c r="O154" s="239">
        <v>389411</v>
      </c>
      <c r="P154" s="239">
        <v>2230918</v>
      </c>
      <c r="Q154" s="239">
        <v>0</v>
      </c>
      <c r="R154" s="239">
        <v>2230918</v>
      </c>
      <c r="S154" s="239">
        <v>-17437674</v>
      </c>
      <c r="T154" s="239">
        <v>0</v>
      </c>
      <c r="U154" s="239">
        <v>-17437674</v>
      </c>
      <c r="V154" s="239">
        <v>-4898</v>
      </c>
      <c r="W154" s="239">
        <v>0</v>
      </c>
      <c r="X154" s="239">
        <v>-4898</v>
      </c>
      <c r="Y154" s="239">
        <v>-361114</v>
      </c>
      <c r="Z154" s="239">
        <v>0</v>
      </c>
      <c r="AA154" s="239">
        <v>-361114</v>
      </c>
      <c r="AB154" s="239">
        <v>-280319</v>
      </c>
      <c r="AC154" s="239">
        <v>0</v>
      </c>
      <c r="AD154" s="239">
        <v>-280319</v>
      </c>
      <c r="AE154" s="239">
        <v>0</v>
      </c>
      <c r="AF154" s="239">
        <v>0</v>
      </c>
      <c r="AG154" s="239">
        <v>0</v>
      </c>
      <c r="AH154" s="239">
        <v>10554219</v>
      </c>
      <c r="AI154" s="239">
        <v>61336</v>
      </c>
      <c r="AJ154" s="239">
        <v>10615555</v>
      </c>
      <c r="AK154" s="239">
        <v>-401553</v>
      </c>
      <c r="AL154" s="239">
        <v>-824</v>
      </c>
      <c r="AM154" s="239">
        <v>-402377</v>
      </c>
      <c r="AN154" s="239">
        <v>-25661862</v>
      </c>
      <c r="AO154" s="239">
        <v>0</v>
      </c>
      <c r="AP154" s="239">
        <v>-25661862</v>
      </c>
      <c r="AQ154" s="239">
        <v>-623717</v>
      </c>
      <c r="AR154" s="239">
        <v>0</v>
      </c>
      <c r="AS154" s="239">
        <v>-623717</v>
      </c>
      <c r="AT154" s="239">
        <v>-350316</v>
      </c>
      <c r="AU154" s="239">
        <v>0</v>
      </c>
      <c r="AV154" s="239">
        <v>-350316</v>
      </c>
      <c r="AW154" s="239">
        <v>-7945</v>
      </c>
      <c r="AX154" s="239">
        <v>0</v>
      </c>
      <c r="AY154" s="239">
        <v>-7945</v>
      </c>
      <c r="AZ154" s="239">
        <v>-12214</v>
      </c>
      <c r="BA154" s="239">
        <v>0</v>
      </c>
      <c r="BB154" s="239">
        <v>-12214</v>
      </c>
      <c r="BC154" s="239">
        <v>-13229</v>
      </c>
      <c r="BD154" s="239">
        <v>0</v>
      </c>
      <c r="BE154" s="239">
        <v>-13229</v>
      </c>
      <c r="BF154" s="239">
        <v>-34315405</v>
      </c>
      <c r="BG154" s="239">
        <v>60512</v>
      </c>
      <c r="BH154" s="239">
        <v>-34254893</v>
      </c>
      <c r="BI154" s="239">
        <v>-242785</v>
      </c>
      <c r="BJ154" s="239">
        <v>0</v>
      </c>
      <c r="BK154" s="239">
        <v>-242785</v>
      </c>
      <c r="BL154" s="239">
        <v>44994</v>
      </c>
      <c r="BM154" s="239">
        <v>0</v>
      </c>
      <c r="BN154" s="239">
        <v>44994</v>
      </c>
      <c r="BO154" s="239">
        <v>-20809865</v>
      </c>
      <c r="BP154" s="239">
        <v>0</v>
      </c>
      <c r="BQ154" s="239">
        <v>-20809865</v>
      </c>
      <c r="BR154" s="239">
        <v>2112454</v>
      </c>
      <c r="BS154" s="239">
        <v>0</v>
      </c>
      <c r="BT154" s="239">
        <v>2112454</v>
      </c>
      <c r="BU154" s="239">
        <v>-18895202</v>
      </c>
      <c r="BV154" s="239">
        <v>0</v>
      </c>
      <c r="BW154" s="239">
        <v>-18895202</v>
      </c>
      <c r="BX154" s="239">
        <v>-54759</v>
      </c>
      <c r="BY154" s="239">
        <v>0</v>
      </c>
      <c r="BZ154" s="239">
        <v>-54759</v>
      </c>
      <c r="CA154" s="239">
        <v>2290</v>
      </c>
      <c r="CB154" s="239">
        <v>0</v>
      </c>
      <c r="CC154" s="239">
        <v>2290</v>
      </c>
      <c r="CD154" s="239">
        <v>-462707</v>
      </c>
      <c r="CE154" s="239">
        <v>0</v>
      </c>
      <c r="CF154" s="239">
        <v>-462707</v>
      </c>
      <c r="CG154" s="239">
        <v>-35469</v>
      </c>
      <c r="CH154" s="239">
        <v>0</v>
      </c>
      <c r="CI154" s="239">
        <v>-35469</v>
      </c>
      <c r="CJ154" s="239">
        <v>-53200</v>
      </c>
      <c r="CK154" s="239">
        <v>0</v>
      </c>
      <c r="CL154" s="239">
        <v>-53200</v>
      </c>
      <c r="CM154" s="239">
        <v>-4299</v>
      </c>
      <c r="CN154" s="239">
        <v>0</v>
      </c>
      <c r="CO154" s="239">
        <v>-4299</v>
      </c>
      <c r="CP154" s="239">
        <v>-4150</v>
      </c>
      <c r="CQ154" s="239">
        <v>0</v>
      </c>
      <c r="CR154" s="239">
        <v>-4150</v>
      </c>
      <c r="CS154" s="239">
        <v>92</v>
      </c>
      <c r="CT154" s="239">
        <v>0</v>
      </c>
      <c r="CU154" s="239">
        <v>92</v>
      </c>
      <c r="CV154" s="239">
        <v>-5023</v>
      </c>
      <c r="CW154" s="239">
        <v>0</v>
      </c>
      <c r="CX154" s="239">
        <v>-5023</v>
      </c>
      <c r="CY154" s="239">
        <v>0</v>
      </c>
      <c r="CZ154" s="239">
        <v>0</v>
      </c>
      <c r="DA154" s="239">
        <v>0</v>
      </c>
      <c r="DB154" s="239">
        <v>-321073</v>
      </c>
      <c r="DC154" s="239">
        <v>-499025</v>
      </c>
      <c r="DD154" s="239">
        <v>-820098</v>
      </c>
      <c r="DE154" s="239">
        <v>-2275</v>
      </c>
      <c r="DF154" s="239">
        <v>-77306</v>
      </c>
      <c r="DG154" s="239">
        <v>-79581</v>
      </c>
      <c r="DH154" s="239">
        <v>-576331</v>
      </c>
      <c r="DI154" s="239">
        <v>0</v>
      </c>
      <c r="DJ154" s="239">
        <v>-940573</v>
      </c>
      <c r="DK154" s="239">
        <v>-576331</v>
      </c>
      <c r="DL154" s="239">
        <v>-1516904</v>
      </c>
      <c r="DM154" s="239">
        <v>-96915</v>
      </c>
      <c r="DN154" s="239">
        <v>0</v>
      </c>
      <c r="DO154" s="239">
        <v>-96915</v>
      </c>
      <c r="DP154" s="239">
        <v>0</v>
      </c>
      <c r="DQ154" s="239">
        <v>0</v>
      </c>
      <c r="DR154" s="239">
        <v>0</v>
      </c>
      <c r="DS154" s="239">
        <v>-140174</v>
      </c>
      <c r="DT154" s="239">
        <v>0</v>
      </c>
      <c r="DU154" s="239">
        <v>-140174</v>
      </c>
      <c r="DV154" s="239">
        <v>-110511</v>
      </c>
      <c r="DW154" s="239">
        <v>0</v>
      </c>
      <c r="DX154" s="239">
        <v>-110511</v>
      </c>
      <c r="DY154" s="239">
        <v>0</v>
      </c>
      <c r="DZ154" s="239">
        <v>0</v>
      </c>
      <c r="EA154" s="239">
        <v>0</v>
      </c>
      <c r="EB154" s="239">
        <v>164</v>
      </c>
      <c r="EC154" s="239">
        <v>0</v>
      </c>
      <c r="ED154" s="239">
        <v>164</v>
      </c>
      <c r="EE154" s="239">
        <v>-74646</v>
      </c>
      <c r="EF154" s="239">
        <v>0</v>
      </c>
      <c r="EG154" s="239">
        <v>-74646</v>
      </c>
      <c r="EH154" s="239">
        <v>-119552</v>
      </c>
      <c r="EI154" s="239">
        <v>0</v>
      </c>
      <c r="EJ154" s="239">
        <v>-119552</v>
      </c>
      <c r="EK154" s="239">
        <v>-41645</v>
      </c>
      <c r="EL154" s="239">
        <v>0</v>
      </c>
      <c r="EM154" s="239">
        <v>-41645</v>
      </c>
      <c r="EN154" s="239">
        <v>3793</v>
      </c>
      <c r="EO154" s="239">
        <v>0</v>
      </c>
      <c r="EP154" s="239">
        <v>3793</v>
      </c>
      <c r="EQ154" s="239">
        <v>-579486</v>
      </c>
      <c r="ER154" s="239">
        <v>0</v>
      </c>
      <c r="ES154" s="239">
        <v>-579486</v>
      </c>
      <c r="ET154" s="239">
        <v>-118987</v>
      </c>
      <c r="EU154" s="239">
        <v>0</v>
      </c>
      <c r="EV154" s="239">
        <v>-118987</v>
      </c>
      <c r="EW154" s="239">
        <v>3304</v>
      </c>
      <c r="EX154" s="239">
        <v>0</v>
      </c>
      <c r="EY154" s="239">
        <v>3304</v>
      </c>
      <c r="EZ154" s="239">
        <v>-115683</v>
      </c>
      <c r="FA154" s="239">
        <v>0</v>
      </c>
      <c r="FB154" s="239">
        <v>-115683</v>
      </c>
      <c r="FC154" s="239">
        <v>424576550</v>
      </c>
      <c r="FD154" s="239">
        <v>2190230</v>
      </c>
      <c r="FE154" s="239">
        <v>426766780</v>
      </c>
      <c r="FF154" s="239">
        <v>2230918</v>
      </c>
      <c r="FG154" s="239">
        <v>0</v>
      </c>
      <c r="FH154" s="239">
        <v>2230918</v>
      </c>
      <c r="FI154" s="239">
        <v>-34315405</v>
      </c>
      <c r="FJ154" s="239">
        <v>60512</v>
      </c>
      <c r="FK154" s="239">
        <v>-34254893</v>
      </c>
      <c r="FL154" s="239">
        <v>-18895202</v>
      </c>
      <c r="FM154" s="239">
        <v>0</v>
      </c>
      <c r="FN154" s="239">
        <v>-18895202</v>
      </c>
      <c r="FO154" s="239">
        <v>-940573</v>
      </c>
      <c r="FP154" s="239">
        <v>-576331</v>
      </c>
      <c r="FQ154" s="239">
        <v>-1516904</v>
      </c>
      <c r="FR154" s="239">
        <v>-579486</v>
      </c>
      <c r="FS154" s="239">
        <v>0</v>
      </c>
      <c r="FT154" s="239">
        <v>-579486</v>
      </c>
      <c r="FU154" s="239">
        <v>-115683</v>
      </c>
      <c r="FV154" s="239">
        <v>0</v>
      </c>
      <c r="FW154" s="239">
        <v>-115683</v>
      </c>
      <c r="FX154" s="239">
        <v>-52615431</v>
      </c>
      <c r="FY154" s="239">
        <v>-515819</v>
      </c>
      <c r="FZ154" s="239">
        <v>-53131250</v>
      </c>
      <c r="GA154" s="239">
        <v>371961119</v>
      </c>
      <c r="GB154" s="239">
        <v>1674411</v>
      </c>
      <c r="GC154" s="239">
        <v>373635530</v>
      </c>
      <c r="GD154" s="214" t="s">
        <v>1192</v>
      </c>
    </row>
    <row r="155" spans="2:186" s="214" customFormat="1" x14ac:dyDescent="0.2">
      <c r="B155" s="609" t="s">
        <v>392</v>
      </c>
      <c r="C155" s="609" t="s">
        <v>391</v>
      </c>
      <c r="D155" s="239">
        <v>0</v>
      </c>
      <c r="E155" s="239">
        <v>0</v>
      </c>
      <c r="F155" s="239">
        <v>0</v>
      </c>
      <c r="G155" s="239">
        <v>32168</v>
      </c>
      <c r="H155" s="239">
        <v>0</v>
      </c>
      <c r="I155" s="239">
        <v>32168</v>
      </c>
      <c r="J155" s="239">
        <v>0</v>
      </c>
      <c r="K155" s="239">
        <v>0</v>
      </c>
      <c r="L155" s="239">
        <v>0</v>
      </c>
      <c r="M155" s="239">
        <v>279012</v>
      </c>
      <c r="N155" s="239">
        <v>0</v>
      </c>
      <c r="O155" s="239">
        <v>279012</v>
      </c>
      <c r="P155" s="239">
        <v>311180</v>
      </c>
      <c r="Q155" s="239">
        <v>0</v>
      </c>
      <c r="R155" s="239">
        <v>311180</v>
      </c>
      <c r="S155" s="239">
        <v>-9020191</v>
      </c>
      <c r="T155" s="239">
        <v>0</v>
      </c>
      <c r="U155" s="239">
        <v>-9020191</v>
      </c>
      <c r="V155" s="239">
        <v>-43179</v>
      </c>
      <c r="W155" s="239">
        <v>0</v>
      </c>
      <c r="X155" s="239">
        <v>-43179</v>
      </c>
      <c r="Y155" s="239">
        <v>-686557</v>
      </c>
      <c r="Z155" s="239">
        <v>0</v>
      </c>
      <c r="AA155" s="239">
        <v>-686557</v>
      </c>
      <c r="AB155" s="239">
        <v>-437535</v>
      </c>
      <c r="AC155" s="239">
        <v>0</v>
      </c>
      <c r="AD155" s="239">
        <v>-437535</v>
      </c>
      <c r="AE155" s="239">
        <v>-1725</v>
      </c>
      <c r="AF155" s="239">
        <v>0</v>
      </c>
      <c r="AG155" s="239">
        <v>-1725</v>
      </c>
      <c r="AH155" s="239">
        <v>2836593</v>
      </c>
      <c r="AI155" s="239">
        <v>0</v>
      </c>
      <c r="AJ155" s="239">
        <v>2836593</v>
      </c>
      <c r="AK155" s="239">
        <v>-32992</v>
      </c>
      <c r="AL155" s="239">
        <v>0</v>
      </c>
      <c r="AM155" s="239">
        <v>-32992</v>
      </c>
      <c r="AN155" s="239">
        <v>-9015409</v>
      </c>
      <c r="AO155" s="239">
        <v>0</v>
      </c>
      <c r="AP155" s="239">
        <v>-9015409</v>
      </c>
      <c r="AQ155" s="239">
        <v>-215269</v>
      </c>
      <c r="AR155" s="239">
        <v>0</v>
      </c>
      <c r="AS155" s="239">
        <v>-215269</v>
      </c>
      <c r="AT155" s="239">
        <v>-50016</v>
      </c>
      <c r="AU155" s="239">
        <v>0</v>
      </c>
      <c r="AV155" s="239">
        <v>-50016</v>
      </c>
      <c r="AW155" s="239">
        <v>0</v>
      </c>
      <c r="AX155" s="239">
        <v>0</v>
      </c>
      <c r="AY155" s="239">
        <v>0</v>
      </c>
      <c r="AZ155" s="239">
        <v>0</v>
      </c>
      <c r="BA155" s="239">
        <v>0</v>
      </c>
      <c r="BB155" s="239">
        <v>0</v>
      </c>
      <c r="BC155" s="239">
        <v>0</v>
      </c>
      <c r="BD155" s="239">
        <v>0</v>
      </c>
      <c r="BE155" s="239">
        <v>0</v>
      </c>
      <c r="BF155" s="239">
        <v>-16183841</v>
      </c>
      <c r="BG155" s="239">
        <v>0</v>
      </c>
      <c r="BH155" s="239">
        <v>-16183841</v>
      </c>
      <c r="BI155" s="239">
        <v>-24094</v>
      </c>
      <c r="BJ155" s="239">
        <v>0</v>
      </c>
      <c r="BK155" s="239">
        <v>-24094</v>
      </c>
      <c r="BL155" s="239">
        <v>-7634</v>
      </c>
      <c r="BM155" s="239">
        <v>0</v>
      </c>
      <c r="BN155" s="239">
        <v>-7634</v>
      </c>
      <c r="BO155" s="239">
        <v>-4214168</v>
      </c>
      <c r="BP155" s="239">
        <v>0</v>
      </c>
      <c r="BQ155" s="239">
        <v>-4214168</v>
      </c>
      <c r="BR155" s="239">
        <v>-2485</v>
      </c>
      <c r="BS155" s="239">
        <v>0</v>
      </c>
      <c r="BT155" s="239">
        <v>-2485</v>
      </c>
      <c r="BU155" s="239">
        <v>-4248381</v>
      </c>
      <c r="BV155" s="239">
        <v>0</v>
      </c>
      <c r="BW155" s="239">
        <v>-4248381</v>
      </c>
      <c r="BX155" s="239">
        <v>-364114</v>
      </c>
      <c r="BY155" s="239">
        <v>0</v>
      </c>
      <c r="BZ155" s="239">
        <v>-364114</v>
      </c>
      <c r="CA155" s="239">
        <v>-3559</v>
      </c>
      <c r="CB155" s="239">
        <v>0</v>
      </c>
      <c r="CC155" s="239">
        <v>-3559</v>
      </c>
      <c r="CD155" s="239">
        <v>-163880</v>
      </c>
      <c r="CE155" s="239">
        <v>0</v>
      </c>
      <c r="CF155" s="239">
        <v>-163880</v>
      </c>
      <c r="CG155" s="239">
        <v>22742</v>
      </c>
      <c r="CH155" s="239">
        <v>0</v>
      </c>
      <c r="CI155" s="239">
        <v>22742</v>
      </c>
      <c r="CJ155" s="239">
        <v>0</v>
      </c>
      <c r="CK155" s="239">
        <v>0</v>
      </c>
      <c r="CL155" s="239">
        <v>0</v>
      </c>
      <c r="CM155" s="239">
        <v>0</v>
      </c>
      <c r="CN155" s="239">
        <v>0</v>
      </c>
      <c r="CO155" s="239">
        <v>0</v>
      </c>
      <c r="CP155" s="239">
        <v>0</v>
      </c>
      <c r="CQ155" s="239">
        <v>0</v>
      </c>
      <c r="CR155" s="239">
        <v>0</v>
      </c>
      <c r="CS155" s="239">
        <v>0</v>
      </c>
      <c r="CT155" s="239">
        <v>0</v>
      </c>
      <c r="CU155" s="239">
        <v>0</v>
      </c>
      <c r="CV155" s="239">
        <v>0</v>
      </c>
      <c r="CW155" s="239">
        <v>0</v>
      </c>
      <c r="CX155" s="239">
        <v>0</v>
      </c>
      <c r="CY155" s="239">
        <v>0</v>
      </c>
      <c r="CZ155" s="239">
        <v>0</v>
      </c>
      <c r="DA155" s="239">
        <v>0</v>
      </c>
      <c r="DB155" s="239">
        <v>-170281</v>
      </c>
      <c r="DC155" s="239">
        <v>0</v>
      </c>
      <c r="DD155" s="239">
        <v>-170281</v>
      </c>
      <c r="DE155" s="239">
        <v>-41016</v>
      </c>
      <c r="DF155" s="239">
        <v>0</v>
      </c>
      <c r="DG155" s="239">
        <v>-41016</v>
      </c>
      <c r="DH155" s="239">
        <v>0</v>
      </c>
      <c r="DI155" s="239">
        <v>0</v>
      </c>
      <c r="DJ155" s="239">
        <v>-720108</v>
      </c>
      <c r="DK155" s="239">
        <v>0</v>
      </c>
      <c r="DL155" s="239">
        <v>-720108</v>
      </c>
      <c r="DM155" s="239">
        <v>-724</v>
      </c>
      <c r="DN155" s="239">
        <v>0</v>
      </c>
      <c r="DO155" s="239">
        <v>-724</v>
      </c>
      <c r="DP155" s="239">
        <v>0</v>
      </c>
      <c r="DQ155" s="239">
        <v>0</v>
      </c>
      <c r="DR155" s="239">
        <v>0</v>
      </c>
      <c r="DS155" s="239">
        <v>-57257</v>
      </c>
      <c r="DT155" s="239">
        <v>0</v>
      </c>
      <c r="DU155" s="239">
        <v>-57257</v>
      </c>
      <c r="DV155" s="239">
        <v>8713</v>
      </c>
      <c r="DW155" s="239">
        <v>0</v>
      </c>
      <c r="DX155" s="239">
        <v>8713</v>
      </c>
      <c r="DY155" s="239">
        <v>0</v>
      </c>
      <c r="DZ155" s="239">
        <v>0</v>
      </c>
      <c r="EA155" s="239">
        <v>0</v>
      </c>
      <c r="EB155" s="239">
        <v>74912</v>
      </c>
      <c r="EC155" s="239">
        <v>0</v>
      </c>
      <c r="ED155" s="239">
        <v>74912</v>
      </c>
      <c r="EE155" s="239">
        <v>0</v>
      </c>
      <c r="EF155" s="239">
        <v>0</v>
      </c>
      <c r="EG155" s="239">
        <v>0</v>
      </c>
      <c r="EH155" s="239">
        <v>0</v>
      </c>
      <c r="EI155" s="239">
        <v>0</v>
      </c>
      <c r="EJ155" s="239">
        <v>0</v>
      </c>
      <c r="EK155" s="239">
        <v>-3439</v>
      </c>
      <c r="EL155" s="239">
        <v>0</v>
      </c>
      <c r="EM155" s="239">
        <v>-3439</v>
      </c>
      <c r="EN155" s="239">
        <v>0</v>
      </c>
      <c r="EO155" s="239">
        <v>0</v>
      </c>
      <c r="EP155" s="239">
        <v>0</v>
      </c>
      <c r="EQ155" s="239">
        <v>22205</v>
      </c>
      <c r="ER155" s="239">
        <v>0</v>
      </c>
      <c r="ES155" s="239">
        <v>22205</v>
      </c>
      <c r="ET155" s="239">
        <v>-42071</v>
      </c>
      <c r="EU155" s="239">
        <v>0</v>
      </c>
      <c r="EV155" s="239">
        <v>-42071</v>
      </c>
      <c r="EW155" s="239">
        <v>-17117</v>
      </c>
      <c r="EX155" s="239">
        <v>0</v>
      </c>
      <c r="EY155" s="239">
        <v>-17117</v>
      </c>
      <c r="EZ155" s="239">
        <v>-59188</v>
      </c>
      <c r="FA155" s="239">
        <v>0</v>
      </c>
      <c r="FB155" s="239">
        <v>-59188</v>
      </c>
      <c r="FC155" s="239">
        <v>126314754</v>
      </c>
      <c r="FD155" s="239">
        <v>0</v>
      </c>
      <c r="FE155" s="239">
        <v>126314754</v>
      </c>
      <c r="FF155" s="239">
        <v>311180</v>
      </c>
      <c r="FG155" s="239">
        <v>0</v>
      </c>
      <c r="FH155" s="239">
        <v>311180</v>
      </c>
      <c r="FI155" s="239">
        <v>-16183841</v>
      </c>
      <c r="FJ155" s="239">
        <v>0</v>
      </c>
      <c r="FK155" s="239">
        <v>-16183841</v>
      </c>
      <c r="FL155" s="239">
        <v>-4248381</v>
      </c>
      <c r="FM155" s="239">
        <v>0</v>
      </c>
      <c r="FN155" s="239">
        <v>-4248381</v>
      </c>
      <c r="FO155" s="239">
        <v>-720108</v>
      </c>
      <c r="FP155" s="239">
        <v>0</v>
      </c>
      <c r="FQ155" s="239">
        <v>-720108</v>
      </c>
      <c r="FR155" s="239">
        <v>22205</v>
      </c>
      <c r="FS155" s="239">
        <v>0</v>
      </c>
      <c r="FT155" s="239">
        <v>22205</v>
      </c>
      <c r="FU155" s="239">
        <v>-59188</v>
      </c>
      <c r="FV155" s="239">
        <v>0</v>
      </c>
      <c r="FW155" s="239">
        <v>-59188</v>
      </c>
      <c r="FX155" s="239">
        <v>-20878133</v>
      </c>
      <c r="FY155" s="239">
        <v>0</v>
      </c>
      <c r="FZ155" s="239">
        <v>-20878133</v>
      </c>
      <c r="GA155" s="239">
        <v>105436621</v>
      </c>
      <c r="GB155" s="239">
        <v>0</v>
      </c>
      <c r="GC155" s="239">
        <v>105436621</v>
      </c>
      <c r="GD155" s="214" t="s">
        <v>747</v>
      </c>
    </row>
    <row r="156" spans="2:186" s="214" customFormat="1" x14ac:dyDescent="0.2">
      <c r="B156" s="609" t="s">
        <v>394</v>
      </c>
      <c r="C156" s="609" t="s">
        <v>393</v>
      </c>
      <c r="D156" s="239">
        <v>0</v>
      </c>
      <c r="E156" s="239">
        <v>0</v>
      </c>
      <c r="F156" s="239">
        <v>0</v>
      </c>
      <c r="G156" s="239">
        <v>-34642</v>
      </c>
      <c r="H156" s="239">
        <v>0</v>
      </c>
      <c r="I156" s="239">
        <v>-34642</v>
      </c>
      <c r="J156" s="239">
        <v>0</v>
      </c>
      <c r="K156" s="239">
        <v>0</v>
      </c>
      <c r="L156" s="239">
        <v>0</v>
      </c>
      <c r="M156" s="239">
        <v>22387</v>
      </c>
      <c r="N156" s="239">
        <v>0</v>
      </c>
      <c r="O156" s="239">
        <v>22387</v>
      </c>
      <c r="P156" s="239">
        <v>-12255</v>
      </c>
      <c r="Q156" s="239">
        <v>0</v>
      </c>
      <c r="R156" s="239">
        <v>-12255</v>
      </c>
      <c r="S156" s="239">
        <v>-2620589</v>
      </c>
      <c r="T156" s="239">
        <v>0</v>
      </c>
      <c r="U156" s="239">
        <v>-2620589</v>
      </c>
      <c r="V156" s="239">
        <v>0</v>
      </c>
      <c r="W156" s="239">
        <v>0</v>
      </c>
      <c r="X156" s="239">
        <v>0</v>
      </c>
      <c r="Y156" s="239">
        <v>-132076</v>
      </c>
      <c r="Z156" s="239">
        <v>0</v>
      </c>
      <c r="AA156" s="239">
        <v>-132076</v>
      </c>
      <c r="AB156" s="239">
        <v>0</v>
      </c>
      <c r="AC156" s="239">
        <v>0</v>
      </c>
      <c r="AD156" s="239">
        <v>0</v>
      </c>
      <c r="AE156" s="239">
        <v>0</v>
      </c>
      <c r="AF156" s="239">
        <v>0</v>
      </c>
      <c r="AG156" s="239">
        <v>0</v>
      </c>
      <c r="AH156" s="239">
        <v>658197</v>
      </c>
      <c r="AI156" s="239">
        <v>0</v>
      </c>
      <c r="AJ156" s="239">
        <v>658197</v>
      </c>
      <c r="AK156" s="239">
        <v>-12117</v>
      </c>
      <c r="AL156" s="239">
        <v>0</v>
      </c>
      <c r="AM156" s="239">
        <v>-12117</v>
      </c>
      <c r="AN156" s="239">
        <v>-2536575</v>
      </c>
      <c r="AO156" s="239">
        <v>0</v>
      </c>
      <c r="AP156" s="239">
        <v>-2536575</v>
      </c>
      <c r="AQ156" s="239">
        <v>-339935</v>
      </c>
      <c r="AR156" s="239">
        <v>0</v>
      </c>
      <c r="AS156" s="239">
        <v>-339935</v>
      </c>
      <c r="AT156" s="239">
        <v>-84281</v>
      </c>
      <c r="AU156" s="239">
        <v>0</v>
      </c>
      <c r="AV156" s="239">
        <v>-84281</v>
      </c>
      <c r="AW156" s="239">
        <v>208</v>
      </c>
      <c r="AX156" s="239">
        <v>0</v>
      </c>
      <c r="AY156" s="239">
        <v>208</v>
      </c>
      <c r="AZ156" s="239">
        <v>-9985</v>
      </c>
      <c r="BA156" s="239">
        <v>0</v>
      </c>
      <c r="BB156" s="239">
        <v>-9985</v>
      </c>
      <c r="BC156" s="239">
        <v>0</v>
      </c>
      <c r="BD156" s="239">
        <v>0</v>
      </c>
      <c r="BE156" s="239">
        <v>0</v>
      </c>
      <c r="BF156" s="239">
        <v>-5077153</v>
      </c>
      <c r="BG156" s="239">
        <v>0</v>
      </c>
      <c r="BH156" s="239">
        <v>-5077153</v>
      </c>
      <c r="BI156" s="239">
        <v>-22283</v>
      </c>
      <c r="BJ156" s="239">
        <v>0</v>
      </c>
      <c r="BK156" s="239">
        <v>-22283</v>
      </c>
      <c r="BL156" s="239">
        <v>0</v>
      </c>
      <c r="BM156" s="239">
        <v>0</v>
      </c>
      <c r="BN156" s="239">
        <v>0</v>
      </c>
      <c r="BO156" s="239">
        <v>-795524</v>
      </c>
      <c r="BP156" s="239">
        <v>0</v>
      </c>
      <c r="BQ156" s="239">
        <v>-795524</v>
      </c>
      <c r="BR156" s="239">
        <v>-42159</v>
      </c>
      <c r="BS156" s="239">
        <v>0</v>
      </c>
      <c r="BT156" s="239">
        <v>-42159</v>
      </c>
      <c r="BU156" s="239">
        <v>-859966</v>
      </c>
      <c r="BV156" s="239">
        <v>0</v>
      </c>
      <c r="BW156" s="239">
        <v>-859966</v>
      </c>
      <c r="BX156" s="239">
        <v>-161412</v>
      </c>
      <c r="BY156" s="239">
        <v>0</v>
      </c>
      <c r="BZ156" s="239">
        <v>-161412</v>
      </c>
      <c r="CA156" s="239">
        <v>5047</v>
      </c>
      <c r="CB156" s="239">
        <v>0</v>
      </c>
      <c r="CC156" s="239">
        <v>5047</v>
      </c>
      <c r="CD156" s="239">
        <v>-29570</v>
      </c>
      <c r="CE156" s="239">
        <v>0</v>
      </c>
      <c r="CF156" s="239">
        <v>-29570</v>
      </c>
      <c r="CG156" s="239">
        <v>0</v>
      </c>
      <c r="CH156" s="239">
        <v>0</v>
      </c>
      <c r="CI156" s="239">
        <v>0</v>
      </c>
      <c r="CJ156" s="239">
        <v>-547</v>
      </c>
      <c r="CK156" s="239">
        <v>0</v>
      </c>
      <c r="CL156" s="239">
        <v>-547</v>
      </c>
      <c r="CM156" s="239">
        <v>0</v>
      </c>
      <c r="CN156" s="239">
        <v>0</v>
      </c>
      <c r="CO156" s="239">
        <v>0</v>
      </c>
      <c r="CP156" s="239">
        <v>0</v>
      </c>
      <c r="CQ156" s="239">
        <v>0</v>
      </c>
      <c r="CR156" s="239">
        <v>0</v>
      </c>
      <c r="CS156" s="239">
        <v>0</v>
      </c>
      <c r="CT156" s="239">
        <v>0</v>
      </c>
      <c r="CU156" s="239">
        <v>0</v>
      </c>
      <c r="CV156" s="239">
        <v>0</v>
      </c>
      <c r="CW156" s="239">
        <v>0</v>
      </c>
      <c r="CX156" s="239">
        <v>0</v>
      </c>
      <c r="CY156" s="239">
        <v>0</v>
      </c>
      <c r="CZ156" s="239">
        <v>0</v>
      </c>
      <c r="DA156" s="239">
        <v>0</v>
      </c>
      <c r="DB156" s="239">
        <v>-3510</v>
      </c>
      <c r="DC156" s="239">
        <v>0</v>
      </c>
      <c r="DD156" s="239">
        <v>-3510</v>
      </c>
      <c r="DE156" s="239">
        <v>0</v>
      </c>
      <c r="DF156" s="239">
        <v>0</v>
      </c>
      <c r="DG156" s="239">
        <v>0</v>
      </c>
      <c r="DH156" s="239">
        <v>0</v>
      </c>
      <c r="DI156" s="239">
        <v>0</v>
      </c>
      <c r="DJ156" s="239">
        <v>-189992</v>
      </c>
      <c r="DK156" s="239">
        <v>0</v>
      </c>
      <c r="DL156" s="239">
        <v>-189992</v>
      </c>
      <c r="DM156" s="239">
        <v>0</v>
      </c>
      <c r="DN156" s="239">
        <v>0</v>
      </c>
      <c r="DO156" s="239">
        <v>0</v>
      </c>
      <c r="DP156" s="239">
        <v>0</v>
      </c>
      <c r="DQ156" s="239">
        <v>0</v>
      </c>
      <c r="DR156" s="239">
        <v>0</v>
      </c>
      <c r="DS156" s="239">
        <v>-7595</v>
      </c>
      <c r="DT156" s="239">
        <v>0</v>
      </c>
      <c r="DU156" s="239">
        <v>-7595</v>
      </c>
      <c r="DV156" s="239">
        <v>-2108</v>
      </c>
      <c r="DW156" s="239">
        <v>0</v>
      </c>
      <c r="DX156" s="239">
        <v>-2108</v>
      </c>
      <c r="DY156" s="239">
        <v>0</v>
      </c>
      <c r="DZ156" s="239">
        <v>0</v>
      </c>
      <c r="EA156" s="239">
        <v>0</v>
      </c>
      <c r="EB156" s="239">
        <v>5106</v>
      </c>
      <c r="EC156" s="239">
        <v>0</v>
      </c>
      <c r="ED156" s="239">
        <v>5106</v>
      </c>
      <c r="EE156" s="239">
        <v>0</v>
      </c>
      <c r="EF156" s="239">
        <v>0</v>
      </c>
      <c r="EG156" s="239">
        <v>0</v>
      </c>
      <c r="EH156" s="239">
        <v>0</v>
      </c>
      <c r="EI156" s="239">
        <v>0</v>
      </c>
      <c r="EJ156" s="239">
        <v>0</v>
      </c>
      <c r="EK156" s="239">
        <v>-20383</v>
      </c>
      <c r="EL156" s="239">
        <v>0</v>
      </c>
      <c r="EM156" s="239">
        <v>-20383</v>
      </c>
      <c r="EN156" s="239">
        <v>-9082</v>
      </c>
      <c r="EO156" s="239">
        <v>0</v>
      </c>
      <c r="EP156" s="239">
        <v>-9082</v>
      </c>
      <c r="EQ156" s="239">
        <v>-34062</v>
      </c>
      <c r="ER156" s="239">
        <v>0</v>
      </c>
      <c r="ES156" s="239">
        <v>-34062</v>
      </c>
      <c r="ET156" s="239">
        <v>0</v>
      </c>
      <c r="EU156" s="239">
        <v>0</v>
      </c>
      <c r="EV156" s="239">
        <v>0</v>
      </c>
      <c r="EW156" s="239">
        <v>0</v>
      </c>
      <c r="EX156" s="239">
        <v>0</v>
      </c>
      <c r="EY156" s="239">
        <v>0</v>
      </c>
      <c r="EZ156" s="239">
        <v>0</v>
      </c>
      <c r="FA156" s="239">
        <v>0</v>
      </c>
      <c r="FB156" s="239">
        <v>0</v>
      </c>
      <c r="FC156" s="239">
        <v>31024886</v>
      </c>
      <c r="FD156" s="239">
        <v>0</v>
      </c>
      <c r="FE156" s="239">
        <v>31024886</v>
      </c>
      <c r="FF156" s="239">
        <v>-12255</v>
      </c>
      <c r="FG156" s="239">
        <v>0</v>
      </c>
      <c r="FH156" s="239">
        <v>-12255</v>
      </c>
      <c r="FI156" s="239">
        <v>-5077153</v>
      </c>
      <c r="FJ156" s="239">
        <v>0</v>
      </c>
      <c r="FK156" s="239">
        <v>-5077153</v>
      </c>
      <c r="FL156" s="239">
        <v>-859966</v>
      </c>
      <c r="FM156" s="239">
        <v>0</v>
      </c>
      <c r="FN156" s="239">
        <v>-859966</v>
      </c>
      <c r="FO156" s="239">
        <v>-189992</v>
      </c>
      <c r="FP156" s="239">
        <v>0</v>
      </c>
      <c r="FQ156" s="239">
        <v>-189992</v>
      </c>
      <c r="FR156" s="239">
        <v>-34062</v>
      </c>
      <c r="FS156" s="239">
        <v>0</v>
      </c>
      <c r="FT156" s="239">
        <v>-34062</v>
      </c>
      <c r="FU156" s="239">
        <v>0</v>
      </c>
      <c r="FV156" s="239">
        <v>0</v>
      </c>
      <c r="FW156" s="239">
        <v>0</v>
      </c>
      <c r="FX156" s="239">
        <v>-6173428</v>
      </c>
      <c r="FY156" s="239">
        <v>0</v>
      </c>
      <c r="FZ156" s="239">
        <v>-6173428</v>
      </c>
      <c r="GA156" s="239">
        <v>24851458</v>
      </c>
      <c r="GB156" s="239">
        <v>0</v>
      </c>
      <c r="GC156" s="239">
        <v>24851458</v>
      </c>
      <c r="GD156" s="214" t="s">
        <v>1190</v>
      </c>
    </row>
    <row r="157" spans="2:186" s="214" customFormat="1" x14ac:dyDescent="0.2">
      <c r="B157" s="609" t="s">
        <v>396</v>
      </c>
      <c r="C157" s="609" t="s">
        <v>395</v>
      </c>
      <c r="D157" s="239">
        <v>0</v>
      </c>
      <c r="E157" s="239">
        <v>0</v>
      </c>
      <c r="F157" s="239">
        <v>0</v>
      </c>
      <c r="G157" s="239">
        <v>735407</v>
      </c>
      <c r="H157" s="239">
        <v>0</v>
      </c>
      <c r="I157" s="239">
        <v>735407</v>
      </c>
      <c r="J157" s="239">
        <v>0</v>
      </c>
      <c r="K157" s="239">
        <v>0</v>
      </c>
      <c r="L157" s="239">
        <v>0</v>
      </c>
      <c r="M157" s="239">
        <v>19127</v>
      </c>
      <c r="N157" s="239">
        <v>0</v>
      </c>
      <c r="O157" s="239">
        <v>19127</v>
      </c>
      <c r="P157" s="239">
        <v>754534</v>
      </c>
      <c r="Q157" s="239">
        <v>0</v>
      </c>
      <c r="R157" s="239">
        <v>754534</v>
      </c>
      <c r="S157" s="239">
        <v>-5025505</v>
      </c>
      <c r="T157" s="239">
        <v>0</v>
      </c>
      <c r="U157" s="239">
        <v>-5025505</v>
      </c>
      <c r="V157" s="239">
        <v>0</v>
      </c>
      <c r="W157" s="239">
        <v>0</v>
      </c>
      <c r="X157" s="239">
        <v>0</v>
      </c>
      <c r="Y157" s="239">
        <v>-205690</v>
      </c>
      <c r="Z157" s="239">
        <v>0</v>
      </c>
      <c r="AA157" s="239">
        <v>-205690</v>
      </c>
      <c r="AB157" s="239">
        <v>-146254</v>
      </c>
      <c r="AC157" s="239">
        <v>0</v>
      </c>
      <c r="AD157" s="239">
        <v>-146254</v>
      </c>
      <c r="AE157" s="239">
        <v>0</v>
      </c>
      <c r="AF157" s="239">
        <v>0</v>
      </c>
      <c r="AG157" s="239">
        <v>0</v>
      </c>
      <c r="AH157" s="239">
        <v>1367665</v>
      </c>
      <c r="AI157" s="239">
        <v>0</v>
      </c>
      <c r="AJ157" s="239">
        <v>1367665</v>
      </c>
      <c r="AK157" s="239">
        <v>-51916</v>
      </c>
      <c r="AL157" s="239">
        <v>0</v>
      </c>
      <c r="AM157" s="239">
        <v>-51916</v>
      </c>
      <c r="AN157" s="239">
        <v>-7016340</v>
      </c>
      <c r="AO157" s="239">
        <v>0</v>
      </c>
      <c r="AP157" s="239">
        <v>-7016340</v>
      </c>
      <c r="AQ157" s="239">
        <v>-9971</v>
      </c>
      <c r="AR157" s="239">
        <v>0</v>
      </c>
      <c r="AS157" s="239">
        <v>-9971</v>
      </c>
      <c r="AT157" s="239">
        <v>0</v>
      </c>
      <c r="AU157" s="239">
        <v>0</v>
      </c>
      <c r="AV157" s="239">
        <v>0</v>
      </c>
      <c r="AW157" s="239">
        <v>0</v>
      </c>
      <c r="AX157" s="239">
        <v>0</v>
      </c>
      <c r="AY157" s="239">
        <v>0</v>
      </c>
      <c r="AZ157" s="239">
        <v>0</v>
      </c>
      <c r="BA157" s="239">
        <v>0</v>
      </c>
      <c r="BB157" s="239">
        <v>0</v>
      </c>
      <c r="BC157" s="239">
        <v>0</v>
      </c>
      <c r="BD157" s="239">
        <v>0</v>
      </c>
      <c r="BE157" s="239">
        <v>0</v>
      </c>
      <c r="BF157" s="239">
        <v>-10941757</v>
      </c>
      <c r="BG157" s="239">
        <v>0</v>
      </c>
      <c r="BH157" s="239">
        <v>-10941757</v>
      </c>
      <c r="BI157" s="239">
        <v>0</v>
      </c>
      <c r="BJ157" s="239">
        <v>0</v>
      </c>
      <c r="BK157" s="239">
        <v>0</v>
      </c>
      <c r="BL157" s="239">
        <v>218</v>
      </c>
      <c r="BM157" s="239">
        <v>0</v>
      </c>
      <c r="BN157" s="239">
        <v>218</v>
      </c>
      <c r="BO157" s="239">
        <v>-997982</v>
      </c>
      <c r="BP157" s="239">
        <v>0</v>
      </c>
      <c r="BQ157" s="239">
        <v>-997982</v>
      </c>
      <c r="BR157" s="239">
        <v>-47904</v>
      </c>
      <c r="BS157" s="239">
        <v>0</v>
      </c>
      <c r="BT157" s="239">
        <v>-47904</v>
      </c>
      <c r="BU157" s="239">
        <v>-1045668</v>
      </c>
      <c r="BV157" s="239">
        <v>0</v>
      </c>
      <c r="BW157" s="239">
        <v>-1045668</v>
      </c>
      <c r="BX157" s="239">
        <v>-364915</v>
      </c>
      <c r="BY157" s="239">
        <v>0</v>
      </c>
      <c r="BZ157" s="239">
        <v>-364915</v>
      </c>
      <c r="CA157" s="239">
        <v>-856</v>
      </c>
      <c r="CB157" s="239">
        <v>0</v>
      </c>
      <c r="CC157" s="239">
        <v>-856</v>
      </c>
      <c r="CD157" s="239">
        <v>0</v>
      </c>
      <c r="CE157" s="239">
        <v>0</v>
      </c>
      <c r="CF157" s="239">
        <v>0</v>
      </c>
      <c r="CG157" s="239">
        <v>0</v>
      </c>
      <c r="CH157" s="239">
        <v>0</v>
      </c>
      <c r="CI157" s="239">
        <v>0</v>
      </c>
      <c r="CJ157" s="239">
        <v>0</v>
      </c>
      <c r="CK157" s="239">
        <v>0</v>
      </c>
      <c r="CL157" s="239">
        <v>0</v>
      </c>
      <c r="CM157" s="239">
        <v>0</v>
      </c>
      <c r="CN157" s="239">
        <v>0</v>
      </c>
      <c r="CO157" s="239">
        <v>0</v>
      </c>
      <c r="CP157" s="239">
        <v>0</v>
      </c>
      <c r="CQ157" s="239">
        <v>0</v>
      </c>
      <c r="CR157" s="239">
        <v>0</v>
      </c>
      <c r="CS157" s="239">
        <v>0</v>
      </c>
      <c r="CT157" s="239">
        <v>0</v>
      </c>
      <c r="CU157" s="239">
        <v>0</v>
      </c>
      <c r="CV157" s="239">
        <v>0</v>
      </c>
      <c r="CW157" s="239">
        <v>0</v>
      </c>
      <c r="CX157" s="239">
        <v>0</v>
      </c>
      <c r="CY157" s="239">
        <v>0</v>
      </c>
      <c r="CZ157" s="239">
        <v>0</v>
      </c>
      <c r="DA157" s="239">
        <v>0</v>
      </c>
      <c r="DB157" s="239">
        <v>-3269</v>
      </c>
      <c r="DC157" s="239">
        <v>0</v>
      </c>
      <c r="DD157" s="239">
        <v>-3269</v>
      </c>
      <c r="DE157" s="239">
        <v>0</v>
      </c>
      <c r="DF157" s="239">
        <v>0</v>
      </c>
      <c r="DG157" s="239">
        <v>0</v>
      </c>
      <c r="DH157" s="239">
        <v>0</v>
      </c>
      <c r="DI157" s="239">
        <v>0</v>
      </c>
      <c r="DJ157" s="239">
        <v>-369040</v>
      </c>
      <c r="DK157" s="239">
        <v>0</v>
      </c>
      <c r="DL157" s="239">
        <v>-369040</v>
      </c>
      <c r="DM157" s="239">
        <v>-70601</v>
      </c>
      <c r="DN157" s="239">
        <v>0</v>
      </c>
      <c r="DO157" s="239">
        <v>-70601</v>
      </c>
      <c r="DP157" s="239">
        <v>-2768</v>
      </c>
      <c r="DQ157" s="239">
        <v>0</v>
      </c>
      <c r="DR157" s="239">
        <v>-2768</v>
      </c>
      <c r="DS157" s="239">
        <v>-10539</v>
      </c>
      <c r="DT157" s="239">
        <v>0</v>
      </c>
      <c r="DU157" s="239">
        <v>-10539</v>
      </c>
      <c r="DV157" s="239">
        <v>552</v>
      </c>
      <c r="DW157" s="239">
        <v>0</v>
      </c>
      <c r="DX157" s="239">
        <v>552</v>
      </c>
      <c r="DY157" s="239">
        <v>0</v>
      </c>
      <c r="DZ157" s="239">
        <v>0</v>
      </c>
      <c r="EA157" s="239">
        <v>0</v>
      </c>
      <c r="EB157" s="239">
        <v>-5477</v>
      </c>
      <c r="EC157" s="239">
        <v>0</v>
      </c>
      <c r="ED157" s="239">
        <v>-5477</v>
      </c>
      <c r="EE157" s="239">
        <v>0</v>
      </c>
      <c r="EF157" s="239">
        <v>0</v>
      </c>
      <c r="EG157" s="239">
        <v>0</v>
      </c>
      <c r="EH157" s="239">
        <v>0</v>
      </c>
      <c r="EI157" s="239">
        <v>0</v>
      </c>
      <c r="EJ157" s="239">
        <v>0</v>
      </c>
      <c r="EK157" s="239">
        <v>0</v>
      </c>
      <c r="EL157" s="239">
        <v>0</v>
      </c>
      <c r="EM157" s="239">
        <v>0</v>
      </c>
      <c r="EN157" s="239">
        <v>0</v>
      </c>
      <c r="EO157" s="239">
        <v>0</v>
      </c>
      <c r="EP157" s="239">
        <v>0</v>
      </c>
      <c r="EQ157" s="239">
        <v>-88833</v>
      </c>
      <c r="ER157" s="239">
        <v>0</v>
      </c>
      <c r="ES157" s="239">
        <v>-88833</v>
      </c>
      <c r="ET157" s="239">
        <v>0</v>
      </c>
      <c r="EU157" s="239">
        <v>0</v>
      </c>
      <c r="EV157" s="239">
        <v>0</v>
      </c>
      <c r="EW157" s="239">
        <v>0</v>
      </c>
      <c r="EX157" s="239">
        <v>0</v>
      </c>
      <c r="EY157" s="239">
        <v>0</v>
      </c>
      <c r="EZ157" s="239">
        <v>0</v>
      </c>
      <c r="FA157" s="239">
        <v>0</v>
      </c>
      <c r="FB157" s="239">
        <v>0</v>
      </c>
      <c r="FC157" s="239">
        <v>65414414</v>
      </c>
      <c r="FD157" s="239">
        <v>0</v>
      </c>
      <c r="FE157" s="239">
        <v>65414414</v>
      </c>
      <c r="FF157" s="239">
        <v>754534</v>
      </c>
      <c r="FG157" s="239">
        <v>0</v>
      </c>
      <c r="FH157" s="239">
        <v>754534</v>
      </c>
      <c r="FI157" s="239">
        <v>-10941757</v>
      </c>
      <c r="FJ157" s="239">
        <v>0</v>
      </c>
      <c r="FK157" s="239">
        <v>-10941757</v>
      </c>
      <c r="FL157" s="239">
        <v>-1045668</v>
      </c>
      <c r="FM157" s="239">
        <v>0</v>
      </c>
      <c r="FN157" s="239">
        <v>-1045668</v>
      </c>
      <c r="FO157" s="239">
        <v>-369040</v>
      </c>
      <c r="FP157" s="239">
        <v>0</v>
      </c>
      <c r="FQ157" s="239">
        <v>-369040</v>
      </c>
      <c r="FR157" s="239">
        <v>-88833</v>
      </c>
      <c r="FS157" s="239">
        <v>0</v>
      </c>
      <c r="FT157" s="239">
        <v>-88833</v>
      </c>
      <c r="FU157" s="239">
        <v>0</v>
      </c>
      <c r="FV157" s="239">
        <v>0</v>
      </c>
      <c r="FW157" s="239">
        <v>0</v>
      </c>
      <c r="FX157" s="239">
        <v>-11690764</v>
      </c>
      <c r="FY157" s="239">
        <v>0</v>
      </c>
      <c r="FZ157" s="239">
        <v>-11690764</v>
      </c>
      <c r="GA157" s="239">
        <v>53723650</v>
      </c>
      <c r="GB157" s="239">
        <v>0</v>
      </c>
      <c r="GC157" s="239">
        <v>53723650</v>
      </c>
      <c r="GD157" s="214" t="s">
        <v>1193</v>
      </c>
    </row>
    <row r="158" spans="2:186" s="214" customFormat="1" x14ac:dyDescent="0.2">
      <c r="B158" s="609" t="s">
        <v>398</v>
      </c>
      <c r="C158" s="609" t="s">
        <v>397</v>
      </c>
      <c r="D158" s="239">
        <v>0</v>
      </c>
      <c r="E158" s="239">
        <v>0</v>
      </c>
      <c r="F158" s="239">
        <v>0</v>
      </c>
      <c r="G158" s="239">
        <v>9890</v>
      </c>
      <c r="H158" s="239">
        <v>0</v>
      </c>
      <c r="I158" s="239">
        <v>9890</v>
      </c>
      <c r="J158" s="239">
        <v>0</v>
      </c>
      <c r="K158" s="239">
        <v>0</v>
      </c>
      <c r="L158" s="239">
        <v>0</v>
      </c>
      <c r="M158" s="239">
        <v>37917</v>
      </c>
      <c r="N158" s="239">
        <v>0</v>
      </c>
      <c r="O158" s="239">
        <v>37917</v>
      </c>
      <c r="P158" s="239">
        <v>47807</v>
      </c>
      <c r="Q158" s="239">
        <v>0</v>
      </c>
      <c r="R158" s="239">
        <v>47807</v>
      </c>
      <c r="S158" s="239">
        <v>-1831749</v>
      </c>
      <c r="T158" s="239">
        <v>0</v>
      </c>
      <c r="U158" s="239">
        <v>-1831749</v>
      </c>
      <c r="V158" s="239">
        <v>-2937</v>
      </c>
      <c r="W158" s="239">
        <v>0</v>
      </c>
      <c r="X158" s="239">
        <v>-2937</v>
      </c>
      <c r="Y158" s="239">
        <v>-145417</v>
      </c>
      <c r="Z158" s="239">
        <v>0</v>
      </c>
      <c r="AA158" s="239">
        <v>-145417</v>
      </c>
      <c r="AB158" s="239">
        <v>-98980</v>
      </c>
      <c r="AC158" s="239">
        <v>0</v>
      </c>
      <c r="AD158" s="239">
        <v>-98980</v>
      </c>
      <c r="AE158" s="239">
        <v>0</v>
      </c>
      <c r="AF158" s="239">
        <v>0</v>
      </c>
      <c r="AG158" s="239">
        <v>0</v>
      </c>
      <c r="AH158" s="239">
        <v>915260</v>
      </c>
      <c r="AI158" s="239">
        <v>0</v>
      </c>
      <c r="AJ158" s="239">
        <v>915260</v>
      </c>
      <c r="AK158" s="239">
        <v>25047</v>
      </c>
      <c r="AL158" s="239">
        <v>0</v>
      </c>
      <c r="AM158" s="239">
        <v>25047</v>
      </c>
      <c r="AN158" s="239">
        <v>-1488747</v>
      </c>
      <c r="AO158" s="239">
        <v>0</v>
      </c>
      <c r="AP158" s="239">
        <v>-1488747</v>
      </c>
      <c r="AQ158" s="239">
        <v>22030</v>
      </c>
      <c r="AR158" s="239">
        <v>0</v>
      </c>
      <c r="AS158" s="239">
        <v>22030</v>
      </c>
      <c r="AT158" s="239">
        <v>-57189</v>
      </c>
      <c r="AU158" s="239">
        <v>0</v>
      </c>
      <c r="AV158" s="239">
        <v>-57189</v>
      </c>
      <c r="AW158" s="239">
        <v>-1380</v>
      </c>
      <c r="AX158" s="239">
        <v>0</v>
      </c>
      <c r="AY158" s="239">
        <v>-1380</v>
      </c>
      <c r="AZ158" s="239">
        <v>-8150</v>
      </c>
      <c r="BA158" s="239">
        <v>0</v>
      </c>
      <c r="BB158" s="239">
        <v>-8150</v>
      </c>
      <c r="BC158" s="239">
        <v>-146</v>
      </c>
      <c r="BD158" s="239">
        <v>0</v>
      </c>
      <c r="BE158" s="239">
        <v>-146</v>
      </c>
      <c r="BF158" s="239">
        <v>-2570441</v>
      </c>
      <c r="BG158" s="239">
        <v>0</v>
      </c>
      <c r="BH158" s="239">
        <v>-2570441</v>
      </c>
      <c r="BI158" s="239">
        <v>-42423</v>
      </c>
      <c r="BJ158" s="239">
        <v>0</v>
      </c>
      <c r="BK158" s="239">
        <v>-42423</v>
      </c>
      <c r="BL158" s="239">
        <v>-23815</v>
      </c>
      <c r="BM158" s="239">
        <v>0</v>
      </c>
      <c r="BN158" s="239">
        <v>-23815</v>
      </c>
      <c r="BO158" s="239">
        <v>-1337939</v>
      </c>
      <c r="BP158" s="239">
        <v>0</v>
      </c>
      <c r="BQ158" s="239">
        <v>-1337939</v>
      </c>
      <c r="BR158" s="239">
        <v>-21943</v>
      </c>
      <c r="BS158" s="239">
        <v>0</v>
      </c>
      <c r="BT158" s="239">
        <v>-21943</v>
      </c>
      <c r="BU158" s="239">
        <v>-1426120</v>
      </c>
      <c r="BV158" s="239">
        <v>0</v>
      </c>
      <c r="BW158" s="239">
        <v>-1426120</v>
      </c>
      <c r="BX158" s="239">
        <v>-35615</v>
      </c>
      <c r="BY158" s="239">
        <v>0</v>
      </c>
      <c r="BZ158" s="239">
        <v>-35615</v>
      </c>
      <c r="CA158" s="239">
        <v>0</v>
      </c>
      <c r="CB158" s="239">
        <v>0</v>
      </c>
      <c r="CC158" s="239">
        <v>0</v>
      </c>
      <c r="CD158" s="239">
        <v>-34153</v>
      </c>
      <c r="CE158" s="239">
        <v>0</v>
      </c>
      <c r="CF158" s="239">
        <v>-34153</v>
      </c>
      <c r="CG158" s="239">
        <v>-370</v>
      </c>
      <c r="CH158" s="239">
        <v>0</v>
      </c>
      <c r="CI158" s="239">
        <v>-370</v>
      </c>
      <c r="CJ158" s="239">
        <v>0</v>
      </c>
      <c r="CK158" s="239">
        <v>0</v>
      </c>
      <c r="CL158" s="239">
        <v>0</v>
      </c>
      <c r="CM158" s="239">
        <v>0</v>
      </c>
      <c r="CN158" s="239">
        <v>0</v>
      </c>
      <c r="CO158" s="239">
        <v>0</v>
      </c>
      <c r="CP158" s="239">
        <v>-2795</v>
      </c>
      <c r="CQ158" s="239">
        <v>0</v>
      </c>
      <c r="CR158" s="239">
        <v>-2795</v>
      </c>
      <c r="CS158" s="239">
        <v>0</v>
      </c>
      <c r="CT158" s="239">
        <v>0</v>
      </c>
      <c r="CU158" s="239">
        <v>0</v>
      </c>
      <c r="CV158" s="239">
        <v>-1764</v>
      </c>
      <c r="CW158" s="239">
        <v>0</v>
      </c>
      <c r="CX158" s="239">
        <v>-1764</v>
      </c>
      <c r="CY158" s="239">
        <v>0</v>
      </c>
      <c r="CZ158" s="239">
        <v>0</v>
      </c>
      <c r="DA158" s="239">
        <v>0</v>
      </c>
      <c r="DB158" s="239">
        <v>0</v>
      </c>
      <c r="DC158" s="239">
        <v>0</v>
      </c>
      <c r="DD158" s="239">
        <v>0</v>
      </c>
      <c r="DE158" s="239">
        <v>0</v>
      </c>
      <c r="DF158" s="239">
        <v>0</v>
      </c>
      <c r="DG158" s="239">
        <v>0</v>
      </c>
      <c r="DH158" s="239">
        <v>0</v>
      </c>
      <c r="DI158" s="239">
        <v>0</v>
      </c>
      <c r="DJ158" s="239">
        <v>-74697</v>
      </c>
      <c r="DK158" s="239">
        <v>0</v>
      </c>
      <c r="DL158" s="239">
        <v>-74697</v>
      </c>
      <c r="DM158" s="239">
        <v>0</v>
      </c>
      <c r="DN158" s="239">
        <v>0</v>
      </c>
      <c r="DO158" s="239">
        <v>0</v>
      </c>
      <c r="DP158" s="239">
        <v>0</v>
      </c>
      <c r="DQ158" s="239">
        <v>0</v>
      </c>
      <c r="DR158" s="239">
        <v>0</v>
      </c>
      <c r="DS158" s="239">
        <v>-3298</v>
      </c>
      <c r="DT158" s="239">
        <v>0</v>
      </c>
      <c r="DU158" s="239">
        <v>-3298</v>
      </c>
      <c r="DV158" s="239">
        <v>-320</v>
      </c>
      <c r="DW158" s="239">
        <v>0</v>
      </c>
      <c r="DX158" s="239">
        <v>-320</v>
      </c>
      <c r="DY158" s="239">
        <v>0</v>
      </c>
      <c r="DZ158" s="239">
        <v>0</v>
      </c>
      <c r="EA158" s="239">
        <v>0</v>
      </c>
      <c r="EB158" s="239">
        <v>10116</v>
      </c>
      <c r="EC158" s="239">
        <v>0</v>
      </c>
      <c r="ED158" s="239">
        <v>10116</v>
      </c>
      <c r="EE158" s="239">
        <v>0</v>
      </c>
      <c r="EF158" s="239">
        <v>0</v>
      </c>
      <c r="EG158" s="239">
        <v>0</v>
      </c>
      <c r="EH158" s="239">
        <v>0</v>
      </c>
      <c r="EI158" s="239">
        <v>0</v>
      </c>
      <c r="EJ158" s="239">
        <v>0</v>
      </c>
      <c r="EK158" s="239">
        <v>-11792</v>
      </c>
      <c r="EL158" s="239">
        <v>0</v>
      </c>
      <c r="EM158" s="239">
        <v>-11792</v>
      </c>
      <c r="EN158" s="239">
        <v>0</v>
      </c>
      <c r="EO158" s="239">
        <v>0</v>
      </c>
      <c r="EP158" s="239">
        <v>0</v>
      </c>
      <c r="EQ158" s="239">
        <v>-5294</v>
      </c>
      <c r="ER158" s="239">
        <v>0</v>
      </c>
      <c r="ES158" s="239">
        <v>-5294</v>
      </c>
      <c r="ET158" s="239">
        <v>0</v>
      </c>
      <c r="EU158" s="239">
        <v>0</v>
      </c>
      <c r="EV158" s="239">
        <v>0</v>
      </c>
      <c r="EW158" s="239">
        <v>0</v>
      </c>
      <c r="EX158" s="239">
        <v>0</v>
      </c>
      <c r="EY158" s="239">
        <v>0</v>
      </c>
      <c r="EZ158" s="239">
        <v>0</v>
      </c>
      <c r="FA158" s="239">
        <v>0</v>
      </c>
      <c r="FB158" s="239">
        <v>0</v>
      </c>
      <c r="FC158" s="239">
        <v>39549057</v>
      </c>
      <c r="FD158" s="239">
        <v>0</v>
      </c>
      <c r="FE158" s="239">
        <v>39549057</v>
      </c>
      <c r="FF158" s="239">
        <v>47807</v>
      </c>
      <c r="FG158" s="239">
        <v>0</v>
      </c>
      <c r="FH158" s="239">
        <v>47807</v>
      </c>
      <c r="FI158" s="239">
        <v>-2570441</v>
      </c>
      <c r="FJ158" s="239">
        <v>0</v>
      </c>
      <c r="FK158" s="239">
        <v>-2570441</v>
      </c>
      <c r="FL158" s="239">
        <v>-1426120</v>
      </c>
      <c r="FM158" s="239">
        <v>0</v>
      </c>
      <c r="FN158" s="239">
        <v>-1426120</v>
      </c>
      <c r="FO158" s="239">
        <v>-74697</v>
      </c>
      <c r="FP158" s="239">
        <v>0</v>
      </c>
      <c r="FQ158" s="239">
        <v>-74697</v>
      </c>
      <c r="FR158" s="239">
        <v>-5294</v>
      </c>
      <c r="FS158" s="239">
        <v>0</v>
      </c>
      <c r="FT158" s="239">
        <v>-5294</v>
      </c>
      <c r="FU158" s="239">
        <v>0</v>
      </c>
      <c r="FV158" s="239">
        <v>0</v>
      </c>
      <c r="FW158" s="239">
        <v>0</v>
      </c>
      <c r="FX158" s="239">
        <v>-4028745</v>
      </c>
      <c r="FY158" s="239">
        <v>0</v>
      </c>
      <c r="FZ158" s="239">
        <v>-4028745</v>
      </c>
      <c r="GA158" s="239">
        <v>35520312</v>
      </c>
      <c r="GB158" s="239">
        <v>0</v>
      </c>
      <c r="GC158" s="239">
        <v>35520312</v>
      </c>
      <c r="GD158" s="214" t="s">
        <v>1190</v>
      </c>
    </row>
    <row r="159" spans="2:186" s="214" customFormat="1" x14ac:dyDescent="0.2">
      <c r="B159" s="609" t="s">
        <v>400</v>
      </c>
      <c r="C159" s="609" t="s">
        <v>399</v>
      </c>
      <c r="D159" s="239">
        <v>0</v>
      </c>
      <c r="E159" s="239">
        <v>0</v>
      </c>
      <c r="F159" s="239">
        <v>0</v>
      </c>
      <c r="G159" s="239">
        <v>20717</v>
      </c>
      <c r="H159" s="239">
        <v>0</v>
      </c>
      <c r="I159" s="239">
        <v>20717</v>
      </c>
      <c r="J159" s="239">
        <v>0</v>
      </c>
      <c r="K159" s="239">
        <v>0</v>
      </c>
      <c r="L159" s="239">
        <v>0</v>
      </c>
      <c r="M159" s="239">
        <v>77067</v>
      </c>
      <c r="N159" s="239">
        <v>0</v>
      </c>
      <c r="O159" s="239">
        <v>77067</v>
      </c>
      <c r="P159" s="239">
        <v>97784</v>
      </c>
      <c r="Q159" s="239">
        <v>0</v>
      </c>
      <c r="R159" s="239">
        <v>97784</v>
      </c>
      <c r="S159" s="239">
        <v>-1999791</v>
      </c>
      <c r="T159" s="239">
        <v>0</v>
      </c>
      <c r="U159" s="239">
        <v>-1999791</v>
      </c>
      <c r="V159" s="239">
        <v>-12290</v>
      </c>
      <c r="W159" s="239">
        <v>0</v>
      </c>
      <c r="X159" s="239">
        <v>-12290</v>
      </c>
      <c r="Y159" s="239">
        <v>-76691</v>
      </c>
      <c r="Z159" s="239">
        <v>0</v>
      </c>
      <c r="AA159" s="239">
        <v>-76691</v>
      </c>
      <c r="AB159" s="239">
        <v>-62871</v>
      </c>
      <c r="AC159" s="239">
        <v>0</v>
      </c>
      <c r="AD159" s="239">
        <v>-62871</v>
      </c>
      <c r="AE159" s="239">
        <v>-254</v>
      </c>
      <c r="AF159" s="239">
        <v>0</v>
      </c>
      <c r="AG159" s="239">
        <v>-254</v>
      </c>
      <c r="AH159" s="239">
        <v>1194808</v>
      </c>
      <c r="AI159" s="239">
        <v>0</v>
      </c>
      <c r="AJ159" s="239">
        <v>1194808</v>
      </c>
      <c r="AK159" s="239">
        <v>12410</v>
      </c>
      <c r="AL159" s="239">
        <v>0</v>
      </c>
      <c r="AM159" s="239">
        <v>12410</v>
      </c>
      <c r="AN159" s="239">
        <v>-4213393</v>
      </c>
      <c r="AO159" s="239">
        <v>0</v>
      </c>
      <c r="AP159" s="239">
        <v>-4213393</v>
      </c>
      <c r="AQ159" s="239">
        <v>-7417</v>
      </c>
      <c r="AR159" s="239">
        <v>0</v>
      </c>
      <c r="AS159" s="239">
        <v>-7417</v>
      </c>
      <c r="AT159" s="239">
        <v>-65960</v>
      </c>
      <c r="AU159" s="239">
        <v>0</v>
      </c>
      <c r="AV159" s="239">
        <v>-65960</v>
      </c>
      <c r="AW159" s="239">
        <v>-5198</v>
      </c>
      <c r="AX159" s="239">
        <v>0</v>
      </c>
      <c r="AY159" s="239">
        <v>-5198</v>
      </c>
      <c r="AZ159" s="239">
        <v>0</v>
      </c>
      <c r="BA159" s="239">
        <v>0</v>
      </c>
      <c r="BB159" s="239">
        <v>0</v>
      </c>
      <c r="BC159" s="239">
        <v>0</v>
      </c>
      <c r="BD159" s="239">
        <v>0</v>
      </c>
      <c r="BE159" s="239">
        <v>0</v>
      </c>
      <c r="BF159" s="239">
        <v>-5161232</v>
      </c>
      <c r="BG159" s="239">
        <v>0</v>
      </c>
      <c r="BH159" s="239">
        <v>-5161232</v>
      </c>
      <c r="BI159" s="239">
        <v>-1523</v>
      </c>
      <c r="BJ159" s="239">
        <v>0</v>
      </c>
      <c r="BK159" s="239">
        <v>-1523</v>
      </c>
      <c r="BL159" s="239">
        <v>0</v>
      </c>
      <c r="BM159" s="239">
        <v>0</v>
      </c>
      <c r="BN159" s="239">
        <v>0</v>
      </c>
      <c r="BO159" s="239">
        <v>-1608815</v>
      </c>
      <c r="BP159" s="239">
        <v>0</v>
      </c>
      <c r="BQ159" s="239">
        <v>-1608815</v>
      </c>
      <c r="BR159" s="239">
        <v>172</v>
      </c>
      <c r="BS159" s="239">
        <v>0</v>
      </c>
      <c r="BT159" s="239">
        <v>172</v>
      </c>
      <c r="BU159" s="239">
        <v>-1610166</v>
      </c>
      <c r="BV159" s="239">
        <v>0</v>
      </c>
      <c r="BW159" s="239">
        <v>-1610166</v>
      </c>
      <c r="BX159" s="239">
        <v>-39498</v>
      </c>
      <c r="BY159" s="239">
        <v>0</v>
      </c>
      <c r="BZ159" s="239">
        <v>-39498</v>
      </c>
      <c r="CA159" s="239">
        <v>2316</v>
      </c>
      <c r="CB159" s="239">
        <v>0</v>
      </c>
      <c r="CC159" s="239">
        <v>2316</v>
      </c>
      <c r="CD159" s="239">
        <v>-4413</v>
      </c>
      <c r="CE159" s="239">
        <v>0</v>
      </c>
      <c r="CF159" s="239">
        <v>-4413</v>
      </c>
      <c r="CG159" s="239">
        <v>0</v>
      </c>
      <c r="CH159" s="239">
        <v>0</v>
      </c>
      <c r="CI159" s="239">
        <v>0</v>
      </c>
      <c r="CJ159" s="239">
        <v>-4008</v>
      </c>
      <c r="CK159" s="239">
        <v>0</v>
      </c>
      <c r="CL159" s="239">
        <v>-4008</v>
      </c>
      <c r="CM159" s="239">
        <v>-858</v>
      </c>
      <c r="CN159" s="239">
        <v>0</v>
      </c>
      <c r="CO159" s="239">
        <v>-858</v>
      </c>
      <c r="CP159" s="239">
        <v>0</v>
      </c>
      <c r="CQ159" s="239">
        <v>0</v>
      </c>
      <c r="CR159" s="239">
        <v>0</v>
      </c>
      <c r="CS159" s="239">
        <v>0</v>
      </c>
      <c r="CT159" s="239">
        <v>0</v>
      </c>
      <c r="CU159" s="239">
        <v>0</v>
      </c>
      <c r="CV159" s="239">
        <v>0</v>
      </c>
      <c r="CW159" s="239">
        <v>0</v>
      </c>
      <c r="CX159" s="239">
        <v>0</v>
      </c>
      <c r="CY159" s="239">
        <v>0</v>
      </c>
      <c r="CZ159" s="239">
        <v>0</v>
      </c>
      <c r="DA159" s="239">
        <v>0</v>
      </c>
      <c r="DB159" s="239">
        <v>0</v>
      </c>
      <c r="DC159" s="239">
        <v>0</v>
      </c>
      <c r="DD159" s="239">
        <v>0</v>
      </c>
      <c r="DE159" s="239">
        <v>0</v>
      </c>
      <c r="DF159" s="239">
        <v>0</v>
      </c>
      <c r="DG159" s="239">
        <v>0</v>
      </c>
      <c r="DH159" s="239">
        <v>0</v>
      </c>
      <c r="DI159" s="239">
        <v>0</v>
      </c>
      <c r="DJ159" s="239">
        <v>-46461</v>
      </c>
      <c r="DK159" s="239">
        <v>0</v>
      </c>
      <c r="DL159" s="239">
        <v>-46461</v>
      </c>
      <c r="DM159" s="239">
        <v>-63266</v>
      </c>
      <c r="DN159" s="239">
        <v>0</v>
      </c>
      <c r="DO159" s="239">
        <v>-63266</v>
      </c>
      <c r="DP159" s="239">
        <v>34926</v>
      </c>
      <c r="DQ159" s="239">
        <v>0</v>
      </c>
      <c r="DR159" s="239">
        <v>34926</v>
      </c>
      <c r="DS159" s="239">
        <v>-53535</v>
      </c>
      <c r="DT159" s="239">
        <v>0</v>
      </c>
      <c r="DU159" s="239">
        <v>-53535</v>
      </c>
      <c r="DV159" s="239">
        <v>-19793</v>
      </c>
      <c r="DW159" s="239">
        <v>0</v>
      </c>
      <c r="DX159" s="239">
        <v>-19793</v>
      </c>
      <c r="DY159" s="239">
        <v>0</v>
      </c>
      <c r="DZ159" s="239">
        <v>0</v>
      </c>
      <c r="EA159" s="239">
        <v>0</v>
      </c>
      <c r="EB159" s="239">
        <v>-4508</v>
      </c>
      <c r="EC159" s="239">
        <v>0</v>
      </c>
      <c r="ED159" s="239">
        <v>-4508</v>
      </c>
      <c r="EE159" s="239">
        <v>0</v>
      </c>
      <c r="EF159" s="239">
        <v>0</v>
      </c>
      <c r="EG159" s="239">
        <v>0</v>
      </c>
      <c r="EH159" s="239">
        <v>0</v>
      </c>
      <c r="EI159" s="239">
        <v>0</v>
      </c>
      <c r="EJ159" s="239">
        <v>0</v>
      </c>
      <c r="EK159" s="239">
        <v>0</v>
      </c>
      <c r="EL159" s="239">
        <v>0</v>
      </c>
      <c r="EM159" s="239">
        <v>0</v>
      </c>
      <c r="EN159" s="239">
        <v>0</v>
      </c>
      <c r="EO159" s="239">
        <v>0</v>
      </c>
      <c r="EP159" s="239">
        <v>0</v>
      </c>
      <c r="EQ159" s="239">
        <v>-106176</v>
      </c>
      <c r="ER159" s="239">
        <v>0</v>
      </c>
      <c r="ES159" s="239">
        <v>-106176</v>
      </c>
      <c r="ET159" s="239">
        <v>0</v>
      </c>
      <c r="EU159" s="239">
        <v>0</v>
      </c>
      <c r="EV159" s="239">
        <v>0</v>
      </c>
      <c r="EW159" s="239">
        <v>0</v>
      </c>
      <c r="EX159" s="239">
        <v>0</v>
      </c>
      <c r="EY159" s="239">
        <v>0</v>
      </c>
      <c r="EZ159" s="239">
        <v>0</v>
      </c>
      <c r="FA159" s="239">
        <v>0</v>
      </c>
      <c r="FB159" s="239">
        <v>0</v>
      </c>
      <c r="FC159" s="239">
        <v>49962066</v>
      </c>
      <c r="FD159" s="239">
        <v>0</v>
      </c>
      <c r="FE159" s="239">
        <v>49962066</v>
      </c>
      <c r="FF159" s="239">
        <v>97784</v>
      </c>
      <c r="FG159" s="239">
        <v>0</v>
      </c>
      <c r="FH159" s="239">
        <v>97784</v>
      </c>
      <c r="FI159" s="239">
        <v>-5161232</v>
      </c>
      <c r="FJ159" s="239">
        <v>0</v>
      </c>
      <c r="FK159" s="239">
        <v>-5161232</v>
      </c>
      <c r="FL159" s="239">
        <v>-1610166</v>
      </c>
      <c r="FM159" s="239">
        <v>0</v>
      </c>
      <c r="FN159" s="239">
        <v>-1610166</v>
      </c>
      <c r="FO159" s="239">
        <v>-46461</v>
      </c>
      <c r="FP159" s="239">
        <v>0</v>
      </c>
      <c r="FQ159" s="239">
        <v>-46461</v>
      </c>
      <c r="FR159" s="239">
        <v>-106176</v>
      </c>
      <c r="FS159" s="239">
        <v>0</v>
      </c>
      <c r="FT159" s="239">
        <v>-106176</v>
      </c>
      <c r="FU159" s="239">
        <v>0</v>
      </c>
      <c r="FV159" s="239">
        <v>0</v>
      </c>
      <c r="FW159" s="239">
        <v>0</v>
      </c>
      <c r="FX159" s="239">
        <v>-6826251</v>
      </c>
      <c r="FY159" s="239">
        <v>0</v>
      </c>
      <c r="FZ159" s="239">
        <v>-6826251</v>
      </c>
      <c r="GA159" s="239">
        <v>43135815</v>
      </c>
      <c r="GB159" s="239">
        <v>0</v>
      </c>
      <c r="GC159" s="239">
        <v>43135815</v>
      </c>
      <c r="GD159" s="214" t="s">
        <v>1190</v>
      </c>
    </row>
    <row r="160" spans="2:186" s="214" customFormat="1" x14ac:dyDescent="0.2">
      <c r="B160" s="609" t="s">
        <v>402</v>
      </c>
      <c r="C160" s="609" t="s">
        <v>401</v>
      </c>
      <c r="D160" s="239">
        <v>0</v>
      </c>
      <c r="E160" s="239">
        <v>0</v>
      </c>
      <c r="F160" s="239">
        <v>0</v>
      </c>
      <c r="G160" s="239">
        <v>149688</v>
      </c>
      <c r="H160" s="239">
        <v>140942</v>
      </c>
      <c r="I160" s="239">
        <v>290630</v>
      </c>
      <c r="J160" s="239">
        <v>0</v>
      </c>
      <c r="K160" s="239">
        <v>0</v>
      </c>
      <c r="L160" s="239">
        <v>0</v>
      </c>
      <c r="M160" s="239">
        <v>471100</v>
      </c>
      <c r="N160" s="239">
        <v>59194</v>
      </c>
      <c r="O160" s="239">
        <v>530294</v>
      </c>
      <c r="P160" s="239">
        <v>620788</v>
      </c>
      <c r="Q160" s="239">
        <v>200136</v>
      </c>
      <c r="R160" s="239">
        <v>820924</v>
      </c>
      <c r="S160" s="239">
        <v>-9015344</v>
      </c>
      <c r="T160" s="239">
        <v>-640984</v>
      </c>
      <c r="U160" s="239">
        <v>-9656328</v>
      </c>
      <c r="V160" s="239">
        <v>-35124</v>
      </c>
      <c r="W160" s="239">
        <v>-5972</v>
      </c>
      <c r="X160" s="239">
        <v>-41096</v>
      </c>
      <c r="Y160" s="239">
        <v>-297683</v>
      </c>
      <c r="Z160" s="239">
        <v>-70185</v>
      </c>
      <c r="AA160" s="239">
        <v>-367868</v>
      </c>
      <c r="AB160" s="239">
        <v>-295941</v>
      </c>
      <c r="AC160" s="239">
        <v>-68396</v>
      </c>
      <c r="AD160" s="239">
        <v>-364337</v>
      </c>
      <c r="AE160" s="239">
        <v>-5320</v>
      </c>
      <c r="AF160" s="239">
        <v>1789</v>
      </c>
      <c r="AG160" s="239">
        <v>-3531</v>
      </c>
      <c r="AH160" s="239">
        <v>4971612</v>
      </c>
      <c r="AI160" s="239">
        <v>916514</v>
      </c>
      <c r="AJ160" s="239">
        <v>5888126</v>
      </c>
      <c r="AK160" s="239">
        <v>87225</v>
      </c>
      <c r="AL160" s="239">
        <v>-21281</v>
      </c>
      <c r="AM160" s="239">
        <v>65944</v>
      </c>
      <c r="AN160" s="239">
        <v>-17266961</v>
      </c>
      <c r="AO160" s="239">
        <v>-717797</v>
      </c>
      <c r="AP160" s="239">
        <v>-17984758</v>
      </c>
      <c r="AQ160" s="239">
        <v>-824943</v>
      </c>
      <c r="AR160" s="239">
        <v>-35054</v>
      </c>
      <c r="AS160" s="239">
        <v>-859997</v>
      </c>
      <c r="AT160" s="239">
        <v>-4831</v>
      </c>
      <c r="AU160" s="239">
        <v>0</v>
      </c>
      <c r="AV160" s="239">
        <v>-4831</v>
      </c>
      <c r="AW160" s="239">
        <v>0</v>
      </c>
      <c r="AX160" s="239">
        <v>0</v>
      </c>
      <c r="AY160" s="239">
        <v>0</v>
      </c>
      <c r="AZ160" s="239">
        <v>0</v>
      </c>
      <c r="BA160" s="239">
        <v>0</v>
      </c>
      <c r="BB160" s="239">
        <v>0</v>
      </c>
      <c r="BC160" s="239">
        <v>0</v>
      </c>
      <c r="BD160" s="239">
        <v>0</v>
      </c>
      <c r="BE160" s="239">
        <v>0</v>
      </c>
      <c r="BF160" s="239">
        <v>-22350925</v>
      </c>
      <c r="BG160" s="239">
        <v>-568787</v>
      </c>
      <c r="BH160" s="239">
        <v>-22919712</v>
      </c>
      <c r="BI160" s="239">
        <v>0</v>
      </c>
      <c r="BJ160" s="239">
        <v>0</v>
      </c>
      <c r="BK160" s="239">
        <v>0</v>
      </c>
      <c r="BL160" s="239">
        <v>7182</v>
      </c>
      <c r="BM160" s="239">
        <v>638</v>
      </c>
      <c r="BN160" s="239">
        <v>7820</v>
      </c>
      <c r="BO160" s="239">
        <v>-8610859</v>
      </c>
      <c r="BP160" s="239">
        <v>-8030387</v>
      </c>
      <c r="BQ160" s="239">
        <v>-16641246</v>
      </c>
      <c r="BR160" s="239">
        <v>-583268</v>
      </c>
      <c r="BS160" s="239">
        <v>102775</v>
      </c>
      <c r="BT160" s="239">
        <v>-480493</v>
      </c>
      <c r="BU160" s="239">
        <v>-9186945</v>
      </c>
      <c r="BV160" s="239">
        <v>-7926974</v>
      </c>
      <c r="BW160" s="239">
        <v>-17113919</v>
      </c>
      <c r="BX160" s="239">
        <v>-50766</v>
      </c>
      <c r="BY160" s="239">
        <v>-22220</v>
      </c>
      <c r="BZ160" s="239">
        <v>-72986</v>
      </c>
      <c r="CA160" s="239">
        <v>4079</v>
      </c>
      <c r="CB160" s="239">
        <v>-14196</v>
      </c>
      <c r="CC160" s="239">
        <v>-10117</v>
      </c>
      <c r="CD160" s="239">
        <v>-13416</v>
      </c>
      <c r="CE160" s="239">
        <v>0</v>
      </c>
      <c r="CF160" s="239">
        <v>-13416</v>
      </c>
      <c r="CG160" s="239">
        <v>-4450</v>
      </c>
      <c r="CH160" s="239">
        <v>2366</v>
      </c>
      <c r="CI160" s="239">
        <v>-2084</v>
      </c>
      <c r="CJ160" s="239">
        <v>0</v>
      </c>
      <c r="CK160" s="239">
        <v>0</v>
      </c>
      <c r="CL160" s="239">
        <v>0</v>
      </c>
      <c r="CM160" s="239">
        <v>0</v>
      </c>
      <c r="CN160" s="239">
        <v>0</v>
      </c>
      <c r="CO160" s="239">
        <v>0</v>
      </c>
      <c r="CP160" s="239">
        <v>0</v>
      </c>
      <c r="CQ160" s="239">
        <v>0</v>
      </c>
      <c r="CR160" s="239">
        <v>0</v>
      </c>
      <c r="CS160" s="239">
        <v>0</v>
      </c>
      <c r="CT160" s="239">
        <v>0</v>
      </c>
      <c r="CU160" s="239">
        <v>0</v>
      </c>
      <c r="CV160" s="239">
        <v>0</v>
      </c>
      <c r="CW160" s="239">
        <v>0</v>
      </c>
      <c r="CX160" s="239">
        <v>0</v>
      </c>
      <c r="CY160" s="239">
        <v>0</v>
      </c>
      <c r="CZ160" s="239">
        <v>0</v>
      </c>
      <c r="DA160" s="239">
        <v>0</v>
      </c>
      <c r="DB160" s="239">
        <v>0</v>
      </c>
      <c r="DC160" s="239">
        <v>-236253</v>
      </c>
      <c r="DD160" s="239">
        <v>-236253</v>
      </c>
      <c r="DE160" s="239">
        <v>0</v>
      </c>
      <c r="DF160" s="239">
        <v>-17444</v>
      </c>
      <c r="DG160" s="239">
        <v>-17444</v>
      </c>
      <c r="DH160" s="239">
        <v>-253697</v>
      </c>
      <c r="DI160" s="239">
        <v>0</v>
      </c>
      <c r="DJ160" s="239">
        <v>-64553</v>
      </c>
      <c r="DK160" s="239">
        <v>-287747</v>
      </c>
      <c r="DL160" s="239">
        <v>-352300</v>
      </c>
      <c r="DM160" s="239">
        <v>0</v>
      </c>
      <c r="DN160" s="239">
        <v>0</v>
      </c>
      <c r="DO160" s="239">
        <v>0</v>
      </c>
      <c r="DP160" s="239">
        <v>0</v>
      </c>
      <c r="DQ160" s="239">
        <v>0</v>
      </c>
      <c r="DR160" s="239">
        <v>0</v>
      </c>
      <c r="DS160" s="239">
        <v>-116816</v>
      </c>
      <c r="DT160" s="239">
        <v>-3168</v>
      </c>
      <c r="DU160" s="239">
        <v>-119984</v>
      </c>
      <c r="DV160" s="239">
        <v>-18134</v>
      </c>
      <c r="DW160" s="239">
        <v>-677</v>
      </c>
      <c r="DX160" s="239">
        <v>-18811</v>
      </c>
      <c r="DY160" s="239">
        <v>0</v>
      </c>
      <c r="DZ160" s="239">
        <v>0</v>
      </c>
      <c r="EA160" s="239">
        <v>0</v>
      </c>
      <c r="EB160" s="239">
        <v>37323</v>
      </c>
      <c r="EC160" s="239">
        <v>-2961</v>
      </c>
      <c r="ED160" s="239">
        <v>34362</v>
      </c>
      <c r="EE160" s="239">
        <v>0</v>
      </c>
      <c r="EF160" s="239">
        <v>0</v>
      </c>
      <c r="EG160" s="239">
        <v>0</v>
      </c>
      <c r="EH160" s="239">
        <v>0</v>
      </c>
      <c r="EI160" s="239">
        <v>0</v>
      </c>
      <c r="EJ160" s="239">
        <v>0</v>
      </c>
      <c r="EK160" s="239">
        <v>-26008</v>
      </c>
      <c r="EL160" s="239">
        <v>2833</v>
      </c>
      <c r="EM160" s="239">
        <v>-23175</v>
      </c>
      <c r="EN160" s="239">
        <v>-411</v>
      </c>
      <c r="EO160" s="239">
        <v>11</v>
      </c>
      <c r="EP160" s="239">
        <v>-400</v>
      </c>
      <c r="EQ160" s="239">
        <v>-124046</v>
      </c>
      <c r="ER160" s="239">
        <v>-3962</v>
      </c>
      <c r="ES160" s="239">
        <v>-128008</v>
      </c>
      <c r="ET160" s="239">
        <v>0</v>
      </c>
      <c r="EU160" s="239">
        <v>0</v>
      </c>
      <c r="EV160" s="239">
        <v>0</v>
      </c>
      <c r="EW160" s="239">
        <v>1085</v>
      </c>
      <c r="EX160" s="239">
        <v>0</v>
      </c>
      <c r="EY160" s="239">
        <v>1085</v>
      </c>
      <c r="EZ160" s="239">
        <v>1085</v>
      </c>
      <c r="FA160" s="239">
        <v>0</v>
      </c>
      <c r="FB160" s="239">
        <v>1085</v>
      </c>
      <c r="FC160" s="239">
        <v>204118289</v>
      </c>
      <c r="FD160" s="239">
        <v>35493898</v>
      </c>
      <c r="FE160" s="239">
        <v>239612187</v>
      </c>
      <c r="FF160" s="239">
        <v>620788</v>
      </c>
      <c r="FG160" s="239">
        <v>200136</v>
      </c>
      <c r="FH160" s="239">
        <v>820924</v>
      </c>
      <c r="FI160" s="239">
        <v>-22350925</v>
      </c>
      <c r="FJ160" s="239">
        <v>-568787</v>
      </c>
      <c r="FK160" s="239">
        <v>-22919712</v>
      </c>
      <c r="FL160" s="239">
        <v>-9186945</v>
      </c>
      <c r="FM160" s="239">
        <v>-7926974</v>
      </c>
      <c r="FN160" s="239">
        <v>-17113919</v>
      </c>
      <c r="FO160" s="239">
        <v>-64553</v>
      </c>
      <c r="FP160" s="239">
        <v>-287747</v>
      </c>
      <c r="FQ160" s="239">
        <v>-352300</v>
      </c>
      <c r="FR160" s="239">
        <v>-124046</v>
      </c>
      <c r="FS160" s="239">
        <v>-3962</v>
      </c>
      <c r="FT160" s="239">
        <v>-128008</v>
      </c>
      <c r="FU160" s="239">
        <v>1085</v>
      </c>
      <c r="FV160" s="239">
        <v>0</v>
      </c>
      <c r="FW160" s="239">
        <v>1085</v>
      </c>
      <c r="FX160" s="239">
        <v>-31104596</v>
      </c>
      <c r="FY160" s="239">
        <v>-8587334</v>
      </c>
      <c r="FZ160" s="239">
        <v>-39691930</v>
      </c>
      <c r="GA160" s="239">
        <v>173013693</v>
      </c>
      <c r="GB160" s="239">
        <v>26906564</v>
      </c>
      <c r="GC160" s="239">
        <v>199920257</v>
      </c>
      <c r="GD160" s="214" t="s">
        <v>1192</v>
      </c>
    </row>
    <row r="161" spans="1:186" s="214" customFormat="1" x14ac:dyDescent="0.2">
      <c r="B161" s="609" t="s">
        <v>404</v>
      </c>
      <c r="C161" s="609" t="s">
        <v>403</v>
      </c>
      <c r="D161" s="239">
        <v>0</v>
      </c>
      <c r="E161" s="239">
        <v>0</v>
      </c>
      <c r="F161" s="239">
        <v>0</v>
      </c>
      <c r="G161" s="239">
        <v>-251200</v>
      </c>
      <c r="H161" s="239">
        <v>0</v>
      </c>
      <c r="I161" s="239">
        <v>-251200</v>
      </c>
      <c r="J161" s="239">
        <v>0</v>
      </c>
      <c r="K161" s="239">
        <v>0</v>
      </c>
      <c r="L161" s="239">
        <v>0</v>
      </c>
      <c r="M161" s="239">
        <v>-1090</v>
      </c>
      <c r="N161" s="239">
        <v>0</v>
      </c>
      <c r="O161" s="239">
        <v>-1090</v>
      </c>
      <c r="P161" s="239">
        <v>-252290</v>
      </c>
      <c r="Q161" s="239">
        <v>0</v>
      </c>
      <c r="R161" s="239">
        <v>-252290</v>
      </c>
      <c r="S161" s="239">
        <v>-3173673</v>
      </c>
      <c r="T161" s="239">
        <v>0</v>
      </c>
      <c r="U161" s="239">
        <v>-3173673</v>
      </c>
      <c r="V161" s="239">
        <v>0</v>
      </c>
      <c r="W161" s="239">
        <v>0</v>
      </c>
      <c r="X161" s="239">
        <v>0</v>
      </c>
      <c r="Y161" s="239">
        <v>-370443</v>
      </c>
      <c r="Z161" s="239">
        <v>0</v>
      </c>
      <c r="AA161" s="239">
        <v>-370443</v>
      </c>
      <c r="AB161" s="239">
        <v>0</v>
      </c>
      <c r="AC161" s="239">
        <v>0</v>
      </c>
      <c r="AD161" s="239">
        <v>0</v>
      </c>
      <c r="AE161" s="239">
        <v>0</v>
      </c>
      <c r="AF161" s="239">
        <v>0</v>
      </c>
      <c r="AG161" s="239">
        <v>0</v>
      </c>
      <c r="AH161" s="239">
        <v>1756072</v>
      </c>
      <c r="AI161" s="239">
        <v>114877</v>
      </c>
      <c r="AJ161" s="239">
        <v>1870949</v>
      </c>
      <c r="AK161" s="239">
        <v>-44989</v>
      </c>
      <c r="AL161" s="239">
        <v>-587</v>
      </c>
      <c r="AM161" s="239">
        <v>-45576</v>
      </c>
      <c r="AN161" s="239">
        <v>-5242617</v>
      </c>
      <c r="AO161" s="239">
        <v>0</v>
      </c>
      <c r="AP161" s="239">
        <v>-5242617</v>
      </c>
      <c r="AQ161" s="239">
        <v>12262</v>
      </c>
      <c r="AR161" s="239">
        <v>0</v>
      </c>
      <c r="AS161" s="239">
        <v>12262</v>
      </c>
      <c r="AT161" s="239">
        <v>-43895</v>
      </c>
      <c r="AU161" s="239">
        <v>0</v>
      </c>
      <c r="AV161" s="239">
        <v>-43895</v>
      </c>
      <c r="AW161" s="239">
        <v>0</v>
      </c>
      <c r="AX161" s="239">
        <v>0</v>
      </c>
      <c r="AY161" s="239">
        <v>0</v>
      </c>
      <c r="AZ161" s="239">
        <v>0</v>
      </c>
      <c r="BA161" s="239">
        <v>0</v>
      </c>
      <c r="BB161" s="239">
        <v>0</v>
      </c>
      <c r="BC161" s="239">
        <v>0</v>
      </c>
      <c r="BD161" s="239">
        <v>0</v>
      </c>
      <c r="BE161" s="239">
        <v>0</v>
      </c>
      <c r="BF161" s="239">
        <v>-7107283</v>
      </c>
      <c r="BG161" s="239">
        <v>114290</v>
      </c>
      <c r="BH161" s="239">
        <v>-6992993</v>
      </c>
      <c r="BI161" s="239">
        <v>-25371</v>
      </c>
      <c r="BJ161" s="239">
        <v>0</v>
      </c>
      <c r="BK161" s="239">
        <v>-25371</v>
      </c>
      <c r="BL161" s="239">
        <v>0</v>
      </c>
      <c r="BM161" s="239">
        <v>0</v>
      </c>
      <c r="BN161" s="239">
        <v>0</v>
      </c>
      <c r="BO161" s="239">
        <v>-2087873</v>
      </c>
      <c r="BP161" s="239">
        <v>0</v>
      </c>
      <c r="BQ161" s="239">
        <v>-2087873</v>
      </c>
      <c r="BR161" s="239">
        <v>-34784</v>
      </c>
      <c r="BS161" s="239">
        <v>0</v>
      </c>
      <c r="BT161" s="239">
        <v>-34784</v>
      </c>
      <c r="BU161" s="239">
        <v>-2148028</v>
      </c>
      <c r="BV161" s="239">
        <v>0</v>
      </c>
      <c r="BW161" s="239">
        <v>-2148028</v>
      </c>
      <c r="BX161" s="239">
        <v>-139288</v>
      </c>
      <c r="BY161" s="239">
        <v>0</v>
      </c>
      <c r="BZ161" s="239">
        <v>-139288</v>
      </c>
      <c r="CA161" s="239">
        <v>-1034</v>
      </c>
      <c r="CB161" s="239">
        <v>0</v>
      </c>
      <c r="CC161" s="239">
        <v>-1034</v>
      </c>
      <c r="CD161" s="239">
        <v>-55206</v>
      </c>
      <c r="CE161" s="239">
        <v>0</v>
      </c>
      <c r="CF161" s="239">
        <v>-55206</v>
      </c>
      <c r="CG161" s="239">
        <v>1807</v>
      </c>
      <c r="CH161" s="239">
        <v>0</v>
      </c>
      <c r="CI161" s="239">
        <v>1807</v>
      </c>
      <c r="CJ161" s="239">
        <v>-56</v>
      </c>
      <c r="CK161" s="239">
        <v>0</v>
      </c>
      <c r="CL161" s="239">
        <v>-56</v>
      </c>
      <c r="CM161" s="239">
        <v>0</v>
      </c>
      <c r="CN161" s="239">
        <v>0</v>
      </c>
      <c r="CO161" s="239">
        <v>0</v>
      </c>
      <c r="CP161" s="239">
        <v>0</v>
      </c>
      <c r="CQ161" s="239">
        <v>0</v>
      </c>
      <c r="CR161" s="239">
        <v>0</v>
      </c>
      <c r="CS161" s="239">
        <v>0</v>
      </c>
      <c r="CT161" s="239">
        <v>0</v>
      </c>
      <c r="CU161" s="239">
        <v>0</v>
      </c>
      <c r="CV161" s="239">
        <v>0</v>
      </c>
      <c r="CW161" s="239">
        <v>0</v>
      </c>
      <c r="CX161" s="239">
        <v>0</v>
      </c>
      <c r="CY161" s="239">
        <v>0</v>
      </c>
      <c r="CZ161" s="239">
        <v>0</v>
      </c>
      <c r="DA161" s="239">
        <v>0</v>
      </c>
      <c r="DB161" s="239">
        <v>-9876</v>
      </c>
      <c r="DC161" s="239">
        <v>0</v>
      </c>
      <c r="DD161" s="239">
        <v>-9876</v>
      </c>
      <c r="DE161" s="239">
        <v>-34</v>
      </c>
      <c r="DF161" s="239">
        <v>0</v>
      </c>
      <c r="DG161" s="239">
        <v>-34</v>
      </c>
      <c r="DH161" s="239">
        <v>0</v>
      </c>
      <c r="DI161" s="239">
        <v>0</v>
      </c>
      <c r="DJ161" s="239">
        <v>-203687</v>
      </c>
      <c r="DK161" s="239">
        <v>0</v>
      </c>
      <c r="DL161" s="239">
        <v>-203687</v>
      </c>
      <c r="DM161" s="239">
        <v>0</v>
      </c>
      <c r="DN161" s="239">
        <v>0</v>
      </c>
      <c r="DO161" s="239">
        <v>0</v>
      </c>
      <c r="DP161" s="239">
        <v>218</v>
      </c>
      <c r="DQ161" s="239">
        <v>0</v>
      </c>
      <c r="DR161" s="239">
        <v>218</v>
      </c>
      <c r="DS161" s="239">
        <v>-90488</v>
      </c>
      <c r="DT161" s="239">
        <v>0</v>
      </c>
      <c r="DU161" s="239">
        <v>-90488</v>
      </c>
      <c r="DV161" s="239">
        <v>-23015</v>
      </c>
      <c r="DW161" s="239">
        <v>0</v>
      </c>
      <c r="DX161" s="239">
        <v>-23015</v>
      </c>
      <c r="DY161" s="239">
        <v>0</v>
      </c>
      <c r="DZ161" s="239">
        <v>0</v>
      </c>
      <c r="EA161" s="239">
        <v>0</v>
      </c>
      <c r="EB161" s="239">
        <v>-40514</v>
      </c>
      <c r="EC161" s="239">
        <v>0</v>
      </c>
      <c r="ED161" s="239">
        <v>-40514</v>
      </c>
      <c r="EE161" s="239">
        <v>0</v>
      </c>
      <c r="EF161" s="239">
        <v>0</v>
      </c>
      <c r="EG161" s="239">
        <v>0</v>
      </c>
      <c r="EH161" s="239">
        <v>0</v>
      </c>
      <c r="EI161" s="239">
        <v>0</v>
      </c>
      <c r="EJ161" s="239">
        <v>0</v>
      </c>
      <c r="EK161" s="239">
        <v>0</v>
      </c>
      <c r="EL161" s="239">
        <v>0</v>
      </c>
      <c r="EM161" s="239">
        <v>0</v>
      </c>
      <c r="EN161" s="239">
        <v>0</v>
      </c>
      <c r="EO161" s="239">
        <v>0</v>
      </c>
      <c r="EP161" s="239">
        <v>0</v>
      </c>
      <c r="EQ161" s="239">
        <v>-153799</v>
      </c>
      <c r="ER161" s="239">
        <v>0</v>
      </c>
      <c r="ES161" s="239">
        <v>-153799</v>
      </c>
      <c r="ET161" s="239">
        <v>0</v>
      </c>
      <c r="EU161" s="239">
        <v>0</v>
      </c>
      <c r="EV161" s="239">
        <v>0</v>
      </c>
      <c r="EW161" s="239">
        <v>0</v>
      </c>
      <c r="EX161" s="239">
        <v>0</v>
      </c>
      <c r="EY161" s="239">
        <v>0</v>
      </c>
      <c r="EZ161" s="239">
        <v>0</v>
      </c>
      <c r="FA161" s="239">
        <v>0</v>
      </c>
      <c r="FB161" s="239">
        <v>0</v>
      </c>
      <c r="FC161" s="239">
        <v>73983232</v>
      </c>
      <c r="FD161" s="239">
        <v>4358627</v>
      </c>
      <c r="FE161" s="239">
        <v>78341859</v>
      </c>
      <c r="FF161" s="239">
        <v>-252290</v>
      </c>
      <c r="FG161" s="239">
        <v>0</v>
      </c>
      <c r="FH161" s="239">
        <v>-252290</v>
      </c>
      <c r="FI161" s="239">
        <v>-7107283</v>
      </c>
      <c r="FJ161" s="239">
        <v>114290</v>
      </c>
      <c r="FK161" s="239">
        <v>-6992993</v>
      </c>
      <c r="FL161" s="239">
        <v>-2148028</v>
      </c>
      <c r="FM161" s="239">
        <v>0</v>
      </c>
      <c r="FN161" s="239">
        <v>-2148028</v>
      </c>
      <c r="FO161" s="239">
        <v>-203687</v>
      </c>
      <c r="FP161" s="239">
        <v>0</v>
      </c>
      <c r="FQ161" s="239">
        <v>-203687</v>
      </c>
      <c r="FR161" s="239">
        <v>-153799</v>
      </c>
      <c r="FS161" s="239">
        <v>0</v>
      </c>
      <c r="FT161" s="239">
        <v>-153799</v>
      </c>
      <c r="FU161" s="239">
        <v>0</v>
      </c>
      <c r="FV161" s="239">
        <v>0</v>
      </c>
      <c r="FW161" s="239">
        <v>0</v>
      </c>
      <c r="FX161" s="239">
        <v>-9865087</v>
      </c>
      <c r="FY161" s="239">
        <v>114290</v>
      </c>
      <c r="FZ161" s="239">
        <v>-9750797</v>
      </c>
      <c r="GA161" s="239">
        <v>64118145</v>
      </c>
      <c r="GB161" s="239">
        <v>4472917</v>
      </c>
      <c r="GC161" s="239">
        <v>68591062</v>
      </c>
      <c r="GD161" s="214" t="s">
        <v>747</v>
      </c>
    </row>
    <row r="162" spans="1:186" s="214" customFormat="1" x14ac:dyDescent="0.2">
      <c r="B162" s="609" t="s">
        <v>406</v>
      </c>
      <c r="C162" s="609" t="s">
        <v>405</v>
      </c>
      <c r="D162" s="239">
        <v>0</v>
      </c>
      <c r="E162" s="239">
        <v>0</v>
      </c>
      <c r="F162" s="239">
        <v>0</v>
      </c>
      <c r="G162" s="239">
        <v>69179</v>
      </c>
      <c r="H162" s="239">
        <v>0</v>
      </c>
      <c r="I162" s="239">
        <v>69179</v>
      </c>
      <c r="J162" s="239">
        <v>0</v>
      </c>
      <c r="K162" s="239">
        <v>0</v>
      </c>
      <c r="L162" s="239">
        <v>0</v>
      </c>
      <c r="M162" s="239">
        <v>24420</v>
      </c>
      <c r="N162" s="239">
        <v>0</v>
      </c>
      <c r="O162" s="239">
        <v>24420</v>
      </c>
      <c r="P162" s="239">
        <v>93599</v>
      </c>
      <c r="Q162" s="239">
        <v>0</v>
      </c>
      <c r="R162" s="239">
        <v>93599</v>
      </c>
      <c r="S162" s="239">
        <v>-2375158</v>
      </c>
      <c r="T162" s="239">
        <v>0</v>
      </c>
      <c r="U162" s="239">
        <v>-2375158</v>
      </c>
      <c r="V162" s="239">
        <v>-1804</v>
      </c>
      <c r="W162" s="239">
        <v>0</v>
      </c>
      <c r="X162" s="239">
        <v>-1804</v>
      </c>
      <c r="Y162" s="239">
        <v>-11857</v>
      </c>
      <c r="Z162" s="239">
        <v>0</v>
      </c>
      <c r="AA162" s="239">
        <v>-11857</v>
      </c>
      <c r="AB162" s="239">
        <v>0</v>
      </c>
      <c r="AC162" s="239">
        <v>0</v>
      </c>
      <c r="AD162" s="239">
        <v>0</v>
      </c>
      <c r="AE162" s="239">
        <v>-165</v>
      </c>
      <c r="AF162" s="239">
        <v>0</v>
      </c>
      <c r="AG162" s="239">
        <v>-165</v>
      </c>
      <c r="AH162" s="239">
        <v>1606038</v>
      </c>
      <c r="AI162" s="239">
        <v>0</v>
      </c>
      <c r="AJ162" s="239">
        <v>1606038</v>
      </c>
      <c r="AK162" s="239">
        <v>-11582</v>
      </c>
      <c r="AL162" s="239">
        <v>0</v>
      </c>
      <c r="AM162" s="239">
        <v>-11582</v>
      </c>
      <c r="AN162" s="239">
        <v>-4220245</v>
      </c>
      <c r="AO162" s="239">
        <v>0</v>
      </c>
      <c r="AP162" s="239">
        <v>-4220245</v>
      </c>
      <c r="AQ162" s="239">
        <v>-21760</v>
      </c>
      <c r="AR162" s="239">
        <v>0</v>
      </c>
      <c r="AS162" s="239">
        <v>-21760</v>
      </c>
      <c r="AT162" s="239">
        <v>-105324</v>
      </c>
      <c r="AU162" s="239">
        <v>0</v>
      </c>
      <c r="AV162" s="239">
        <v>-105324</v>
      </c>
      <c r="AW162" s="239">
        <v>0</v>
      </c>
      <c r="AX162" s="239">
        <v>0</v>
      </c>
      <c r="AY162" s="239">
        <v>0</v>
      </c>
      <c r="AZ162" s="239">
        <v>-3149</v>
      </c>
      <c r="BA162" s="239">
        <v>0</v>
      </c>
      <c r="BB162" s="239">
        <v>-3149</v>
      </c>
      <c r="BC162" s="239">
        <v>0</v>
      </c>
      <c r="BD162" s="239">
        <v>0</v>
      </c>
      <c r="BE162" s="239">
        <v>0</v>
      </c>
      <c r="BF162" s="239">
        <v>-5143037</v>
      </c>
      <c r="BG162" s="239">
        <v>0</v>
      </c>
      <c r="BH162" s="239">
        <v>-5143037</v>
      </c>
      <c r="BI162" s="239">
        <v>-6798</v>
      </c>
      <c r="BJ162" s="239">
        <v>0</v>
      </c>
      <c r="BK162" s="239">
        <v>-6798</v>
      </c>
      <c r="BL162" s="239">
        <v>-559</v>
      </c>
      <c r="BM162" s="239">
        <v>0</v>
      </c>
      <c r="BN162" s="239">
        <v>-559</v>
      </c>
      <c r="BO162" s="239">
        <v>-2514093</v>
      </c>
      <c r="BP162" s="239">
        <v>0</v>
      </c>
      <c r="BQ162" s="239">
        <v>-2514093</v>
      </c>
      <c r="BR162" s="239">
        <v>-187082</v>
      </c>
      <c r="BS162" s="239">
        <v>0</v>
      </c>
      <c r="BT162" s="239">
        <v>-187082</v>
      </c>
      <c r="BU162" s="239">
        <v>-2708532</v>
      </c>
      <c r="BV162" s="239">
        <v>0</v>
      </c>
      <c r="BW162" s="239">
        <v>-2708532</v>
      </c>
      <c r="BX162" s="239">
        <v>-143082</v>
      </c>
      <c r="BY162" s="239">
        <v>0</v>
      </c>
      <c r="BZ162" s="239">
        <v>-143082</v>
      </c>
      <c r="CA162" s="239">
        <v>-290</v>
      </c>
      <c r="CB162" s="239">
        <v>0</v>
      </c>
      <c r="CC162" s="239">
        <v>-290</v>
      </c>
      <c r="CD162" s="239">
        <v>-7844</v>
      </c>
      <c r="CE162" s="239">
        <v>0</v>
      </c>
      <c r="CF162" s="239">
        <v>-7844</v>
      </c>
      <c r="CG162" s="239">
        <v>0</v>
      </c>
      <c r="CH162" s="239">
        <v>0</v>
      </c>
      <c r="CI162" s="239">
        <v>0</v>
      </c>
      <c r="CJ162" s="239">
        <v>-7803</v>
      </c>
      <c r="CK162" s="239">
        <v>0</v>
      </c>
      <c r="CL162" s="239">
        <v>-7803</v>
      </c>
      <c r="CM162" s="239">
        <v>0</v>
      </c>
      <c r="CN162" s="239">
        <v>0</v>
      </c>
      <c r="CO162" s="239">
        <v>0</v>
      </c>
      <c r="CP162" s="239">
        <v>-2683</v>
      </c>
      <c r="CQ162" s="239">
        <v>0</v>
      </c>
      <c r="CR162" s="239">
        <v>-2683</v>
      </c>
      <c r="CS162" s="239">
        <v>0</v>
      </c>
      <c r="CT162" s="239">
        <v>0</v>
      </c>
      <c r="CU162" s="239">
        <v>0</v>
      </c>
      <c r="CV162" s="239">
        <v>0</v>
      </c>
      <c r="CW162" s="239">
        <v>0</v>
      </c>
      <c r="CX162" s="239">
        <v>0</v>
      </c>
      <c r="CY162" s="239">
        <v>0</v>
      </c>
      <c r="CZ162" s="239">
        <v>0</v>
      </c>
      <c r="DA162" s="239">
        <v>0</v>
      </c>
      <c r="DB162" s="239">
        <v>0</v>
      </c>
      <c r="DC162" s="239">
        <v>0</v>
      </c>
      <c r="DD162" s="239">
        <v>0</v>
      </c>
      <c r="DE162" s="239">
        <v>0</v>
      </c>
      <c r="DF162" s="239">
        <v>0</v>
      </c>
      <c r="DG162" s="239">
        <v>0</v>
      </c>
      <c r="DH162" s="239">
        <v>0</v>
      </c>
      <c r="DI162" s="239">
        <v>0</v>
      </c>
      <c r="DJ162" s="239">
        <v>-161702</v>
      </c>
      <c r="DK162" s="239">
        <v>0</v>
      </c>
      <c r="DL162" s="239">
        <v>-161702</v>
      </c>
      <c r="DM162" s="239">
        <v>0</v>
      </c>
      <c r="DN162" s="239">
        <v>0</v>
      </c>
      <c r="DO162" s="239">
        <v>0</v>
      </c>
      <c r="DP162" s="239">
        <v>0</v>
      </c>
      <c r="DQ162" s="239">
        <v>0</v>
      </c>
      <c r="DR162" s="239">
        <v>0</v>
      </c>
      <c r="DS162" s="239">
        <v>-38004</v>
      </c>
      <c r="DT162" s="239">
        <v>0</v>
      </c>
      <c r="DU162" s="239">
        <v>-38004</v>
      </c>
      <c r="DV162" s="239">
        <v>-5140</v>
      </c>
      <c r="DW162" s="239">
        <v>0</v>
      </c>
      <c r="DX162" s="239">
        <v>-5140</v>
      </c>
      <c r="DY162" s="239">
        <v>0</v>
      </c>
      <c r="DZ162" s="239">
        <v>0</v>
      </c>
      <c r="EA162" s="239">
        <v>0</v>
      </c>
      <c r="EB162" s="239">
        <v>-2178</v>
      </c>
      <c r="EC162" s="239">
        <v>0</v>
      </c>
      <c r="ED162" s="239">
        <v>-2178</v>
      </c>
      <c r="EE162" s="239">
        <v>0</v>
      </c>
      <c r="EF162" s="239">
        <v>0</v>
      </c>
      <c r="EG162" s="239">
        <v>0</v>
      </c>
      <c r="EH162" s="239">
        <v>0</v>
      </c>
      <c r="EI162" s="239">
        <v>0</v>
      </c>
      <c r="EJ162" s="239">
        <v>0</v>
      </c>
      <c r="EK162" s="239">
        <v>-194</v>
      </c>
      <c r="EL162" s="239">
        <v>0</v>
      </c>
      <c r="EM162" s="239">
        <v>-194</v>
      </c>
      <c r="EN162" s="239">
        <v>0</v>
      </c>
      <c r="EO162" s="239">
        <v>0</v>
      </c>
      <c r="EP162" s="239">
        <v>0</v>
      </c>
      <c r="EQ162" s="239">
        <v>-45516</v>
      </c>
      <c r="ER162" s="239">
        <v>0</v>
      </c>
      <c r="ES162" s="239">
        <v>-45516</v>
      </c>
      <c r="ET162" s="239">
        <v>-56000</v>
      </c>
      <c r="EU162" s="239">
        <v>0</v>
      </c>
      <c r="EV162" s="239">
        <v>-56000</v>
      </c>
      <c r="EW162" s="239">
        <v>0</v>
      </c>
      <c r="EX162" s="239">
        <v>0</v>
      </c>
      <c r="EY162" s="239">
        <v>0</v>
      </c>
      <c r="EZ162" s="239">
        <v>-56000</v>
      </c>
      <c r="FA162" s="239">
        <v>0</v>
      </c>
      <c r="FB162" s="239">
        <v>-56000</v>
      </c>
      <c r="FC162" s="239">
        <v>68528560</v>
      </c>
      <c r="FD162" s="239">
        <v>0</v>
      </c>
      <c r="FE162" s="239">
        <v>68528560</v>
      </c>
      <c r="FF162" s="239">
        <v>93599</v>
      </c>
      <c r="FG162" s="239">
        <v>0</v>
      </c>
      <c r="FH162" s="239">
        <v>93599</v>
      </c>
      <c r="FI162" s="239">
        <v>-5143037</v>
      </c>
      <c r="FJ162" s="239">
        <v>0</v>
      </c>
      <c r="FK162" s="239">
        <v>-5143037</v>
      </c>
      <c r="FL162" s="239">
        <v>-2708532</v>
      </c>
      <c r="FM162" s="239">
        <v>0</v>
      </c>
      <c r="FN162" s="239">
        <v>-2708532</v>
      </c>
      <c r="FO162" s="239">
        <v>-161702</v>
      </c>
      <c r="FP162" s="239">
        <v>0</v>
      </c>
      <c r="FQ162" s="239">
        <v>-161702</v>
      </c>
      <c r="FR162" s="239">
        <v>-45516</v>
      </c>
      <c r="FS162" s="239">
        <v>0</v>
      </c>
      <c r="FT162" s="239">
        <v>-45516</v>
      </c>
      <c r="FU162" s="239">
        <v>-56000</v>
      </c>
      <c r="FV162" s="239">
        <v>0</v>
      </c>
      <c r="FW162" s="239">
        <v>-56000</v>
      </c>
      <c r="FX162" s="239">
        <v>-8021188</v>
      </c>
      <c r="FY162" s="239">
        <v>0</v>
      </c>
      <c r="FZ162" s="239">
        <v>-8021188</v>
      </c>
      <c r="GA162" s="239">
        <v>60507372</v>
      </c>
      <c r="GB162" s="239">
        <v>0</v>
      </c>
      <c r="GC162" s="239">
        <v>60507372</v>
      </c>
      <c r="GD162" s="214" t="s">
        <v>1190</v>
      </c>
    </row>
    <row r="163" spans="1:186" s="214" customFormat="1" x14ac:dyDescent="0.2">
      <c r="A163" s="215" t="s">
        <v>1211</v>
      </c>
      <c r="B163" s="609" t="s">
        <v>408</v>
      </c>
      <c r="C163" s="609" t="s">
        <v>407</v>
      </c>
      <c r="D163" s="239">
        <v>0</v>
      </c>
      <c r="E163" s="239">
        <v>0</v>
      </c>
      <c r="F163" s="239">
        <v>0</v>
      </c>
      <c r="G163" s="239">
        <v>27857</v>
      </c>
      <c r="H163" s="239">
        <v>0</v>
      </c>
      <c r="I163" s="239">
        <v>27857</v>
      </c>
      <c r="J163" s="239">
        <v>0</v>
      </c>
      <c r="K163" s="239">
        <v>0</v>
      </c>
      <c r="L163" s="239">
        <v>0</v>
      </c>
      <c r="M163" s="239">
        <v>4638</v>
      </c>
      <c r="N163" s="239">
        <v>0</v>
      </c>
      <c r="O163" s="239">
        <v>4638</v>
      </c>
      <c r="P163" s="239">
        <v>32495</v>
      </c>
      <c r="Q163" s="239">
        <v>0</v>
      </c>
      <c r="R163" s="239">
        <v>32495</v>
      </c>
      <c r="S163" s="239">
        <v>-1924649</v>
      </c>
      <c r="T163" s="239">
        <v>0</v>
      </c>
      <c r="U163" s="239">
        <v>-1924649</v>
      </c>
      <c r="V163" s="239">
        <v>-5920</v>
      </c>
      <c r="W163" s="239">
        <v>0</v>
      </c>
      <c r="X163" s="239">
        <v>-5920</v>
      </c>
      <c r="Y163" s="239">
        <v>-88949</v>
      </c>
      <c r="Z163" s="239">
        <v>0</v>
      </c>
      <c r="AA163" s="239">
        <v>-88949</v>
      </c>
      <c r="AB163" s="239">
        <v>-61879</v>
      </c>
      <c r="AC163" s="239">
        <v>0</v>
      </c>
      <c r="AD163" s="239">
        <v>-61879</v>
      </c>
      <c r="AE163" s="239">
        <v>0</v>
      </c>
      <c r="AF163" s="239">
        <v>0</v>
      </c>
      <c r="AG163" s="239">
        <v>0</v>
      </c>
      <c r="AH163" s="239">
        <v>343314</v>
      </c>
      <c r="AI163" s="239">
        <v>0</v>
      </c>
      <c r="AJ163" s="239">
        <v>343314</v>
      </c>
      <c r="AK163" s="239">
        <v>-1329</v>
      </c>
      <c r="AL163" s="239">
        <v>0</v>
      </c>
      <c r="AM163" s="239">
        <v>-1329</v>
      </c>
      <c r="AN163" s="239">
        <v>-785297</v>
      </c>
      <c r="AO163" s="239">
        <v>0</v>
      </c>
      <c r="AP163" s="239">
        <v>-785297</v>
      </c>
      <c r="AQ163" s="239">
        <v>-11424</v>
      </c>
      <c r="AR163" s="239">
        <v>0</v>
      </c>
      <c r="AS163" s="239">
        <v>-11424</v>
      </c>
      <c r="AT163" s="239">
        <v>-50624</v>
      </c>
      <c r="AU163" s="239">
        <v>0</v>
      </c>
      <c r="AV163" s="239">
        <v>-50624</v>
      </c>
      <c r="AW163" s="239">
        <v>0</v>
      </c>
      <c r="AX163" s="239">
        <v>0</v>
      </c>
      <c r="AY163" s="239">
        <v>0</v>
      </c>
      <c r="AZ163" s="239">
        <v>-13891</v>
      </c>
      <c r="BA163" s="239">
        <v>0</v>
      </c>
      <c r="BB163" s="239">
        <v>-13891</v>
      </c>
      <c r="BC163" s="239">
        <v>2019</v>
      </c>
      <c r="BD163" s="239">
        <v>0</v>
      </c>
      <c r="BE163" s="239">
        <v>2019</v>
      </c>
      <c r="BF163" s="239">
        <v>-2530830</v>
      </c>
      <c r="BG163" s="239">
        <v>0</v>
      </c>
      <c r="BH163" s="239">
        <v>-2530830</v>
      </c>
      <c r="BI163" s="239">
        <v>-471</v>
      </c>
      <c r="BJ163" s="239">
        <v>0</v>
      </c>
      <c r="BK163" s="239">
        <v>-471</v>
      </c>
      <c r="BL163" s="239">
        <v>0</v>
      </c>
      <c r="BM163" s="239">
        <v>0</v>
      </c>
      <c r="BN163" s="239">
        <v>0</v>
      </c>
      <c r="BO163" s="239">
        <v>-375293</v>
      </c>
      <c r="BP163" s="239">
        <v>0</v>
      </c>
      <c r="BQ163" s="239">
        <v>-375293</v>
      </c>
      <c r="BR163" s="239">
        <v>-15030</v>
      </c>
      <c r="BS163" s="239">
        <v>0</v>
      </c>
      <c r="BT163" s="239">
        <v>-15030</v>
      </c>
      <c r="BU163" s="239">
        <v>-390794</v>
      </c>
      <c r="BV163" s="239">
        <v>0</v>
      </c>
      <c r="BW163" s="239">
        <v>-390794</v>
      </c>
      <c r="BX163" s="239">
        <v>-30312</v>
      </c>
      <c r="BY163" s="239">
        <v>0</v>
      </c>
      <c r="BZ163" s="239">
        <v>-30312</v>
      </c>
      <c r="CA163" s="239">
        <v>-1445</v>
      </c>
      <c r="CB163" s="239">
        <v>0</v>
      </c>
      <c r="CC163" s="239">
        <v>-1445</v>
      </c>
      <c r="CD163" s="239">
        <v>-5546</v>
      </c>
      <c r="CE163" s="239">
        <v>0</v>
      </c>
      <c r="CF163" s="239">
        <v>-5546</v>
      </c>
      <c r="CG163" s="239">
        <v>164</v>
      </c>
      <c r="CH163" s="239">
        <v>0</v>
      </c>
      <c r="CI163" s="239">
        <v>164</v>
      </c>
      <c r="CJ163" s="239">
        <v>-293</v>
      </c>
      <c r="CK163" s="239">
        <v>0</v>
      </c>
      <c r="CL163" s="239">
        <v>-293</v>
      </c>
      <c r="CM163" s="239">
        <v>0</v>
      </c>
      <c r="CN163" s="239">
        <v>0</v>
      </c>
      <c r="CO163" s="239">
        <v>0</v>
      </c>
      <c r="CP163" s="239">
        <v>0</v>
      </c>
      <c r="CQ163" s="239">
        <v>0</v>
      </c>
      <c r="CR163" s="239">
        <v>0</v>
      </c>
      <c r="CS163" s="239">
        <v>0</v>
      </c>
      <c r="CT163" s="239">
        <v>0</v>
      </c>
      <c r="CU163" s="239">
        <v>0</v>
      </c>
      <c r="CV163" s="239">
        <v>0</v>
      </c>
      <c r="CW163" s="239">
        <v>0</v>
      </c>
      <c r="CX163" s="239">
        <v>0</v>
      </c>
      <c r="CY163" s="239">
        <v>0</v>
      </c>
      <c r="CZ163" s="239">
        <v>0</v>
      </c>
      <c r="DA163" s="239">
        <v>0</v>
      </c>
      <c r="DB163" s="239">
        <v>0</v>
      </c>
      <c r="DC163" s="239">
        <v>0</v>
      </c>
      <c r="DD163" s="239">
        <v>0</v>
      </c>
      <c r="DE163" s="239">
        <v>0</v>
      </c>
      <c r="DF163" s="239">
        <v>0</v>
      </c>
      <c r="DG163" s="239">
        <v>0</v>
      </c>
      <c r="DH163" s="239">
        <v>0</v>
      </c>
      <c r="DI163" s="239">
        <v>0</v>
      </c>
      <c r="DJ163" s="239">
        <v>-37432</v>
      </c>
      <c r="DK163" s="239">
        <v>0</v>
      </c>
      <c r="DL163" s="239">
        <v>-37432</v>
      </c>
      <c r="DM163" s="239">
        <v>0</v>
      </c>
      <c r="DN163" s="239">
        <v>0</v>
      </c>
      <c r="DO163" s="239">
        <v>0</v>
      </c>
      <c r="DP163" s="239">
        <v>0</v>
      </c>
      <c r="DQ163" s="239">
        <v>0</v>
      </c>
      <c r="DR163" s="239">
        <v>0</v>
      </c>
      <c r="DS163" s="239">
        <v>0</v>
      </c>
      <c r="DT163" s="239">
        <v>0</v>
      </c>
      <c r="DU163" s="239">
        <v>0</v>
      </c>
      <c r="DV163" s="239">
        <v>0</v>
      </c>
      <c r="DW163" s="239">
        <v>0</v>
      </c>
      <c r="DX163" s="239">
        <v>0</v>
      </c>
      <c r="DY163" s="239">
        <v>0</v>
      </c>
      <c r="DZ163" s="239">
        <v>0</v>
      </c>
      <c r="EA163" s="239">
        <v>0</v>
      </c>
      <c r="EB163" s="239">
        <v>880</v>
      </c>
      <c r="EC163" s="239">
        <v>0</v>
      </c>
      <c r="ED163" s="239">
        <v>880</v>
      </c>
      <c r="EE163" s="239">
        <v>0</v>
      </c>
      <c r="EF163" s="239">
        <v>0</v>
      </c>
      <c r="EG163" s="239">
        <v>0</v>
      </c>
      <c r="EH163" s="239">
        <v>0</v>
      </c>
      <c r="EI163" s="239">
        <v>0</v>
      </c>
      <c r="EJ163" s="239">
        <v>0</v>
      </c>
      <c r="EK163" s="239">
        <v>-5715</v>
      </c>
      <c r="EL163" s="239">
        <v>0</v>
      </c>
      <c r="EM163" s="239">
        <v>-5715</v>
      </c>
      <c r="EN163" s="239">
        <v>0</v>
      </c>
      <c r="EO163" s="239">
        <v>0</v>
      </c>
      <c r="EP163" s="239">
        <v>0</v>
      </c>
      <c r="EQ163" s="239">
        <v>-4835</v>
      </c>
      <c r="ER163" s="239">
        <v>0</v>
      </c>
      <c r="ES163" s="239">
        <v>-4835</v>
      </c>
      <c r="ET163" s="239">
        <v>0</v>
      </c>
      <c r="EU163" s="239">
        <v>0</v>
      </c>
      <c r="EV163" s="239">
        <v>0</v>
      </c>
      <c r="EW163" s="239">
        <v>0</v>
      </c>
      <c r="EX163" s="239">
        <v>0</v>
      </c>
      <c r="EY163" s="239">
        <v>0</v>
      </c>
      <c r="EZ163" s="239">
        <v>0</v>
      </c>
      <c r="FA163" s="239">
        <v>0</v>
      </c>
      <c r="FB163" s="239">
        <v>0</v>
      </c>
      <c r="FC163" s="239">
        <v>17782159</v>
      </c>
      <c r="FD163" s="239">
        <v>0</v>
      </c>
      <c r="FE163" s="239">
        <v>17782159</v>
      </c>
      <c r="FF163" s="239">
        <v>32495</v>
      </c>
      <c r="FG163" s="239">
        <v>0</v>
      </c>
      <c r="FH163" s="239">
        <v>32495</v>
      </c>
      <c r="FI163" s="239">
        <v>-2530830</v>
      </c>
      <c r="FJ163" s="239">
        <v>0</v>
      </c>
      <c r="FK163" s="239">
        <v>-2530830</v>
      </c>
      <c r="FL163" s="239">
        <v>-390794</v>
      </c>
      <c r="FM163" s="239">
        <v>0</v>
      </c>
      <c r="FN163" s="239">
        <v>-390794</v>
      </c>
      <c r="FO163" s="239">
        <v>-37432</v>
      </c>
      <c r="FP163" s="239">
        <v>0</v>
      </c>
      <c r="FQ163" s="239">
        <v>-37432</v>
      </c>
      <c r="FR163" s="239">
        <v>-4835</v>
      </c>
      <c r="FS163" s="239">
        <v>0</v>
      </c>
      <c r="FT163" s="239">
        <v>-4835</v>
      </c>
      <c r="FU163" s="239">
        <v>0</v>
      </c>
      <c r="FV163" s="239">
        <v>0</v>
      </c>
      <c r="FW163" s="239">
        <v>0</v>
      </c>
      <c r="FX163" s="239">
        <v>-2931396</v>
      </c>
      <c r="FY163" s="239">
        <v>0</v>
      </c>
      <c r="FZ163" s="239">
        <v>-2931396</v>
      </c>
      <c r="GA163" s="239">
        <v>14850763</v>
      </c>
      <c r="GB163" s="239">
        <v>0</v>
      </c>
      <c r="GC163" s="239">
        <v>14850763</v>
      </c>
      <c r="GD163" s="214" t="s">
        <v>1190</v>
      </c>
    </row>
    <row r="164" spans="1:186" s="214" customFormat="1" x14ac:dyDescent="0.2">
      <c r="B164" s="609" t="s">
        <v>410</v>
      </c>
      <c r="C164" s="609" t="s">
        <v>409</v>
      </c>
      <c r="D164" s="239">
        <v>0</v>
      </c>
      <c r="E164" s="239">
        <v>0</v>
      </c>
      <c r="F164" s="239">
        <v>0</v>
      </c>
      <c r="G164" s="239">
        <v>8385</v>
      </c>
      <c r="H164" s="239">
        <v>0</v>
      </c>
      <c r="I164" s="239">
        <v>8385</v>
      </c>
      <c r="J164" s="239">
        <v>0</v>
      </c>
      <c r="K164" s="239">
        <v>0</v>
      </c>
      <c r="L164" s="239">
        <v>0</v>
      </c>
      <c r="M164" s="239">
        <v>-30797</v>
      </c>
      <c r="N164" s="239">
        <v>0</v>
      </c>
      <c r="O164" s="239">
        <v>-30797</v>
      </c>
      <c r="P164" s="239">
        <v>-22412</v>
      </c>
      <c r="Q164" s="239">
        <v>0</v>
      </c>
      <c r="R164" s="239">
        <v>-22412</v>
      </c>
      <c r="S164" s="239">
        <v>-2235616</v>
      </c>
      <c r="T164" s="239">
        <v>0</v>
      </c>
      <c r="U164" s="239">
        <v>-2235616</v>
      </c>
      <c r="V164" s="239">
        <v>-7661</v>
      </c>
      <c r="W164" s="239">
        <v>0</v>
      </c>
      <c r="X164" s="239">
        <v>-7661</v>
      </c>
      <c r="Y164" s="239">
        <v>-204991</v>
      </c>
      <c r="Z164" s="239">
        <v>0</v>
      </c>
      <c r="AA164" s="239">
        <v>-204991</v>
      </c>
      <c r="AB164" s="239">
        <v>-140930</v>
      </c>
      <c r="AC164" s="239">
        <v>0</v>
      </c>
      <c r="AD164" s="239">
        <v>-140930</v>
      </c>
      <c r="AE164" s="239">
        <v>-587</v>
      </c>
      <c r="AF164" s="239">
        <v>0</v>
      </c>
      <c r="AG164" s="239">
        <v>-587</v>
      </c>
      <c r="AH164" s="239">
        <v>418445</v>
      </c>
      <c r="AI164" s="239">
        <v>0</v>
      </c>
      <c r="AJ164" s="239">
        <v>418445</v>
      </c>
      <c r="AK164" s="239">
        <v>11437</v>
      </c>
      <c r="AL164" s="239">
        <v>0</v>
      </c>
      <c r="AM164" s="239">
        <v>11437</v>
      </c>
      <c r="AN164" s="239">
        <v>-1786657</v>
      </c>
      <c r="AO164" s="239">
        <v>0</v>
      </c>
      <c r="AP164" s="239">
        <v>-1786657</v>
      </c>
      <c r="AQ164" s="239">
        <v>-26207</v>
      </c>
      <c r="AR164" s="239">
        <v>0</v>
      </c>
      <c r="AS164" s="239">
        <v>-26207</v>
      </c>
      <c r="AT164" s="239">
        <v>-149955</v>
      </c>
      <c r="AU164" s="239">
        <v>0</v>
      </c>
      <c r="AV164" s="239">
        <v>-149955</v>
      </c>
      <c r="AW164" s="239">
        <v>0</v>
      </c>
      <c r="AX164" s="239">
        <v>0</v>
      </c>
      <c r="AY164" s="239">
        <v>0</v>
      </c>
      <c r="AZ164" s="239">
        <v>-57526</v>
      </c>
      <c r="BA164" s="239">
        <v>0</v>
      </c>
      <c r="BB164" s="239">
        <v>-57526</v>
      </c>
      <c r="BC164" s="239">
        <v>0</v>
      </c>
      <c r="BD164" s="239">
        <v>0</v>
      </c>
      <c r="BE164" s="239">
        <v>0</v>
      </c>
      <c r="BF164" s="239">
        <v>-4031070</v>
      </c>
      <c r="BG164" s="239">
        <v>0</v>
      </c>
      <c r="BH164" s="239">
        <v>-4031070</v>
      </c>
      <c r="BI164" s="239">
        <v>-1089</v>
      </c>
      <c r="BJ164" s="239">
        <v>0</v>
      </c>
      <c r="BK164" s="239">
        <v>-1089</v>
      </c>
      <c r="BL164" s="239">
        <v>0</v>
      </c>
      <c r="BM164" s="239">
        <v>0</v>
      </c>
      <c r="BN164" s="239">
        <v>0</v>
      </c>
      <c r="BO164" s="239">
        <v>-480369</v>
      </c>
      <c r="BP164" s="239">
        <v>0</v>
      </c>
      <c r="BQ164" s="239">
        <v>-480369</v>
      </c>
      <c r="BR164" s="239">
        <v>-27607</v>
      </c>
      <c r="BS164" s="239">
        <v>0</v>
      </c>
      <c r="BT164" s="239">
        <v>-27607</v>
      </c>
      <c r="BU164" s="239">
        <v>-509065</v>
      </c>
      <c r="BV164" s="239">
        <v>0</v>
      </c>
      <c r="BW164" s="239">
        <v>-509065</v>
      </c>
      <c r="BX164" s="239">
        <v>-84253</v>
      </c>
      <c r="BY164" s="239">
        <v>0</v>
      </c>
      <c r="BZ164" s="239">
        <v>-84253</v>
      </c>
      <c r="CA164" s="239">
        <v>2933</v>
      </c>
      <c r="CB164" s="239">
        <v>0</v>
      </c>
      <c r="CC164" s="239">
        <v>2933</v>
      </c>
      <c r="CD164" s="239">
        <v>-58694</v>
      </c>
      <c r="CE164" s="239">
        <v>0</v>
      </c>
      <c r="CF164" s="239">
        <v>-58694</v>
      </c>
      <c r="CG164" s="239">
        <v>-461</v>
      </c>
      <c r="CH164" s="239">
        <v>0</v>
      </c>
      <c r="CI164" s="239">
        <v>-461</v>
      </c>
      <c r="CJ164" s="239">
        <v>-37400</v>
      </c>
      <c r="CK164" s="239">
        <v>0</v>
      </c>
      <c r="CL164" s="239">
        <v>-37400</v>
      </c>
      <c r="CM164" s="239">
        <v>0</v>
      </c>
      <c r="CN164" s="239">
        <v>0</v>
      </c>
      <c r="CO164" s="239">
        <v>0</v>
      </c>
      <c r="CP164" s="239">
        <v>-34110</v>
      </c>
      <c r="CQ164" s="239">
        <v>0</v>
      </c>
      <c r="CR164" s="239">
        <v>-34110</v>
      </c>
      <c r="CS164" s="239">
        <v>0</v>
      </c>
      <c r="CT164" s="239">
        <v>0</v>
      </c>
      <c r="CU164" s="239">
        <v>0</v>
      </c>
      <c r="CV164" s="239">
        <v>-33800</v>
      </c>
      <c r="CW164" s="239">
        <v>0</v>
      </c>
      <c r="CX164" s="239">
        <v>-33800</v>
      </c>
      <c r="CY164" s="239">
        <v>0</v>
      </c>
      <c r="CZ164" s="239">
        <v>0</v>
      </c>
      <c r="DA164" s="239">
        <v>0</v>
      </c>
      <c r="DB164" s="239">
        <v>0</v>
      </c>
      <c r="DC164" s="239">
        <v>0</v>
      </c>
      <c r="DD164" s="239">
        <v>0</v>
      </c>
      <c r="DE164" s="239">
        <v>0</v>
      </c>
      <c r="DF164" s="239">
        <v>0</v>
      </c>
      <c r="DG164" s="239">
        <v>0</v>
      </c>
      <c r="DH164" s="239">
        <v>0</v>
      </c>
      <c r="DI164" s="239">
        <v>0</v>
      </c>
      <c r="DJ164" s="239">
        <v>-245785</v>
      </c>
      <c r="DK164" s="239">
        <v>0</v>
      </c>
      <c r="DL164" s="239">
        <v>-245785</v>
      </c>
      <c r="DM164" s="239">
        <v>-9625</v>
      </c>
      <c r="DN164" s="239">
        <v>0</v>
      </c>
      <c r="DO164" s="239">
        <v>-9625</v>
      </c>
      <c r="DP164" s="239">
        <v>0</v>
      </c>
      <c r="DQ164" s="239">
        <v>0</v>
      </c>
      <c r="DR164" s="239">
        <v>0</v>
      </c>
      <c r="DS164" s="239">
        <v>-1642</v>
      </c>
      <c r="DT164" s="239">
        <v>0</v>
      </c>
      <c r="DU164" s="239">
        <v>-1642</v>
      </c>
      <c r="DV164" s="239">
        <v>0</v>
      </c>
      <c r="DW164" s="239">
        <v>0</v>
      </c>
      <c r="DX164" s="239">
        <v>0</v>
      </c>
      <c r="DY164" s="239">
        <v>0</v>
      </c>
      <c r="DZ164" s="239">
        <v>0</v>
      </c>
      <c r="EA164" s="239">
        <v>0</v>
      </c>
      <c r="EB164" s="239">
        <v>18960</v>
      </c>
      <c r="EC164" s="239">
        <v>0</v>
      </c>
      <c r="ED164" s="239">
        <v>18960</v>
      </c>
      <c r="EE164" s="239">
        <v>0</v>
      </c>
      <c r="EF164" s="239">
        <v>0</v>
      </c>
      <c r="EG164" s="239">
        <v>0</v>
      </c>
      <c r="EH164" s="239">
        <v>0</v>
      </c>
      <c r="EI164" s="239">
        <v>0</v>
      </c>
      <c r="EJ164" s="239">
        <v>0</v>
      </c>
      <c r="EK164" s="239">
        <v>-1173</v>
      </c>
      <c r="EL164" s="239">
        <v>0</v>
      </c>
      <c r="EM164" s="239">
        <v>-1173</v>
      </c>
      <c r="EN164" s="239">
        <v>0</v>
      </c>
      <c r="EO164" s="239">
        <v>0</v>
      </c>
      <c r="EP164" s="239">
        <v>0</v>
      </c>
      <c r="EQ164" s="239">
        <v>6520</v>
      </c>
      <c r="ER164" s="239">
        <v>0</v>
      </c>
      <c r="ES164" s="239">
        <v>6520</v>
      </c>
      <c r="ET164" s="239">
        <v>0</v>
      </c>
      <c r="EU164" s="239">
        <v>0</v>
      </c>
      <c r="EV164" s="239">
        <v>0</v>
      </c>
      <c r="EW164" s="239">
        <v>0</v>
      </c>
      <c r="EX164" s="239">
        <v>0</v>
      </c>
      <c r="EY164" s="239">
        <v>0</v>
      </c>
      <c r="EZ164" s="239">
        <v>0</v>
      </c>
      <c r="FA164" s="239">
        <v>0</v>
      </c>
      <c r="FB164" s="239">
        <v>0</v>
      </c>
      <c r="FC164" s="239">
        <v>21354477</v>
      </c>
      <c r="FD164" s="239">
        <v>0</v>
      </c>
      <c r="FE164" s="239">
        <v>21354477</v>
      </c>
      <c r="FF164" s="239">
        <v>-22412</v>
      </c>
      <c r="FG164" s="239">
        <v>0</v>
      </c>
      <c r="FH164" s="239">
        <v>-22412</v>
      </c>
      <c r="FI164" s="239">
        <v>-4031070</v>
      </c>
      <c r="FJ164" s="239">
        <v>0</v>
      </c>
      <c r="FK164" s="239">
        <v>-4031070</v>
      </c>
      <c r="FL164" s="239">
        <v>-509065</v>
      </c>
      <c r="FM164" s="239">
        <v>0</v>
      </c>
      <c r="FN164" s="239">
        <v>-509065</v>
      </c>
      <c r="FO164" s="239">
        <v>-245785</v>
      </c>
      <c r="FP164" s="239">
        <v>0</v>
      </c>
      <c r="FQ164" s="239">
        <v>-245785</v>
      </c>
      <c r="FR164" s="239">
        <v>6520</v>
      </c>
      <c r="FS164" s="239">
        <v>0</v>
      </c>
      <c r="FT164" s="239">
        <v>6520</v>
      </c>
      <c r="FU164" s="239">
        <v>0</v>
      </c>
      <c r="FV164" s="239">
        <v>0</v>
      </c>
      <c r="FW164" s="239">
        <v>0</v>
      </c>
      <c r="FX164" s="239">
        <v>-4801812</v>
      </c>
      <c r="FY164" s="239">
        <v>0</v>
      </c>
      <c r="FZ164" s="239">
        <v>-4801812</v>
      </c>
      <c r="GA164" s="239">
        <v>16552665</v>
      </c>
      <c r="GB164" s="239">
        <v>0</v>
      </c>
      <c r="GC164" s="239">
        <v>16552665</v>
      </c>
      <c r="GD164" s="214" t="s">
        <v>1190</v>
      </c>
    </row>
    <row r="165" spans="1:186" s="214" customFormat="1" x14ac:dyDescent="0.2">
      <c r="B165" s="609" t="s">
        <v>412</v>
      </c>
      <c r="C165" s="609" t="s">
        <v>411</v>
      </c>
      <c r="D165" s="239">
        <v>0</v>
      </c>
      <c r="E165" s="239">
        <v>0</v>
      </c>
      <c r="F165" s="239">
        <v>0</v>
      </c>
      <c r="G165" s="239">
        <v>863820</v>
      </c>
      <c r="H165" s="239">
        <v>334528</v>
      </c>
      <c r="I165" s="239">
        <v>1198348</v>
      </c>
      <c r="J165" s="239">
        <v>0</v>
      </c>
      <c r="K165" s="239">
        <v>0</v>
      </c>
      <c r="L165" s="239">
        <v>0</v>
      </c>
      <c r="M165" s="239">
        <v>783153</v>
      </c>
      <c r="N165" s="239">
        <v>271</v>
      </c>
      <c r="O165" s="239">
        <v>783424</v>
      </c>
      <c r="P165" s="239">
        <v>1646973</v>
      </c>
      <c r="Q165" s="239">
        <v>334799</v>
      </c>
      <c r="R165" s="239">
        <v>1981772</v>
      </c>
      <c r="S165" s="239">
        <v>-11523013</v>
      </c>
      <c r="T165" s="239">
        <v>-108775</v>
      </c>
      <c r="U165" s="239">
        <v>-11631788</v>
      </c>
      <c r="V165" s="239">
        <v>0</v>
      </c>
      <c r="W165" s="239">
        <v>0</v>
      </c>
      <c r="X165" s="239">
        <v>0</v>
      </c>
      <c r="Y165" s="239">
        <v>-520035</v>
      </c>
      <c r="Z165" s="239">
        <v>-22841</v>
      </c>
      <c r="AA165" s="239">
        <v>-542876</v>
      </c>
      <c r="AB165" s="239">
        <v>-520035</v>
      </c>
      <c r="AC165" s="239">
        <v>-22841</v>
      </c>
      <c r="AD165" s="239">
        <v>-542876</v>
      </c>
      <c r="AE165" s="239">
        <v>0</v>
      </c>
      <c r="AF165" s="239">
        <v>0</v>
      </c>
      <c r="AG165" s="239">
        <v>0</v>
      </c>
      <c r="AH165" s="239">
        <v>9683826</v>
      </c>
      <c r="AI165" s="239">
        <v>250271</v>
      </c>
      <c r="AJ165" s="239">
        <v>9934097</v>
      </c>
      <c r="AK165" s="239">
        <v>-48688</v>
      </c>
      <c r="AL165" s="239">
        <v>-101508</v>
      </c>
      <c r="AM165" s="239">
        <v>-150196</v>
      </c>
      <c r="AN165" s="239">
        <v>-24460534</v>
      </c>
      <c r="AO165" s="239">
        <v>-426823</v>
      </c>
      <c r="AP165" s="239">
        <v>-24887357</v>
      </c>
      <c r="AQ165" s="239">
        <v>-1296130</v>
      </c>
      <c r="AR165" s="239">
        <v>-70978</v>
      </c>
      <c r="AS165" s="239">
        <v>-1367108</v>
      </c>
      <c r="AT165" s="239">
        <v>-82924</v>
      </c>
      <c r="AU165" s="239">
        <v>0</v>
      </c>
      <c r="AV165" s="239">
        <v>-82924</v>
      </c>
      <c r="AW165" s="239">
        <v>-21889</v>
      </c>
      <c r="AX165" s="239">
        <v>0</v>
      </c>
      <c r="AY165" s="239">
        <v>-21889</v>
      </c>
      <c r="AZ165" s="239">
        <v>0</v>
      </c>
      <c r="BA165" s="239">
        <v>0</v>
      </c>
      <c r="BB165" s="239">
        <v>0</v>
      </c>
      <c r="BC165" s="239">
        <v>0</v>
      </c>
      <c r="BD165" s="239">
        <v>0</v>
      </c>
      <c r="BE165" s="239">
        <v>0</v>
      </c>
      <c r="BF165" s="239">
        <v>-28269387</v>
      </c>
      <c r="BG165" s="239">
        <v>-480654</v>
      </c>
      <c r="BH165" s="239">
        <v>-28750041</v>
      </c>
      <c r="BI165" s="239">
        <v>0</v>
      </c>
      <c r="BJ165" s="239">
        <v>0</v>
      </c>
      <c r="BK165" s="239">
        <v>0</v>
      </c>
      <c r="BL165" s="239">
        <v>55713</v>
      </c>
      <c r="BM165" s="239">
        <v>0</v>
      </c>
      <c r="BN165" s="239">
        <v>55713</v>
      </c>
      <c r="BO165" s="239">
        <v>-24132439</v>
      </c>
      <c r="BP165" s="239">
        <v>-368160</v>
      </c>
      <c r="BQ165" s="239">
        <v>-24500599</v>
      </c>
      <c r="BR165" s="239">
        <v>-1465468</v>
      </c>
      <c r="BS165" s="239">
        <v>57742</v>
      </c>
      <c r="BT165" s="239">
        <v>-1407726</v>
      </c>
      <c r="BU165" s="239">
        <v>-25542194</v>
      </c>
      <c r="BV165" s="239">
        <v>-310418</v>
      </c>
      <c r="BW165" s="239">
        <v>-25852612</v>
      </c>
      <c r="BX165" s="239">
        <v>-507615</v>
      </c>
      <c r="BY165" s="239">
        <v>0</v>
      </c>
      <c r="BZ165" s="239">
        <v>-507615</v>
      </c>
      <c r="CA165" s="239">
        <v>-109305</v>
      </c>
      <c r="CB165" s="239">
        <v>0</v>
      </c>
      <c r="CC165" s="239">
        <v>-109305</v>
      </c>
      <c r="CD165" s="239">
        <v>-3286305</v>
      </c>
      <c r="CE165" s="239">
        <v>0</v>
      </c>
      <c r="CF165" s="239">
        <v>-3286305</v>
      </c>
      <c r="CG165" s="239">
        <v>-2541356</v>
      </c>
      <c r="CH165" s="239">
        <v>0</v>
      </c>
      <c r="CI165" s="239">
        <v>-2541356</v>
      </c>
      <c r="CJ165" s="239">
        <v>0</v>
      </c>
      <c r="CK165" s="239">
        <v>0</v>
      </c>
      <c r="CL165" s="239">
        <v>0</v>
      </c>
      <c r="CM165" s="239">
        <v>0</v>
      </c>
      <c r="CN165" s="239">
        <v>0</v>
      </c>
      <c r="CO165" s="239">
        <v>0</v>
      </c>
      <c r="CP165" s="239">
        <v>0</v>
      </c>
      <c r="CQ165" s="239">
        <v>0</v>
      </c>
      <c r="CR165" s="239">
        <v>0</v>
      </c>
      <c r="CS165" s="239">
        <v>0</v>
      </c>
      <c r="CT165" s="239">
        <v>0</v>
      </c>
      <c r="CU165" s="239">
        <v>0</v>
      </c>
      <c r="CV165" s="239">
        <v>0</v>
      </c>
      <c r="CW165" s="239">
        <v>0</v>
      </c>
      <c r="CX165" s="239">
        <v>0</v>
      </c>
      <c r="CY165" s="239">
        <v>0</v>
      </c>
      <c r="CZ165" s="239">
        <v>0</v>
      </c>
      <c r="DA165" s="239">
        <v>0</v>
      </c>
      <c r="DB165" s="239">
        <v>0</v>
      </c>
      <c r="DC165" s="239">
        <v>-952794</v>
      </c>
      <c r="DD165" s="239">
        <v>-952794</v>
      </c>
      <c r="DE165" s="239">
        <v>-370</v>
      </c>
      <c r="DF165" s="239">
        <v>-247347</v>
      </c>
      <c r="DG165" s="239">
        <v>-247717</v>
      </c>
      <c r="DH165" s="239">
        <v>-1200141</v>
      </c>
      <c r="DI165" s="239">
        <v>0</v>
      </c>
      <c r="DJ165" s="239">
        <v>-6444951</v>
      </c>
      <c r="DK165" s="239">
        <v>-1200141</v>
      </c>
      <c r="DL165" s="239">
        <v>-7645092</v>
      </c>
      <c r="DM165" s="239">
        <v>-57312</v>
      </c>
      <c r="DN165" s="239">
        <v>0</v>
      </c>
      <c r="DO165" s="239">
        <v>-57312</v>
      </c>
      <c r="DP165" s="239">
        <v>-13807</v>
      </c>
      <c r="DQ165" s="239">
        <v>0</v>
      </c>
      <c r="DR165" s="239">
        <v>-13807</v>
      </c>
      <c r="DS165" s="239">
        <v>-273292</v>
      </c>
      <c r="DT165" s="239">
        <v>0</v>
      </c>
      <c r="DU165" s="239">
        <v>-273292</v>
      </c>
      <c r="DV165" s="239">
        <v>-68294</v>
      </c>
      <c r="DW165" s="239">
        <v>0</v>
      </c>
      <c r="DX165" s="239">
        <v>-68294</v>
      </c>
      <c r="DY165" s="239">
        <v>0</v>
      </c>
      <c r="DZ165" s="239">
        <v>0</v>
      </c>
      <c r="EA165" s="239">
        <v>0</v>
      </c>
      <c r="EB165" s="239">
        <v>-193661</v>
      </c>
      <c r="EC165" s="239">
        <v>0</v>
      </c>
      <c r="ED165" s="239">
        <v>-193661</v>
      </c>
      <c r="EE165" s="239">
        <v>0</v>
      </c>
      <c r="EF165" s="239">
        <v>0</v>
      </c>
      <c r="EG165" s="239">
        <v>0</v>
      </c>
      <c r="EH165" s="239">
        <v>0</v>
      </c>
      <c r="EI165" s="239">
        <v>0</v>
      </c>
      <c r="EJ165" s="239">
        <v>0</v>
      </c>
      <c r="EK165" s="239">
        <v>-22981</v>
      </c>
      <c r="EL165" s="239">
        <v>0</v>
      </c>
      <c r="EM165" s="239">
        <v>-22981</v>
      </c>
      <c r="EN165" s="239">
        <v>2210</v>
      </c>
      <c r="EO165" s="239">
        <v>0</v>
      </c>
      <c r="EP165" s="239">
        <v>2210</v>
      </c>
      <c r="EQ165" s="239">
        <v>-627137</v>
      </c>
      <c r="ER165" s="239">
        <v>0</v>
      </c>
      <c r="ES165" s="239">
        <v>-627137</v>
      </c>
      <c r="ET165" s="239">
        <v>-5951</v>
      </c>
      <c r="EU165" s="239">
        <v>0</v>
      </c>
      <c r="EV165" s="239">
        <v>-5951</v>
      </c>
      <c r="EW165" s="239">
        <v>-3051</v>
      </c>
      <c r="EX165" s="239">
        <v>0</v>
      </c>
      <c r="EY165" s="239">
        <v>-3051</v>
      </c>
      <c r="EZ165" s="239">
        <v>-9002</v>
      </c>
      <c r="FA165" s="239">
        <v>0</v>
      </c>
      <c r="FB165" s="239">
        <v>-9002</v>
      </c>
      <c r="FC165" s="239">
        <v>390040434</v>
      </c>
      <c r="FD165" s="239">
        <v>13220804</v>
      </c>
      <c r="FE165" s="239">
        <v>403261238</v>
      </c>
      <c r="FF165" s="239">
        <v>1646973</v>
      </c>
      <c r="FG165" s="239">
        <v>334799</v>
      </c>
      <c r="FH165" s="239">
        <v>1981772</v>
      </c>
      <c r="FI165" s="239">
        <v>-28269387</v>
      </c>
      <c r="FJ165" s="239">
        <v>-480654</v>
      </c>
      <c r="FK165" s="239">
        <v>-28750041</v>
      </c>
      <c r="FL165" s="239">
        <v>-25542194</v>
      </c>
      <c r="FM165" s="239">
        <v>-310418</v>
      </c>
      <c r="FN165" s="239">
        <v>-25852612</v>
      </c>
      <c r="FO165" s="239">
        <v>-6444951</v>
      </c>
      <c r="FP165" s="239">
        <v>-1200141</v>
      </c>
      <c r="FQ165" s="239">
        <v>-7645092</v>
      </c>
      <c r="FR165" s="239">
        <v>-627137</v>
      </c>
      <c r="FS165" s="239">
        <v>0</v>
      </c>
      <c r="FT165" s="239">
        <v>-627137</v>
      </c>
      <c r="FU165" s="239">
        <v>-9002</v>
      </c>
      <c r="FV165" s="239">
        <v>0</v>
      </c>
      <c r="FW165" s="239">
        <v>-9002</v>
      </c>
      <c r="FX165" s="239">
        <v>-59245698</v>
      </c>
      <c r="FY165" s="239">
        <v>-1656414</v>
      </c>
      <c r="FZ165" s="239">
        <v>-60902112</v>
      </c>
      <c r="GA165" s="239">
        <v>330794736</v>
      </c>
      <c r="GB165" s="239">
        <v>11564390</v>
      </c>
      <c r="GC165" s="239">
        <v>342359126</v>
      </c>
      <c r="GD165" s="214" t="s">
        <v>1192</v>
      </c>
    </row>
    <row r="166" spans="1:186" s="214" customFormat="1" x14ac:dyDescent="0.2">
      <c r="B166" s="609" t="s">
        <v>414</v>
      </c>
      <c r="C166" s="609" t="s">
        <v>413</v>
      </c>
      <c r="D166" s="239">
        <v>0</v>
      </c>
      <c r="E166" s="239">
        <v>0</v>
      </c>
      <c r="F166" s="239">
        <v>0</v>
      </c>
      <c r="G166" s="239">
        <v>10302</v>
      </c>
      <c r="H166" s="239">
        <v>0</v>
      </c>
      <c r="I166" s="239">
        <v>10302</v>
      </c>
      <c r="J166" s="239">
        <v>0</v>
      </c>
      <c r="K166" s="239">
        <v>0</v>
      </c>
      <c r="L166" s="239">
        <v>0</v>
      </c>
      <c r="M166" s="239">
        <v>5158</v>
      </c>
      <c r="N166" s="239">
        <v>0</v>
      </c>
      <c r="O166" s="239">
        <v>5158</v>
      </c>
      <c r="P166" s="239">
        <v>15460</v>
      </c>
      <c r="Q166" s="239">
        <v>0</v>
      </c>
      <c r="R166" s="239">
        <v>15460</v>
      </c>
      <c r="S166" s="239">
        <v>-1981323</v>
      </c>
      <c r="T166" s="239">
        <v>0</v>
      </c>
      <c r="U166" s="239">
        <v>-1981323</v>
      </c>
      <c r="V166" s="239">
        <v>-12058</v>
      </c>
      <c r="W166" s="239">
        <v>0</v>
      </c>
      <c r="X166" s="239">
        <v>-12058</v>
      </c>
      <c r="Y166" s="239">
        <v>-83004</v>
      </c>
      <c r="Z166" s="239">
        <v>0</v>
      </c>
      <c r="AA166" s="239">
        <v>-83004</v>
      </c>
      <c r="AB166" s="239">
        <v>-60927</v>
      </c>
      <c r="AC166" s="239">
        <v>0</v>
      </c>
      <c r="AD166" s="239">
        <v>-60927</v>
      </c>
      <c r="AE166" s="239">
        <v>-1319</v>
      </c>
      <c r="AF166" s="239">
        <v>0</v>
      </c>
      <c r="AG166" s="239">
        <v>-1319</v>
      </c>
      <c r="AH166" s="239">
        <v>787907</v>
      </c>
      <c r="AI166" s="239">
        <v>0</v>
      </c>
      <c r="AJ166" s="239">
        <v>787907</v>
      </c>
      <c r="AK166" s="239">
        <v>16420</v>
      </c>
      <c r="AL166" s="239">
        <v>0</v>
      </c>
      <c r="AM166" s="239">
        <v>16420</v>
      </c>
      <c r="AN166" s="239">
        <v>-2222961</v>
      </c>
      <c r="AO166" s="239">
        <v>0</v>
      </c>
      <c r="AP166" s="239">
        <v>-2222961</v>
      </c>
      <c r="AQ166" s="239">
        <v>-37302</v>
      </c>
      <c r="AR166" s="239">
        <v>0</v>
      </c>
      <c r="AS166" s="239">
        <v>-37302</v>
      </c>
      <c r="AT166" s="239">
        <v>-13817</v>
      </c>
      <c r="AU166" s="239">
        <v>0</v>
      </c>
      <c r="AV166" s="239">
        <v>-13817</v>
      </c>
      <c r="AW166" s="239">
        <v>0</v>
      </c>
      <c r="AX166" s="239">
        <v>0</v>
      </c>
      <c r="AY166" s="239">
        <v>0</v>
      </c>
      <c r="AZ166" s="239">
        <v>0</v>
      </c>
      <c r="BA166" s="239">
        <v>0</v>
      </c>
      <c r="BB166" s="239">
        <v>0</v>
      </c>
      <c r="BC166" s="239">
        <v>0</v>
      </c>
      <c r="BD166" s="239">
        <v>0</v>
      </c>
      <c r="BE166" s="239">
        <v>0</v>
      </c>
      <c r="BF166" s="239">
        <v>-3534080</v>
      </c>
      <c r="BG166" s="239">
        <v>0</v>
      </c>
      <c r="BH166" s="239">
        <v>-3534080</v>
      </c>
      <c r="BI166" s="239">
        <v>-1814</v>
      </c>
      <c r="BJ166" s="239">
        <v>0</v>
      </c>
      <c r="BK166" s="239">
        <v>-1814</v>
      </c>
      <c r="BL166" s="239">
        <v>-3057</v>
      </c>
      <c r="BM166" s="239">
        <v>0</v>
      </c>
      <c r="BN166" s="239">
        <v>-3057</v>
      </c>
      <c r="BO166" s="239">
        <v>-976564</v>
      </c>
      <c r="BP166" s="239">
        <v>0</v>
      </c>
      <c r="BQ166" s="239">
        <v>-976564</v>
      </c>
      <c r="BR166" s="239">
        <v>-45487</v>
      </c>
      <c r="BS166" s="239">
        <v>0</v>
      </c>
      <c r="BT166" s="239">
        <v>-45487</v>
      </c>
      <c r="BU166" s="239">
        <v>-1026922</v>
      </c>
      <c r="BV166" s="239">
        <v>0</v>
      </c>
      <c r="BW166" s="239">
        <v>-1026922</v>
      </c>
      <c r="BX166" s="239">
        <v>-12430</v>
      </c>
      <c r="BY166" s="239">
        <v>0</v>
      </c>
      <c r="BZ166" s="239">
        <v>-12430</v>
      </c>
      <c r="CA166" s="239">
        <v>0</v>
      </c>
      <c r="CB166" s="239">
        <v>0</v>
      </c>
      <c r="CC166" s="239">
        <v>0</v>
      </c>
      <c r="CD166" s="239">
        <v>-117359</v>
      </c>
      <c r="CE166" s="239">
        <v>0</v>
      </c>
      <c r="CF166" s="239">
        <v>-117359</v>
      </c>
      <c r="CG166" s="239">
        <v>-311</v>
      </c>
      <c r="CH166" s="239">
        <v>0</v>
      </c>
      <c r="CI166" s="239">
        <v>-311</v>
      </c>
      <c r="CJ166" s="239">
        <v>0</v>
      </c>
      <c r="CK166" s="239">
        <v>0</v>
      </c>
      <c r="CL166" s="239">
        <v>0</v>
      </c>
      <c r="CM166" s="239">
        <v>0</v>
      </c>
      <c r="CN166" s="239">
        <v>0</v>
      </c>
      <c r="CO166" s="239">
        <v>0</v>
      </c>
      <c r="CP166" s="239">
        <v>0</v>
      </c>
      <c r="CQ166" s="239">
        <v>0</v>
      </c>
      <c r="CR166" s="239">
        <v>0</v>
      </c>
      <c r="CS166" s="239">
        <v>0</v>
      </c>
      <c r="CT166" s="239">
        <v>0</v>
      </c>
      <c r="CU166" s="239">
        <v>0</v>
      </c>
      <c r="CV166" s="239">
        <v>0</v>
      </c>
      <c r="CW166" s="239">
        <v>0</v>
      </c>
      <c r="CX166" s="239">
        <v>0</v>
      </c>
      <c r="CY166" s="239">
        <v>0</v>
      </c>
      <c r="CZ166" s="239">
        <v>0</v>
      </c>
      <c r="DA166" s="239">
        <v>0</v>
      </c>
      <c r="DB166" s="239">
        <v>0</v>
      </c>
      <c r="DC166" s="239">
        <v>0</v>
      </c>
      <c r="DD166" s="239">
        <v>0</v>
      </c>
      <c r="DE166" s="239">
        <v>0</v>
      </c>
      <c r="DF166" s="239">
        <v>0</v>
      </c>
      <c r="DG166" s="239">
        <v>0</v>
      </c>
      <c r="DH166" s="239">
        <v>0</v>
      </c>
      <c r="DI166" s="239">
        <v>0</v>
      </c>
      <c r="DJ166" s="239">
        <v>-130100</v>
      </c>
      <c r="DK166" s="239">
        <v>0</v>
      </c>
      <c r="DL166" s="239">
        <v>-130100</v>
      </c>
      <c r="DM166" s="239">
        <v>-26586</v>
      </c>
      <c r="DN166" s="239">
        <v>0</v>
      </c>
      <c r="DO166" s="239">
        <v>-26586</v>
      </c>
      <c r="DP166" s="239">
        <v>-5139</v>
      </c>
      <c r="DQ166" s="239">
        <v>0</v>
      </c>
      <c r="DR166" s="239">
        <v>-5139</v>
      </c>
      <c r="DS166" s="239">
        <v>-19423</v>
      </c>
      <c r="DT166" s="239">
        <v>0</v>
      </c>
      <c r="DU166" s="239">
        <v>-19423</v>
      </c>
      <c r="DV166" s="239">
        <v>-160</v>
      </c>
      <c r="DW166" s="239">
        <v>0</v>
      </c>
      <c r="DX166" s="239">
        <v>-160</v>
      </c>
      <c r="DY166" s="239">
        <v>0</v>
      </c>
      <c r="DZ166" s="239">
        <v>0</v>
      </c>
      <c r="EA166" s="239">
        <v>0</v>
      </c>
      <c r="EB166" s="239">
        <v>2898</v>
      </c>
      <c r="EC166" s="239">
        <v>0</v>
      </c>
      <c r="ED166" s="239">
        <v>2898</v>
      </c>
      <c r="EE166" s="239">
        <v>0</v>
      </c>
      <c r="EF166" s="239">
        <v>0</v>
      </c>
      <c r="EG166" s="239">
        <v>0</v>
      </c>
      <c r="EH166" s="239">
        <v>0</v>
      </c>
      <c r="EI166" s="239">
        <v>0</v>
      </c>
      <c r="EJ166" s="239">
        <v>0</v>
      </c>
      <c r="EK166" s="239">
        <v>0</v>
      </c>
      <c r="EL166" s="239">
        <v>0</v>
      </c>
      <c r="EM166" s="239">
        <v>0</v>
      </c>
      <c r="EN166" s="239">
        <v>0</v>
      </c>
      <c r="EO166" s="239">
        <v>0</v>
      </c>
      <c r="EP166" s="239">
        <v>0</v>
      </c>
      <c r="EQ166" s="239">
        <v>-48410</v>
      </c>
      <c r="ER166" s="239">
        <v>0</v>
      </c>
      <c r="ES166" s="239">
        <v>-48410</v>
      </c>
      <c r="ET166" s="239">
        <v>-8722</v>
      </c>
      <c r="EU166" s="239">
        <v>0</v>
      </c>
      <c r="EV166" s="239">
        <v>-8722</v>
      </c>
      <c r="EW166" s="239">
        <v>0</v>
      </c>
      <c r="EX166" s="239">
        <v>0</v>
      </c>
      <c r="EY166" s="239">
        <v>0</v>
      </c>
      <c r="EZ166" s="239">
        <v>-8722</v>
      </c>
      <c r="FA166" s="239">
        <v>0</v>
      </c>
      <c r="FB166" s="239">
        <v>-8722</v>
      </c>
      <c r="FC166" s="239">
        <v>34333443</v>
      </c>
      <c r="FD166" s="239">
        <v>0</v>
      </c>
      <c r="FE166" s="239">
        <v>34333443</v>
      </c>
      <c r="FF166" s="239">
        <v>15460</v>
      </c>
      <c r="FG166" s="239">
        <v>0</v>
      </c>
      <c r="FH166" s="239">
        <v>15460</v>
      </c>
      <c r="FI166" s="239">
        <v>-3534080</v>
      </c>
      <c r="FJ166" s="239">
        <v>0</v>
      </c>
      <c r="FK166" s="239">
        <v>-3534080</v>
      </c>
      <c r="FL166" s="239">
        <v>-1026922</v>
      </c>
      <c r="FM166" s="239">
        <v>0</v>
      </c>
      <c r="FN166" s="239">
        <v>-1026922</v>
      </c>
      <c r="FO166" s="239">
        <v>-130100</v>
      </c>
      <c r="FP166" s="239">
        <v>0</v>
      </c>
      <c r="FQ166" s="239">
        <v>-130100</v>
      </c>
      <c r="FR166" s="239">
        <v>-48410</v>
      </c>
      <c r="FS166" s="239">
        <v>0</v>
      </c>
      <c r="FT166" s="239">
        <v>-48410</v>
      </c>
      <c r="FU166" s="239">
        <v>-8722</v>
      </c>
      <c r="FV166" s="239">
        <v>0</v>
      </c>
      <c r="FW166" s="239">
        <v>-8722</v>
      </c>
      <c r="FX166" s="239">
        <v>-4732774</v>
      </c>
      <c r="FY166" s="239">
        <v>0</v>
      </c>
      <c r="FZ166" s="239">
        <v>-4732774</v>
      </c>
      <c r="GA166" s="239">
        <v>29600669</v>
      </c>
      <c r="GB166" s="239">
        <v>0</v>
      </c>
      <c r="GC166" s="239">
        <v>29600669</v>
      </c>
      <c r="GD166" s="214" t="s">
        <v>1190</v>
      </c>
    </row>
    <row r="167" spans="1:186" s="214" customFormat="1" x14ac:dyDescent="0.2">
      <c r="B167" s="609" t="s">
        <v>416</v>
      </c>
      <c r="C167" s="609" t="s">
        <v>415</v>
      </c>
      <c r="D167" s="239">
        <v>0</v>
      </c>
      <c r="E167" s="239">
        <v>0</v>
      </c>
      <c r="F167" s="239">
        <v>0</v>
      </c>
      <c r="G167" s="239">
        <v>774850</v>
      </c>
      <c r="H167" s="239">
        <v>0</v>
      </c>
      <c r="I167" s="239">
        <v>774850</v>
      </c>
      <c r="J167" s="239">
        <v>0</v>
      </c>
      <c r="K167" s="239">
        <v>0</v>
      </c>
      <c r="L167" s="239">
        <v>0</v>
      </c>
      <c r="M167" s="239">
        <v>47727</v>
      </c>
      <c r="N167" s="239">
        <v>0</v>
      </c>
      <c r="O167" s="239">
        <v>47727</v>
      </c>
      <c r="P167" s="239">
        <v>822577</v>
      </c>
      <c r="Q167" s="239">
        <v>0</v>
      </c>
      <c r="R167" s="239">
        <v>822577</v>
      </c>
      <c r="S167" s="239">
        <v>-4217313</v>
      </c>
      <c r="T167" s="239">
        <v>0</v>
      </c>
      <c r="U167" s="239">
        <v>-4217313</v>
      </c>
      <c r="V167" s="239">
        <v>-25932</v>
      </c>
      <c r="W167" s="239">
        <v>0</v>
      </c>
      <c r="X167" s="239">
        <v>-25932</v>
      </c>
      <c r="Y167" s="239">
        <v>-159376</v>
      </c>
      <c r="Z167" s="239">
        <v>0</v>
      </c>
      <c r="AA167" s="239">
        <v>-159376</v>
      </c>
      <c r="AB167" s="239">
        <v>-154467</v>
      </c>
      <c r="AC167" s="239">
        <v>0</v>
      </c>
      <c r="AD167" s="239">
        <v>-154467</v>
      </c>
      <c r="AE167" s="239">
        <v>-4909</v>
      </c>
      <c r="AF167" s="239">
        <v>0</v>
      </c>
      <c r="AG167" s="239">
        <v>-4909</v>
      </c>
      <c r="AH167" s="239">
        <v>2678604</v>
      </c>
      <c r="AI167" s="239">
        <v>0</v>
      </c>
      <c r="AJ167" s="239">
        <v>2678604</v>
      </c>
      <c r="AK167" s="239">
        <v>47731</v>
      </c>
      <c r="AL167" s="239">
        <v>0</v>
      </c>
      <c r="AM167" s="239">
        <v>47731</v>
      </c>
      <c r="AN167" s="239">
        <v>-8030478</v>
      </c>
      <c r="AO167" s="239">
        <v>0</v>
      </c>
      <c r="AP167" s="239">
        <v>-8030478</v>
      </c>
      <c r="AQ167" s="239">
        <v>-792669</v>
      </c>
      <c r="AR167" s="239">
        <v>0</v>
      </c>
      <c r="AS167" s="239">
        <v>-792669</v>
      </c>
      <c r="AT167" s="239">
        <v>-93436</v>
      </c>
      <c r="AU167" s="239">
        <v>0</v>
      </c>
      <c r="AV167" s="239">
        <v>-93436</v>
      </c>
      <c r="AW167" s="239">
        <v>0</v>
      </c>
      <c r="AX167" s="239">
        <v>0</v>
      </c>
      <c r="AY167" s="239">
        <v>0</v>
      </c>
      <c r="AZ167" s="239">
        <v>-3926</v>
      </c>
      <c r="BA167" s="239">
        <v>0</v>
      </c>
      <c r="BB167" s="239">
        <v>-3926</v>
      </c>
      <c r="BC167" s="239">
        <v>0</v>
      </c>
      <c r="BD167" s="239">
        <v>0</v>
      </c>
      <c r="BE167" s="239">
        <v>0</v>
      </c>
      <c r="BF167" s="239">
        <v>-10570863</v>
      </c>
      <c r="BG167" s="239">
        <v>0</v>
      </c>
      <c r="BH167" s="239">
        <v>-10570863</v>
      </c>
      <c r="BI167" s="239">
        <v>0</v>
      </c>
      <c r="BJ167" s="239">
        <v>0</v>
      </c>
      <c r="BK167" s="239">
        <v>0</v>
      </c>
      <c r="BL167" s="239">
        <v>0</v>
      </c>
      <c r="BM167" s="239">
        <v>0</v>
      </c>
      <c r="BN167" s="239">
        <v>0</v>
      </c>
      <c r="BO167" s="239">
        <v>-3141675</v>
      </c>
      <c r="BP167" s="239">
        <v>0</v>
      </c>
      <c r="BQ167" s="239">
        <v>-3141675</v>
      </c>
      <c r="BR167" s="239">
        <v>-76836</v>
      </c>
      <c r="BS167" s="239">
        <v>0</v>
      </c>
      <c r="BT167" s="239">
        <v>-76836</v>
      </c>
      <c r="BU167" s="239">
        <v>-3218511</v>
      </c>
      <c r="BV167" s="239">
        <v>0</v>
      </c>
      <c r="BW167" s="239">
        <v>-3218511</v>
      </c>
      <c r="BX167" s="239">
        <v>-408430</v>
      </c>
      <c r="BY167" s="239">
        <v>0</v>
      </c>
      <c r="BZ167" s="239">
        <v>-408430</v>
      </c>
      <c r="CA167" s="239">
        <v>-9934</v>
      </c>
      <c r="CB167" s="239">
        <v>0</v>
      </c>
      <c r="CC167" s="239">
        <v>-9934</v>
      </c>
      <c r="CD167" s="239">
        <v>-198381</v>
      </c>
      <c r="CE167" s="239">
        <v>0</v>
      </c>
      <c r="CF167" s="239">
        <v>-198381</v>
      </c>
      <c r="CG167" s="239">
        <v>-5590</v>
      </c>
      <c r="CH167" s="239">
        <v>0</v>
      </c>
      <c r="CI167" s="239">
        <v>-5590</v>
      </c>
      <c r="CJ167" s="239">
        <v>-23359</v>
      </c>
      <c r="CK167" s="239">
        <v>0</v>
      </c>
      <c r="CL167" s="239">
        <v>-23359</v>
      </c>
      <c r="CM167" s="239">
        <v>0</v>
      </c>
      <c r="CN167" s="239">
        <v>0</v>
      </c>
      <c r="CO167" s="239">
        <v>0</v>
      </c>
      <c r="CP167" s="239">
        <v>-2420</v>
      </c>
      <c r="CQ167" s="239">
        <v>0</v>
      </c>
      <c r="CR167" s="239">
        <v>-2420</v>
      </c>
      <c r="CS167" s="239">
        <v>0</v>
      </c>
      <c r="CT167" s="239">
        <v>0</v>
      </c>
      <c r="CU167" s="239">
        <v>0</v>
      </c>
      <c r="CV167" s="239">
        <v>0</v>
      </c>
      <c r="CW167" s="239">
        <v>0</v>
      </c>
      <c r="CX167" s="239">
        <v>0</v>
      </c>
      <c r="CY167" s="239">
        <v>0</v>
      </c>
      <c r="CZ167" s="239">
        <v>0</v>
      </c>
      <c r="DA167" s="239">
        <v>0</v>
      </c>
      <c r="DB167" s="239">
        <v>0</v>
      </c>
      <c r="DC167" s="239">
        <v>0</v>
      </c>
      <c r="DD167" s="239">
        <v>0</v>
      </c>
      <c r="DE167" s="239">
        <v>0</v>
      </c>
      <c r="DF167" s="239">
        <v>0</v>
      </c>
      <c r="DG167" s="239">
        <v>0</v>
      </c>
      <c r="DH167" s="239">
        <v>0</v>
      </c>
      <c r="DI167" s="239">
        <v>0</v>
      </c>
      <c r="DJ167" s="239">
        <v>-648114</v>
      </c>
      <c r="DK167" s="239">
        <v>0</v>
      </c>
      <c r="DL167" s="239">
        <v>-648114</v>
      </c>
      <c r="DM167" s="239">
        <v>-11209</v>
      </c>
      <c r="DN167" s="239">
        <v>0</v>
      </c>
      <c r="DO167" s="239">
        <v>-11209</v>
      </c>
      <c r="DP167" s="239">
        <v>73258</v>
      </c>
      <c r="DQ167" s="239">
        <v>0</v>
      </c>
      <c r="DR167" s="239">
        <v>73258</v>
      </c>
      <c r="DS167" s="239">
        <v>-23016</v>
      </c>
      <c r="DT167" s="239">
        <v>0</v>
      </c>
      <c r="DU167" s="239">
        <v>-23016</v>
      </c>
      <c r="DV167" s="239">
        <v>3949</v>
      </c>
      <c r="DW167" s="239">
        <v>0</v>
      </c>
      <c r="DX167" s="239">
        <v>3949</v>
      </c>
      <c r="DY167" s="239">
        <v>0</v>
      </c>
      <c r="DZ167" s="239">
        <v>0</v>
      </c>
      <c r="EA167" s="239">
        <v>0</v>
      </c>
      <c r="EB167" s="239">
        <v>-64312</v>
      </c>
      <c r="EC167" s="239">
        <v>0</v>
      </c>
      <c r="ED167" s="239">
        <v>-64312</v>
      </c>
      <c r="EE167" s="239">
        <v>0</v>
      </c>
      <c r="EF167" s="239">
        <v>0</v>
      </c>
      <c r="EG167" s="239">
        <v>0</v>
      </c>
      <c r="EH167" s="239">
        <v>0</v>
      </c>
      <c r="EI167" s="239">
        <v>0</v>
      </c>
      <c r="EJ167" s="239">
        <v>0</v>
      </c>
      <c r="EK167" s="239">
        <v>0</v>
      </c>
      <c r="EL167" s="239">
        <v>0</v>
      </c>
      <c r="EM167" s="239">
        <v>0</v>
      </c>
      <c r="EN167" s="239">
        <v>0</v>
      </c>
      <c r="EO167" s="239">
        <v>0</v>
      </c>
      <c r="EP167" s="239">
        <v>0</v>
      </c>
      <c r="EQ167" s="239">
        <v>-21330</v>
      </c>
      <c r="ER167" s="239">
        <v>0</v>
      </c>
      <c r="ES167" s="239">
        <v>-21330</v>
      </c>
      <c r="ET167" s="239">
        <v>0</v>
      </c>
      <c r="EU167" s="239">
        <v>0</v>
      </c>
      <c r="EV167" s="239">
        <v>0</v>
      </c>
      <c r="EW167" s="239">
        <v>0</v>
      </c>
      <c r="EX167" s="239">
        <v>0</v>
      </c>
      <c r="EY167" s="239">
        <v>0</v>
      </c>
      <c r="EZ167" s="239">
        <v>0</v>
      </c>
      <c r="FA167" s="239">
        <v>0</v>
      </c>
      <c r="FB167" s="239">
        <v>0</v>
      </c>
      <c r="FC167" s="239">
        <v>106295275</v>
      </c>
      <c r="FD167" s="239">
        <v>0</v>
      </c>
      <c r="FE167" s="239">
        <v>106295275</v>
      </c>
      <c r="FF167" s="239">
        <v>822577</v>
      </c>
      <c r="FG167" s="239">
        <v>0</v>
      </c>
      <c r="FH167" s="239">
        <v>822577</v>
      </c>
      <c r="FI167" s="239">
        <v>-10570863</v>
      </c>
      <c r="FJ167" s="239">
        <v>0</v>
      </c>
      <c r="FK167" s="239">
        <v>-10570863</v>
      </c>
      <c r="FL167" s="239">
        <v>-3218511</v>
      </c>
      <c r="FM167" s="239">
        <v>0</v>
      </c>
      <c r="FN167" s="239">
        <v>-3218511</v>
      </c>
      <c r="FO167" s="239">
        <v>-648114</v>
      </c>
      <c r="FP167" s="239">
        <v>0</v>
      </c>
      <c r="FQ167" s="239">
        <v>-648114</v>
      </c>
      <c r="FR167" s="239">
        <v>-21330</v>
      </c>
      <c r="FS167" s="239">
        <v>0</v>
      </c>
      <c r="FT167" s="239">
        <v>-21330</v>
      </c>
      <c r="FU167" s="239">
        <v>0</v>
      </c>
      <c r="FV167" s="239">
        <v>0</v>
      </c>
      <c r="FW167" s="239">
        <v>0</v>
      </c>
      <c r="FX167" s="239">
        <v>-13636241</v>
      </c>
      <c r="FY167" s="239">
        <v>0</v>
      </c>
      <c r="FZ167" s="239">
        <v>-13636241</v>
      </c>
      <c r="GA167" s="239">
        <v>92659034</v>
      </c>
      <c r="GB167" s="239">
        <v>0</v>
      </c>
      <c r="GC167" s="239">
        <v>92659034</v>
      </c>
      <c r="GD167" s="214" t="s">
        <v>747</v>
      </c>
    </row>
    <row r="168" spans="1:186" s="214" customFormat="1" x14ac:dyDescent="0.2">
      <c r="B168" s="609" t="s">
        <v>418</v>
      </c>
      <c r="C168" s="609" t="s">
        <v>417</v>
      </c>
      <c r="D168" s="239">
        <v>0</v>
      </c>
      <c r="E168" s="239">
        <v>0</v>
      </c>
      <c r="F168" s="239">
        <v>0</v>
      </c>
      <c r="G168" s="239">
        <v>-69</v>
      </c>
      <c r="H168" s="239">
        <v>0</v>
      </c>
      <c r="I168" s="239">
        <v>-69</v>
      </c>
      <c r="J168" s="239">
        <v>0</v>
      </c>
      <c r="K168" s="239">
        <v>0</v>
      </c>
      <c r="L168" s="239">
        <v>0</v>
      </c>
      <c r="M168" s="239">
        <v>14464</v>
      </c>
      <c r="N168" s="239">
        <v>0</v>
      </c>
      <c r="O168" s="239">
        <v>14464</v>
      </c>
      <c r="P168" s="239">
        <v>14395</v>
      </c>
      <c r="Q168" s="239">
        <v>0</v>
      </c>
      <c r="R168" s="239">
        <v>14395</v>
      </c>
      <c r="S168" s="239">
        <v>-1199748</v>
      </c>
      <c r="T168" s="239">
        <v>0</v>
      </c>
      <c r="U168" s="239">
        <v>-1199748</v>
      </c>
      <c r="V168" s="239">
        <v>-7728</v>
      </c>
      <c r="W168" s="239">
        <v>0</v>
      </c>
      <c r="X168" s="239">
        <v>-7728</v>
      </c>
      <c r="Y168" s="239">
        <v>-37866</v>
      </c>
      <c r="Z168" s="239">
        <v>0</v>
      </c>
      <c r="AA168" s="239">
        <v>-37866</v>
      </c>
      <c r="AB168" s="239">
        <v>-29307</v>
      </c>
      <c r="AC168" s="239">
        <v>0</v>
      </c>
      <c r="AD168" s="239">
        <v>-29307</v>
      </c>
      <c r="AE168" s="239">
        <v>-1655</v>
      </c>
      <c r="AF168" s="239">
        <v>0</v>
      </c>
      <c r="AG168" s="239">
        <v>-1655</v>
      </c>
      <c r="AH168" s="239">
        <v>335739</v>
      </c>
      <c r="AI168" s="239">
        <v>0</v>
      </c>
      <c r="AJ168" s="239">
        <v>335739</v>
      </c>
      <c r="AK168" s="239">
        <v>-1903</v>
      </c>
      <c r="AL168" s="239">
        <v>0</v>
      </c>
      <c r="AM168" s="239">
        <v>-1903</v>
      </c>
      <c r="AN168" s="239">
        <v>-1233288</v>
      </c>
      <c r="AO168" s="239">
        <v>0</v>
      </c>
      <c r="AP168" s="239">
        <v>-1233288</v>
      </c>
      <c r="AQ168" s="239">
        <v>-706</v>
      </c>
      <c r="AR168" s="239">
        <v>0</v>
      </c>
      <c r="AS168" s="239">
        <v>-706</v>
      </c>
      <c r="AT168" s="239">
        <v>-35475</v>
      </c>
      <c r="AU168" s="239">
        <v>0</v>
      </c>
      <c r="AV168" s="239">
        <v>-35475</v>
      </c>
      <c r="AW168" s="239">
        <v>0</v>
      </c>
      <c r="AX168" s="239">
        <v>0</v>
      </c>
      <c r="AY168" s="239">
        <v>0</v>
      </c>
      <c r="AZ168" s="239">
        <v>-32465</v>
      </c>
      <c r="BA168" s="239">
        <v>0</v>
      </c>
      <c r="BB168" s="239">
        <v>-32465</v>
      </c>
      <c r="BC168" s="239">
        <v>0</v>
      </c>
      <c r="BD168" s="239">
        <v>0</v>
      </c>
      <c r="BE168" s="239">
        <v>0</v>
      </c>
      <c r="BF168" s="239">
        <v>-2205712</v>
      </c>
      <c r="BG168" s="239">
        <v>0</v>
      </c>
      <c r="BH168" s="239">
        <v>-2205712</v>
      </c>
      <c r="BI168" s="239">
        <v>0</v>
      </c>
      <c r="BJ168" s="239">
        <v>0</v>
      </c>
      <c r="BK168" s="239">
        <v>0</v>
      </c>
      <c r="BL168" s="239">
        <v>0</v>
      </c>
      <c r="BM168" s="239">
        <v>0</v>
      </c>
      <c r="BN168" s="239">
        <v>0</v>
      </c>
      <c r="BO168" s="239">
        <v>-264032</v>
      </c>
      <c r="BP168" s="239">
        <v>0</v>
      </c>
      <c r="BQ168" s="239">
        <v>-264032</v>
      </c>
      <c r="BR168" s="239">
        <v>-8704</v>
      </c>
      <c r="BS168" s="239">
        <v>0</v>
      </c>
      <c r="BT168" s="239">
        <v>-8704</v>
      </c>
      <c r="BU168" s="239">
        <v>-272736</v>
      </c>
      <c r="BV168" s="239">
        <v>0</v>
      </c>
      <c r="BW168" s="239">
        <v>-272736</v>
      </c>
      <c r="BX168" s="239">
        <v>-40198</v>
      </c>
      <c r="BY168" s="239">
        <v>0</v>
      </c>
      <c r="BZ168" s="239">
        <v>-40198</v>
      </c>
      <c r="CA168" s="239">
        <v>34</v>
      </c>
      <c r="CB168" s="239">
        <v>0</v>
      </c>
      <c r="CC168" s="239">
        <v>34</v>
      </c>
      <c r="CD168" s="239">
        <v>-28409</v>
      </c>
      <c r="CE168" s="239">
        <v>0</v>
      </c>
      <c r="CF168" s="239">
        <v>-28409</v>
      </c>
      <c r="CG168" s="239">
        <v>-384</v>
      </c>
      <c r="CH168" s="239">
        <v>0</v>
      </c>
      <c r="CI168" s="239">
        <v>-384</v>
      </c>
      <c r="CJ168" s="239">
        <v>0</v>
      </c>
      <c r="CK168" s="239">
        <v>0</v>
      </c>
      <c r="CL168" s="239">
        <v>0</v>
      </c>
      <c r="CM168" s="239">
        <v>0</v>
      </c>
      <c r="CN168" s="239">
        <v>0</v>
      </c>
      <c r="CO168" s="239">
        <v>0</v>
      </c>
      <c r="CP168" s="239">
        <v>-22644</v>
      </c>
      <c r="CQ168" s="239">
        <v>0</v>
      </c>
      <c r="CR168" s="239">
        <v>-22644</v>
      </c>
      <c r="CS168" s="239">
        <v>0</v>
      </c>
      <c r="CT168" s="239">
        <v>0</v>
      </c>
      <c r="CU168" s="239">
        <v>0</v>
      </c>
      <c r="CV168" s="239">
        <v>0</v>
      </c>
      <c r="CW168" s="239">
        <v>0</v>
      </c>
      <c r="CX168" s="239">
        <v>0</v>
      </c>
      <c r="CY168" s="239">
        <v>0</v>
      </c>
      <c r="CZ168" s="239">
        <v>0</v>
      </c>
      <c r="DA168" s="239">
        <v>0</v>
      </c>
      <c r="DB168" s="239">
        <v>0</v>
      </c>
      <c r="DC168" s="239">
        <v>0</v>
      </c>
      <c r="DD168" s="239">
        <v>0</v>
      </c>
      <c r="DE168" s="239">
        <v>0</v>
      </c>
      <c r="DF168" s="239">
        <v>0</v>
      </c>
      <c r="DG168" s="239">
        <v>0</v>
      </c>
      <c r="DH168" s="239">
        <v>0</v>
      </c>
      <c r="DI168" s="239">
        <v>0</v>
      </c>
      <c r="DJ168" s="239">
        <v>-91601</v>
      </c>
      <c r="DK168" s="239">
        <v>0</v>
      </c>
      <c r="DL168" s="239">
        <v>-91601</v>
      </c>
      <c r="DM168" s="239">
        <v>0</v>
      </c>
      <c r="DN168" s="239">
        <v>0</v>
      </c>
      <c r="DO168" s="239">
        <v>0</v>
      </c>
      <c r="DP168" s="239">
        <v>0</v>
      </c>
      <c r="DQ168" s="239">
        <v>0</v>
      </c>
      <c r="DR168" s="239">
        <v>0</v>
      </c>
      <c r="DS168" s="239">
        <v>-10126</v>
      </c>
      <c r="DT168" s="239">
        <v>0</v>
      </c>
      <c r="DU168" s="239">
        <v>-10126</v>
      </c>
      <c r="DV168" s="239">
        <v>-2997</v>
      </c>
      <c r="DW168" s="239">
        <v>0</v>
      </c>
      <c r="DX168" s="239">
        <v>-2997</v>
      </c>
      <c r="DY168" s="239">
        <v>0</v>
      </c>
      <c r="DZ168" s="239">
        <v>0</v>
      </c>
      <c r="EA168" s="239">
        <v>0</v>
      </c>
      <c r="EB168" s="239">
        <v>-1256</v>
      </c>
      <c r="EC168" s="239">
        <v>0</v>
      </c>
      <c r="ED168" s="239">
        <v>-1256</v>
      </c>
      <c r="EE168" s="239">
        <v>0</v>
      </c>
      <c r="EF168" s="239">
        <v>0</v>
      </c>
      <c r="EG168" s="239">
        <v>0</v>
      </c>
      <c r="EH168" s="239">
        <v>0</v>
      </c>
      <c r="EI168" s="239">
        <v>0</v>
      </c>
      <c r="EJ168" s="239">
        <v>0</v>
      </c>
      <c r="EK168" s="239">
        <v>0</v>
      </c>
      <c r="EL168" s="239">
        <v>0</v>
      </c>
      <c r="EM168" s="239">
        <v>0</v>
      </c>
      <c r="EN168" s="239">
        <v>0</v>
      </c>
      <c r="EO168" s="239">
        <v>0</v>
      </c>
      <c r="EP168" s="239">
        <v>0</v>
      </c>
      <c r="EQ168" s="239">
        <v>-14379</v>
      </c>
      <c r="ER168" s="239">
        <v>0</v>
      </c>
      <c r="ES168" s="239">
        <v>-14379</v>
      </c>
      <c r="ET168" s="239">
        <v>-6171</v>
      </c>
      <c r="EU168" s="239">
        <v>0</v>
      </c>
      <c r="EV168" s="239">
        <v>-6171</v>
      </c>
      <c r="EW168" s="239">
        <v>-5100</v>
      </c>
      <c r="EX168" s="239">
        <v>0</v>
      </c>
      <c r="EY168" s="239">
        <v>-5100</v>
      </c>
      <c r="EZ168" s="239">
        <v>-11271</v>
      </c>
      <c r="FA168" s="239">
        <v>0</v>
      </c>
      <c r="FB168" s="239">
        <v>-11271</v>
      </c>
      <c r="FC168" s="239">
        <v>16696654</v>
      </c>
      <c r="FD168" s="239">
        <v>0</v>
      </c>
      <c r="FE168" s="239">
        <v>16696654</v>
      </c>
      <c r="FF168" s="239">
        <v>14395</v>
      </c>
      <c r="FG168" s="239">
        <v>0</v>
      </c>
      <c r="FH168" s="239">
        <v>14395</v>
      </c>
      <c r="FI168" s="239">
        <v>-2205712</v>
      </c>
      <c r="FJ168" s="239">
        <v>0</v>
      </c>
      <c r="FK168" s="239">
        <v>-2205712</v>
      </c>
      <c r="FL168" s="239">
        <v>-272736</v>
      </c>
      <c r="FM168" s="239">
        <v>0</v>
      </c>
      <c r="FN168" s="239">
        <v>-272736</v>
      </c>
      <c r="FO168" s="239">
        <v>-91601</v>
      </c>
      <c r="FP168" s="239">
        <v>0</v>
      </c>
      <c r="FQ168" s="239">
        <v>-91601</v>
      </c>
      <c r="FR168" s="239">
        <v>-14379</v>
      </c>
      <c r="FS168" s="239">
        <v>0</v>
      </c>
      <c r="FT168" s="239">
        <v>-14379</v>
      </c>
      <c r="FU168" s="239">
        <v>-11271</v>
      </c>
      <c r="FV168" s="239">
        <v>0</v>
      </c>
      <c r="FW168" s="239">
        <v>-11271</v>
      </c>
      <c r="FX168" s="239">
        <v>-2581304</v>
      </c>
      <c r="FY168" s="239">
        <v>0</v>
      </c>
      <c r="FZ168" s="239">
        <v>-2581304</v>
      </c>
      <c r="GA168" s="239">
        <v>14115350</v>
      </c>
      <c r="GB168" s="239">
        <v>0</v>
      </c>
      <c r="GC168" s="239">
        <v>14115350</v>
      </c>
      <c r="GD168" s="214" t="s">
        <v>1190</v>
      </c>
    </row>
    <row r="169" spans="1:186" s="214" customFormat="1" x14ac:dyDescent="0.2">
      <c r="B169" s="609" t="s">
        <v>420</v>
      </c>
      <c r="C169" s="609" t="s">
        <v>419</v>
      </c>
      <c r="D169" s="239">
        <v>0</v>
      </c>
      <c r="E169" s="239">
        <v>0</v>
      </c>
      <c r="F169" s="239">
        <v>0</v>
      </c>
      <c r="G169" s="239">
        <v>578582</v>
      </c>
      <c r="H169" s="239">
        <v>0</v>
      </c>
      <c r="I169" s="239">
        <v>578582</v>
      </c>
      <c r="J169" s="239">
        <v>0</v>
      </c>
      <c r="K169" s="239">
        <v>0</v>
      </c>
      <c r="L169" s="239">
        <v>0</v>
      </c>
      <c r="M169" s="239">
        <v>-11935</v>
      </c>
      <c r="N169" s="239">
        <v>0</v>
      </c>
      <c r="O169" s="239">
        <v>-11935</v>
      </c>
      <c r="P169" s="239">
        <v>566647</v>
      </c>
      <c r="Q169" s="239">
        <v>0</v>
      </c>
      <c r="R169" s="239">
        <v>566647</v>
      </c>
      <c r="S169" s="239">
        <v>-3373961</v>
      </c>
      <c r="T169" s="239">
        <v>0</v>
      </c>
      <c r="U169" s="239">
        <v>-3373961</v>
      </c>
      <c r="V169" s="239">
        <v>0</v>
      </c>
      <c r="W169" s="239">
        <v>0</v>
      </c>
      <c r="X169" s="239">
        <v>0</v>
      </c>
      <c r="Y169" s="239">
        <v>-153739</v>
      </c>
      <c r="Z169" s="239">
        <v>0</v>
      </c>
      <c r="AA169" s="239">
        <v>-153739</v>
      </c>
      <c r="AB169" s="239">
        <v>-117946</v>
      </c>
      <c r="AC169" s="239">
        <v>0</v>
      </c>
      <c r="AD169" s="239">
        <v>-117946</v>
      </c>
      <c r="AE169" s="239">
        <v>0</v>
      </c>
      <c r="AF169" s="239">
        <v>0</v>
      </c>
      <c r="AG169" s="239">
        <v>0</v>
      </c>
      <c r="AH169" s="239">
        <v>894762</v>
      </c>
      <c r="AI169" s="239">
        <v>0</v>
      </c>
      <c r="AJ169" s="239">
        <v>894762</v>
      </c>
      <c r="AK169" s="239">
        <v>-41698</v>
      </c>
      <c r="AL169" s="239">
        <v>0</v>
      </c>
      <c r="AM169" s="239">
        <v>-41698</v>
      </c>
      <c r="AN169" s="239">
        <v>-3071854</v>
      </c>
      <c r="AO169" s="239">
        <v>0</v>
      </c>
      <c r="AP169" s="239">
        <v>-3071854</v>
      </c>
      <c r="AQ169" s="239">
        <v>1993</v>
      </c>
      <c r="AR169" s="239">
        <v>0</v>
      </c>
      <c r="AS169" s="239">
        <v>1993</v>
      </c>
      <c r="AT169" s="239">
        <v>-41271</v>
      </c>
      <c r="AU169" s="239">
        <v>0</v>
      </c>
      <c r="AV169" s="239">
        <v>-41271</v>
      </c>
      <c r="AW169" s="239">
        <v>-179</v>
      </c>
      <c r="AX169" s="239">
        <v>0</v>
      </c>
      <c r="AY169" s="239">
        <v>-179</v>
      </c>
      <c r="AZ169" s="239">
        <v>-33371</v>
      </c>
      <c r="BA169" s="239">
        <v>0</v>
      </c>
      <c r="BB169" s="239">
        <v>-33371</v>
      </c>
      <c r="BC169" s="239">
        <v>-3</v>
      </c>
      <c r="BD169" s="239">
        <v>0</v>
      </c>
      <c r="BE169" s="239">
        <v>-3</v>
      </c>
      <c r="BF169" s="239">
        <v>-5819321</v>
      </c>
      <c r="BG169" s="239">
        <v>0</v>
      </c>
      <c r="BH169" s="239">
        <v>-5819321</v>
      </c>
      <c r="BI169" s="239">
        <v>-1658</v>
      </c>
      <c r="BJ169" s="239">
        <v>0</v>
      </c>
      <c r="BK169" s="239">
        <v>-1658</v>
      </c>
      <c r="BL169" s="239">
        <v>-828</v>
      </c>
      <c r="BM169" s="239">
        <v>0</v>
      </c>
      <c r="BN169" s="239">
        <v>-828</v>
      </c>
      <c r="BO169" s="239">
        <v>-903342</v>
      </c>
      <c r="BP169" s="239">
        <v>0</v>
      </c>
      <c r="BQ169" s="239">
        <v>-903342</v>
      </c>
      <c r="BR169" s="239">
        <v>18338</v>
      </c>
      <c r="BS169" s="239">
        <v>0</v>
      </c>
      <c r="BT169" s="239">
        <v>18338</v>
      </c>
      <c r="BU169" s="239">
        <v>-887490</v>
      </c>
      <c r="BV169" s="239">
        <v>0</v>
      </c>
      <c r="BW169" s="239">
        <v>-887490</v>
      </c>
      <c r="BX169" s="239">
        <v>-43311</v>
      </c>
      <c r="BY169" s="239">
        <v>0</v>
      </c>
      <c r="BZ169" s="239">
        <v>-43311</v>
      </c>
      <c r="CA169" s="239">
        <v>487</v>
      </c>
      <c r="CB169" s="239">
        <v>0</v>
      </c>
      <c r="CC169" s="239">
        <v>487</v>
      </c>
      <c r="CD169" s="239">
        <v>-44673</v>
      </c>
      <c r="CE169" s="239">
        <v>0</v>
      </c>
      <c r="CF169" s="239">
        <v>-44673</v>
      </c>
      <c r="CG169" s="239">
        <v>0</v>
      </c>
      <c r="CH169" s="239">
        <v>0</v>
      </c>
      <c r="CI169" s="239">
        <v>0</v>
      </c>
      <c r="CJ169" s="239">
        <v>-4699</v>
      </c>
      <c r="CK169" s="239">
        <v>0</v>
      </c>
      <c r="CL169" s="239">
        <v>-4699</v>
      </c>
      <c r="CM169" s="239">
        <v>-34</v>
      </c>
      <c r="CN169" s="239">
        <v>0</v>
      </c>
      <c r="CO169" s="239">
        <v>-34</v>
      </c>
      <c r="CP169" s="239">
        <v>-21938</v>
      </c>
      <c r="CQ169" s="239">
        <v>0</v>
      </c>
      <c r="CR169" s="239">
        <v>-21938</v>
      </c>
      <c r="CS169" s="239">
        <v>-3</v>
      </c>
      <c r="CT169" s="239">
        <v>0</v>
      </c>
      <c r="CU169" s="239">
        <v>-3</v>
      </c>
      <c r="CV169" s="239">
        <v>-23347</v>
      </c>
      <c r="CW169" s="239">
        <v>0</v>
      </c>
      <c r="CX169" s="239">
        <v>-23347</v>
      </c>
      <c r="CY169" s="239">
        <v>-1745</v>
      </c>
      <c r="CZ169" s="239">
        <v>0</v>
      </c>
      <c r="DA169" s="239">
        <v>-1745</v>
      </c>
      <c r="DB169" s="239">
        <v>0</v>
      </c>
      <c r="DC169" s="239">
        <v>0</v>
      </c>
      <c r="DD169" s="239">
        <v>0</v>
      </c>
      <c r="DE169" s="239">
        <v>0</v>
      </c>
      <c r="DF169" s="239">
        <v>0</v>
      </c>
      <c r="DG169" s="239">
        <v>0</v>
      </c>
      <c r="DH169" s="239">
        <v>0</v>
      </c>
      <c r="DI169" s="239">
        <v>0</v>
      </c>
      <c r="DJ169" s="239">
        <v>-139263</v>
      </c>
      <c r="DK169" s="239">
        <v>0</v>
      </c>
      <c r="DL169" s="239">
        <v>-139263</v>
      </c>
      <c r="DM169" s="239">
        <v>-6416</v>
      </c>
      <c r="DN169" s="239">
        <v>0</v>
      </c>
      <c r="DO169" s="239">
        <v>-6416</v>
      </c>
      <c r="DP169" s="239">
        <v>187</v>
      </c>
      <c r="DQ169" s="239">
        <v>0</v>
      </c>
      <c r="DR169" s="239">
        <v>187</v>
      </c>
      <c r="DS169" s="239">
        <v>-266</v>
      </c>
      <c r="DT169" s="239">
        <v>0</v>
      </c>
      <c r="DU169" s="239">
        <v>-266</v>
      </c>
      <c r="DV169" s="239">
        <v>-6270</v>
      </c>
      <c r="DW169" s="239">
        <v>0</v>
      </c>
      <c r="DX169" s="239">
        <v>-6270</v>
      </c>
      <c r="DY169" s="239">
        <v>0</v>
      </c>
      <c r="DZ169" s="239">
        <v>0</v>
      </c>
      <c r="EA169" s="239">
        <v>0</v>
      </c>
      <c r="EB169" s="239">
        <v>-69</v>
      </c>
      <c r="EC169" s="239">
        <v>0</v>
      </c>
      <c r="ED169" s="239">
        <v>-69</v>
      </c>
      <c r="EE169" s="239">
        <v>0</v>
      </c>
      <c r="EF169" s="239">
        <v>0</v>
      </c>
      <c r="EG169" s="239">
        <v>0</v>
      </c>
      <c r="EH169" s="239">
        <v>0</v>
      </c>
      <c r="EI169" s="239">
        <v>0</v>
      </c>
      <c r="EJ169" s="239">
        <v>0</v>
      </c>
      <c r="EK169" s="239">
        <v>-4396</v>
      </c>
      <c r="EL169" s="239">
        <v>0</v>
      </c>
      <c r="EM169" s="239">
        <v>-4396</v>
      </c>
      <c r="EN169" s="239">
        <v>0</v>
      </c>
      <c r="EO169" s="239">
        <v>0</v>
      </c>
      <c r="EP169" s="239">
        <v>0</v>
      </c>
      <c r="EQ169" s="239">
        <v>-17230</v>
      </c>
      <c r="ER169" s="239">
        <v>0</v>
      </c>
      <c r="ES169" s="239">
        <v>-17230</v>
      </c>
      <c r="ET169" s="239">
        <v>-1754</v>
      </c>
      <c r="EU169" s="239">
        <v>0</v>
      </c>
      <c r="EV169" s="239">
        <v>-1754</v>
      </c>
      <c r="EW169" s="239">
        <v>-4904</v>
      </c>
      <c r="EX169" s="239">
        <v>0</v>
      </c>
      <c r="EY169" s="239">
        <v>-4904</v>
      </c>
      <c r="EZ169" s="239">
        <v>-6658</v>
      </c>
      <c r="FA169" s="239">
        <v>0</v>
      </c>
      <c r="FB169" s="239">
        <v>-6658</v>
      </c>
      <c r="FC169" s="239">
        <v>39801055</v>
      </c>
      <c r="FD169" s="239">
        <v>0</v>
      </c>
      <c r="FE169" s="239">
        <v>39801055</v>
      </c>
      <c r="FF169" s="239">
        <v>566647</v>
      </c>
      <c r="FG169" s="239">
        <v>0</v>
      </c>
      <c r="FH169" s="239">
        <v>566647</v>
      </c>
      <c r="FI169" s="239">
        <v>-5819321</v>
      </c>
      <c r="FJ169" s="239">
        <v>0</v>
      </c>
      <c r="FK169" s="239">
        <v>-5819321</v>
      </c>
      <c r="FL169" s="239">
        <v>-887490</v>
      </c>
      <c r="FM169" s="239">
        <v>0</v>
      </c>
      <c r="FN169" s="239">
        <v>-887490</v>
      </c>
      <c r="FO169" s="239">
        <v>-139263</v>
      </c>
      <c r="FP169" s="239">
        <v>0</v>
      </c>
      <c r="FQ169" s="239">
        <v>-139263</v>
      </c>
      <c r="FR169" s="239">
        <v>-17230</v>
      </c>
      <c r="FS169" s="239">
        <v>0</v>
      </c>
      <c r="FT169" s="239">
        <v>-17230</v>
      </c>
      <c r="FU169" s="239">
        <v>-6658</v>
      </c>
      <c r="FV169" s="239">
        <v>0</v>
      </c>
      <c r="FW169" s="239">
        <v>-6658</v>
      </c>
      <c r="FX169" s="239">
        <v>-6303315</v>
      </c>
      <c r="FY169" s="239">
        <v>0</v>
      </c>
      <c r="FZ169" s="239">
        <v>-6303315</v>
      </c>
      <c r="GA169" s="239">
        <v>33497740</v>
      </c>
      <c r="GB169" s="239">
        <v>0</v>
      </c>
      <c r="GC169" s="239">
        <v>33497740</v>
      </c>
      <c r="GD169" s="214" t="s">
        <v>1190</v>
      </c>
    </row>
    <row r="170" spans="1:186" s="214" customFormat="1" x14ac:dyDescent="0.2">
      <c r="B170" s="609" t="s">
        <v>422</v>
      </c>
      <c r="C170" s="609" t="s">
        <v>421</v>
      </c>
      <c r="D170" s="239">
        <v>0</v>
      </c>
      <c r="E170" s="239">
        <v>0</v>
      </c>
      <c r="F170" s="239">
        <v>0</v>
      </c>
      <c r="G170" s="239">
        <v>670944</v>
      </c>
      <c r="H170" s="239">
        <v>0</v>
      </c>
      <c r="I170" s="239">
        <v>670944</v>
      </c>
      <c r="J170" s="239">
        <v>0</v>
      </c>
      <c r="K170" s="239">
        <v>0</v>
      </c>
      <c r="L170" s="239">
        <v>0</v>
      </c>
      <c r="M170" s="239">
        <v>62899</v>
      </c>
      <c r="N170" s="239">
        <v>0</v>
      </c>
      <c r="O170" s="239">
        <v>62899</v>
      </c>
      <c r="P170" s="239">
        <v>733843</v>
      </c>
      <c r="Q170" s="239">
        <v>0</v>
      </c>
      <c r="R170" s="239">
        <v>733843</v>
      </c>
      <c r="S170" s="239">
        <v>-2853593</v>
      </c>
      <c r="T170" s="239">
        <v>0</v>
      </c>
      <c r="U170" s="239">
        <v>-2853593</v>
      </c>
      <c r="V170" s="239">
        <v>0</v>
      </c>
      <c r="W170" s="239">
        <v>0</v>
      </c>
      <c r="X170" s="239">
        <v>0</v>
      </c>
      <c r="Y170" s="239">
        <v>-80223</v>
      </c>
      <c r="Z170" s="239">
        <v>0</v>
      </c>
      <c r="AA170" s="239">
        <v>-80223</v>
      </c>
      <c r="AB170" s="239">
        <v>0</v>
      </c>
      <c r="AC170" s="239">
        <v>0</v>
      </c>
      <c r="AD170" s="239">
        <v>0</v>
      </c>
      <c r="AE170" s="239">
        <v>0</v>
      </c>
      <c r="AF170" s="239">
        <v>0</v>
      </c>
      <c r="AG170" s="239">
        <v>0</v>
      </c>
      <c r="AH170" s="239">
        <v>2234816</v>
      </c>
      <c r="AI170" s="239">
        <v>0</v>
      </c>
      <c r="AJ170" s="239">
        <v>2234816</v>
      </c>
      <c r="AK170" s="239">
        <v>-73014</v>
      </c>
      <c r="AL170" s="239">
        <v>0</v>
      </c>
      <c r="AM170" s="239">
        <v>-73014</v>
      </c>
      <c r="AN170" s="239">
        <v>-5197144</v>
      </c>
      <c r="AO170" s="239">
        <v>0</v>
      </c>
      <c r="AP170" s="239">
        <v>-5197144</v>
      </c>
      <c r="AQ170" s="239">
        <v>38285</v>
      </c>
      <c r="AR170" s="239">
        <v>0</v>
      </c>
      <c r="AS170" s="239">
        <v>38285</v>
      </c>
      <c r="AT170" s="239">
        <v>-130671</v>
      </c>
      <c r="AU170" s="239">
        <v>0</v>
      </c>
      <c r="AV170" s="239">
        <v>-130671</v>
      </c>
      <c r="AW170" s="239">
        <v>-2879</v>
      </c>
      <c r="AX170" s="239">
        <v>0</v>
      </c>
      <c r="AY170" s="239">
        <v>-2879</v>
      </c>
      <c r="AZ170" s="239">
        <v>0</v>
      </c>
      <c r="BA170" s="239">
        <v>0</v>
      </c>
      <c r="BB170" s="239">
        <v>0</v>
      </c>
      <c r="BC170" s="239">
        <v>0</v>
      </c>
      <c r="BD170" s="239">
        <v>0</v>
      </c>
      <c r="BE170" s="239">
        <v>0</v>
      </c>
      <c r="BF170" s="239">
        <v>-6064423</v>
      </c>
      <c r="BG170" s="239">
        <v>0</v>
      </c>
      <c r="BH170" s="239">
        <v>-6064423</v>
      </c>
      <c r="BI170" s="239">
        <v>-22513</v>
      </c>
      <c r="BJ170" s="239">
        <v>0</v>
      </c>
      <c r="BK170" s="239">
        <v>-22513</v>
      </c>
      <c r="BL170" s="239">
        <v>-2991</v>
      </c>
      <c r="BM170" s="239">
        <v>0</v>
      </c>
      <c r="BN170" s="239">
        <v>-2991</v>
      </c>
      <c r="BO170" s="239">
        <v>-1376496</v>
      </c>
      <c r="BP170" s="239">
        <v>0</v>
      </c>
      <c r="BQ170" s="239">
        <v>-1376496</v>
      </c>
      <c r="BR170" s="239">
        <v>42026</v>
      </c>
      <c r="BS170" s="239">
        <v>0</v>
      </c>
      <c r="BT170" s="239">
        <v>42026</v>
      </c>
      <c r="BU170" s="239">
        <v>-1359974</v>
      </c>
      <c r="BV170" s="239">
        <v>0</v>
      </c>
      <c r="BW170" s="239">
        <v>-1359974</v>
      </c>
      <c r="BX170" s="239">
        <v>-403154</v>
      </c>
      <c r="BY170" s="239">
        <v>0</v>
      </c>
      <c r="BZ170" s="239">
        <v>-403154</v>
      </c>
      <c r="CA170" s="239">
        <v>-932</v>
      </c>
      <c r="CB170" s="239">
        <v>0</v>
      </c>
      <c r="CC170" s="239">
        <v>-932</v>
      </c>
      <c r="CD170" s="239">
        <v>-103639</v>
      </c>
      <c r="CE170" s="239">
        <v>0</v>
      </c>
      <c r="CF170" s="239">
        <v>-103639</v>
      </c>
      <c r="CG170" s="239">
        <v>936</v>
      </c>
      <c r="CH170" s="239">
        <v>0</v>
      </c>
      <c r="CI170" s="239">
        <v>936</v>
      </c>
      <c r="CJ170" s="239">
        <v>-5015</v>
      </c>
      <c r="CK170" s="239">
        <v>0</v>
      </c>
      <c r="CL170" s="239">
        <v>-5015</v>
      </c>
      <c r="CM170" s="239">
        <v>0</v>
      </c>
      <c r="CN170" s="239">
        <v>0</v>
      </c>
      <c r="CO170" s="239">
        <v>0</v>
      </c>
      <c r="CP170" s="239">
        <v>0</v>
      </c>
      <c r="CQ170" s="239">
        <v>0</v>
      </c>
      <c r="CR170" s="239">
        <v>0</v>
      </c>
      <c r="CS170" s="239">
        <v>0</v>
      </c>
      <c r="CT170" s="239">
        <v>0</v>
      </c>
      <c r="CU170" s="239">
        <v>0</v>
      </c>
      <c r="CV170" s="239">
        <v>0</v>
      </c>
      <c r="CW170" s="239">
        <v>0</v>
      </c>
      <c r="CX170" s="239">
        <v>0</v>
      </c>
      <c r="CY170" s="239">
        <v>0</v>
      </c>
      <c r="CZ170" s="239">
        <v>0</v>
      </c>
      <c r="DA170" s="239">
        <v>0</v>
      </c>
      <c r="DB170" s="239">
        <v>-18000</v>
      </c>
      <c r="DC170" s="239">
        <v>0</v>
      </c>
      <c r="DD170" s="239">
        <v>-18000</v>
      </c>
      <c r="DE170" s="239">
        <v>0</v>
      </c>
      <c r="DF170" s="239">
        <v>0</v>
      </c>
      <c r="DG170" s="239">
        <v>0</v>
      </c>
      <c r="DH170" s="239">
        <v>0</v>
      </c>
      <c r="DI170" s="239">
        <v>0</v>
      </c>
      <c r="DJ170" s="239">
        <v>-529804</v>
      </c>
      <c r="DK170" s="239">
        <v>0</v>
      </c>
      <c r="DL170" s="239">
        <v>-529804</v>
      </c>
      <c r="DM170" s="239">
        <v>0</v>
      </c>
      <c r="DN170" s="239">
        <v>0</v>
      </c>
      <c r="DO170" s="239">
        <v>0</v>
      </c>
      <c r="DP170" s="239">
        <v>0</v>
      </c>
      <c r="DQ170" s="239">
        <v>0</v>
      </c>
      <c r="DR170" s="239">
        <v>0</v>
      </c>
      <c r="DS170" s="239">
        <v>-40455</v>
      </c>
      <c r="DT170" s="239">
        <v>0</v>
      </c>
      <c r="DU170" s="239">
        <v>-40455</v>
      </c>
      <c r="DV170" s="239">
        <v>194</v>
      </c>
      <c r="DW170" s="239">
        <v>0</v>
      </c>
      <c r="DX170" s="239">
        <v>194</v>
      </c>
      <c r="DY170" s="239">
        <v>0</v>
      </c>
      <c r="DZ170" s="239">
        <v>0</v>
      </c>
      <c r="EA170" s="239">
        <v>0</v>
      </c>
      <c r="EB170" s="239">
        <v>-1234</v>
      </c>
      <c r="EC170" s="239">
        <v>0</v>
      </c>
      <c r="ED170" s="239">
        <v>-1234</v>
      </c>
      <c r="EE170" s="239">
        <v>0</v>
      </c>
      <c r="EF170" s="239">
        <v>0</v>
      </c>
      <c r="EG170" s="239">
        <v>0</v>
      </c>
      <c r="EH170" s="239">
        <v>0</v>
      </c>
      <c r="EI170" s="239">
        <v>0</v>
      </c>
      <c r="EJ170" s="239">
        <v>0</v>
      </c>
      <c r="EK170" s="239">
        <v>-6215</v>
      </c>
      <c r="EL170" s="239">
        <v>0</v>
      </c>
      <c r="EM170" s="239">
        <v>-6215</v>
      </c>
      <c r="EN170" s="239">
        <v>0</v>
      </c>
      <c r="EO170" s="239">
        <v>0</v>
      </c>
      <c r="EP170" s="239">
        <v>0</v>
      </c>
      <c r="EQ170" s="239">
        <v>-47710</v>
      </c>
      <c r="ER170" s="239">
        <v>0</v>
      </c>
      <c r="ES170" s="239">
        <v>-47710</v>
      </c>
      <c r="ET170" s="239">
        <v>-12333</v>
      </c>
      <c r="EU170" s="239">
        <v>0</v>
      </c>
      <c r="EV170" s="239">
        <v>-12333</v>
      </c>
      <c r="EW170" s="239">
        <v>348</v>
      </c>
      <c r="EX170" s="239">
        <v>0</v>
      </c>
      <c r="EY170" s="239">
        <v>348</v>
      </c>
      <c r="EZ170" s="239">
        <v>-11985</v>
      </c>
      <c r="FA170" s="239">
        <v>0</v>
      </c>
      <c r="FB170" s="239">
        <v>-11985</v>
      </c>
      <c r="FC170" s="239">
        <v>93711104</v>
      </c>
      <c r="FD170" s="239">
        <v>0</v>
      </c>
      <c r="FE170" s="239">
        <v>93711104</v>
      </c>
      <c r="FF170" s="239">
        <v>733843</v>
      </c>
      <c r="FG170" s="239">
        <v>0</v>
      </c>
      <c r="FH170" s="239">
        <v>733843</v>
      </c>
      <c r="FI170" s="239">
        <v>-6064423</v>
      </c>
      <c r="FJ170" s="239">
        <v>0</v>
      </c>
      <c r="FK170" s="239">
        <v>-6064423</v>
      </c>
      <c r="FL170" s="239">
        <v>-1359974</v>
      </c>
      <c r="FM170" s="239">
        <v>0</v>
      </c>
      <c r="FN170" s="239">
        <v>-1359974</v>
      </c>
      <c r="FO170" s="239">
        <v>-529804</v>
      </c>
      <c r="FP170" s="239">
        <v>0</v>
      </c>
      <c r="FQ170" s="239">
        <v>-529804</v>
      </c>
      <c r="FR170" s="239">
        <v>-47710</v>
      </c>
      <c r="FS170" s="239">
        <v>0</v>
      </c>
      <c r="FT170" s="239">
        <v>-47710</v>
      </c>
      <c r="FU170" s="239">
        <v>-11985</v>
      </c>
      <c r="FV170" s="239">
        <v>0</v>
      </c>
      <c r="FW170" s="239">
        <v>-11985</v>
      </c>
      <c r="FX170" s="239">
        <v>-7280053</v>
      </c>
      <c r="FY170" s="239">
        <v>0</v>
      </c>
      <c r="FZ170" s="239">
        <v>-7280053</v>
      </c>
      <c r="GA170" s="239">
        <v>86431051</v>
      </c>
      <c r="GB170" s="239">
        <v>0</v>
      </c>
      <c r="GC170" s="239">
        <v>86431051</v>
      </c>
      <c r="GD170" s="214" t="s">
        <v>1191</v>
      </c>
    </row>
    <row r="171" spans="1:186" s="214" customFormat="1" x14ac:dyDescent="0.2">
      <c r="B171" s="609" t="s">
        <v>424</v>
      </c>
      <c r="C171" s="609" t="s">
        <v>423</v>
      </c>
      <c r="D171" s="239">
        <v>0</v>
      </c>
      <c r="E171" s="239">
        <v>0</v>
      </c>
      <c r="F171" s="239">
        <v>0</v>
      </c>
      <c r="G171" s="239">
        <v>65379</v>
      </c>
      <c r="H171" s="239">
        <v>0</v>
      </c>
      <c r="I171" s="239">
        <v>65379</v>
      </c>
      <c r="J171" s="239">
        <v>0</v>
      </c>
      <c r="K171" s="239">
        <v>0</v>
      </c>
      <c r="L171" s="239">
        <v>0</v>
      </c>
      <c r="M171" s="239">
        <v>-10462</v>
      </c>
      <c r="N171" s="239">
        <v>0</v>
      </c>
      <c r="O171" s="239">
        <v>-10462</v>
      </c>
      <c r="P171" s="239">
        <v>54917</v>
      </c>
      <c r="Q171" s="239">
        <v>0</v>
      </c>
      <c r="R171" s="239">
        <v>54917</v>
      </c>
      <c r="S171" s="239">
        <v>-2250456</v>
      </c>
      <c r="T171" s="239">
        <v>0</v>
      </c>
      <c r="U171" s="239">
        <v>-2250456</v>
      </c>
      <c r="V171" s="239">
        <v>-7730</v>
      </c>
      <c r="W171" s="239">
        <v>0</v>
      </c>
      <c r="X171" s="239">
        <v>-7730</v>
      </c>
      <c r="Y171" s="239">
        <v>-68435</v>
      </c>
      <c r="Z171" s="239">
        <v>0</v>
      </c>
      <c r="AA171" s="239">
        <v>-68435</v>
      </c>
      <c r="AB171" s="239">
        <v>-67757</v>
      </c>
      <c r="AC171" s="239">
        <v>0</v>
      </c>
      <c r="AD171" s="239">
        <v>-67757</v>
      </c>
      <c r="AE171" s="239">
        <v>-678</v>
      </c>
      <c r="AF171" s="239">
        <v>0</v>
      </c>
      <c r="AG171" s="239">
        <v>-678</v>
      </c>
      <c r="AH171" s="239">
        <v>361706</v>
      </c>
      <c r="AI171" s="239">
        <v>0</v>
      </c>
      <c r="AJ171" s="239">
        <v>361706</v>
      </c>
      <c r="AK171" s="239">
        <v>0</v>
      </c>
      <c r="AL171" s="239">
        <v>0</v>
      </c>
      <c r="AM171" s="239">
        <v>0</v>
      </c>
      <c r="AN171" s="239">
        <v>-1319439</v>
      </c>
      <c r="AO171" s="239">
        <v>0</v>
      </c>
      <c r="AP171" s="239">
        <v>-1319439</v>
      </c>
      <c r="AQ171" s="239">
        <v>3166</v>
      </c>
      <c r="AR171" s="239">
        <v>0</v>
      </c>
      <c r="AS171" s="239">
        <v>3166</v>
      </c>
      <c r="AT171" s="239">
        <v>-34571</v>
      </c>
      <c r="AU171" s="239">
        <v>0</v>
      </c>
      <c r="AV171" s="239">
        <v>-34571</v>
      </c>
      <c r="AW171" s="239">
        <v>0</v>
      </c>
      <c r="AX171" s="239">
        <v>0</v>
      </c>
      <c r="AY171" s="239">
        <v>0</v>
      </c>
      <c r="AZ171" s="239">
        <v>-26093</v>
      </c>
      <c r="BA171" s="239">
        <v>0</v>
      </c>
      <c r="BB171" s="239">
        <v>-26093</v>
      </c>
      <c r="BC171" s="239">
        <v>-17947</v>
      </c>
      <c r="BD171" s="239">
        <v>0</v>
      </c>
      <c r="BE171" s="239">
        <v>-17947</v>
      </c>
      <c r="BF171" s="239">
        <v>-3352069</v>
      </c>
      <c r="BG171" s="239">
        <v>0</v>
      </c>
      <c r="BH171" s="239">
        <v>-3352069</v>
      </c>
      <c r="BI171" s="239">
        <v>-11964</v>
      </c>
      <c r="BJ171" s="239">
        <v>0</v>
      </c>
      <c r="BK171" s="239">
        <v>-11964</v>
      </c>
      <c r="BL171" s="239">
        <v>88</v>
      </c>
      <c r="BM171" s="239">
        <v>0</v>
      </c>
      <c r="BN171" s="239">
        <v>88</v>
      </c>
      <c r="BO171" s="239">
        <v>-424522</v>
      </c>
      <c r="BP171" s="239">
        <v>0</v>
      </c>
      <c r="BQ171" s="239">
        <v>-424522</v>
      </c>
      <c r="BR171" s="239">
        <v>24908</v>
      </c>
      <c r="BS171" s="239">
        <v>0</v>
      </c>
      <c r="BT171" s="239">
        <v>24908</v>
      </c>
      <c r="BU171" s="239">
        <v>-411490</v>
      </c>
      <c r="BV171" s="239">
        <v>0</v>
      </c>
      <c r="BW171" s="239">
        <v>-411490</v>
      </c>
      <c r="BX171" s="239">
        <v>-59875</v>
      </c>
      <c r="BY171" s="239">
        <v>0</v>
      </c>
      <c r="BZ171" s="239">
        <v>-59875</v>
      </c>
      <c r="CA171" s="239">
        <v>0</v>
      </c>
      <c r="CB171" s="239">
        <v>0</v>
      </c>
      <c r="CC171" s="239">
        <v>0</v>
      </c>
      <c r="CD171" s="239">
        <v>-4498</v>
      </c>
      <c r="CE171" s="239">
        <v>0</v>
      </c>
      <c r="CF171" s="239">
        <v>-4498</v>
      </c>
      <c r="CG171" s="239">
        <v>0</v>
      </c>
      <c r="CH171" s="239">
        <v>0</v>
      </c>
      <c r="CI171" s="239">
        <v>0</v>
      </c>
      <c r="CJ171" s="239">
        <v>-3312</v>
      </c>
      <c r="CK171" s="239">
        <v>0</v>
      </c>
      <c r="CL171" s="239">
        <v>-3312</v>
      </c>
      <c r="CM171" s="239">
        <v>74</v>
      </c>
      <c r="CN171" s="239">
        <v>0</v>
      </c>
      <c r="CO171" s="239">
        <v>74</v>
      </c>
      <c r="CP171" s="239">
        <v>-2241</v>
      </c>
      <c r="CQ171" s="239">
        <v>0</v>
      </c>
      <c r="CR171" s="239">
        <v>-2241</v>
      </c>
      <c r="CS171" s="239">
        <v>-2476</v>
      </c>
      <c r="CT171" s="239">
        <v>0</v>
      </c>
      <c r="CU171" s="239">
        <v>-2476</v>
      </c>
      <c r="CV171" s="239">
        <v>0</v>
      </c>
      <c r="CW171" s="239">
        <v>0</v>
      </c>
      <c r="CX171" s="239">
        <v>0</v>
      </c>
      <c r="CY171" s="239">
        <v>0</v>
      </c>
      <c r="CZ171" s="239">
        <v>0</v>
      </c>
      <c r="DA171" s="239">
        <v>0</v>
      </c>
      <c r="DB171" s="239">
        <v>0</v>
      </c>
      <c r="DC171" s="239">
        <v>0</v>
      </c>
      <c r="DD171" s="239">
        <v>0</v>
      </c>
      <c r="DE171" s="239">
        <v>0</v>
      </c>
      <c r="DF171" s="239">
        <v>0</v>
      </c>
      <c r="DG171" s="239">
        <v>0</v>
      </c>
      <c r="DH171" s="239">
        <v>0</v>
      </c>
      <c r="DI171" s="239">
        <v>0</v>
      </c>
      <c r="DJ171" s="239">
        <v>-72328</v>
      </c>
      <c r="DK171" s="239">
        <v>0</v>
      </c>
      <c r="DL171" s="239">
        <v>-72328</v>
      </c>
      <c r="DM171" s="239">
        <v>-11842</v>
      </c>
      <c r="DN171" s="239">
        <v>0</v>
      </c>
      <c r="DO171" s="239">
        <v>-11842</v>
      </c>
      <c r="DP171" s="239">
        <v>-745</v>
      </c>
      <c r="DQ171" s="239">
        <v>0</v>
      </c>
      <c r="DR171" s="239">
        <v>-745</v>
      </c>
      <c r="DS171" s="239">
        <v>-7736</v>
      </c>
      <c r="DT171" s="239">
        <v>0</v>
      </c>
      <c r="DU171" s="239">
        <v>-7736</v>
      </c>
      <c r="DV171" s="239">
        <v>-14039</v>
      </c>
      <c r="DW171" s="239">
        <v>0</v>
      </c>
      <c r="DX171" s="239">
        <v>-14039</v>
      </c>
      <c r="DY171" s="239">
        <v>0</v>
      </c>
      <c r="DZ171" s="239">
        <v>0</v>
      </c>
      <c r="EA171" s="239">
        <v>0</v>
      </c>
      <c r="EB171" s="239">
        <v>0</v>
      </c>
      <c r="EC171" s="239">
        <v>0</v>
      </c>
      <c r="ED171" s="239">
        <v>0</v>
      </c>
      <c r="EE171" s="239">
        <v>0</v>
      </c>
      <c r="EF171" s="239">
        <v>0</v>
      </c>
      <c r="EG171" s="239">
        <v>0</v>
      </c>
      <c r="EH171" s="239">
        <v>0</v>
      </c>
      <c r="EI171" s="239">
        <v>0</v>
      </c>
      <c r="EJ171" s="239">
        <v>0</v>
      </c>
      <c r="EK171" s="239">
        <v>0</v>
      </c>
      <c r="EL171" s="239">
        <v>0</v>
      </c>
      <c r="EM171" s="239">
        <v>0</v>
      </c>
      <c r="EN171" s="239">
        <v>0</v>
      </c>
      <c r="EO171" s="239">
        <v>0</v>
      </c>
      <c r="EP171" s="239">
        <v>0</v>
      </c>
      <c r="EQ171" s="239">
        <v>-34362</v>
      </c>
      <c r="ER171" s="239">
        <v>0</v>
      </c>
      <c r="ES171" s="239">
        <v>-34362</v>
      </c>
      <c r="ET171" s="239">
        <v>0</v>
      </c>
      <c r="EU171" s="239">
        <v>0</v>
      </c>
      <c r="EV171" s="239">
        <v>0</v>
      </c>
      <c r="EW171" s="239">
        <v>0</v>
      </c>
      <c r="EX171" s="239">
        <v>0</v>
      </c>
      <c r="EY171" s="239">
        <v>0</v>
      </c>
      <c r="EZ171" s="239">
        <v>0</v>
      </c>
      <c r="FA171" s="239">
        <v>0</v>
      </c>
      <c r="FB171" s="239">
        <v>0</v>
      </c>
      <c r="FC171" s="239">
        <v>18075771</v>
      </c>
      <c r="FD171" s="239">
        <v>0</v>
      </c>
      <c r="FE171" s="239">
        <v>18075771</v>
      </c>
      <c r="FF171" s="239">
        <v>54917</v>
      </c>
      <c r="FG171" s="239">
        <v>0</v>
      </c>
      <c r="FH171" s="239">
        <v>54917</v>
      </c>
      <c r="FI171" s="239">
        <v>-3352069</v>
      </c>
      <c r="FJ171" s="239">
        <v>0</v>
      </c>
      <c r="FK171" s="239">
        <v>-3352069</v>
      </c>
      <c r="FL171" s="239">
        <v>-411490</v>
      </c>
      <c r="FM171" s="239">
        <v>0</v>
      </c>
      <c r="FN171" s="239">
        <v>-411490</v>
      </c>
      <c r="FO171" s="239">
        <v>-72328</v>
      </c>
      <c r="FP171" s="239">
        <v>0</v>
      </c>
      <c r="FQ171" s="239">
        <v>-72328</v>
      </c>
      <c r="FR171" s="239">
        <v>-34362</v>
      </c>
      <c r="FS171" s="239">
        <v>0</v>
      </c>
      <c r="FT171" s="239">
        <v>-34362</v>
      </c>
      <c r="FU171" s="239">
        <v>0</v>
      </c>
      <c r="FV171" s="239">
        <v>0</v>
      </c>
      <c r="FW171" s="239">
        <v>0</v>
      </c>
      <c r="FX171" s="239">
        <v>-3815332</v>
      </c>
      <c r="FY171" s="239">
        <v>0</v>
      </c>
      <c r="FZ171" s="239">
        <v>-3815332</v>
      </c>
      <c r="GA171" s="239">
        <v>14260439</v>
      </c>
      <c r="GB171" s="239">
        <v>0</v>
      </c>
      <c r="GC171" s="239">
        <v>14260439</v>
      </c>
      <c r="GD171" s="214" t="s">
        <v>1190</v>
      </c>
    </row>
    <row r="172" spans="1:186" s="214" customFormat="1" x14ac:dyDescent="0.2">
      <c r="B172" s="609" t="s">
        <v>426</v>
      </c>
      <c r="C172" s="609" t="s">
        <v>425</v>
      </c>
      <c r="D172" s="239">
        <v>0</v>
      </c>
      <c r="E172" s="239">
        <v>0</v>
      </c>
      <c r="F172" s="239">
        <v>0</v>
      </c>
      <c r="G172" s="239">
        <v>7564</v>
      </c>
      <c r="H172" s="239">
        <v>0</v>
      </c>
      <c r="I172" s="239">
        <v>7564</v>
      </c>
      <c r="J172" s="239">
        <v>0</v>
      </c>
      <c r="K172" s="239">
        <v>0</v>
      </c>
      <c r="L172" s="239">
        <v>0</v>
      </c>
      <c r="M172" s="239">
        <v>53883</v>
      </c>
      <c r="N172" s="239">
        <v>0</v>
      </c>
      <c r="O172" s="239">
        <v>53883</v>
      </c>
      <c r="P172" s="239">
        <v>61447</v>
      </c>
      <c r="Q172" s="239">
        <v>0</v>
      </c>
      <c r="R172" s="239">
        <v>61447</v>
      </c>
      <c r="S172" s="239">
        <v>-2167019</v>
      </c>
      <c r="T172" s="239">
        <v>0</v>
      </c>
      <c r="U172" s="239">
        <v>-2167019</v>
      </c>
      <c r="V172" s="239">
        <v>-12242</v>
      </c>
      <c r="W172" s="239">
        <v>0</v>
      </c>
      <c r="X172" s="239">
        <v>-12242</v>
      </c>
      <c r="Y172" s="239">
        <v>-151279</v>
      </c>
      <c r="Z172" s="239">
        <v>0</v>
      </c>
      <c r="AA172" s="239">
        <v>-151279</v>
      </c>
      <c r="AB172" s="239">
        <v>-101763</v>
      </c>
      <c r="AC172" s="239">
        <v>0</v>
      </c>
      <c r="AD172" s="239">
        <v>-101763</v>
      </c>
      <c r="AE172" s="239">
        <v>-654</v>
      </c>
      <c r="AF172" s="239">
        <v>0</v>
      </c>
      <c r="AG172" s="239">
        <v>-654</v>
      </c>
      <c r="AH172" s="239">
        <v>580149</v>
      </c>
      <c r="AI172" s="239">
        <v>0</v>
      </c>
      <c r="AJ172" s="239">
        <v>580149</v>
      </c>
      <c r="AK172" s="239">
        <v>12895</v>
      </c>
      <c r="AL172" s="239">
        <v>0</v>
      </c>
      <c r="AM172" s="239">
        <v>12895</v>
      </c>
      <c r="AN172" s="239">
        <v>-1095330</v>
      </c>
      <c r="AO172" s="239">
        <v>0</v>
      </c>
      <c r="AP172" s="239">
        <v>-1095330</v>
      </c>
      <c r="AQ172" s="239">
        <v>-22858</v>
      </c>
      <c r="AR172" s="239">
        <v>0</v>
      </c>
      <c r="AS172" s="239">
        <v>-22858</v>
      </c>
      <c r="AT172" s="239">
        <v>-39603</v>
      </c>
      <c r="AU172" s="239">
        <v>0</v>
      </c>
      <c r="AV172" s="239">
        <v>-39603</v>
      </c>
      <c r="AW172" s="239">
        <v>611</v>
      </c>
      <c r="AX172" s="239">
        <v>0</v>
      </c>
      <c r="AY172" s="239">
        <v>611</v>
      </c>
      <c r="AZ172" s="239">
        <v>-78031</v>
      </c>
      <c r="BA172" s="239">
        <v>0</v>
      </c>
      <c r="BB172" s="239">
        <v>-78031</v>
      </c>
      <c r="BC172" s="239">
        <v>1530</v>
      </c>
      <c r="BD172" s="239">
        <v>0</v>
      </c>
      <c r="BE172" s="239">
        <v>1530</v>
      </c>
      <c r="BF172" s="239">
        <v>-2958935</v>
      </c>
      <c r="BG172" s="239">
        <v>0</v>
      </c>
      <c r="BH172" s="239">
        <v>-2958935</v>
      </c>
      <c r="BI172" s="239">
        <v>-85025</v>
      </c>
      <c r="BJ172" s="239">
        <v>0</v>
      </c>
      <c r="BK172" s="239">
        <v>-85025</v>
      </c>
      <c r="BL172" s="239">
        <v>-8578</v>
      </c>
      <c r="BM172" s="239">
        <v>0</v>
      </c>
      <c r="BN172" s="239">
        <v>-8578</v>
      </c>
      <c r="BO172" s="239">
        <v>-581342</v>
      </c>
      <c r="BP172" s="239">
        <v>0</v>
      </c>
      <c r="BQ172" s="239">
        <v>-581342</v>
      </c>
      <c r="BR172" s="239">
        <v>-42746</v>
      </c>
      <c r="BS172" s="239">
        <v>0</v>
      </c>
      <c r="BT172" s="239">
        <v>-42746</v>
      </c>
      <c r="BU172" s="239">
        <v>-717691</v>
      </c>
      <c r="BV172" s="239">
        <v>0</v>
      </c>
      <c r="BW172" s="239">
        <v>-717691</v>
      </c>
      <c r="BX172" s="239">
        <v>-173084</v>
      </c>
      <c r="BY172" s="239">
        <v>0</v>
      </c>
      <c r="BZ172" s="239">
        <v>-173084</v>
      </c>
      <c r="CA172" s="239">
        <v>-154</v>
      </c>
      <c r="CB172" s="239">
        <v>0</v>
      </c>
      <c r="CC172" s="239">
        <v>-154</v>
      </c>
      <c r="CD172" s="239">
        <v>-94099</v>
      </c>
      <c r="CE172" s="239">
        <v>0</v>
      </c>
      <c r="CF172" s="239">
        <v>-94099</v>
      </c>
      <c r="CG172" s="239">
        <v>4479</v>
      </c>
      <c r="CH172" s="239">
        <v>0</v>
      </c>
      <c r="CI172" s="239">
        <v>4479</v>
      </c>
      <c r="CJ172" s="239">
        <v>-7311</v>
      </c>
      <c r="CK172" s="239">
        <v>0</v>
      </c>
      <c r="CL172" s="239">
        <v>-7311</v>
      </c>
      <c r="CM172" s="239">
        <v>0</v>
      </c>
      <c r="CN172" s="239">
        <v>0</v>
      </c>
      <c r="CO172" s="239">
        <v>0</v>
      </c>
      <c r="CP172" s="239">
        <v>-78030</v>
      </c>
      <c r="CQ172" s="239">
        <v>0</v>
      </c>
      <c r="CR172" s="239">
        <v>-78030</v>
      </c>
      <c r="CS172" s="239">
        <v>1530</v>
      </c>
      <c r="CT172" s="239">
        <v>0</v>
      </c>
      <c r="CU172" s="239">
        <v>1530</v>
      </c>
      <c r="CV172" s="239">
        <v>-66526</v>
      </c>
      <c r="CW172" s="239">
        <v>0</v>
      </c>
      <c r="CX172" s="239">
        <v>-66526</v>
      </c>
      <c r="CY172" s="239">
        <v>4832</v>
      </c>
      <c r="CZ172" s="239">
        <v>0</v>
      </c>
      <c r="DA172" s="239">
        <v>4832</v>
      </c>
      <c r="DB172" s="239">
        <v>0</v>
      </c>
      <c r="DC172" s="239">
        <v>0</v>
      </c>
      <c r="DD172" s="239">
        <v>0</v>
      </c>
      <c r="DE172" s="239">
        <v>0</v>
      </c>
      <c r="DF172" s="239">
        <v>0</v>
      </c>
      <c r="DG172" s="239">
        <v>0</v>
      </c>
      <c r="DH172" s="239">
        <v>0</v>
      </c>
      <c r="DI172" s="239">
        <v>0</v>
      </c>
      <c r="DJ172" s="239">
        <v>-408363</v>
      </c>
      <c r="DK172" s="239">
        <v>0</v>
      </c>
      <c r="DL172" s="239">
        <v>-408363</v>
      </c>
      <c r="DM172" s="239">
        <v>-7508</v>
      </c>
      <c r="DN172" s="239">
        <v>0</v>
      </c>
      <c r="DO172" s="239">
        <v>-7508</v>
      </c>
      <c r="DP172" s="239">
        <v>0</v>
      </c>
      <c r="DQ172" s="239">
        <v>0</v>
      </c>
      <c r="DR172" s="239">
        <v>0</v>
      </c>
      <c r="DS172" s="239">
        <v>-6964</v>
      </c>
      <c r="DT172" s="239">
        <v>0</v>
      </c>
      <c r="DU172" s="239">
        <v>-6964</v>
      </c>
      <c r="DV172" s="239">
        <v>-72</v>
      </c>
      <c r="DW172" s="239">
        <v>0</v>
      </c>
      <c r="DX172" s="239">
        <v>-72</v>
      </c>
      <c r="DY172" s="239">
        <v>0</v>
      </c>
      <c r="DZ172" s="239">
        <v>0</v>
      </c>
      <c r="EA172" s="239">
        <v>0</v>
      </c>
      <c r="EB172" s="239">
        <v>6556</v>
      </c>
      <c r="EC172" s="239">
        <v>0</v>
      </c>
      <c r="ED172" s="239">
        <v>6556</v>
      </c>
      <c r="EE172" s="239">
        <v>0</v>
      </c>
      <c r="EF172" s="239">
        <v>0</v>
      </c>
      <c r="EG172" s="239">
        <v>0</v>
      </c>
      <c r="EH172" s="239">
        <v>0</v>
      </c>
      <c r="EI172" s="239">
        <v>0</v>
      </c>
      <c r="EJ172" s="239">
        <v>0</v>
      </c>
      <c r="EK172" s="239">
        <v>0</v>
      </c>
      <c r="EL172" s="239">
        <v>0</v>
      </c>
      <c r="EM172" s="239">
        <v>0</v>
      </c>
      <c r="EN172" s="239">
        <v>0</v>
      </c>
      <c r="EO172" s="239">
        <v>0</v>
      </c>
      <c r="EP172" s="239">
        <v>0</v>
      </c>
      <c r="EQ172" s="239">
        <v>-7988</v>
      </c>
      <c r="ER172" s="239">
        <v>0</v>
      </c>
      <c r="ES172" s="239">
        <v>-7988</v>
      </c>
      <c r="ET172" s="239">
        <v>0</v>
      </c>
      <c r="EU172" s="239">
        <v>0</v>
      </c>
      <c r="EV172" s="239">
        <v>0</v>
      </c>
      <c r="EW172" s="239">
        <v>0</v>
      </c>
      <c r="EX172" s="239">
        <v>0</v>
      </c>
      <c r="EY172" s="239">
        <v>0</v>
      </c>
      <c r="EZ172" s="239">
        <v>0</v>
      </c>
      <c r="FA172" s="239">
        <v>0</v>
      </c>
      <c r="FB172" s="239">
        <v>0</v>
      </c>
      <c r="FC172" s="239">
        <v>26599326</v>
      </c>
      <c r="FD172" s="239">
        <v>0</v>
      </c>
      <c r="FE172" s="239">
        <v>26599326</v>
      </c>
      <c r="FF172" s="239">
        <v>61447</v>
      </c>
      <c r="FG172" s="239">
        <v>0</v>
      </c>
      <c r="FH172" s="239">
        <v>61447</v>
      </c>
      <c r="FI172" s="239">
        <v>-2958935</v>
      </c>
      <c r="FJ172" s="239">
        <v>0</v>
      </c>
      <c r="FK172" s="239">
        <v>-2958935</v>
      </c>
      <c r="FL172" s="239">
        <v>-717691</v>
      </c>
      <c r="FM172" s="239">
        <v>0</v>
      </c>
      <c r="FN172" s="239">
        <v>-717691</v>
      </c>
      <c r="FO172" s="239">
        <v>-408363</v>
      </c>
      <c r="FP172" s="239">
        <v>0</v>
      </c>
      <c r="FQ172" s="239">
        <v>-408363</v>
      </c>
      <c r="FR172" s="239">
        <v>-7988</v>
      </c>
      <c r="FS172" s="239">
        <v>0</v>
      </c>
      <c r="FT172" s="239">
        <v>-7988</v>
      </c>
      <c r="FU172" s="239">
        <v>0</v>
      </c>
      <c r="FV172" s="239">
        <v>0</v>
      </c>
      <c r="FW172" s="239">
        <v>0</v>
      </c>
      <c r="FX172" s="239">
        <v>-4031530</v>
      </c>
      <c r="FY172" s="239">
        <v>0</v>
      </c>
      <c r="FZ172" s="239">
        <v>-4031530</v>
      </c>
      <c r="GA172" s="239">
        <v>22567796</v>
      </c>
      <c r="GB172" s="239">
        <v>0</v>
      </c>
      <c r="GC172" s="239">
        <v>22567796</v>
      </c>
      <c r="GD172" s="214" t="s">
        <v>1190</v>
      </c>
    </row>
    <row r="173" spans="1:186" s="214" customFormat="1" x14ac:dyDescent="0.2">
      <c r="B173" s="609" t="s">
        <v>428</v>
      </c>
      <c r="C173" s="609" t="s">
        <v>427</v>
      </c>
      <c r="D173" s="239">
        <v>0</v>
      </c>
      <c r="E173" s="239">
        <v>0</v>
      </c>
      <c r="F173" s="239">
        <v>0</v>
      </c>
      <c r="G173" s="239">
        <v>-221275</v>
      </c>
      <c r="H173" s="239">
        <v>0</v>
      </c>
      <c r="I173" s="239">
        <v>-221275</v>
      </c>
      <c r="J173" s="239">
        <v>0</v>
      </c>
      <c r="K173" s="239">
        <v>0</v>
      </c>
      <c r="L173" s="239">
        <v>0</v>
      </c>
      <c r="M173" s="239">
        <v>43566</v>
      </c>
      <c r="N173" s="239">
        <v>0</v>
      </c>
      <c r="O173" s="239">
        <v>43566</v>
      </c>
      <c r="P173" s="239">
        <v>-177709</v>
      </c>
      <c r="Q173" s="239">
        <v>0</v>
      </c>
      <c r="R173" s="239">
        <v>-177709</v>
      </c>
      <c r="S173" s="239">
        <v>-2691545</v>
      </c>
      <c r="T173" s="239">
        <v>0</v>
      </c>
      <c r="U173" s="239">
        <v>-2691545</v>
      </c>
      <c r="V173" s="239">
        <v>0</v>
      </c>
      <c r="W173" s="239">
        <v>0</v>
      </c>
      <c r="X173" s="239">
        <v>0</v>
      </c>
      <c r="Y173" s="239">
        <v>-151848</v>
      </c>
      <c r="Z173" s="239">
        <v>0</v>
      </c>
      <c r="AA173" s="239">
        <v>-151848</v>
      </c>
      <c r="AB173" s="239">
        <v>-107666</v>
      </c>
      <c r="AC173" s="239">
        <v>0</v>
      </c>
      <c r="AD173" s="239">
        <v>-107666</v>
      </c>
      <c r="AE173" s="239">
        <v>0</v>
      </c>
      <c r="AF173" s="239">
        <v>0</v>
      </c>
      <c r="AG173" s="239">
        <v>0</v>
      </c>
      <c r="AH173" s="239">
        <v>1173524</v>
      </c>
      <c r="AI173" s="239">
        <v>0</v>
      </c>
      <c r="AJ173" s="239">
        <v>1173524</v>
      </c>
      <c r="AK173" s="239">
        <v>-15030</v>
      </c>
      <c r="AL173" s="239">
        <v>0</v>
      </c>
      <c r="AM173" s="239">
        <v>-15030</v>
      </c>
      <c r="AN173" s="239">
        <v>-3750003</v>
      </c>
      <c r="AO173" s="239">
        <v>0</v>
      </c>
      <c r="AP173" s="239">
        <v>-3750003</v>
      </c>
      <c r="AQ173" s="239">
        <v>-46486</v>
      </c>
      <c r="AR173" s="239">
        <v>0</v>
      </c>
      <c r="AS173" s="239">
        <v>-46486</v>
      </c>
      <c r="AT173" s="239">
        <v>-55644</v>
      </c>
      <c r="AU173" s="239">
        <v>0</v>
      </c>
      <c r="AV173" s="239">
        <v>-55644</v>
      </c>
      <c r="AW173" s="239">
        <v>5022</v>
      </c>
      <c r="AX173" s="239">
        <v>0</v>
      </c>
      <c r="AY173" s="239">
        <v>5022</v>
      </c>
      <c r="AZ173" s="239">
        <v>-5194</v>
      </c>
      <c r="BA173" s="239">
        <v>0</v>
      </c>
      <c r="BB173" s="239">
        <v>-5194</v>
      </c>
      <c r="BC173" s="239">
        <v>0</v>
      </c>
      <c r="BD173" s="239">
        <v>0</v>
      </c>
      <c r="BE173" s="239">
        <v>0</v>
      </c>
      <c r="BF173" s="239">
        <v>-5537204</v>
      </c>
      <c r="BG173" s="239">
        <v>0</v>
      </c>
      <c r="BH173" s="239">
        <v>-5537204</v>
      </c>
      <c r="BI173" s="239">
        <v>-8961</v>
      </c>
      <c r="BJ173" s="239">
        <v>0</v>
      </c>
      <c r="BK173" s="239">
        <v>-8961</v>
      </c>
      <c r="BL173" s="239">
        <v>0</v>
      </c>
      <c r="BM173" s="239">
        <v>0</v>
      </c>
      <c r="BN173" s="239">
        <v>0</v>
      </c>
      <c r="BO173" s="239">
        <v>-990185</v>
      </c>
      <c r="BP173" s="239">
        <v>0</v>
      </c>
      <c r="BQ173" s="239">
        <v>-990185</v>
      </c>
      <c r="BR173" s="239">
        <v>-144257</v>
      </c>
      <c r="BS173" s="239">
        <v>0</v>
      </c>
      <c r="BT173" s="239">
        <v>-144257</v>
      </c>
      <c r="BU173" s="239">
        <v>-1143403</v>
      </c>
      <c r="BV173" s="239">
        <v>0</v>
      </c>
      <c r="BW173" s="239">
        <v>-1143403</v>
      </c>
      <c r="BX173" s="239">
        <v>-65827</v>
      </c>
      <c r="BY173" s="239">
        <v>0</v>
      </c>
      <c r="BZ173" s="239">
        <v>-65827</v>
      </c>
      <c r="CA173" s="239">
        <v>1063</v>
      </c>
      <c r="CB173" s="239">
        <v>0</v>
      </c>
      <c r="CC173" s="239">
        <v>1063</v>
      </c>
      <c r="CD173" s="239">
        <v>-717232</v>
      </c>
      <c r="CE173" s="239">
        <v>0</v>
      </c>
      <c r="CF173" s="239">
        <v>-717232</v>
      </c>
      <c r="CG173" s="239">
        <v>11243</v>
      </c>
      <c r="CH173" s="239">
        <v>0</v>
      </c>
      <c r="CI173" s="239">
        <v>11243</v>
      </c>
      <c r="CJ173" s="239">
        <v>-4393</v>
      </c>
      <c r="CK173" s="239">
        <v>0</v>
      </c>
      <c r="CL173" s="239">
        <v>-4393</v>
      </c>
      <c r="CM173" s="239">
        <v>0</v>
      </c>
      <c r="CN173" s="239">
        <v>0</v>
      </c>
      <c r="CO173" s="239">
        <v>0</v>
      </c>
      <c r="CP173" s="239">
        <v>-5194</v>
      </c>
      <c r="CQ173" s="239">
        <v>0</v>
      </c>
      <c r="CR173" s="239">
        <v>-5194</v>
      </c>
      <c r="CS173" s="239">
        <v>0</v>
      </c>
      <c r="CT173" s="239">
        <v>0</v>
      </c>
      <c r="CU173" s="239">
        <v>0</v>
      </c>
      <c r="CV173" s="239">
        <v>0</v>
      </c>
      <c r="CW173" s="239">
        <v>0</v>
      </c>
      <c r="CX173" s="239">
        <v>0</v>
      </c>
      <c r="CY173" s="239">
        <v>0</v>
      </c>
      <c r="CZ173" s="239">
        <v>0</v>
      </c>
      <c r="DA173" s="239">
        <v>0</v>
      </c>
      <c r="DB173" s="239">
        <v>0</v>
      </c>
      <c r="DC173" s="239">
        <v>0</v>
      </c>
      <c r="DD173" s="239">
        <v>0</v>
      </c>
      <c r="DE173" s="239">
        <v>0</v>
      </c>
      <c r="DF173" s="239">
        <v>0</v>
      </c>
      <c r="DG173" s="239">
        <v>0</v>
      </c>
      <c r="DH173" s="239">
        <v>0</v>
      </c>
      <c r="DI173" s="239">
        <v>0</v>
      </c>
      <c r="DJ173" s="239">
        <v>-780340</v>
      </c>
      <c r="DK173" s="239">
        <v>0</v>
      </c>
      <c r="DL173" s="239">
        <v>-780340</v>
      </c>
      <c r="DM173" s="239">
        <v>-10819</v>
      </c>
      <c r="DN173" s="239">
        <v>0</v>
      </c>
      <c r="DO173" s="239">
        <v>-10819</v>
      </c>
      <c r="DP173" s="239">
        <v>-8904</v>
      </c>
      <c r="DQ173" s="239">
        <v>0</v>
      </c>
      <c r="DR173" s="239">
        <v>-8904</v>
      </c>
      <c r="DS173" s="239">
        <v>-19123</v>
      </c>
      <c r="DT173" s="239">
        <v>0</v>
      </c>
      <c r="DU173" s="239">
        <v>-19123</v>
      </c>
      <c r="DV173" s="239">
        <v>-9850</v>
      </c>
      <c r="DW173" s="239">
        <v>0</v>
      </c>
      <c r="DX173" s="239">
        <v>-9850</v>
      </c>
      <c r="DY173" s="239">
        <v>0</v>
      </c>
      <c r="DZ173" s="239">
        <v>0</v>
      </c>
      <c r="EA173" s="239">
        <v>0</v>
      </c>
      <c r="EB173" s="239">
        <v>-13167</v>
      </c>
      <c r="EC173" s="239">
        <v>0</v>
      </c>
      <c r="ED173" s="239">
        <v>-13167</v>
      </c>
      <c r="EE173" s="239">
        <v>0</v>
      </c>
      <c r="EF173" s="239">
        <v>0</v>
      </c>
      <c r="EG173" s="239">
        <v>0</v>
      </c>
      <c r="EH173" s="239">
        <v>0</v>
      </c>
      <c r="EI173" s="239">
        <v>0</v>
      </c>
      <c r="EJ173" s="239">
        <v>0</v>
      </c>
      <c r="EK173" s="239">
        <v>-8149</v>
      </c>
      <c r="EL173" s="239">
        <v>0</v>
      </c>
      <c r="EM173" s="239">
        <v>-8149</v>
      </c>
      <c r="EN173" s="239">
        <v>-240</v>
      </c>
      <c r="EO173" s="239">
        <v>0</v>
      </c>
      <c r="EP173" s="239">
        <v>-240</v>
      </c>
      <c r="EQ173" s="239">
        <v>-70252</v>
      </c>
      <c r="ER173" s="239">
        <v>0</v>
      </c>
      <c r="ES173" s="239">
        <v>-70252</v>
      </c>
      <c r="ET173" s="239">
        <v>-19081</v>
      </c>
      <c r="EU173" s="239">
        <v>0</v>
      </c>
      <c r="EV173" s="239">
        <v>-19081</v>
      </c>
      <c r="EW173" s="239">
        <v>0</v>
      </c>
      <c r="EX173" s="239">
        <v>0</v>
      </c>
      <c r="EY173" s="239">
        <v>0</v>
      </c>
      <c r="EZ173" s="239">
        <v>-19081</v>
      </c>
      <c r="FA173" s="239">
        <v>0</v>
      </c>
      <c r="FB173" s="239">
        <v>-19081</v>
      </c>
      <c r="FC173" s="239">
        <v>51724157</v>
      </c>
      <c r="FD173" s="239">
        <v>0</v>
      </c>
      <c r="FE173" s="239">
        <v>51724157</v>
      </c>
      <c r="FF173" s="239">
        <v>-177709</v>
      </c>
      <c r="FG173" s="239">
        <v>0</v>
      </c>
      <c r="FH173" s="239">
        <v>-177709</v>
      </c>
      <c r="FI173" s="239">
        <v>-5537204</v>
      </c>
      <c r="FJ173" s="239">
        <v>0</v>
      </c>
      <c r="FK173" s="239">
        <v>-5537204</v>
      </c>
      <c r="FL173" s="239">
        <v>-1143403</v>
      </c>
      <c r="FM173" s="239">
        <v>0</v>
      </c>
      <c r="FN173" s="239">
        <v>-1143403</v>
      </c>
      <c r="FO173" s="239">
        <v>-780340</v>
      </c>
      <c r="FP173" s="239">
        <v>0</v>
      </c>
      <c r="FQ173" s="239">
        <v>-780340</v>
      </c>
      <c r="FR173" s="239">
        <v>-70252</v>
      </c>
      <c r="FS173" s="239">
        <v>0</v>
      </c>
      <c r="FT173" s="239">
        <v>-70252</v>
      </c>
      <c r="FU173" s="239">
        <v>-19081</v>
      </c>
      <c r="FV173" s="239">
        <v>0</v>
      </c>
      <c r="FW173" s="239">
        <v>-19081</v>
      </c>
      <c r="FX173" s="239">
        <v>-7727989</v>
      </c>
      <c r="FY173" s="239">
        <v>0</v>
      </c>
      <c r="FZ173" s="239">
        <v>-7727989</v>
      </c>
      <c r="GA173" s="239">
        <v>43996168</v>
      </c>
      <c r="GB173" s="239">
        <v>0</v>
      </c>
      <c r="GC173" s="239">
        <v>43996168</v>
      </c>
      <c r="GD173" s="214" t="s">
        <v>1190</v>
      </c>
    </row>
    <row r="174" spans="1:186" s="214" customFormat="1" x14ac:dyDescent="0.2">
      <c r="B174" s="609" t="s">
        <v>430</v>
      </c>
      <c r="C174" s="609" t="s">
        <v>429</v>
      </c>
      <c r="D174" s="239">
        <v>0</v>
      </c>
      <c r="E174" s="239">
        <v>0</v>
      </c>
      <c r="F174" s="239">
        <v>0</v>
      </c>
      <c r="G174" s="239">
        <v>159481</v>
      </c>
      <c r="H174" s="239">
        <v>0</v>
      </c>
      <c r="I174" s="239">
        <v>159481</v>
      </c>
      <c r="J174" s="239">
        <v>0</v>
      </c>
      <c r="K174" s="239">
        <v>0</v>
      </c>
      <c r="L174" s="239">
        <v>0</v>
      </c>
      <c r="M174" s="239">
        <v>222015</v>
      </c>
      <c r="N174" s="239">
        <v>1719</v>
      </c>
      <c r="O174" s="239">
        <v>223734</v>
      </c>
      <c r="P174" s="239">
        <v>381496</v>
      </c>
      <c r="Q174" s="239">
        <v>1719</v>
      </c>
      <c r="R174" s="239">
        <v>383215</v>
      </c>
      <c r="S174" s="239">
        <v>-2186704</v>
      </c>
      <c r="T174" s="239">
        <v>-119915</v>
      </c>
      <c r="U174" s="239">
        <v>-2306619</v>
      </c>
      <c r="V174" s="239">
        <v>0</v>
      </c>
      <c r="W174" s="239">
        <v>0</v>
      </c>
      <c r="X174" s="239">
        <v>0</v>
      </c>
      <c r="Y174" s="239">
        <v>-51308</v>
      </c>
      <c r="Z174" s="239">
        <v>2348</v>
      </c>
      <c r="AA174" s="239">
        <v>-48960</v>
      </c>
      <c r="AB174" s="239">
        <v>-17417</v>
      </c>
      <c r="AC174" s="239">
        <v>2560</v>
      </c>
      <c r="AD174" s="239">
        <v>-14857</v>
      </c>
      <c r="AE174" s="239">
        <v>0</v>
      </c>
      <c r="AF174" s="239">
        <v>0</v>
      </c>
      <c r="AG174" s="239">
        <v>0</v>
      </c>
      <c r="AH174" s="239">
        <v>1132641</v>
      </c>
      <c r="AI174" s="239">
        <v>103658</v>
      </c>
      <c r="AJ174" s="239">
        <v>1236299</v>
      </c>
      <c r="AK174" s="239">
        <v>84103</v>
      </c>
      <c r="AL174" s="239">
        <v>88</v>
      </c>
      <c r="AM174" s="239">
        <v>84191</v>
      </c>
      <c r="AN174" s="239">
        <v>-5764870</v>
      </c>
      <c r="AO174" s="239">
        <v>-140418</v>
      </c>
      <c r="AP174" s="239">
        <v>-5905288</v>
      </c>
      <c r="AQ174" s="239">
        <v>-181162</v>
      </c>
      <c r="AR174" s="239">
        <v>27546</v>
      </c>
      <c r="AS174" s="239">
        <v>-153616</v>
      </c>
      <c r="AT174" s="239">
        <v>-24921</v>
      </c>
      <c r="AU174" s="239">
        <v>0</v>
      </c>
      <c r="AV174" s="239">
        <v>-24921</v>
      </c>
      <c r="AW174" s="239">
        <v>0</v>
      </c>
      <c r="AX174" s="239">
        <v>0</v>
      </c>
      <c r="AY174" s="239">
        <v>0</v>
      </c>
      <c r="AZ174" s="239">
        <v>0</v>
      </c>
      <c r="BA174" s="239">
        <v>0</v>
      </c>
      <c r="BB174" s="239">
        <v>0</v>
      </c>
      <c r="BC174" s="239">
        <v>0</v>
      </c>
      <c r="BD174" s="239">
        <v>0</v>
      </c>
      <c r="BE174" s="239">
        <v>0</v>
      </c>
      <c r="BF174" s="239">
        <v>-6992221</v>
      </c>
      <c r="BG174" s="239">
        <v>-126693</v>
      </c>
      <c r="BH174" s="239">
        <v>-7118914</v>
      </c>
      <c r="BI174" s="239">
        <v>-83759</v>
      </c>
      <c r="BJ174" s="239">
        <v>-5065</v>
      </c>
      <c r="BK174" s="239">
        <v>-88824</v>
      </c>
      <c r="BL174" s="239">
        <v>6376</v>
      </c>
      <c r="BM174" s="239">
        <v>-5010</v>
      </c>
      <c r="BN174" s="239">
        <v>1366</v>
      </c>
      <c r="BO174" s="239">
        <v>-1609697</v>
      </c>
      <c r="BP174" s="239">
        <v>-455055</v>
      </c>
      <c r="BQ174" s="239">
        <v>-2064752</v>
      </c>
      <c r="BR174" s="239">
        <v>-119166</v>
      </c>
      <c r="BS174" s="239">
        <v>-29856</v>
      </c>
      <c r="BT174" s="239">
        <v>-149022</v>
      </c>
      <c r="BU174" s="239">
        <v>-1806246</v>
      </c>
      <c r="BV174" s="239">
        <v>-494986</v>
      </c>
      <c r="BW174" s="239">
        <v>-2301232</v>
      </c>
      <c r="BX174" s="239">
        <v>-8946</v>
      </c>
      <c r="BY174" s="239">
        <v>0</v>
      </c>
      <c r="BZ174" s="239">
        <v>-8946</v>
      </c>
      <c r="CA174" s="239">
        <v>0</v>
      </c>
      <c r="CB174" s="239">
        <v>0</v>
      </c>
      <c r="CC174" s="239">
        <v>0</v>
      </c>
      <c r="CD174" s="239">
        <v>-37507</v>
      </c>
      <c r="CE174" s="239">
        <v>-7503</v>
      </c>
      <c r="CF174" s="239">
        <v>-45010</v>
      </c>
      <c r="CG174" s="239">
        <v>-14420</v>
      </c>
      <c r="CH174" s="239">
        <v>0</v>
      </c>
      <c r="CI174" s="239">
        <v>-14420</v>
      </c>
      <c r="CJ174" s="239">
        <v>0</v>
      </c>
      <c r="CK174" s="239">
        <v>0</v>
      </c>
      <c r="CL174" s="239">
        <v>0</v>
      </c>
      <c r="CM174" s="239">
        <v>0</v>
      </c>
      <c r="CN174" s="239">
        <v>0</v>
      </c>
      <c r="CO174" s="239">
        <v>0</v>
      </c>
      <c r="CP174" s="239">
        <v>0</v>
      </c>
      <c r="CQ174" s="239">
        <v>0</v>
      </c>
      <c r="CR174" s="239">
        <v>0</v>
      </c>
      <c r="CS174" s="239">
        <v>0</v>
      </c>
      <c r="CT174" s="239">
        <v>0</v>
      </c>
      <c r="CU174" s="239">
        <v>0</v>
      </c>
      <c r="CV174" s="239">
        <v>0</v>
      </c>
      <c r="CW174" s="239">
        <v>0</v>
      </c>
      <c r="CX174" s="239">
        <v>0</v>
      </c>
      <c r="CY174" s="239">
        <v>0</v>
      </c>
      <c r="CZ174" s="239">
        <v>0</v>
      </c>
      <c r="DA174" s="239">
        <v>0</v>
      </c>
      <c r="DB174" s="239">
        <v>0</v>
      </c>
      <c r="DC174" s="239">
        <v>0</v>
      </c>
      <c r="DD174" s="239">
        <v>0</v>
      </c>
      <c r="DE174" s="239">
        <v>0</v>
      </c>
      <c r="DF174" s="239">
        <v>0</v>
      </c>
      <c r="DG174" s="239">
        <v>0</v>
      </c>
      <c r="DH174" s="239">
        <v>0</v>
      </c>
      <c r="DI174" s="239">
        <v>0</v>
      </c>
      <c r="DJ174" s="239">
        <v>-60873</v>
      </c>
      <c r="DK174" s="239">
        <v>-7503</v>
      </c>
      <c r="DL174" s="239">
        <v>-68376</v>
      </c>
      <c r="DM174" s="239">
        <v>0</v>
      </c>
      <c r="DN174" s="239">
        <v>0</v>
      </c>
      <c r="DO174" s="239">
        <v>0</v>
      </c>
      <c r="DP174" s="239">
        <v>0</v>
      </c>
      <c r="DQ174" s="239">
        <v>0</v>
      </c>
      <c r="DR174" s="239">
        <v>0</v>
      </c>
      <c r="DS174" s="239">
        <v>-7020</v>
      </c>
      <c r="DT174" s="239">
        <v>-29705</v>
      </c>
      <c r="DU174" s="239">
        <v>-36725</v>
      </c>
      <c r="DV174" s="239">
        <v>0</v>
      </c>
      <c r="DW174" s="239">
        <v>-2836</v>
      </c>
      <c r="DX174" s="239">
        <v>-2836</v>
      </c>
      <c r="DY174" s="239">
        <v>0</v>
      </c>
      <c r="DZ174" s="239">
        <v>0</v>
      </c>
      <c r="EA174" s="239">
        <v>0</v>
      </c>
      <c r="EB174" s="239">
        <v>-21444</v>
      </c>
      <c r="EC174" s="239">
        <v>2811</v>
      </c>
      <c r="ED174" s="239">
        <v>-18633</v>
      </c>
      <c r="EE174" s="239">
        <v>0</v>
      </c>
      <c r="EF174" s="239">
        <v>0</v>
      </c>
      <c r="EG174" s="239">
        <v>0</v>
      </c>
      <c r="EH174" s="239">
        <v>0</v>
      </c>
      <c r="EI174" s="239">
        <v>0</v>
      </c>
      <c r="EJ174" s="239">
        <v>0</v>
      </c>
      <c r="EK174" s="239">
        <v>-2557</v>
      </c>
      <c r="EL174" s="239">
        <v>0</v>
      </c>
      <c r="EM174" s="239">
        <v>-2557</v>
      </c>
      <c r="EN174" s="239">
        <v>-3220</v>
      </c>
      <c r="EO174" s="239">
        <v>0</v>
      </c>
      <c r="EP174" s="239">
        <v>-3220</v>
      </c>
      <c r="EQ174" s="239">
        <v>-34241</v>
      </c>
      <c r="ER174" s="239">
        <v>-29730</v>
      </c>
      <c r="ES174" s="239">
        <v>-63971</v>
      </c>
      <c r="ET174" s="239">
        <v>-165512</v>
      </c>
      <c r="EU174" s="239">
        <v>-7865</v>
      </c>
      <c r="EV174" s="239">
        <v>-173377</v>
      </c>
      <c r="EW174" s="239">
        <v>533469</v>
      </c>
      <c r="EX174" s="239">
        <v>-725</v>
      </c>
      <c r="EY174" s="239">
        <v>532744</v>
      </c>
      <c r="EZ174" s="239">
        <v>367957</v>
      </c>
      <c r="FA174" s="239">
        <v>-8590</v>
      </c>
      <c r="FB174" s="239">
        <v>359367</v>
      </c>
      <c r="FC174" s="239">
        <v>47047891</v>
      </c>
      <c r="FD174" s="239">
        <v>4238433</v>
      </c>
      <c r="FE174" s="239">
        <v>51286324</v>
      </c>
      <c r="FF174" s="239">
        <v>381496</v>
      </c>
      <c r="FG174" s="239">
        <v>1719</v>
      </c>
      <c r="FH174" s="239">
        <v>383215</v>
      </c>
      <c r="FI174" s="239">
        <v>-6992221</v>
      </c>
      <c r="FJ174" s="239">
        <v>-126693</v>
      </c>
      <c r="FK174" s="239">
        <v>-7118914</v>
      </c>
      <c r="FL174" s="239">
        <v>-1806246</v>
      </c>
      <c r="FM174" s="239">
        <v>-494986</v>
      </c>
      <c r="FN174" s="239">
        <v>-2301232</v>
      </c>
      <c r="FO174" s="239">
        <v>-60873</v>
      </c>
      <c r="FP174" s="239">
        <v>-7503</v>
      </c>
      <c r="FQ174" s="239">
        <v>-68376</v>
      </c>
      <c r="FR174" s="239">
        <v>-34241</v>
      </c>
      <c r="FS174" s="239">
        <v>-29730</v>
      </c>
      <c r="FT174" s="239">
        <v>-63971</v>
      </c>
      <c r="FU174" s="239">
        <v>367957</v>
      </c>
      <c r="FV174" s="239">
        <v>-8590</v>
      </c>
      <c r="FW174" s="239">
        <v>359367</v>
      </c>
      <c r="FX174" s="239">
        <v>-8144128</v>
      </c>
      <c r="FY174" s="239">
        <v>-665783</v>
      </c>
      <c r="FZ174" s="239">
        <v>-8809911</v>
      </c>
      <c r="GA174" s="239">
        <v>38903763</v>
      </c>
      <c r="GB174" s="239">
        <v>3572650</v>
      </c>
      <c r="GC174" s="239">
        <v>42476413</v>
      </c>
      <c r="GD174" s="214" t="s">
        <v>747</v>
      </c>
    </row>
    <row r="175" spans="1:186" s="214" customFormat="1" x14ac:dyDescent="0.2">
      <c r="B175" s="609" t="s">
        <v>432</v>
      </c>
      <c r="C175" s="609" t="s">
        <v>431</v>
      </c>
      <c r="D175" s="239">
        <v>0</v>
      </c>
      <c r="E175" s="239">
        <v>0</v>
      </c>
      <c r="F175" s="239">
        <v>0</v>
      </c>
      <c r="G175" s="239">
        <v>-115459</v>
      </c>
      <c r="H175" s="239">
        <v>0</v>
      </c>
      <c r="I175" s="239">
        <v>-115459</v>
      </c>
      <c r="J175" s="239">
        <v>0</v>
      </c>
      <c r="K175" s="239">
        <v>0</v>
      </c>
      <c r="L175" s="239">
        <v>0</v>
      </c>
      <c r="M175" s="239">
        <v>0</v>
      </c>
      <c r="N175" s="239">
        <v>0</v>
      </c>
      <c r="O175" s="239">
        <v>0</v>
      </c>
      <c r="P175" s="239">
        <v>-115459</v>
      </c>
      <c r="Q175" s="239">
        <v>0</v>
      </c>
      <c r="R175" s="239">
        <v>-115459</v>
      </c>
      <c r="S175" s="239">
        <v>-3900330</v>
      </c>
      <c r="T175" s="239">
        <v>0</v>
      </c>
      <c r="U175" s="239">
        <v>-3900330</v>
      </c>
      <c r="V175" s="239">
        <v>-14358</v>
      </c>
      <c r="W175" s="239">
        <v>0</v>
      </c>
      <c r="X175" s="239">
        <v>-14358</v>
      </c>
      <c r="Y175" s="239">
        <v>-243299</v>
      </c>
      <c r="Z175" s="239">
        <v>0</v>
      </c>
      <c r="AA175" s="239">
        <v>-243299</v>
      </c>
      <c r="AB175" s="239">
        <v>-240405</v>
      </c>
      <c r="AC175" s="239">
        <v>0</v>
      </c>
      <c r="AD175" s="239">
        <v>-240405</v>
      </c>
      <c r="AE175" s="239">
        <v>-2894</v>
      </c>
      <c r="AF175" s="239">
        <v>0</v>
      </c>
      <c r="AG175" s="239">
        <v>-2894</v>
      </c>
      <c r="AH175" s="239">
        <v>4523344</v>
      </c>
      <c r="AI175" s="239">
        <v>0</v>
      </c>
      <c r="AJ175" s="239">
        <v>4523344</v>
      </c>
      <c r="AK175" s="239">
        <v>8891</v>
      </c>
      <c r="AL175" s="239">
        <v>0</v>
      </c>
      <c r="AM175" s="239">
        <v>8891</v>
      </c>
      <c r="AN175" s="239">
        <v>-8849998</v>
      </c>
      <c r="AO175" s="239">
        <v>0</v>
      </c>
      <c r="AP175" s="239">
        <v>-8849998</v>
      </c>
      <c r="AQ175" s="239">
        <v>-58393</v>
      </c>
      <c r="AR175" s="239">
        <v>0</v>
      </c>
      <c r="AS175" s="239">
        <v>-58393</v>
      </c>
      <c r="AT175" s="239">
        <v>-55912</v>
      </c>
      <c r="AU175" s="239">
        <v>0</v>
      </c>
      <c r="AV175" s="239">
        <v>-55912</v>
      </c>
      <c r="AW175" s="239">
        <v>0</v>
      </c>
      <c r="AX175" s="239">
        <v>0</v>
      </c>
      <c r="AY175" s="239">
        <v>0</v>
      </c>
      <c r="AZ175" s="239">
        <v>-13287</v>
      </c>
      <c r="BA175" s="239">
        <v>0</v>
      </c>
      <c r="BB175" s="239">
        <v>-13287</v>
      </c>
      <c r="BC175" s="239">
        <v>-1027</v>
      </c>
      <c r="BD175" s="239">
        <v>0</v>
      </c>
      <c r="BE175" s="239">
        <v>-1027</v>
      </c>
      <c r="BF175" s="239">
        <v>-8590011</v>
      </c>
      <c r="BG175" s="239">
        <v>0</v>
      </c>
      <c r="BH175" s="239">
        <v>-8590011</v>
      </c>
      <c r="BI175" s="239">
        <v>-639</v>
      </c>
      <c r="BJ175" s="239">
        <v>0</v>
      </c>
      <c r="BK175" s="239">
        <v>-639</v>
      </c>
      <c r="BL175" s="239">
        <v>0</v>
      </c>
      <c r="BM175" s="239">
        <v>0</v>
      </c>
      <c r="BN175" s="239">
        <v>0</v>
      </c>
      <c r="BO175" s="239">
        <v>-6031822</v>
      </c>
      <c r="BP175" s="239">
        <v>0</v>
      </c>
      <c r="BQ175" s="239">
        <v>-6031822</v>
      </c>
      <c r="BR175" s="239">
        <v>-1317900</v>
      </c>
      <c r="BS175" s="239">
        <v>0</v>
      </c>
      <c r="BT175" s="239">
        <v>-1317900</v>
      </c>
      <c r="BU175" s="239">
        <v>-7350361</v>
      </c>
      <c r="BV175" s="239">
        <v>0</v>
      </c>
      <c r="BW175" s="239">
        <v>-7350361</v>
      </c>
      <c r="BX175" s="239">
        <v>-499045</v>
      </c>
      <c r="BY175" s="239">
        <v>0</v>
      </c>
      <c r="BZ175" s="239">
        <v>-499045</v>
      </c>
      <c r="CA175" s="239">
        <v>-18549</v>
      </c>
      <c r="CB175" s="239">
        <v>0</v>
      </c>
      <c r="CC175" s="239">
        <v>-18549</v>
      </c>
      <c r="CD175" s="239">
        <v>0</v>
      </c>
      <c r="CE175" s="239">
        <v>0</v>
      </c>
      <c r="CF175" s="239">
        <v>0</v>
      </c>
      <c r="CG175" s="239">
        <v>0</v>
      </c>
      <c r="CH175" s="239">
        <v>0</v>
      </c>
      <c r="CI175" s="239">
        <v>0</v>
      </c>
      <c r="CJ175" s="239">
        <v>-11183</v>
      </c>
      <c r="CK175" s="239">
        <v>0</v>
      </c>
      <c r="CL175" s="239">
        <v>-11183</v>
      </c>
      <c r="CM175" s="239">
        <v>0</v>
      </c>
      <c r="CN175" s="239">
        <v>0</v>
      </c>
      <c r="CO175" s="239">
        <v>0</v>
      </c>
      <c r="CP175" s="239">
        <v>0</v>
      </c>
      <c r="CQ175" s="239">
        <v>0</v>
      </c>
      <c r="CR175" s="239">
        <v>0</v>
      </c>
      <c r="CS175" s="239">
        <v>0</v>
      </c>
      <c r="CT175" s="239">
        <v>0</v>
      </c>
      <c r="CU175" s="239">
        <v>0</v>
      </c>
      <c r="CV175" s="239">
        <v>0</v>
      </c>
      <c r="CW175" s="239">
        <v>0</v>
      </c>
      <c r="CX175" s="239">
        <v>0</v>
      </c>
      <c r="CY175" s="239">
        <v>0</v>
      </c>
      <c r="CZ175" s="239">
        <v>0</v>
      </c>
      <c r="DA175" s="239">
        <v>0</v>
      </c>
      <c r="DB175" s="239">
        <v>-38145</v>
      </c>
      <c r="DC175" s="239">
        <v>0</v>
      </c>
      <c r="DD175" s="239">
        <v>-38145</v>
      </c>
      <c r="DE175" s="239">
        <v>16154</v>
      </c>
      <c r="DF175" s="239">
        <v>0</v>
      </c>
      <c r="DG175" s="239">
        <v>16154</v>
      </c>
      <c r="DH175" s="239">
        <v>0</v>
      </c>
      <c r="DI175" s="239">
        <v>0</v>
      </c>
      <c r="DJ175" s="239">
        <v>-550768</v>
      </c>
      <c r="DK175" s="239">
        <v>0</v>
      </c>
      <c r="DL175" s="239">
        <v>-550768</v>
      </c>
      <c r="DM175" s="239">
        <v>-14358</v>
      </c>
      <c r="DN175" s="239">
        <v>0</v>
      </c>
      <c r="DO175" s="239">
        <v>-14358</v>
      </c>
      <c r="DP175" s="239">
        <v>-2894</v>
      </c>
      <c r="DQ175" s="239">
        <v>0</v>
      </c>
      <c r="DR175" s="239">
        <v>-2894</v>
      </c>
      <c r="DS175" s="239">
        <v>-18169</v>
      </c>
      <c r="DT175" s="239">
        <v>0</v>
      </c>
      <c r="DU175" s="239">
        <v>-18169</v>
      </c>
      <c r="DV175" s="239">
        <v>-16083</v>
      </c>
      <c r="DW175" s="239">
        <v>0</v>
      </c>
      <c r="DX175" s="239">
        <v>-16083</v>
      </c>
      <c r="DY175" s="239">
        <v>0</v>
      </c>
      <c r="DZ175" s="239">
        <v>0</v>
      </c>
      <c r="EA175" s="239">
        <v>0</v>
      </c>
      <c r="EB175" s="239">
        <v>-9275</v>
      </c>
      <c r="EC175" s="239">
        <v>0</v>
      </c>
      <c r="ED175" s="239">
        <v>-9275</v>
      </c>
      <c r="EE175" s="239">
        <v>0</v>
      </c>
      <c r="EF175" s="239">
        <v>0</v>
      </c>
      <c r="EG175" s="239">
        <v>0</v>
      </c>
      <c r="EH175" s="239">
        <v>0</v>
      </c>
      <c r="EI175" s="239">
        <v>0</v>
      </c>
      <c r="EJ175" s="239">
        <v>0</v>
      </c>
      <c r="EK175" s="239">
        <v>-998</v>
      </c>
      <c r="EL175" s="239">
        <v>0</v>
      </c>
      <c r="EM175" s="239">
        <v>-998</v>
      </c>
      <c r="EN175" s="239">
        <v>0</v>
      </c>
      <c r="EO175" s="239">
        <v>0</v>
      </c>
      <c r="EP175" s="239">
        <v>0</v>
      </c>
      <c r="EQ175" s="239">
        <v>-61777</v>
      </c>
      <c r="ER175" s="239">
        <v>0</v>
      </c>
      <c r="ES175" s="239">
        <v>-61777</v>
      </c>
      <c r="ET175" s="239">
        <v>0</v>
      </c>
      <c r="EU175" s="239">
        <v>0</v>
      </c>
      <c r="EV175" s="239">
        <v>0</v>
      </c>
      <c r="EW175" s="239">
        <v>0</v>
      </c>
      <c r="EX175" s="239">
        <v>0</v>
      </c>
      <c r="EY175" s="239">
        <v>0</v>
      </c>
      <c r="EZ175" s="239">
        <v>0</v>
      </c>
      <c r="FA175" s="239">
        <v>0</v>
      </c>
      <c r="FB175" s="239">
        <v>0</v>
      </c>
      <c r="FC175" s="239">
        <v>179086102</v>
      </c>
      <c r="FD175" s="239">
        <v>0</v>
      </c>
      <c r="FE175" s="239">
        <v>179086102</v>
      </c>
      <c r="FF175" s="239">
        <v>-115459</v>
      </c>
      <c r="FG175" s="239">
        <v>0</v>
      </c>
      <c r="FH175" s="239">
        <v>-115459</v>
      </c>
      <c r="FI175" s="239">
        <v>-8590011</v>
      </c>
      <c r="FJ175" s="239">
        <v>0</v>
      </c>
      <c r="FK175" s="239">
        <v>-8590011</v>
      </c>
      <c r="FL175" s="239">
        <v>-7350361</v>
      </c>
      <c r="FM175" s="239">
        <v>0</v>
      </c>
      <c r="FN175" s="239">
        <v>-7350361</v>
      </c>
      <c r="FO175" s="239">
        <v>-550768</v>
      </c>
      <c r="FP175" s="239">
        <v>0</v>
      </c>
      <c r="FQ175" s="239">
        <v>-550768</v>
      </c>
      <c r="FR175" s="239">
        <v>-61777</v>
      </c>
      <c r="FS175" s="239">
        <v>0</v>
      </c>
      <c r="FT175" s="239">
        <v>-61777</v>
      </c>
      <c r="FU175" s="239">
        <v>0</v>
      </c>
      <c r="FV175" s="239">
        <v>0</v>
      </c>
      <c r="FW175" s="239">
        <v>0</v>
      </c>
      <c r="FX175" s="239">
        <v>-16668376</v>
      </c>
      <c r="FY175" s="239">
        <v>0</v>
      </c>
      <c r="FZ175" s="239">
        <v>-16668376</v>
      </c>
      <c r="GA175" s="239">
        <v>162417726</v>
      </c>
      <c r="GB175" s="239">
        <v>0</v>
      </c>
      <c r="GC175" s="239">
        <v>162417726</v>
      </c>
      <c r="GD175" s="214" t="s">
        <v>747</v>
      </c>
    </row>
    <row r="176" spans="1:186" s="214" customFormat="1" x14ac:dyDescent="0.2">
      <c r="B176" s="609" t="s">
        <v>434</v>
      </c>
      <c r="C176" s="609" t="s">
        <v>433</v>
      </c>
      <c r="D176" s="239">
        <v>0</v>
      </c>
      <c r="E176" s="239">
        <v>0</v>
      </c>
      <c r="F176" s="239">
        <v>0</v>
      </c>
      <c r="G176" s="239">
        <v>5465</v>
      </c>
      <c r="H176" s="239">
        <v>0</v>
      </c>
      <c r="I176" s="239">
        <v>5465</v>
      </c>
      <c r="J176" s="239">
        <v>0</v>
      </c>
      <c r="K176" s="239">
        <v>0</v>
      </c>
      <c r="L176" s="239">
        <v>0</v>
      </c>
      <c r="M176" s="239">
        <v>37773</v>
      </c>
      <c r="N176" s="239">
        <v>0</v>
      </c>
      <c r="O176" s="239">
        <v>37773</v>
      </c>
      <c r="P176" s="239">
        <v>43238</v>
      </c>
      <c r="Q176" s="239">
        <v>0</v>
      </c>
      <c r="R176" s="239">
        <v>43238</v>
      </c>
      <c r="S176" s="239">
        <v>-1987755</v>
      </c>
      <c r="T176" s="239">
        <v>0</v>
      </c>
      <c r="U176" s="239">
        <v>-1987755</v>
      </c>
      <c r="V176" s="239">
        <v>-15596</v>
      </c>
      <c r="W176" s="239">
        <v>0</v>
      </c>
      <c r="X176" s="239">
        <v>-15596</v>
      </c>
      <c r="Y176" s="239">
        <v>-191051</v>
      </c>
      <c r="Z176" s="239">
        <v>0</v>
      </c>
      <c r="AA176" s="239">
        <v>-191051</v>
      </c>
      <c r="AB176" s="239">
        <v>-195598</v>
      </c>
      <c r="AC176" s="239">
        <v>0</v>
      </c>
      <c r="AD176" s="239">
        <v>-195598</v>
      </c>
      <c r="AE176" s="239">
        <v>4547</v>
      </c>
      <c r="AF176" s="239">
        <v>0</v>
      </c>
      <c r="AG176" s="239">
        <v>4547</v>
      </c>
      <c r="AH176" s="239">
        <v>991038</v>
      </c>
      <c r="AI176" s="239">
        <v>0</v>
      </c>
      <c r="AJ176" s="239">
        <v>991038</v>
      </c>
      <c r="AK176" s="239">
        <v>-21142</v>
      </c>
      <c r="AL176" s="239">
        <v>0</v>
      </c>
      <c r="AM176" s="239">
        <v>-21142</v>
      </c>
      <c r="AN176" s="239">
        <v>-2260755</v>
      </c>
      <c r="AO176" s="239">
        <v>0</v>
      </c>
      <c r="AP176" s="239">
        <v>-2260755</v>
      </c>
      <c r="AQ176" s="239">
        <v>-8982</v>
      </c>
      <c r="AR176" s="239">
        <v>0</v>
      </c>
      <c r="AS176" s="239">
        <v>-8982</v>
      </c>
      <c r="AT176" s="239">
        <v>-43148</v>
      </c>
      <c r="AU176" s="239">
        <v>0</v>
      </c>
      <c r="AV176" s="239">
        <v>-43148</v>
      </c>
      <c r="AW176" s="239">
        <v>-4762</v>
      </c>
      <c r="AX176" s="239">
        <v>0</v>
      </c>
      <c r="AY176" s="239">
        <v>-4762</v>
      </c>
      <c r="AZ176" s="239">
        <v>-7778</v>
      </c>
      <c r="BA176" s="239">
        <v>0</v>
      </c>
      <c r="BB176" s="239">
        <v>-7778</v>
      </c>
      <c r="BC176" s="239">
        <v>0</v>
      </c>
      <c r="BD176" s="239">
        <v>0</v>
      </c>
      <c r="BE176" s="239">
        <v>0</v>
      </c>
      <c r="BF176" s="239">
        <v>-3534335</v>
      </c>
      <c r="BG176" s="239">
        <v>0</v>
      </c>
      <c r="BH176" s="239">
        <v>-3534335</v>
      </c>
      <c r="BI176" s="239">
        <v>-67673</v>
      </c>
      <c r="BJ176" s="239">
        <v>0</v>
      </c>
      <c r="BK176" s="239">
        <v>-67673</v>
      </c>
      <c r="BL176" s="239">
        <v>-4217</v>
      </c>
      <c r="BM176" s="239">
        <v>0</v>
      </c>
      <c r="BN176" s="239">
        <v>-4217</v>
      </c>
      <c r="BO176" s="239">
        <v>-930488</v>
      </c>
      <c r="BP176" s="239">
        <v>0</v>
      </c>
      <c r="BQ176" s="239">
        <v>-930488</v>
      </c>
      <c r="BR176" s="239">
        <v>-18420</v>
      </c>
      <c r="BS176" s="239">
        <v>0</v>
      </c>
      <c r="BT176" s="239">
        <v>-18420</v>
      </c>
      <c r="BU176" s="239">
        <v>-1020798</v>
      </c>
      <c r="BV176" s="239">
        <v>0</v>
      </c>
      <c r="BW176" s="239">
        <v>-1020798</v>
      </c>
      <c r="BX176" s="239">
        <v>-23904</v>
      </c>
      <c r="BY176" s="239">
        <v>0</v>
      </c>
      <c r="BZ176" s="239">
        <v>-23904</v>
      </c>
      <c r="CA176" s="239">
        <v>-17</v>
      </c>
      <c r="CB176" s="239">
        <v>0</v>
      </c>
      <c r="CC176" s="239">
        <v>-17</v>
      </c>
      <c r="CD176" s="239">
        <v>-10479</v>
      </c>
      <c r="CE176" s="239">
        <v>0</v>
      </c>
      <c r="CF176" s="239">
        <v>-10479</v>
      </c>
      <c r="CG176" s="239">
        <v>0</v>
      </c>
      <c r="CH176" s="239">
        <v>0</v>
      </c>
      <c r="CI176" s="239">
        <v>0</v>
      </c>
      <c r="CJ176" s="239">
        <v>-2405</v>
      </c>
      <c r="CK176" s="239">
        <v>0</v>
      </c>
      <c r="CL176" s="239">
        <v>-2405</v>
      </c>
      <c r="CM176" s="239">
        <v>-85</v>
      </c>
      <c r="CN176" s="239">
        <v>0</v>
      </c>
      <c r="CO176" s="239">
        <v>-85</v>
      </c>
      <c r="CP176" s="239">
        <v>-7778</v>
      </c>
      <c r="CQ176" s="239">
        <v>0</v>
      </c>
      <c r="CR176" s="239">
        <v>-7778</v>
      </c>
      <c r="CS176" s="239">
        <v>0</v>
      </c>
      <c r="CT176" s="239">
        <v>0</v>
      </c>
      <c r="CU176" s="239">
        <v>0</v>
      </c>
      <c r="CV176" s="239">
        <v>-28200</v>
      </c>
      <c r="CW176" s="239">
        <v>0</v>
      </c>
      <c r="CX176" s="239">
        <v>-28200</v>
      </c>
      <c r="CY176" s="239">
        <v>0</v>
      </c>
      <c r="CZ176" s="239">
        <v>0</v>
      </c>
      <c r="DA176" s="239">
        <v>0</v>
      </c>
      <c r="DB176" s="239">
        <v>0</v>
      </c>
      <c r="DC176" s="239">
        <v>0</v>
      </c>
      <c r="DD176" s="239">
        <v>0</v>
      </c>
      <c r="DE176" s="239">
        <v>0</v>
      </c>
      <c r="DF176" s="239">
        <v>0</v>
      </c>
      <c r="DG176" s="239">
        <v>0</v>
      </c>
      <c r="DH176" s="239">
        <v>0</v>
      </c>
      <c r="DI176" s="239">
        <v>0</v>
      </c>
      <c r="DJ176" s="239">
        <v>-72868</v>
      </c>
      <c r="DK176" s="239">
        <v>0</v>
      </c>
      <c r="DL176" s="239">
        <v>-72868</v>
      </c>
      <c r="DM176" s="239">
        <v>0</v>
      </c>
      <c r="DN176" s="239">
        <v>0</v>
      </c>
      <c r="DO176" s="239">
        <v>0</v>
      </c>
      <c r="DP176" s="239">
        <v>0</v>
      </c>
      <c r="DQ176" s="239">
        <v>0</v>
      </c>
      <c r="DR176" s="239">
        <v>0</v>
      </c>
      <c r="DS176" s="239">
        <v>-250</v>
      </c>
      <c r="DT176" s="239">
        <v>0</v>
      </c>
      <c r="DU176" s="239">
        <v>-250</v>
      </c>
      <c r="DV176" s="239">
        <v>0</v>
      </c>
      <c r="DW176" s="239">
        <v>0</v>
      </c>
      <c r="DX176" s="239">
        <v>0</v>
      </c>
      <c r="DY176" s="239">
        <v>0</v>
      </c>
      <c r="DZ176" s="239">
        <v>0</v>
      </c>
      <c r="EA176" s="239">
        <v>0</v>
      </c>
      <c r="EB176" s="239">
        <v>-11743</v>
      </c>
      <c r="EC176" s="239">
        <v>0</v>
      </c>
      <c r="ED176" s="239">
        <v>-11743</v>
      </c>
      <c r="EE176" s="239">
        <v>0</v>
      </c>
      <c r="EF176" s="239">
        <v>0</v>
      </c>
      <c r="EG176" s="239">
        <v>0</v>
      </c>
      <c r="EH176" s="239">
        <v>0</v>
      </c>
      <c r="EI176" s="239">
        <v>0</v>
      </c>
      <c r="EJ176" s="239">
        <v>0</v>
      </c>
      <c r="EK176" s="239">
        <v>-4</v>
      </c>
      <c r="EL176" s="239">
        <v>0</v>
      </c>
      <c r="EM176" s="239">
        <v>-4</v>
      </c>
      <c r="EN176" s="239">
        <v>0</v>
      </c>
      <c r="EO176" s="239">
        <v>0</v>
      </c>
      <c r="EP176" s="239">
        <v>0</v>
      </c>
      <c r="EQ176" s="239">
        <v>-11997</v>
      </c>
      <c r="ER176" s="239">
        <v>0</v>
      </c>
      <c r="ES176" s="239">
        <v>-11997</v>
      </c>
      <c r="ET176" s="239">
        <v>0</v>
      </c>
      <c r="EU176" s="239">
        <v>0</v>
      </c>
      <c r="EV176" s="239">
        <v>0</v>
      </c>
      <c r="EW176" s="239">
        <v>0</v>
      </c>
      <c r="EX176" s="239">
        <v>0</v>
      </c>
      <c r="EY176" s="239">
        <v>0</v>
      </c>
      <c r="EZ176" s="239">
        <v>0</v>
      </c>
      <c r="FA176" s="239">
        <v>0</v>
      </c>
      <c r="FB176" s="239">
        <v>0</v>
      </c>
      <c r="FC176" s="239">
        <v>42631494</v>
      </c>
      <c r="FD176" s="239">
        <v>0</v>
      </c>
      <c r="FE176" s="239">
        <v>42631494</v>
      </c>
      <c r="FF176" s="239">
        <v>43238</v>
      </c>
      <c r="FG176" s="239">
        <v>0</v>
      </c>
      <c r="FH176" s="239">
        <v>43238</v>
      </c>
      <c r="FI176" s="239">
        <v>-3534335</v>
      </c>
      <c r="FJ176" s="239">
        <v>0</v>
      </c>
      <c r="FK176" s="239">
        <v>-3534335</v>
      </c>
      <c r="FL176" s="239">
        <v>-1020798</v>
      </c>
      <c r="FM176" s="239">
        <v>0</v>
      </c>
      <c r="FN176" s="239">
        <v>-1020798</v>
      </c>
      <c r="FO176" s="239">
        <v>-72868</v>
      </c>
      <c r="FP176" s="239">
        <v>0</v>
      </c>
      <c r="FQ176" s="239">
        <v>-72868</v>
      </c>
      <c r="FR176" s="239">
        <v>-11997</v>
      </c>
      <c r="FS176" s="239">
        <v>0</v>
      </c>
      <c r="FT176" s="239">
        <v>-11997</v>
      </c>
      <c r="FU176" s="239">
        <v>0</v>
      </c>
      <c r="FV176" s="239">
        <v>0</v>
      </c>
      <c r="FW176" s="239">
        <v>0</v>
      </c>
      <c r="FX176" s="239">
        <v>-4596760</v>
      </c>
      <c r="FY176" s="239">
        <v>0</v>
      </c>
      <c r="FZ176" s="239">
        <v>-4596760</v>
      </c>
      <c r="GA176" s="239">
        <v>38034734</v>
      </c>
      <c r="GB176" s="239">
        <v>0</v>
      </c>
      <c r="GC176" s="239">
        <v>38034734</v>
      </c>
      <c r="GD176" s="214" t="s">
        <v>1190</v>
      </c>
    </row>
    <row r="177" spans="2:186" s="214" customFormat="1" x14ac:dyDescent="0.2">
      <c r="B177" s="609" t="s">
        <v>436</v>
      </c>
      <c r="C177" s="609" t="s">
        <v>435</v>
      </c>
      <c r="D177" s="239">
        <v>0</v>
      </c>
      <c r="E177" s="239">
        <v>0</v>
      </c>
      <c r="F177" s="239">
        <v>0</v>
      </c>
      <c r="G177" s="239">
        <v>-63951</v>
      </c>
      <c r="H177" s="239">
        <v>0</v>
      </c>
      <c r="I177" s="239">
        <v>-63951</v>
      </c>
      <c r="J177" s="239">
        <v>0</v>
      </c>
      <c r="K177" s="239">
        <v>0</v>
      </c>
      <c r="L177" s="239">
        <v>0</v>
      </c>
      <c r="M177" s="239">
        <v>27647</v>
      </c>
      <c r="N177" s="239">
        <v>0</v>
      </c>
      <c r="O177" s="239">
        <v>27647</v>
      </c>
      <c r="P177" s="239">
        <v>-36304</v>
      </c>
      <c r="Q177" s="239">
        <v>0</v>
      </c>
      <c r="R177" s="239">
        <v>-36304</v>
      </c>
      <c r="S177" s="239">
        <v>-4573916</v>
      </c>
      <c r="T177" s="239">
        <v>0</v>
      </c>
      <c r="U177" s="239">
        <v>-4573916</v>
      </c>
      <c r="V177" s="239">
        <v>-10508</v>
      </c>
      <c r="W177" s="239">
        <v>0</v>
      </c>
      <c r="X177" s="239">
        <v>-10508</v>
      </c>
      <c r="Y177" s="239">
        <v>-172133</v>
      </c>
      <c r="Z177" s="239">
        <v>0</v>
      </c>
      <c r="AA177" s="239">
        <v>-172133</v>
      </c>
      <c r="AB177" s="239">
        <v>-114858</v>
      </c>
      <c r="AC177" s="239">
        <v>0</v>
      </c>
      <c r="AD177" s="239">
        <v>-114858</v>
      </c>
      <c r="AE177" s="239">
        <v>0</v>
      </c>
      <c r="AF177" s="239">
        <v>0</v>
      </c>
      <c r="AG177" s="239">
        <v>0</v>
      </c>
      <c r="AH177" s="239">
        <v>1680177</v>
      </c>
      <c r="AI177" s="239">
        <v>0</v>
      </c>
      <c r="AJ177" s="239">
        <v>1680177</v>
      </c>
      <c r="AK177" s="239">
        <v>-64398</v>
      </c>
      <c r="AL177" s="239">
        <v>0</v>
      </c>
      <c r="AM177" s="239">
        <v>-64398</v>
      </c>
      <c r="AN177" s="239">
        <v>-3304864</v>
      </c>
      <c r="AO177" s="239">
        <v>0</v>
      </c>
      <c r="AP177" s="239">
        <v>-3304864</v>
      </c>
      <c r="AQ177" s="239">
        <v>-10544</v>
      </c>
      <c r="AR177" s="239">
        <v>0</v>
      </c>
      <c r="AS177" s="239">
        <v>-10544</v>
      </c>
      <c r="AT177" s="239">
        <v>-82744</v>
      </c>
      <c r="AU177" s="239">
        <v>0</v>
      </c>
      <c r="AV177" s="239">
        <v>-82744</v>
      </c>
      <c r="AW177" s="239">
        <v>0</v>
      </c>
      <c r="AX177" s="239">
        <v>0</v>
      </c>
      <c r="AY177" s="239">
        <v>0</v>
      </c>
      <c r="AZ177" s="239">
        <v>-16802</v>
      </c>
      <c r="BA177" s="239">
        <v>0</v>
      </c>
      <c r="BB177" s="239">
        <v>-16802</v>
      </c>
      <c r="BC177" s="239">
        <v>502</v>
      </c>
      <c r="BD177" s="239">
        <v>0</v>
      </c>
      <c r="BE177" s="239">
        <v>502</v>
      </c>
      <c r="BF177" s="239">
        <v>-6544722</v>
      </c>
      <c r="BG177" s="239">
        <v>0</v>
      </c>
      <c r="BH177" s="239">
        <v>-6544722</v>
      </c>
      <c r="BI177" s="239">
        <v>-4569</v>
      </c>
      <c r="BJ177" s="239">
        <v>0</v>
      </c>
      <c r="BK177" s="239">
        <v>-4569</v>
      </c>
      <c r="BL177" s="239">
        <v>-135046</v>
      </c>
      <c r="BM177" s="239">
        <v>0</v>
      </c>
      <c r="BN177" s="239">
        <v>-135046</v>
      </c>
      <c r="BO177" s="239">
        <v>-1261429</v>
      </c>
      <c r="BP177" s="239">
        <v>0</v>
      </c>
      <c r="BQ177" s="239">
        <v>-1261429</v>
      </c>
      <c r="BR177" s="239">
        <v>26492</v>
      </c>
      <c r="BS177" s="239">
        <v>0</v>
      </c>
      <c r="BT177" s="239">
        <v>26492</v>
      </c>
      <c r="BU177" s="239">
        <v>-1374552</v>
      </c>
      <c r="BV177" s="239">
        <v>0</v>
      </c>
      <c r="BW177" s="239">
        <v>-1374552</v>
      </c>
      <c r="BX177" s="239">
        <v>-102223</v>
      </c>
      <c r="BY177" s="239">
        <v>0</v>
      </c>
      <c r="BZ177" s="239">
        <v>-102223</v>
      </c>
      <c r="CA177" s="239">
        <v>267</v>
      </c>
      <c r="CB177" s="239">
        <v>0</v>
      </c>
      <c r="CC177" s="239">
        <v>267</v>
      </c>
      <c r="CD177" s="239">
        <v>-36579</v>
      </c>
      <c r="CE177" s="239">
        <v>0</v>
      </c>
      <c r="CF177" s="239">
        <v>-36579</v>
      </c>
      <c r="CG177" s="239">
        <v>-1233</v>
      </c>
      <c r="CH177" s="239">
        <v>0</v>
      </c>
      <c r="CI177" s="239">
        <v>-1233</v>
      </c>
      <c r="CJ177" s="239">
        <v>0</v>
      </c>
      <c r="CK177" s="239">
        <v>0</v>
      </c>
      <c r="CL177" s="239">
        <v>0</v>
      </c>
      <c r="CM177" s="239">
        <v>0</v>
      </c>
      <c r="CN177" s="239">
        <v>0</v>
      </c>
      <c r="CO177" s="239">
        <v>0</v>
      </c>
      <c r="CP177" s="239">
        <v>-9679</v>
      </c>
      <c r="CQ177" s="239">
        <v>0</v>
      </c>
      <c r="CR177" s="239">
        <v>-9679</v>
      </c>
      <c r="CS177" s="239">
        <v>182</v>
      </c>
      <c r="CT177" s="239">
        <v>0</v>
      </c>
      <c r="CU177" s="239">
        <v>182</v>
      </c>
      <c r="CV177" s="239">
        <v>-5445</v>
      </c>
      <c r="CW177" s="239">
        <v>0</v>
      </c>
      <c r="CX177" s="239">
        <v>-5445</v>
      </c>
      <c r="CY177" s="239">
        <v>0</v>
      </c>
      <c r="CZ177" s="239">
        <v>0</v>
      </c>
      <c r="DA177" s="239">
        <v>0</v>
      </c>
      <c r="DB177" s="239">
        <v>0</v>
      </c>
      <c r="DC177" s="239">
        <v>0</v>
      </c>
      <c r="DD177" s="239">
        <v>0</v>
      </c>
      <c r="DE177" s="239">
        <v>0</v>
      </c>
      <c r="DF177" s="239">
        <v>0</v>
      </c>
      <c r="DG177" s="239">
        <v>0</v>
      </c>
      <c r="DH177" s="239">
        <v>0</v>
      </c>
      <c r="DI177" s="239">
        <v>0</v>
      </c>
      <c r="DJ177" s="239">
        <v>-154710</v>
      </c>
      <c r="DK177" s="239">
        <v>0</v>
      </c>
      <c r="DL177" s="239">
        <v>-154710</v>
      </c>
      <c r="DM177" s="239">
        <v>-44342</v>
      </c>
      <c r="DN177" s="239">
        <v>0</v>
      </c>
      <c r="DO177" s="239">
        <v>-44342</v>
      </c>
      <c r="DP177" s="239">
        <v>-1062</v>
      </c>
      <c r="DQ177" s="239">
        <v>0</v>
      </c>
      <c r="DR177" s="239">
        <v>-1062</v>
      </c>
      <c r="DS177" s="239">
        <v>-31723</v>
      </c>
      <c r="DT177" s="239">
        <v>0</v>
      </c>
      <c r="DU177" s="239">
        <v>-31723</v>
      </c>
      <c r="DV177" s="239">
        <v>-7420</v>
      </c>
      <c r="DW177" s="239">
        <v>0</v>
      </c>
      <c r="DX177" s="239">
        <v>-7420</v>
      </c>
      <c r="DY177" s="239">
        <v>0</v>
      </c>
      <c r="DZ177" s="239">
        <v>0</v>
      </c>
      <c r="EA177" s="239">
        <v>0</v>
      </c>
      <c r="EB177" s="239">
        <v>8947</v>
      </c>
      <c r="EC177" s="239">
        <v>0</v>
      </c>
      <c r="ED177" s="239">
        <v>8947</v>
      </c>
      <c r="EE177" s="239">
        <v>0</v>
      </c>
      <c r="EF177" s="239">
        <v>0</v>
      </c>
      <c r="EG177" s="239">
        <v>0</v>
      </c>
      <c r="EH177" s="239">
        <v>0</v>
      </c>
      <c r="EI177" s="239">
        <v>0</v>
      </c>
      <c r="EJ177" s="239">
        <v>0</v>
      </c>
      <c r="EK177" s="239">
        <v>-8207</v>
      </c>
      <c r="EL177" s="239">
        <v>0</v>
      </c>
      <c r="EM177" s="239">
        <v>-8207</v>
      </c>
      <c r="EN177" s="239">
        <v>34</v>
      </c>
      <c r="EO177" s="239">
        <v>0</v>
      </c>
      <c r="EP177" s="239">
        <v>34</v>
      </c>
      <c r="EQ177" s="239">
        <v>-83773</v>
      </c>
      <c r="ER177" s="239">
        <v>0</v>
      </c>
      <c r="ES177" s="239">
        <v>-83773</v>
      </c>
      <c r="ET177" s="239">
        <v>-1500</v>
      </c>
      <c r="EU177" s="239">
        <v>0</v>
      </c>
      <c r="EV177" s="239">
        <v>-1500</v>
      </c>
      <c r="EW177" s="239">
        <v>69</v>
      </c>
      <c r="EX177" s="239">
        <v>0</v>
      </c>
      <c r="EY177" s="239">
        <v>69</v>
      </c>
      <c r="EZ177" s="239">
        <v>-1431</v>
      </c>
      <c r="FA177" s="239">
        <v>0</v>
      </c>
      <c r="FB177" s="239">
        <v>-1431</v>
      </c>
      <c r="FC177" s="239">
        <v>69801555</v>
      </c>
      <c r="FD177" s="239">
        <v>0</v>
      </c>
      <c r="FE177" s="239">
        <v>69801555</v>
      </c>
      <c r="FF177" s="239">
        <v>-36304</v>
      </c>
      <c r="FG177" s="239">
        <v>0</v>
      </c>
      <c r="FH177" s="239">
        <v>-36304</v>
      </c>
      <c r="FI177" s="239">
        <v>-6544722</v>
      </c>
      <c r="FJ177" s="239">
        <v>0</v>
      </c>
      <c r="FK177" s="239">
        <v>-6544722</v>
      </c>
      <c r="FL177" s="239">
        <v>-1374552</v>
      </c>
      <c r="FM177" s="239">
        <v>0</v>
      </c>
      <c r="FN177" s="239">
        <v>-1374552</v>
      </c>
      <c r="FO177" s="239">
        <v>-154710</v>
      </c>
      <c r="FP177" s="239">
        <v>0</v>
      </c>
      <c r="FQ177" s="239">
        <v>-154710</v>
      </c>
      <c r="FR177" s="239">
        <v>-83773</v>
      </c>
      <c r="FS177" s="239">
        <v>0</v>
      </c>
      <c r="FT177" s="239">
        <v>-83773</v>
      </c>
      <c r="FU177" s="239">
        <v>-1431</v>
      </c>
      <c r="FV177" s="239">
        <v>0</v>
      </c>
      <c r="FW177" s="239">
        <v>-1431</v>
      </c>
      <c r="FX177" s="239">
        <v>-8195492</v>
      </c>
      <c r="FY177" s="239">
        <v>0</v>
      </c>
      <c r="FZ177" s="239">
        <v>-8195492</v>
      </c>
      <c r="GA177" s="239">
        <v>61606063</v>
      </c>
      <c r="GB177" s="239">
        <v>0</v>
      </c>
      <c r="GC177" s="239">
        <v>61606063</v>
      </c>
      <c r="GD177" s="214" t="s">
        <v>1190</v>
      </c>
    </row>
    <row r="178" spans="2:186" s="214" customFormat="1" x14ac:dyDescent="0.2">
      <c r="B178" s="609" t="s">
        <v>438</v>
      </c>
      <c r="C178" s="609" t="s">
        <v>437</v>
      </c>
      <c r="D178" s="239">
        <v>0</v>
      </c>
      <c r="E178" s="239">
        <v>0</v>
      </c>
      <c r="F178" s="239">
        <v>0</v>
      </c>
      <c r="G178" s="239">
        <v>23533</v>
      </c>
      <c r="H178" s="239">
        <v>0</v>
      </c>
      <c r="I178" s="239">
        <v>23533</v>
      </c>
      <c r="J178" s="239">
        <v>0</v>
      </c>
      <c r="K178" s="239">
        <v>0</v>
      </c>
      <c r="L178" s="239">
        <v>0</v>
      </c>
      <c r="M178" s="239">
        <v>8088</v>
      </c>
      <c r="N178" s="239">
        <v>0</v>
      </c>
      <c r="O178" s="239">
        <v>8088</v>
      </c>
      <c r="P178" s="239">
        <v>31621</v>
      </c>
      <c r="Q178" s="239">
        <v>0</v>
      </c>
      <c r="R178" s="239">
        <v>31621</v>
      </c>
      <c r="S178" s="239">
        <v>-2837654</v>
      </c>
      <c r="T178" s="239">
        <v>0</v>
      </c>
      <c r="U178" s="239">
        <v>-2837654</v>
      </c>
      <c r="V178" s="239">
        <v>0</v>
      </c>
      <c r="W178" s="239">
        <v>0</v>
      </c>
      <c r="X178" s="239">
        <v>0</v>
      </c>
      <c r="Y178" s="239">
        <v>-159410</v>
      </c>
      <c r="Z178" s="239">
        <v>0</v>
      </c>
      <c r="AA178" s="239">
        <v>-159410</v>
      </c>
      <c r="AB178" s="239">
        <v>-130798</v>
      </c>
      <c r="AC178" s="239">
        <v>0</v>
      </c>
      <c r="AD178" s="239">
        <v>-130798</v>
      </c>
      <c r="AE178" s="239">
        <v>0</v>
      </c>
      <c r="AF178" s="239">
        <v>0</v>
      </c>
      <c r="AG178" s="239">
        <v>0</v>
      </c>
      <c r="AH178" s="239">
        <v>1011467</v>
      </c>
      <c r="AI178" s="239">
        <v>0</v>
      </c>
      <c r="AJ178" s="239">
        <v>1011467</v>
      </c>
      <c r="AK178" s="239">
        <v>-4747</v>
      </c>
      <c r="AL178" s="239">
        <v>0</v>
      </c>
      <c r="AM178" s="239">
        <v>-4747</v>
      </c>
      <c r="AN178" s="239">
        <v>-1651205</v>
      </c>
      <c r="AO178" s="239">
        <v>0</v>
      </c>
      <c r="AP178" s="239">
        <v>-1651205</v>
      </c>
      <c r="AQ178" s="239">
        <v>-52720</v>
      </c>
      <c r="AR178" s="239">
        <v>0</v>
      </c>
      <c r="AS178" s="239">
        <v>-52720</v>
      </c>
      <c r="AT178" s="239">
        <v>-80892</v>
      </c>
      <c r="AU178" s="239">
        <v>0</v>
      </c>
      <c r="AV178" s="239">
        <v>-80892</v>
      </c>
      <c r="AW178" s="239">
        <v>-20010</v>
      </c>
      <c r="AX178" s="239">
        <v>0</v>
      </c>
      <c r="AY178" s="239">
        <v>-20010</v>
      </c>
      <c r="AZ178" s="239">
        <v>-28977</v>
      </c>
      <c r="BA178" s="239">
        <v>0</v>
      </c>
      <c r="BB178" s="239">
        <v>-28977</v>
      </c>
      <c r="BC178" s="239">
        <v>0</v>
      </c>
      <c r="BD178" s="239">
        <v>0</v>
      </c>
      <c r="BE178" s="239">
        <v>0</v>
      </c>
      <c r="BF178" s="239">
        <v>-3824148</v>
      </c>
      <c r="BG178" s="239">
        <v>0</v>
      </c>
      <c r="BH178" s="239">
        <v>-3824148</v>
      </c>
      <c r="BI178" s="239">
        <v>0</v>
      </c>
      <c r="BJ178" s="239">
        <v>0</v>
      </c>
      <c r="BK178" s="239">
        <v>0</v>
      </c>
      <c r="BL178" s="239">
        <v>0</v>
      </c>
      <c r="BM178" s="239">
        <v>0</v>
      </c>
      <c r="BN178" s="239">
        <v>0</v>
      </c>
      <c r="BO178" s="239">
        <v>-991175</v>
      </c>
      <c r="BP178" s="239">
        <v>0</v>
      </c>
      <c r="BQ178" s="239">
        <v>-991175</v>
      </c>
      <c r="BR178" s="239">
        <v>-141563</v>
      </c>
      <c r="BS178" s="239">
        <v>0</v>
      </c>
      <c r="BT178" s="239">
        <v>-141563</v>
      </c>
      <c r="BU178" s="239">
        <v>-1132738</v>
      </c>
      <c r="BV178" s="239">
        <v>0</v>
      </c>
      <c r="BW178" s="239">
        <v>-1132738</v>
      </c>
      <c r="BX178" s="239">
        <v>-24940</v>
      </c>
      <c r="BY178" s="239">
        <v>0</v>
      </c>
      <c r="BZ178" s="239">
        <v>-24940</v>
      </c>
      <c r="CA178" s="239">
        <v>76</v>
      </c>
      <c r="CB178" s="239">
        <v>0</v>
      </c>
      <c r="CC178" s="239">
        <v>76</v>
      </c>
      <c r="CD178" s="239">
        <v>-164476</v>
      </c>
      <c r="CE178" s="239">
        <v>0</v>
      </c>
      <c r="CF178" s="239">
        <v>-164476</v>
      </c>
      <c r="CG178" s="239">
        <v>-1366</v>
      </c>
      <c r="CH178" s="239">
        <v>0</v>
      </c>
      <c r="CI178" s="239">
        <v>-1366</v>
      </c>
      <c r="CJ178" s="239">
        <v>0</v>
      </c>
      <c r="CK178" s="239">
        <v>0</v>
      </c>
      <c r="CL178" s="239">
        <v>0</v>
      </c>
      <c r="CM178" s="239">
        <v>0</v>
      </c>
      <c r="CN178" s="239">
        <v>0</v>
      </c>
      <c r="CO178" s="239">
        <v>0</v>
      </c>
      <c r="CP178" s="239">
        <v>-4358</v>
      </c>
      <c r="CQ178" s="239">
        <v>0</v>
      </c>
      <c r="CR178" s="239">
        <v>-4358</v>
      </c>
      <c r="CS178" s="239">
        <v>0</v>
      </c>
      <c r="CT178" s="239">
        <v>0</v>
      </c>
      <c r="CU178" s="239">
        <v>0</v>
      </c>
      <c r="CV178" s="239">
        <v>0</v>
      </c>
      <c r="CW178" s="239">
        <v>0</v>
      </c>
      <c r="CX178" s="239">
        <v>0</v>
      </c>
      <c r="CY178" s="239">
        <v>0</v>
      </c>
      <c r="CZ178" s="239">
        <v>0</v>
      </c>
      <c r="DA178" s="239">
        <v>0</v>
      </c>
      <c r="DB178" s="239">
        <v>0</v>
      </c>
      <c r="DC178" s="239">
        <v>0</v>
      </c>
      <c r="DD178" s="239">
        <v>0</v>
      </c>
      <c r="DE178" s="239">
        <v>0</v>
      </c>
      <c r="DF178" s="239">
        <v>0</v>
      </c>
      <c r="DG178" s="239">
        <v>0</v>
      </c>
      <c r="DH178" s="239">
        <v>0</v>
      </c>
      <c r="DI178" s="239">
        <v>0</v>
      </c>
      <c r="DJ178" s="239">
        <v>-195064</v>
      </c>
      <c r="DK178" s="239">
        <v>0</v>
      </c>
      <c r="DL178" s="239">
        <v>-195064</v>
      </c>
      <c r="DM178" s="239">
        <v>0</v>
      </c>
      <c r="DN178" s="239">
        <v>0</v>
      </c>
      <c r="DO178" s="239">
        <v>0</v>
      </c>
      <c r="DP178" s="239">
        <v>0</v>
      </c>
      <c r="DQ178" s="239">
        <v>0</v>
      </c>
      <c r="DR178" s="239">
        <v>0</v>
      </c>
      <c r="DS178" s="239">
        <v>-4722</v>
      </c>
      <c r="DT178" s="239">
        <v>0</v>
      </c>
      <c r="DU178" s="239">
        <v>-4722</v>
      </c>
      <c r="DV178" s="239">
        <v>-2227</v>
      </c>
      <c r="DW178" s="239">
        <v>0</v>
      </c>
      <c r="DX178" s="239">
        <v>-2227</v>
      </c>
      <c r="DY178" s="239">
        <v>0</v>
      </c>
      <c r="DZ178" s="239">
        <v>0</v>
      </c>
      <c r="EA178" s="239">
        <v>0</v>
      </c>
      <c r="EB178" s="239">
        <v>6617</v>
      </c>
      <c r="EC178" s="239">
        <v>0</v>
      </c>
      <c r="ED178" s="239">
        <v>6617</v>
      </c>
      <c r="EE178" s="239">
        <v>0</v>
      </c>
      <c r="EF178" s="239">
        <v>0</v>
      </c>
      <c r="EG178" s="239">
        <v>0</v>
      </c>
      <c r="EH178" s="239">
        <v>0</v>
      </c>
      <c r="EI178" s="239">
        <v>0</v>
      </c>
      <c r="EJ178" s="239">
        <v>0</v>
      </c>
      <c r="EK178" s="239">
        <v>-4337</v>
      </c>
      <c r="EL178" s="239">
        <v>0</v>
      </c>
      <c r="EM178" s="239">
        <v>-4337</v>
      </c>
      <c r="EN178" s="239">
        <v>3085</v>
      </c>
      <c r="EO178" s="239">
        <v>0</v>
      </c>
      <c r="EP178" s="239">
        <v>3085</v>
      </c>
      <c r="EQ178" s="239">
        <v>-1584</v>
      </c>
      <c r="ER178" s="239">
        <v>0</v>
      </c>
      <c r="ES178" s="239">
        <v>-1584</v>
      </c>
      <c r="ET178" s="239">
        <v>-14299</v>
      </c>
      <c r="EU178" s="239">
        <v>0</v>
      </c>
      <c r="EV178" s="239">
        <v>-14299</v>
      </c>
      <c r="EW178" s="239">
        <v>-1113</v>
      </c>
      <c r="EX178" s="239">
        <v>0</v>
      </c>
      <c r="EY178" s="239">
        <v>-1113</v>
      </c>
      <c r="EZ178" s="239">
        <v>-15412</v>
      </c>
      <c r="FA178" s="239">
        <v>0</v>
      </c>
      <c r="FB178" s="239">
        <v>-15412</v>
      </c>
      <c r="FC178" s="239">
        <v>44712746</v>
      </c>
      <c r="FD178" s="239">
        <v>0</v>
      </c>
      <c r="FE178" s="239">
        <v>44712746</v>
      </c>
      <c r="FF178" s="239">
        <v>31621</v>
      </c>
      <c r="FG178" s="239">
        <v>0</v>
      </c>
      <c r="FH178" s="239">
        <v>31621</v>
      </c>
      <c r="FI178" s="239">
        <v>-3824148</v>
      </c>
      <c r="FJ178" s="239">
        <v>0</v>
      </c>
      <c r="FK178" s="239">
        <v>-3824148</v>
      </c>
      <c r="FL178" s="239">
        <v>-1132738</v>
      </c>
      <c r="FM178" s="239">
        <v>0</v>
      </c>
      <c r="FN178" s="239">
        <v>-1132738</v>
      </c>
      <c r="FO178" s="239">
        <v>-195064</v>
      </c>
      <c r="FP178" s="239">
        <v>0</v>
      </c>
      <c r="FQ178" s="239">
        <v>-195064</v>
      </c>
      <c r="FR178" s="239">
        <v>-1584</v>
      </c>
      <c r="FS178" s="239">
        <v>0</v>
      </c>
      <c r="FT178" s="239">
        <v>-1584</v>
      </c>
      <c r="FU178" s="239">
        <v>-15412</v>
      </c>
      <c r="FV178" s="239">
        <v>0</v>
      </c>
      <c r="FW178" s="239">
        <v>-15412</v>
      </c>
      <c r="FX178" s="239">
        <v>-5137325</v>
      </c>
      <c r="FY178" s="239">
        <v>0</v>
      </c>
      <c r="FZ178" s="239">
        <v>-5137325</v>
      </c>
      <c r="GA178" s="239">
        <v>39575421</v>
      </c>
      <c r="GB178" s="239">
        <v>0</v>
      </c>
      <c r="GC178" s="239">
        <v>39575421</v>
      </c>
      <c r="GD178" s="214" t="s">
        <v>1190</v>
      </c>
    </row>
    <row r="179" spans="2:186" s="214" customFormat="1" x14ac:dyDescent="0.2">
      <c r="B179" s="609" t="s">
        <v>440</v>
      </c>
      <c r="C179" s="609" t="s">
        <v>1087</v>
      </c>
      <c r="D179" s="239">
        <v>0</v>
      </c>
      <c r="E179" s="239">
        <v>0</v>
      </c>
      <c r="F179" s="239">
        <v>0</v>
      </c>
      <c r="G179" s="239">
        <v>260984</v>
      </c>
      <c r="H179" s="239">
        <v>0</v>
      </c>
      <c r="I179" s="239">
        <v>260984</v>
      </c>
      <c r="J179" s="239">
        <v>0</v>
      </c>
      <c r="K179" s="239">
        <v>0</v>
      </c>
      <c r="L179" s="239">
        <v>0</v>
      </c>
      <c r="M179" s="239">
        <v>672624</v>
      </c>
      <c r="N179" s="239">
        <v>7935</v>
      </c>
      <c r="O179" s="239">
        <v>680559</v>
      </c>
      <c r="P179" s="239">
        <v>933608</v>
      </c>
      <c r="Q179" s="239">
        <v>7935</v>
      </c>
      <c r="R179" s="239">
        <v>941543</v>
      </c>
      <c r="S179" s="239">
        <v>-5390539</v>
      </c>
      <c r="T179" s="239">
        <v>-41508</v>
      </c>
      <c r="U179" s="239">
        <v>-5432047</v>
      </c>
      <c r="V179" s="239">
        <v>-28806</v>
      </c>
      <c r="W179" s="239">
        <v>0</v>
      </c>
      <c r="X179" s="239">
        <v>-28806</v>
      </c>
      <c r="Y179" s="239">
        <v>-301151</v>
      </c>
      <c r="Z179" s="239">
        <v>417</v>
      </c>
      <c r="AA179" s="239">
        <v>-300734</v>
      </c>
      <c r="AB179" s="239">
        <v>-292597</v>
      </c>
      <c r="AC179" s="239">
        <v>417</v>
      </c>
      <c r="AD179" s="239">
        <v>-292180</v>
      </c>
      <c r="AE179" s="239">
        <v>-8554</v>
      </c>
      <c r="AF179" s="239">
        <v>0</v>
      </c>
      <c r="AG179" s="239">
        <v>-8554</v>
      </c>
      <c r="AH179" s="239">
        <v>4290068</v>
      </c>
      <c r="AI179" s="239">
        <v>236303</v>
      </c>
      <c r="AJ179" s="239">
        <v>4526371</v>
      </c>
      <c r="AK179" s="239">
        <v>32793</v>
      </c>
      <c r="AL179" s="239">
        <v>7976</v>
      </c>
      <c r="AM179" s="239">
        <v>40769</v>
      </c>
      <c r="AN179" s="239">
        <v>-14472239</v>
      </c>
      <c r="AO179" s="239">
        <v>-1080321</v>
      </c>
      <c r="AP179" s="239">
        <v>-15552560</v>
      </c>
      <c r="AQ179" s="239">
        <v>-290006</v>
      </c>
      <c r="AR179" s="239">
        <v>18249</v>
      </c>
      <c r="AS179" s="239">
        <v>-271757</v>
      </c>
      <c r="AT179" s="239">
        <v>-133057</v>
      </c>
      <c r="AU179" s="239">
        <v>0</v>
      </c>
      <c r="AV179" s="239">
        <v>-133057</v>
      </c>
      <c r="AW179" s="239">
        <v>-6772</v>
      </c>
      <c r="AX179" s="239">
        <v>0</v>
      </c>
      <c r="AY179" s="239">
        <v>-6772</v>
      </c>
      <c r="AZ179" s="239">
        <v>-1566</v>
      </c>
      <c r="BA179" s="239">
        <v>0</v>
      </c>
      <c r="BB179" s="239">
        <v>-1566</v>
      </c>
      <c r="BC179" s="239">
        <v>0</v>
      </c>
      <c r="BD179" s="239">
        <v>0</v>
      </c>
      <c r="BE179" s="239">
        <v>0</v>
      </c>
      <c r="BF179" s="239">
        <v>-16272469</v>
      </c>
      <c r="BG179" s="239">
        <v>-858884</v>
      </c>
      <c r="BH179" s="239">
        <v>-17131353</v>
      </c>
      <c r="BI179" s="239">
        <v>-203454</v>
      </c>
      <c r="BJ179" s="239">
        <v>0</v>
      </c>
      <c r="BK179" s="239">
        <v>-203454</v>
      </c>
      <c r="BL179" s="239">
        <v>-52504</v>
      </c>
      <c r="BM179" s="239">
        <v>0</v>
      </c>
      <c r="BN179" s="239">
        <v>-52504</v>
      </c>
      <c r="BO179" s="239">
        <v>-7998230</v>
      </c>
      <c r="BP179" s="239">
        <v>-992916</v>
      </c>
      <c r="BQ179" s="239">
        <v>-8991146</v>
      </c>
      <c r="BR179" s="239">
        <v>560867</v>
      </c>
      <c r="BS179" s="239">
        <v>-26853</v>
      </c>
      <c r="BT179" s="239">
        <v>534014</v>
      </c>
      <c r="BU179" s="239">
        <v>-7693321</v>
      </c>
      <c r="BV179" s="239">
        <v>-1019769</v>
      </c>
      <c r="BW179" s="239">
        <v>-8713090</v>
      </c>
      <c r="BX179" s="239">
        <v>-198996</v>
      </c>
      <c r="BY179" s="239">
        <v>-4483</v>
      </c>
      <c r="BZ179" s="239">
        <v>-203479</v>
      </c>
      <c r="CA179" s="239">
        <v>-4727</v>
      </c>
      <c r="CB179" s="239">
        <v>0</v>
      </c>
      <c r="CC179" s="239">
        <v>-4727</v>
      </c>
      <c r="CD179" s="239">
        <v>-394630</v>
      </c>
      <c r="CE179" s="239">
        <v>0</v>
      </c>
      <c r="CF179" s="239">
        <v>-394630</v>
      </c>
      <c r="CG179" s="239">
        <v>13544</v>
      </c>
      <c r="CH179" s="239">
        <v>0</v>
      </c>
      <c r="CI179" s="239">
        <v>13544</v>
      </c>
      <c r="CJ179" s="239">
        <v>-21560</v>
      </c>
      <c r="CK179" s="239">
        <v>0</v>
      </c>
      <c r="CL179" s="239">
        <v>-21560</v>
      </c>
      <c r="CM179" s="239">
        <v>0</v>
      </c>
      <c r="CN179" s="239">
        <v>0</v>
      </c>
      <c r="CO179" s="239">
        <v>0</v>
      </c>
      <c r="CP179" s="239">
        <v>0</v>
      </c>
      <c r="CQ179" s="239">
        <v>0</v>
      </c>
      <c r="CR179" s="239">
        <v>0</v>
      </c>
      <c r="CS179" s="239">
        <v>0</v>
      </c>
      <c r="CT179" s="239">
        <v>0</v>
      </c>
      <c r="CU179" s="239">
        <v>0</v>
      </c>
      <c r="CV179" s="239">
        <v>0</v>
      </c>
      <c r="CW179" s="239">
        <v>0</v>
      </c>
      <c r="CX179" s="239">
        <v>0</v>
      </c>
      <c r="CY179" s="239">
        <v>0</v>
      </c>
      <c r="CZ179" s="239">
        <v>0</v>
      </c>
      <c r="DA179" s="239">
        <v>0</v>
      </c>
      <c r="DB179" s="239">
        <v>0</v>
      </c>
      <c r="DC179" s="239">
        <v>0</v>
      </c>
      <c r="DD179" s="239">
        <v>0</v>
      </c>
      <c r="DE179" s="239">
        <v>0</v>
      </c>
      <c r="DF179" s="239">
        <v>0</v>
      </c>
      <c r="DG179" s="239">
        <v>0</v>
      </c>
      <c r="DH179" s="239">
        <v>0</v>
      </c>
      <c r="DI179" s="239">
        <v>0</v>
      </c>
      <c r="DJ179" s="239">
        <v>-606369</v>
      </c>
      <c r="DK179" s="239">
        <v>-4483</v>
      </c>
      <c r="DL179" s="239">
        <v>-610852</v>
      </c>
      <c r="DM179" s="239">
        <v>0</v>
      </c>
      <c r="DN179" s="239">
        <v>0</v>
      </c>
      <c r="DO179" s="239">
        <v>0</v>
      </c>
      <c r="DP179" s="239">
        <v>0</v>
      </c>
      <c r="DQ179" s="239">
        <v>0</v>
      </c>
      <c r="DR179" s="239">
        <v>0</v>
      </c>
      <c r="DS179" s="239">
        <v>-89430</v>
      </c>
      <c r="DT179" s="239">
        <v>-3433</v>
      </c>
      <c r="DU179" s="239">
        <v>-92863</v>
      </c>
      <c r="DV179" s="239">
        <v>9548</v>
      </c>
      <c r="DW179" s="239">
        <v>-2255</v>
      </c>
      <c r="DX179" s="239">
        <v>7293</v>
      </c>
      <c r="DY179" s="239">
        <v>0</v>
      </c>
      <c r="DZ179" s="239">
        <v>0</v>
      </c>
      <c r="EA179" s="239">
        <v>0</v>
      </c>
      <c r="EB179" s="239">
        <v>-35727</v>
      </c>
      <c r="EC179" s="239">
        <v>0</v>
      </c>
      <c r="ED179" s="239">
        <v>-35727</v>
      </c>
      <c r="EE179" s="239">
        <v>0</v>
      </c>
      <c r="EF179" s="239">
        <v>0</v>
      </c>
      <c r="EG179" s="239">
        <v>0</v>
      </c>
      <c r="EH179" s="239">
        <v>0</v>
      </c>
      <c r="EI179" s="239">
        <v>0</v>
      </c>
      <c r="EJ179" s="239">
        <v>0</v>
      </c>
      <c r="EK179" s="239">
        <v>-11478</v>
      </c>
      <c r="EL179" s="239">
        <v>0</v>
      </c>
      <c r="EM179" s="239">
        <v>-11478</v>
      </c>
      <c r="EN179" s="239">
        <v>423</v>
      </c>
      <c r="EO179" s="239">
        <v>0</v>
      </c>
      <c r="EP179" s="239">
        <v>423</v>
      </c>
      <c r="EQ179" s="239">
        <v>-126664</v>
      </c>
      <c r="ER179" s="239">
        <v>-5688</v>
      </c>
      <c r="ES179" s="239">
        <v>-132352</v>
      </c>
      <c r="ET179" s="239">
        <v>0</v>
      </c>
      <c r="EU179" s="239">
        <v>0</v>
      </c>
      <c r="EV179" s="239">
        <v>0</v>
      </c>
      <c r="EW179" s="239">
        <v>0</v>
      </c>
      <c r="EX179" s="239">
        <v>0</v>
      </c>
      <c r="EY179" s="239">
        <v>0</v>
      </c>
      <c r="EZ179" s="239">
        <v>0</v>
      </c>
      <c r="FA179" s="239">
        <v>0</v>
      </c>
      <c r="FB179" s="239">
        <v>0</v>
      </c>
      <c r="FC179" s="239">
        <v>164994763</v>
      </c>
      <c r="FD179" s="239">
        <v>9224473</v>
      </c>
      <c r="FE179" s="239">
        <v>174219236</v>
      </c>
      <c r="FF179" s="239">
        <v>933608</v>
      </c>
      <c r="FG179" s="239">
        <v>7935</v>
      </c>
      <c r="FH179" s="239">
        <v>941543</v>
      </c>
      <c r="FI179" s="239">
        <v>-16272469</v>
      </c>
      <c r="FJ179" s="239">
        <v>-858884</v>
      </c>
      <c r="FK179" s="239">
        <v>-17131353</v>
      </c>
      <c r="FL179" s="239">
        <v>-7693321</v>
      </c>
      <c r="FM179" s="239">
        <v>-1019769</v>
      </c>
      <c r="FN179" s="239">
        <v>-8713090</v>
      </c>
      <c r="FO179" s="239">
        <v>-606369</v>
      </c>
      <c r="FP179" s="239">
        <v>-4483</v>
      </c>
      <c r="FQ179" s="239">
        <v>-610852</v>
      </c>
      <c r="FR179" s="239">
        <v>-126664</v>
      </c>
      <c r="FS179" s="239">
        <v>-5688</v>
      </c>
      <c r="FT179" s="239">
        <v>-132352</v>
      </c>
      <c r="FU179" s="239">
        <v>0</v>
      </c>
      <c r="FV179" s="239">
        <v>0</v>
      </c>
      <c r="FW179" s="239">
        <v>0</v>
      </c>
      <c r="FX179" s="239">
        <v>-23765215</v>
      </c>
      <c r="FY179" s="239">
        <v>-1880889</v>
      </c>
      <c r="FZ179" s="239">
        <v>-25646104</v>
      </c>
      <c r="GA179" s="239">
        <v>141229548</v>
      </c>
      <c r="GB179" s="239">
        <v>7343584</v>
      </c>
      <c r="GC179" s="239">
        <v>148573132</v>
      </c>
      <c r="GD179" s="214" t="s">
        <v>1192</v>
      </c>
    </row>
    <row r="180" spans="2:186" s="214" customFormat="1" x14ac:dyDescent="0.2">
      <c r="B180" s="609" t="s">
        <v>442</v>
      </c>
      <c r="C180" s="609" t="s">
        <v>441</v>
      </c>
      <c r="D180" s="239">
        <v>0</v>
      </c>
      <c r="E180" s="239">
        <v>0</v>
      </c>
      <c r="F180" s="239">
        <v>0</v>
      </c>
      <c r="G180" s="239">
        <v>334162</v>
      </c>
      <c r="H180" s="239">
        <v>0</v>
      </c>
      <c r="I180" s="239">
        <v>334162</v>
      </c>
      <c r="J180" s="239">
        <v>0</v>
      </c>
      <c r="K180" s="239">
        <v>0</v>
      </c>
      <c r="L180" s="239">
        <v>0</v>
      </c>
      <c r="M180" s="239">
        <v>39613</v>
      </c>
      <c r="N180" s="239">
        <v>0</v>
      </c>
      <c r="O180" s="239">
        <v>39613</v>
      </c>
      <c r="P180" s="239">
        <v>373775</v>
      </c>
      <c r="Q180" s="239">
        <v>0</v>
      </c>
      <c r="R180" s="239">
        <v>373775</v>
      </c>
      <c r="S180" s="239">
        <v>-2362271</v>
      </c>
      <c r="T180" s="239">
        <v>0</v>
      </c>
      <c r="U180" s="239">
        <v>-2362271</v>
      </c>
      <c r="V180" s="239">
        <v>0</v>
      </c>
      <c r="W180" s="239">
        <v>0</v>
      </c>
      <c r="X180" s="239">
        <v>0</v>
      </c>
      <c r="Y180" s="239">
        <v>-125738</v>
      </c>
      <c r="Z180" s="239">
        <v>0</v>
      </c>
      <c r="AA180" s="239">
        <v>-125738</v>
      </c>
      <c r="AB180" s="239">
        <v>-125738</v>
      </c>
      <c r="AC180" s="239">
        <v>0</v>
      </c>
      <c r="AD180" s="239">
        <v>-125738</v>
      </c>
      <c r="AE180" s="239">
        <v>0</v>
      </c>
      <c r="AF180" s="239">
        <v>0</v>
      </c>
      <c r="AG180" s="239">
        <v>0</v>
      </c>
      <c r="AH180" s="239">
        <v>939001</v>
      </c>
      <c r="AI180" s="239">
        <v>0</v>
      </c>
      <c r="AJ180" s="239">
        <v>939001</v>
      </c>
      <c r="AK180" s="239">
        <v>-14341</v>
      </c>
      <c r="AL180" s="239">
        <v>0</v>
      </c>
      <c r="AM180" s="239">
        <v>-14341</v>
      </c>
      <c r="AN180" s="239">
        <v>-2962832</v>
      </c>
      <c r="AO180" s="239">
        <v>0</v>
      </c>
      <c r="AP180" s="239">
        <v>-2962832</v>
      </c>
      <c r="AQ180" s="239">
        <v>-76299</v>
      </c>
      <c r="AR180" s="239">
        <v>0</v>
      </c>
      <c r="AS180" s="239">
        <v>-76299</v>
      </c>
      <c r="AT180" s="239">
        <v>-15188</v>
      </c>
      <c r="AU180" s="239">
        <v>0</v>
      </c>
      <c r="AV180" s="239">
        <v>-15188</v>
      </c>
      <c r="AW180" s="239">
        <v>0</v>
      </c>
      <c r="AX180" s="239">
        <v>0</v>
      </c>
      <c r="AY180" s="239">
        <v>0</v>
      </c>
      <c r="AZ180" s="239">
        <v>-13015</v>
      </c>
      <c r="BA180" s="239">
        <v>0</v>
      </c>
      <c r="BB180" s="239">
        <v>-13015</v>
      </c>
      <c r="BC180" s="239">
        <v>0</v>
      </c>
      <c r="BD180" s="239">
        <v>0</v>
      </c>
      <c r="BE180" s="239">
        <v>0</v>
      </c>
      <c r="BF180" s="239">
        <v>-4630683</v>
      </c>
      <c r="BG180" s="239">
        <v>0</v>
      </c>
      <c r="BH180" s="239">
        <v>-4630683</v>
      </c>
      <c r="BI180" s="239">
        <v>-387117</v>
      </c>
      <c r="BJ180" s="239">
        <v>0</v>
      </c>
      <c r="BK180" s="239">
        <v>-387117</v>
      </c>
      <c r="BL180" s="239">
        <v>-75856</v>
      </c>
      <c r="BM180" s="239">
        <v>0</v>
      </c>
      <c r="BN180" s="239">
        <v>-75856</v>
      </c>
      <c r="BO180" s="239">
        <v>-1154392</v>
      </c>
      <c r="BP180" s="239">
        <v>0</v>
      </c>
      <c r="BQ180" s="239">
        <v>-1154392</v>
      </c>
      <c r="BR180" s="239">
        <v>-124923</v>
      </c>
      <c r="BS180" s="239">
        <v>0</v>
      </c>
      <c r="BT180" s="239">
        <v>-124923</v>
      </c>
      <c r="BU180" s="239">
        <v>-1742288</v>
      </c>
      <c r="BV180" s="239">
        <v>0</v>
      </c>
      <c r="BW180" s="239">
        <v>-1742288</v>
      </c>
      <c r="BX180" s="239">
        <v>-14928</v>
      </c>
      <c r="BY180" s="239">
        <v>0</v>
      </c>
      <c r="BZ180" s="239">
        <v>-14928</v>
      </c>
      <c r="CA180" s="239">
        <v>-516</v>
      </c>
      <c r="CB180" s="239">
        <v>0</v>
      </c>
      <c r="CC180" s="239">
        <v>-516</v>
      </c>
      <c r="CD180" s="239">
        <v>-85264</v>
      </c>
      <c r="CE180" s="239">
        <v>0</v>
      </c>
      <c r="CF180" s="239">
        <v>-85264</v>
      </c>
      <c r="CG180" s="239">
        <v>14267</v>
      </c>
      <c r="CH180" s="239">
        <v>0</v>
      </c>
      <c r="CI180" s="239">
        <v>14267</v>
      </c>
      <c r="CJ180" s="239">
        <v>0</v>
      </c>
      <c r="CK180" s="239">
        <v>0</v>
      </c>
      <c r="CL180" s="239">
        <v>0</v>
      </c>
      <c r="CM180" s="239">
        <v>0</v>
      </c>
      <c r="CN180" s="239">
        <v>0</v>
      </c>
      <c r="CO180" s="239">
        <v>0</v>
      </c>
      <c r="CP180" s="239">
        <v>0</v>
      </c>
      <c r="CQ180" s="239">
        <v>0</v>
      </c>
      <c r="CR180" s="239">
        <v>0</v>
      </c>
      <c r="CS180" s="239">
        <v>0</v>
      </c>
      <c r="CT180" s="239">
        <v>0</v>
      </c>
      <c r="CU180" s="239">
        <v>0</v>
      </c>
      <c r="CV180" s="239">
        <v>0</v>
      </c>
      <c r="CW180" s="239">
        <v>0</v>
      </c>
      <c r="CX180" s="239">
        <v>0</v>
      </c>
      <c r="CY180" s="239">
        <v>0</v>
      </c>
      <c r="CZ180" s="239">
        <v>0</v>
      </c>
      <c r="DA180" s="239">
        <v>0</v>
      </c>
      <c r="DB180" s="239">
        <v>0</v>
      </c>
      <c r="DC180" s="239">
        <v>0</v>
      </c>
      <c r="DD180" s="239">
        <v>0</v>
      </c>
      <c r="DE180" s="239">
        <v>0</v>
      </c>
      <c r="DF180" s="239">
        <v>0</v>
      </c>
      <c r="DG180" s="239">
        <v>0</v>
      </c>
      <c r="DH180" s="239">
        <v>0</v>
      </c>
      <c r="DI180" s="239">
        <v>0</v>
      </c>
      <c r="DJ180" s="239">
        <v>-86441</v>
      </c>
      <c r="DK180" s="239">
        <v>0</v>
      </c>
      <c r="DL180" s="239">
        <v>-86441</v>
      </c>
      <c r="DM180" s="239">
        <v>0</v>
      </c>
      <c r="DN180" s="239">
        <v>0</v>
      </c>
      <c r="DO180" s="239">
        <v>0</v>
      </c>
      <c r="DP180" s="239">
        <v>0</v>
      </c>
      <c r="DQ180" s="239">
        <v>0</v>
      </c>
      <c r="DR180" s="239">
        <v>0</v>
      </c>
      <c r="DS180" s="239">
        <v>-47003</v>
      </c>
      <c r="DT180" s="239">
        <v>0</v>
      </c>
      <c r="DU180" s="239">
        <v>-47003</v>
      </c>
      <c r="DV180" s="239">
        <v>1868</v>
      </c>
      <c r="DW180" s="239">
        <v>0</v>
      </c>
      <c r="DX180" s="239">
        <v>1868</v>
      </c>
      <c r="DY180" s="239">
        <v>0</v>
      </c>
      <c r="DZ180" s="239">
        <v>0</v>
      </c>
      <c r="EA180" s="239">
        <v>0</v>
      </c>
      <c r="EB180" s="239">
        <v>489</v>
      </c>
      <c r="EC180" s="239">
        <v>0</v>
      </c>
      <c r="ED180" s="239">
        <v>489</v>
      </c>
      <c r="EE180" s="239">
        <v>0</v>
      </c>
      <c r="EF180" s="239">
        <v>0</v>
      </c>
      <c r="EG180" s="239">
        <v>0</v>
      </c>
      <c r="EH180" s="239">
        <v>0</v>
      </c>
      <c r="EI180" s="239">
        <v>0</v>
      </c>
      <c r="EJ180" s="239">
        <v>0</v>
      </c>
      <c r="EK180" s="239">
        <v>0</v>
      </c>
      <c r="EL180" s="239">
        <v>0</v>
      </c>
      <c r="EM180" s="239">
        <v>0</v>
      </c>
      <c r="EN180" s="239">
        <v>0</v>
      </c>
      <c r="EO180" s="239">
        <v>0</v>
      </c>
      <c r="EP180" s="239">
        <v>0</v>
      </c>
      <c r="EQ180" s="239">
        <v>-44646</v>
      </c>
      <c r="ER180" s="239">
        <v>0</v>
      </c>
      <c r="ES180" s="239">
        <v>-44646</v>
      </c>
      <c r="ET180" s="239">
        <v>0</v>
      </c>
      <c r="EU180" s="239">
        <v>0</v>
      </c>
      <c r="EV180" s="239">
        <v>0</v>
      </c>
      <c r="EW180" s="239">
        <v>0</v>
      </c>
      <c r="EX180" s="239">
        <v>0</v>
      </c>
      <c r="EY180" s="239">
        <v>0</v>
      </c>
      <c r="EZ180" s="239">
        <v>0</v>
      </c>
      <c r="FA180" s="239">
        <v>0</v>
      </c>
      <c r="FB180" s="239">
        <v>0</v>
      </c>
      <c r="FC180" s="239">
        <v>40808652</v>
      </c>
      <c r="FD180" s="239">
        <v>0</v>
      </c>
      <c r="FE180" s="239">
        <v>40808652</v>
      </c>
      <c r="FF180" s="239">
        <v>373775</v>
      </c>
      <c r="FG180" s="239">
        <v>0</v>
      </c>
      <c r="FH180" s="239">
        <v>373775</v>
      </c>
      <c r="FI180" s="239">
        <v>-4630683</v>
      </c>
      <c r="FJ180" s="239">
        <v>0</v>
      </c>
      <c r="FK180" s="239">
        <v>-4630683</v>
      </c>
      <c r="FL180" s="239">
        <v>-1742288</v>
      </c>
      <c r="FM180" s="239">
        <v>0</v>
      </c>
      <c r="FN180" s="239">
        <v>-1742288</v>
      </c>
      <c r="FO180" s="239">
        <v>-86441</v>
      </c>
      <c r="FP180" s="239">
        <v>0</v>
      </c>
      <c r="FQ180" s="239">
        <v>-86441</v>
      </c>
      <c r="FR180" s="239">
        <v>-44646</v>
      </c>
      <c r="FS180" s="239">
        <v>0</v>
      </c>
      <c r="FT180" s="239">
        <v>-44646</v>
      </c>
      <c r="FU180" s="239">
        <v>0</v>
      </c>
      <c r="FV180" s="239">
        <v>0</v>
      </c>
      <c r="FW180" s="239">
        <v>0</v>
      </c>
      <c r="FX180" s="239">
        <v>-6130283</v>
      </c>
      <c r="FY180" s="239">
        <v>0</v>
      </c>
      <c r="FZ180" s="239">
        <v>-6130283</v>
      </c>
      <c r="GA180" s="239">
        <v>34678369</v>
      </c>
      <c r="GB180" s="239">
        <v>0</v>
      </c>
      <c r="GC180" s="239">
        <v>34678369</v>
      </c>
      <c r="GD180" s="214" t="s">
        <v>1190</v>
      </c>
    </row>
    <row r="181" spans="2:186" s="214" customFormat="1" x14ac:dyDescent="0.2">
      <c r="B181" s="609" t="s">
        <v>444</v>
      </c>
      <c r="C181" s="609" t="s">
        <v>443</v>
      </c>
      <c r="D181" s="239">
        <v>0</v>
      </c>
      <c r="E181" s="239">
        <v>0</v>
      </c>
      <c r="F181" s="239">
        <v>0</v>
      </c>
      <c r="G181" s="239">
        <v>602656</v>
      </c>
      <c r="H181" s="239">
        <v>0</v>
      </c>
      <c r="I181" s="239">
        <v>602656</v>
      </c>
      <c r="J181" s="239">
        <v>0</v>
      </c>
      <c r="K181" s="239">
        <v>0</v>
      </c>
      <c r="L181" s="239">
        <v>0</v>
      </c>
      <c r="M181" s="239">
        <v>23387</v>
      </c>
      <c r="N181" s="239">
        <v>0</v>
      </c>
      <c r="O181" s="239">
        <v>23387</v>
      </c>
      <c r="P181" s="239">
        <v>626043</v>
      </c>
      <c r="Q181" s="239">
        <v>0</v>
      </c>
      <c r="R181" s="239">
        <v>626043</v>
      </c>
      <c r="S181" s="239">
        <v>-5200885</v>
      </c>
      <c r="T181" s="239">
        <v>-2372</v>
      </c>
      <c r="U181" s="239">
        <v>-5203257</v>
      </c>
      <c r="V181" s="239">
        <v>0</v>
      </c>
      <c r="W181" s="239">
        <v>0</v>
      </c>
      <c r="X181" s="239">
        <v>0</v>
      </c>
      <c r="Y181" s="239">
        <v>-264354</v>
      </c>
      <c r="Z181" s="239">
        <v>0</v>
      </c>
      <c r="AA181" s="239">
        <v>-264354</v>
      </c>
      <c r="AB181" s="239">
        <v>0</v>
      </c>
      <c r="AC181" s="239">
        <v>0</v>
      </c>
      <c r="AD181" s="239">
        <v>0</v>
      </c>
      <c r="AE181" s="239">
        <v>0</v>
      </c>
      <c r="AF181" s="239">
        <v>0</v>
      </c>
      <c r="AG181" s="239">
        <v>0</v>
      </c>
      <c r="AH181" s="239">
        <v>3538117</v>
      </c>
      <c r="AI181" s="239">
        <v>20720</v>
      </c>
      <c r="AJ181" s="239">
        <v>3558837</v>
      </c>
      <c r="AK181" s="239">
        <v>-206098</v>
      </c>
      <c r="AL181" s="239">
        <v>348</v>
      </c>
      <c r="AM181" s="239">
        <v>-205750</v>
      </c>
      <c r="AN181" s="239">
        <v>-10843015</v>
      </c>
      <c r="AO181" s="239">
        <v>-83098</v>
      </c>
      <c r="AP181" s="239">
        <v>-10926113</v>
      </c>
      <c r="AQ181" s="239">
        <v>949893</v>
      </c>
      <c r="AR181" s="239">
        <v>0</v>
      </c>
      <c r="AS181" s="239">
        <v>949893</v>
      </c>
      <c r="AT181" s="239">
        <v>0</v>
      </c>
      <c r="AU181" s="239">
        <v>0</v>
      </c>
      <c r="AV181" s="239">
        <v>0</v>
      </c>
      <c r="AW181" s="239">
        <v>0</v>
      </c>
      <c r="AX181" s="239">
        <v>0</v>
      </c>
      <c r="AY181" s="239">
        <v>0</v>
      </c>
      <c r="AZ181" s="239">
        <v>0</v>
      </c>
      <c r="BA181" s="239">
        <v>0</v>
      </c>
      <c r="BB181" s="239">
        <v>0</v>
      </c>
      <c r="BC181" s="239">
        <v>0</v>
      </c>
      <c r="BD181" s="239">
        <v>0</v>
      </c>
      <c r="BE181" s="239">
        <v>0</v>
      </c>
      <c r="BF181" s="239">
        <v>-12026342</v>
      </c>
      <c r="BG181" s="239">
        <v>-64402</v>
      </c>
      <c r="BH181" s="239">
        <v>-12090744</v>
      </c>
      <c r="BI181" s="239">
        <v>-178995</v>
      </c>
      <c r="BJ181" s="239">
        <v>0</v>
      </c>
      <c r="BK181" s="239">
        <v>-178995</v>
      </c>
      <c r="BL181" s="239">
        <v>849</v>
      </c>
      <c r="BM181" s="239">
        <v>0</v>
      </c>
      <c r="BN181" s="239">
        <v>849</v>
      </c>
      <c r="BO181" s="239">
        <v>-5130468</v>
      </c>
      <c r="BP181" s="239">
        <v>0</v>
      </c>
      <c r="BQ181" s="239">
        <v>-5130468</v>
      </c>
      <c r="BR181" s="239">
        <v>733733</v>
      </c>
      <c r="BS181" s="239">
        <v>0</v>
      </c>
      <c r="BT181" s="239">
        <v>733733</v>
      </c>
      <c r="BU181" s="239">
        <v>-4574881</v>
      </c>
      <c r="BV181" s="239">
        <v>0</v>
      </c>
      <c r="BW181" s="239">
        <v>-4574881</v>
      </c>
      <c r="BX181" s="239">
        <v>0</v>
      </c>
      <c r="BY181" s="239">
        <v>0</v>
      </c>
      <c r="BZ181" s="239">
        <v>0</v>
      </c>
      <c r="CA181" s="239">
        <v>0</v>
      </c>
      <c r="CB181" s="239">
        <v>0</v>
      </c>
      <c r="CC181" s="239">
        <v>0</v>
      </c>
      <c r="CD181" s="239">
        <v>0</v>
      </c>
      <c r="CE181" s="239">
        <v>0</v>
      </c>
      <c r="CF181" s="239">
        <v>0</v>
      </c>
      <c r="CG181" s="239">
        <v>0</v>
      </c>
      <c r="CH181" s="239">
        <v>0</v>
      </c>
      <c r="CI181" s="239">
        <v>0</v>
      </c>
      <c r="CJ181" s="239">
        <v>0</v>
      </c>
      <c r="CK181" s="239">
        <v>0</v>
      </c>
      <c r="CL181" s="239">
        <v>0</v>
      </c>
      <c r="CM181" s="239">
        <v>0</v>
      </c>
      <c r="CN181" s="239">
        <v>0</v>
      </c>
      <c r="CO181" s="239">
        <v>0</v>
      </c>
      <c r="CP181" s="239">
        <v>0</v>
      </c>
      <c r="CQ181" s="239">
        <v>0</v>
      </c>
      <c r="CR181" s="239">
        <v>0</v>
      </c>
      <c r="CS181" s="239">
        <v>0</v>
      </c>
      <c r="CT181" s="239">
        <v>0</v>
      </c>
      <c r="CU181" s="239">
        <v>0</v>
      </c>
      <c r="CV181" s="239">
        <v>0</v>
      </c>
      <c r="CW181" s="239">
        <v>0</v>
      </c>
      <c r="CX181" s="239">
        <v>0</v>
      </c>
      <c r="CY181" s="239">
        <v>0</v>
      </c>
      <c r="CZ181" s="239">
        <v>0</v>
      </c>
      <c r="DA181" s="239">
        <v>0</v>
      </c>
      <c r="DB181" s="239">
        <v>0</v>
      </c>
      <c r="DC181" s="239">
        <v>-280015</v>
      </c>
      <c r="DD181" s="239">
        <v>-280015</v>
      </c>
      <c r="DE181" s="239">
        <v>0</v>
      </c>
      <c r="DF181" s="239">
        <v>-495126</v>
      </c>
      <c r="DG181" s="239">
        <v>-495126</v>
      </c>
      <c r="DH181" s="239">
        <v>-775141</v>
      </c>
      <c r="DI181" s="239">
        <v>0</v>
      </c>
      <c r="DJ181" s="239">
        <v>0</v>
      </c>
      <c r="DK181" s="239">
        <v>-775141</v>
      </c>
      <c r="DL181" s="239">
        <v>-775141</v>
      </c>
      <c r="DM181" s="239">
        <v>0</v>
      </c>
      <c r="DN181" s="239">
        <v>0</v>
      </c>
      <c r="DO181" s="239">
        <v>0</v>
      </c>
      <c r="DP181" s="239">
        <v>0</v>
      </c>
      <c r="DQ181" s="239">
        <v>0</v>
      </c>
      <c r="DR181" s="239">
        <v>0</v>
      </c>
      <c r="DS181" s="239">
        <v>-15019</v>
      </c>
      <c r="DT181" s="239">
        <v>0</v>
      </c>
      <c r="DU181" s="239">
        <v>-15019</v>
      </c>
      <c r="DV181" s="239">
        <v>-3719</v>
      </c>
      <c r="DW181" s="239">
        <v>0</v>
      </c>
      <c r="DX181" s="239">
        <v>-3719</v>
      </c>
      <c r="DY181" s="239">
        <v>0</v>
      </c>
      <c r="DZ181" s="239">
        <v>0</v>
      </c>
      <c r="EA181" s="239">
        <v>0</v>
      </c>
      <c r="EB181" s="239">
        <v>-49550</v>
      </c>
      <c r="EC181" s="239">
        <v>0</v>
      </c>
      <c r="ED181" s="239">
        <v>-49550</v>
      </c>
      <c r="EE181" s="239">
        <v>0</v>
      </c>
      <c r="EF181" s="239">
        <v>0</v>
      </c>
      <c r="EG181" s="239">
        <v>0</v>
      </c>
      <c r="EH181" s="239">
        <v>0</v>
      </c>
      <c r="EI181" s="239">
        <v>0</v>
      </c>
      <c r="EJ181" s="239">
        <v>0</v>
      </c>
      <c r="EK181" s="239">
        <v>-37646</v>
      </c>
      <c r="EL181" s="239">
        <v>0</v>
      </c>
      <c r="EM181" s="239">
        <v>-37646</v>
      </c>
      <c r="EN181" s="239">
        <v>15084</v>
      </c>
      <c r="EO181" s="239">
        <v>0</v>
      </c>
      <c r="EP181" s="239">
        <v>15084</v>
      </c>
      <c r="EQ181" s="239">
        <v>-90850</v>
      </c>
      <c r="ER181" s="239">
        <v>0</v>
      </c>
      <c r="ES181" s="239">
        <v>-90850</v>
      </c>
      <c r="ET181" s="239">
        <v>0</v>
      </c>
      <c r="EU181" s="239">
        <v>0</v>
      </c>
      <c r="EV181" s="239">
        <v>0</v>
      </c>
      <c r="EW181" s="239">
        <v>0</v>
      </c>
      <c r="EX181" s="239">
        <v>0</v>
      </c>
      <c r="EY181" s="239">
        <v>0</v>
      </c>
      <c r="EZ181" s="239">
        <v>0</v>
      </c>
      <c r="FA181" s="239">
        <v>0</v>
      </c>
      <c r="FB181" s="239">
        <v>0</v>
      </c>
      <c r="FC181" s="239">
        <v>142798125</v>
      </c>
      <c r="FD181" s="239">
        <v>460127</v>
      </c>
      <c r="FE181" s="239">
        <v>143258252</v>
      </c>
      <c r="FF181" s="239">
        <v>626043</v>
      </c>
      <c r="FG181" s="239">
        <v>0</v>
      </c>
      <c r="FH181" s="239">
        <v>626043</v>
      </c>
      <c r="FI181" s="239">
        <v>-12026342</v>
      </c>
      <c r="FJ181" s="239">
        <v>-64402</v>
      </c>
      <c r="FK181" s="239">
        <v>-12090744</v>
      </c>
      <c r="FL181" s="239">
        <v>-4574881</v>
      </c>
      <c r="FM181" s="239">
        <v>0</v>
      </c>
      <c r="FN181" s="239">
        <v>-4574881</v>
      </c>
      <c r="FO181" s="239">
        <v>0</v>
      </c>
      <c r="FP181" s="239">
        <v>-775141</v>
      </c>
      <c r="FQ181" s="239">
        <v>-775141</v>
      </c>
      <c r="FR181" s="239">
        <v>-90850</v>
      </c>
      <c r="FS181" s="239">
        <v>0</v>
      </c>
      <c r="FT181" s="239">
        <v>-90850</v>
      </c>
      <c r="FU181" s="239">
        <v>0</v>
      </c>
      <c r="FV181" s="239">
        <v>0</v>
      </c>
      <c r="FW181" s="239">
        <v>0</v>
      </c>
      <c r="FX181" s="239">
        <v>-16066030</v>
      </c>
      <c r="FY181" s="239">
        <v>-839543</v>
      </c>
      <c r="FZ181" s="239">
        <v>-16905573</v>
      </c>
      <c r="GA181" s="239">
        <v>126732095</v>
      </c>
      <c r="GB181" s="239">
        <v>-379416</v>
      </c>
      <c r="GC181" s="239">
        <v>126352679</v>
      </c>
      <c r="GD181" s="214" t="s">
        <v>1191</v>
      </c>
    </row>
    <row r="182" spans="2:186" s="214" customFormat="1" x14ac:dyDescent="0.2">
      <c r="B182" s="609" t="s">
        <v>446</v>
      </c>
      <c r="C182" s="609" t="s">
        <v>445</v>
      </c>
      <c r="D182" s="239">
        <v>0</v>
      </c>
      <c r="E182" s="239">
        <v>0</v>
      </c>
      <c r="F182" s="239">
        <v>0</v>
      </c>
      <c r="G182" s="239">
        <v>782597</v>
      </c>
      <c r="H182" s="239">
        <v>0</v>
      </c>
      <c r="I182" s="239">
        <v>782597</v>
      </c>
      <c r="J182" s="239">
        <v>0</v>
      </c>
      <c r="K182" s="239">
        <v>0</v>
      </c>
      <c r="L182" s="239">
        <v>0</v>
      </c>
      <c r="M182" s="239">
        <v>34456</v>
      </c>
      <c r="N182" s="239">
        <v>0</v>
      </c>
      <c r="O182" s="239">
        <v>34456</v>
      </c>
      <c r="P182" s="239">
        <v>817053</v>
      </c>
      <c r="Q182" s="239">
        <v>0</v>
      </c>
      <c r="R182" s="239">
        <v>817053</v>
      </c>
      <c r="S182" s="239">
        <v>-4876855</v>
      </c>
      <c r="T182" s="239">
        <v>0</v>
      </c>
      <c r="U182" s="239">
        <v>-4876855</v>
      </c>
      <c r="V182" s="239">
        <v>-12941</v>
      </c>
      <c r="W182" s="239">
        <v>0</v>
      </c>
      <c r="X182" s="239">
        <v>-12941</v>
      </c>
      <c r="Y182" s="239">
        <v>-330282</v>
      </c>
      <c r="Z182" s="239">
        <v>0</v>
      </c>
      <c r="AA182" s="239">
        <v>-330282</v>
      </c>
      <c r="AB182" s="239">
        <v>-269461</v>
      </c>
      <c r="AC182" s="239">
        <v>0</v>
      </c>
      <c r="AD182" s="239">
        <v>-269461</v>
      </c>
      <c r="AE182" s="239">
        <v>0</v>
      </c>
      <c r="AF182" s="239">
        <v>0</v>
      </c>
      <c r="AG182" s="239">
        <v>0</v>
      </c>
      <c r="AH182" s="239">
        <v>836168</v>
      </c>
      <c r="AI182" s="239">
        <v>0</v>
      </c>
      <c r="AJ182" s="239">
        <v>836168</v>
      </c>
      <c r="AK182" s="239">
        <v>-52613</v>
      </c>
      <c r="AL182" s="239">
        <v>0</v>
      </c>
      <c r="AM182" s="239">
        <v>-52613</v>
      </c>
      <c r="AN182" s="239">
        <v>-2428544</v>
      </c>
      <c r="AO182" s="239">
        <v>0</v>
      </c>
      <c r="AP182" s="239">
        <v>-2428544</v>
      </c>
      <c r="AQ182" s="239">
        <v>2484</v>
      </c>
      <c r="AR182" s="239">
        <v>0</v>
      </c>
      <c r="AS182" s="239">
        <v>2484</v>
      </c>
      <c r="AT182" s="239">
        <v>-119560</v>
      </c>
      <c r="AU182" s="239">
        <v>0</v>
      </c>
      <c r="AV182" s="239">
        <v>-119560</v>
      </c>
      <c r="AW182" s="239">
        <v>0</v>
      </c>
      <c r="AX182" s="239">
        <v>0</v>
      </c>
      <c r="AY182" s="239">
        <v>0</v>
      </c>
      <c r="AZ182" s="239">
        <v>-38723</v>
      </c>
      <c r="BA182" s="239">
        <v>0</v>
      </c>
      <c r="BB182" s="239">
        <v>-38723</v>
      </c>
      <c r="BC182" s="239">
        <v>1901</v>
      </c>
      <c r="BD182" s="239">
        <v>0</v>
      </c>
      <c r="BE182" s="239">
        <v>1901</v>
      </c>
      <c r="BF182" s="239">
        <v>-7006024</v>
      </c>
      <c r="BG182" s="239">
        <v>0</v>
      </c>
      <c r="BH182" s="239">
        <v>-7006024</v>
      </c>
      <c r="BI182" s="239">
        <v>-946</v>
      </c>
      <c r="BJ182" s="239">
        <v>0</v>
      </c>
      <c r="BK182" s="239">
        <v>-946</v>
      </c>
      <c r="BL182" s="239">
        <v>31</v>
      </c>
      <c r="BM182" s="239">
        <v>0</v>
      </c>
      <c r="BN182" s="239">
        <v>31</v>
      </c>
      <c r="BO182" s="239">
        <v>-819007</v>
      </c>
      <c r="BP182" s="239">
        <v>0</v>
      </c>
      <c r="BQ182" s="239">
        <v>-819007</v>
      </c>
      <c r="BR182" s="239">
        <v>-54703</v>
      </c>
      <c r="BS182" s="239">
        <v>0</v>
      </c>
      <c r="BT182" s="239">
        <v>-54703</v>
      </c>
      <c r="BU182" s="239">
        <v>-874625</v>
      </c>
      <c r="BV182" s="239">
        <v>0</v>
      </c>
      <c r="BW182" s="239">
        <v>-874625</v>
      </c>
      <c r="BX182" s="239">
        <v>-117809</v>
      </c>
      <c r="BY182" s="239">
        <v>0</v>
      </c>
      <c r="BZ182" s="239">
        <v>-117809</v>
      </c>
      <c r="CA182" s="239">
        <v>1626</v>
      </c>
      <c r="CB182" s="239">
        <v>0</v>
      </c>
      <c r="CC182" s="239">
        <v>1626</v>
      </c>
      <c r="CD182" s="239">
        <v>-171643</v>
      </c>
      <c r="CE182" s="239">
        <v>0</v>
      </c>
      <c r="CF182" s="239">
        <v>-171643</v>
      </c>
      <c r="CG182" s="239">
        <v>1170</v>
      </c>
      <c r="CH182" s="239">
        <v>0</v>
      </c>
      <c r="CI182" s="239">
        <v>1170</v>
      </c>
      <c r="CJ182" s="239">
        <v>-8541</v>
      </c>
      <c r="CK182" s="239">
        <v>0</v>
      </c>
      <c r="CL182" s="239">
        <v>-8541</v>
      </c>
      <c r="CM182" s="239">
        <v>0</v>
      </c>
      <c r="CN182" s="239">
        <v>0</v>
      </c>
      <c r="CO182" s="239">
        <v>0</v>
      </c>
      <c r="CP182" s="239">
        <v>-13525</v>
      </c>
      <c r="CQ182" s="239">
        <v>0</v>
      </c>
      <c r="CR182" s="239">
        <v>-13525</v>
      </c>
      <c r="CS182" s="239">
        <v>1901</v>
      </c>
      <c r="CT182" s="239">
        <v>0</v>
      </c>
      <c r="CU182" s="239">
        <v>1901</v>
      </c>
      <c r="CV182" s="239">
        <v>-13177</v>
      </c>
      <c r="CW182" s="239">
        <v>0</v>
      </c>
      <c r="CX182" s="239">
        <v>-13177</v>
      </c>
      <c r="CY182" s="239">
        <v>-3834</v>
      </c>
      <c r="CZ182" s="239">
        <v>0</v>
      </c>
      <c r="DA182" s="239">
        <v>-3834</v>
      </c>
      <c r="DB182" s="239">
        <v>0</v>
      </c>
      <c r="DC182" s="239">
        <v>0</v>
      </c>
      <c r="DD182" s="239">
        <v>0</v>
      </c>
      <c r="DE182" s="239">
        <v>0</v>
      </c>
      <c r="DF182" s="239">
        <v>0</v>
      </c>
      <c r="DG182" s="239">
        <v>0</v>
      </c>
      <c r="DH182" s="239">
        <v>0</v>
      </c>
      <c r="DI182" s="239">
        <v>0</v>
      </c>
      <c r="DJ182" s="239">
        <v>-323832</v>
      </c>
      <c r="DK182" s="239">
        <v>0</v>
      </c>
      <c r="DL182" s="239">
        <v>-323832</v>
      </c>
      <c r="DM182" s="239">
        <v>-1281</v>
      </c>
      <c r="DN182" s="239">
        <v>0</v>
      </c>
      <c r="DO182" s="239">
        <v>-1281</v>
      </c>
      <c r="DP182" s="239">
        <v>-4733</v>
      </c>
      <c r="DQ182" s="239">
        <v>0</v>
      </c>
      <c r="DR182" s="239">
        <v>-4733</v>
      </c>
      <c r="DS182" s="239">
        <v>-10303</v>
      </c>
      <c r="DT182" s="239">
        <v>0</v>
      </c>
      <c r="DU182" s="239">
        <v>-10303</v>
      </c>
      <c r="DV182" s="239">
        <v>-15823</v>
      </c>
      <c r="DW182" s="239">
        <v>0</v>
      </c>
      <c r="DX182" s="239">
        <v>-15823</v>
      </c>
      <c r="DY182" s="239">
        <v>0</v>
      </c>
      <c r="DZ182" s="239">
        <v>0</v>
      </c>
      <c r="EA182" s="239">
        <v>0</v>
      </c>
      <c r="EB182" s="239">
        <v>-7404</v>
      </c>
      <c r="EC182" s="239">
        <v>0</v>
      </c>
      <c r="ED182" s="239">
        <v>-7404</v>
      </c>
      <c r="EE182" s="239">
        <v>0</v>
      </c>
      <c r="EF182" s="239">
        <v>0</v>
      </c>
      <c r="EG182" s="239">
        <v>0</v>
      </c>
      <c r="EH182" s="239">
        <v>0</v>
      </c>
      <c r="EI182" s="239">
        <v>0</v>
      </c>
      <c r="EJ182" s="239">
        <v>0</v>
      </c>
      <c r="EK182" s="239">
        <v>-14990</v>
      </c>
      <c r="EL182" s="239">
        <v>0</v>
      </c>
      <c r="EM182" s="239">
        <v>-14990</v>
      </c>
      <c r="EN182" s="239">
        <v>6712</v>
      </c>
      <c r="EO182" s="239">
        <v>0</v>
      </c>
      <c r="EP182" s="239">
        <v>6712</v>
      </c>
      <c r="EQ182" s="239">
        <v>-47822</v>
      </c>
      <c r="ER182" s="239">
        <v>0</v>
      </c>
      <c r="ES182" s="239">
        <v>-47822</v>
      </c>
      <c r="ET182" s="239">
        <v>0</v>
      </c>
      <c r="EU182" s="239">
        <v>0</v>
      </c>
      <c r="EV182" s="239">
        <v>0</v>
      </c>
      <c r="EW182" s="239">
        <v>0</v>
      </c>
      <c r="EX182" s="239">
        <v>0</v>
      </c>
      <c r="EY182" s="239">
        <v>0</v>
      </c>
      <c r="EZ182" s="239">
        <v>0</v>
      </c>
      <c r="FA182" s="239">
        <v>0</v>
      </c>
      <c r="FB182" s="239">
        <v>0</v>
      </c>
      <c r="FC182" s="239">
        <v>39622033</v>
      </c>
      <c r="FD182" s="239">
        <v>0</v>
      </c>
      <c r="FE182" s="239">
        <v>39622033</v>
      </c>
      <c r="FF182" s="239">
        <v>817053</v>
      </c>
      <c r="FG182" s="239">
        <v>0</v>
      </c>
      <c r="FH182" s="239">
        <v>817053</v>
      </c>
      <c r="FI182" s="239">
        <v>-7006024</v>
      </c>
      <c r="FJ182" s="239">
        <v>0</v>
      </c>
      <c r="FK182" s="239">
        <v>-7006024</v>
      </c>
      <c r="FL182" s="239">
        <v>-874625</v>
      </c>
      <c r="FM182" s="239">
        <v>0</v>
      </c>
      <c r="FN182" s="239">
        <v>-874625</v>
      </c>
      <c r="FO182" s="239">
        <v>-323832</v>
      </c>
      <c r="FP182" s="239">
        <v>0</v>
      </c>
      <c r="FQ182" s="239">
        <v>-323832</v>
      </c>
      <c r="FR182" s="239">
        <v>-47822</v>
      </c>
      <c r="FS182" s="239">
        <v>0</v>
      </c>
      <c r="FT182" s="239">
        <v>-47822</v>
      </c>
      <c r="FU182" s="239">
        <v>0</v>
      </c>
      <c r="FV182" s="239">
        <v>0</v>
      </c>
      <c r="FW182" s="239">
        <v>0</v>
      </c>
      <c r="FX182" s="239">
        <v>-7435250</v>
      </c>
      <c r="FY182" s="239">
        <v>0</v>
      </c>
      <c r="FZ182" s="239">
        <v>-7435250</v>
      </c>
      <c r="GA182" s="239">
        <v>32186783</v>
      </c>
      <c r="GB182" s="239">
        <v>0</v>
      </c>
      <c r="GC182" s="239">
        <v>32186783</v>
      </c>
      <c r="GD182" s="214" t="s">
        <v>1190</v>
      </c>
    </row>
    <row r="183" spans="2:186" s="214" customFormat="1" x14ac:dyDescent="0.2">
      <c r="B183" s="609" t="s">
        <v>448</v>
      </c>
      <c r="C183" s="609" t="s">
        <v>447</v>
      </c>
      <c r="D183" s="239">
        <v>0</v>
      </c>
      <c r="E183" s="239">
        <v>0</v>
      </c>
      <c r="F183" s="239">
        <v>0</v>
      </c>
      <c r="G183" s="239">
        <v>33778</v>
      </c>
      <c r="H183" s="239">
        <v>0</v>
      </c>
      <c r="I183" s="239">
        <v>33778</v>
      </c>
      <c r="J183" s="239">
        <v>0</v>
      </c>
      <c r="K183" s="239">
        <v>0</v>
      </c>
      <c r="L183" s="239">
        <v>0</v>
      </c>
      <c r="M183" s="239">
        <v>-675</v>
      </c>
      <c r="N183" s="239">
        <v>0</v>
      </c>
      <c r="O183" s="239">
        <v>-675</v>
      </c>
      <c r="P183" s="239">
        <v>33103</v>
      </c>
      <c r="Q183" s="239">
        <v>0</v>
      </c>
      <c r="R183" s="239">
        <v>33103</v>
      </c>
      <c r="S183" s="239">
        <v>-1971676</v>
      </c>
      <c r="T183" s="239">
        <v>0</v>
      </c>
      <c r="U183" s="239">
        <v>-1971676</v>
      </c>
      <c r="V183" s="239">
        <v>-7105</v>
      </c>
      <c r="W183" s="239">
        <v>0</v>
      </c>
      <c r="X183" s="239">
        <v>-7105</v>
      </c>
      <c r="Y183" s="239">
        <v>-139394</v>
      </c>
      <c r="Z183" s="239">
        <v>0</v>
      </c>
      <c r="AA183" s="239">
        <v>-139394</v>
      </c>
      <c r="AB183" s="239">
        <v>-104296</v>
      </c>
      <c r="AC183" s="239">
        <v>0</v>
      </c>
      <c r="AD183" s="239">
        <v>-104296</v>
      </c>
      <c r="AE183" s="239">
        <v>0</v>
      </c>
      <c r="AF183" s="239">
        <v>0</v>
      </c>
      <c r="AG183" s="239">
        <v>0</v>
      </c>
      <c r="AH183" s="239">
        <v>383547</v>
      </c>
      <c r="AI183" s="239">
        <v>0</v>
      </c>
      <c r="AJ183" s="239">
        <v>383547</v>
      </c>
      <c r="AK183" s="239">
        <v>303</v>
      </c>
      <c r="AL183" s="239">
        <v>0</v>
      </c>
      <c r="AM183" s="239">
        <v>303</v>
      </c>
      <c r="AN183" s="239">
        <v>-2618311</v>
      </c>
      <c r="AO183" s="239">
        <v>0</v>
      </c>
      <c r="AP183" s="239">
        <v>-2618311</v>
      </c>
      <c r="AQ183" s="239">
        <v>79419</v>
      </c>
      <c r="AR183" s="239">
        <v>0</v>
      </c>
      <c r="AS183" s="239">
        <v>79419</v>
      </c>
      <c r="AT183" s="239">
        <v>-91388</v>
      </c>
      <c r="AU183" s="239">
        <v>0</v>
      </c>
      <c r="AV183" s="239">
        <v>-91388</v>
      </c>
      <c r="AW183" s="239">
        <v>-474452</v>
      </c>
      <c r="AX183" s="239">
        <v>0</v>
      </c>
      <c r="AY183" s="239">
        <v>-474452</v>
      </c>
      <c r="AZ183" s="239">
        <v>-40866</v>
      </c>
      <c r="BA183" s="239">
        <v>0</v>
      </c>
      <c r="BB183" s="239">
        <v>-40866</v>
      </c>
      <c r="BC183" s="239">
        <v>0</v>
      </c>
      <c r="BD183" s="239">
        <v>0</v>
      </c>
      <c r="BE183" s="239">
        <v>0</v>
      </c>
      <c r="BF183" s="239">
        <v>-4872818</v>
      </c>
      <c r="BG183" s="239">
        <v>0</v>
      </c>
      <c r="BH183" s="239">
        <v>-4872818</v>
      </c>
      <c r="BI183" s="239">
        <v>-25315</v>
      </c>
      <c r="BJ183" s="239">
        <v>0</v>
      </c>
      <c r="BK183" s="239">
        <v>-25315</v>
      </c>
      <c r="BL183" s="239">
        <v>-4</v>
      </c>
      <c r="BM183" s="239">
        <v>0</v>
      </c>
      <c r="BN183" s="239">
        <v>-4</v>
      </c>
      <c r="BO183" s="239">
        <v>-382564</v>
      </c>
      <c r="BP183" s="239">
        <v>0</v>
      </c>
      <c r="BQ183" s="239">
        <v>-382564</v>
      </c>
      <c r="BR183" s="239">
        <v>-12724</v>
      </c>
      <c r="BS183" s="239">
        <v>0</v>
      </c>
      <c r="BT183" s="239">
        <v>-12724</v>
      </c>
      <c r="BU183" s="239">
        <v>-420607</v>
      </c>
      <c r="BV183" s="239">
        <v>0</v>
      </c>
      <c r="BW183" s="239">
        <v>-420607</v>
      </c>
      <c r="BX183" s="239">
        <v>-30557</v>
      </c>
      <c r="BY183" s="239">
        <v>0</v>
      </c>
      <c r="BZ183" s="239">
        <v>-30557</v>
      </c>
      <c r="CA183" s="239">
        <v>7</v>
      </c>
      <c r="CB183" s="239">
        <v>0</v>
      </c>
      <c r="CC183" s="239">
        <v>7</v>
      </c>
      <c r="CD183" s="239">
        <v>-3377</v>
      </c>
      <c r="CE183" s="239">
        <v>0</v>
      </c>
      <c r="CF183" s="239">
        <v>-3377</v>
      </c>
      <c r="CG183" s="239">
        <v>1961</v>
      </c>
      <c r="CH183" s="239">
        <v>0</v>
      </c>
      <c r="CI183" s="239">
        <v>1961</v>
      </c>
      <c r="CJ183" s="239">
        <v>-22564</v>
      </c>
      <c r="CK183" s="239">
        <v>0</v>
      </c>
      <c r="CL183" s="239">
        <v>-22564</v>
      </c>
      <c r="CM183" s="239">
        <v>-118613</v>
      </c>
      <c r="CN183" s="239">
        <v>0</v>
      </c>
      <c r="CO183" s="239">
        <v>-118613</v>
      </c>
      <c r="CP183" s="239">
        <v>0</v>
      </c>
      <c r="CQ183" s="239">
        <v>0</v>
      </c>
      <c r="CR183" s="239">
        <v>0</v>
      </c>
      <c r="CS183" s="239">
        <v>0</v>
      </c>
      <c r="CT183" s="239">
        <v>0</v>
      </c>
      <c r="CU183" s="239">
        <v>0</v>
      </c>
      <c r="CV183" s="239">
        <v>0</v>
      </c>
      <c r="CW183" s="239">
        <v>0</v>
      </c>
      <c r="CX183" s="239">
        <v>0</v>
      </c>
      <c r="CY183" s="239">
        <v>0</v>
      </c>
      <c r="CZ183" s="239">
        <v>0</v>
      </c>
      <c r="DA183" s="239">
        <v>0</v>
      </c>
      <c r="DB183" s="239">
        <v>0</v>
      </c>
      <c r="DC183" s="239">
        <v>0</v>
      </c>
      <c r="DD183" s="239">
        <v>0</v>
      </c>
      <c r="DE183" s="239">
        <v>0</v>
      </c>
      <c r="DF183" s="239">
        <v>0</v>
      </c>
      <c r="DG183" s="239">
        <v>0</v>
      </c>
      <c r="DH183" s="239">
        <v>0</v>
      </c>
      <c r="DI183" s="239">
        <v>0</v>
      </c>
      <c r="DJ183" s="239">
        <v>-173143</v>
      </c>
      <c r="DK183" s="239">
        <v>0</v>
      </c>
      <c r="DL183" s="239">
        <v>-173143</v>
      </c>
      <c r="DM183" s="239">
        <v>-14892</v>
      </c>
      <c r="DN183" s="239">
        <v>0</v>
      </c>
      <c r="DO183" s="239">
        <v>-14892</v>
      </c>
      <c r="DP183" s="239">
        <v>1335</v>
      </c>
      <c r="DQ183" s="239">
        <v>0</v>
      </c>
      <c r="DR183" s="239">
        <v>1335</v>
      </c>
      <c r="DS183" s="239">
        <v>-5945</v>
      </c>
      <c r="DT183" s="239">
        <v>0</v>
      </c>
      <c r="DU183" s="239">
        <v>-5945</v>
      </c>
      <c r="DV183" s="239">
        <v>-1470</v>
      </c>
      <c r="DW183" s="239">
        <v>0</v>
      </c>
      <c r="DX183" s="239">
        <v>-1470</v>
      </c>
      <c r="DY183" s="239">
        <v>0</v>
      </c>
      <c r="DZ183" s="239">
        <v>0</v>
      </c>
      <c r="EA183" s="239">
        <v>0</v>
      </c>
      <c r="EB183" s="239">
        <v>-1678</v>
      </c>
      <c r="EC183" s="239">
        <v>0</v>
      </c>
      <c r="ED183" s="239">
        <v>-1678</v>
      </c>
      <c r="EE183" s="239">
        <v>-17154</v>
      </c>
      <c r="EF183" s="239">
        <v>0</v>
      </c>
      <c r="EG183" s="239">
        <v>-17154</v>
      </c>
      <c r="EH183" s="239">
        <v>20</v>
      </c>
      <c r="EI183" s="239">
        <v>0</v>
      </c>
      <c r="EJ183" s="239">
        <v>20</v>
      </c>
      <c r="EK183" s="239">
        <v>0</v>
      </c>
      <c r="EL183" s="239">
        <v>0</v>
      </c>
      <c r="EM183" s="239">
        <v>0</v>
      </c>
      <c r="EN183" s="239">
        <v>0</v>
      </c>
      <c r="EO183" s="239">
        <v>0</v>
      </c>
      <c r="EP183" s="239">
        <v>0</v>
      </c>
      <c r="EQ183" s="239">
        <v>-39784</v>
      </c>
      <c r="ER183" s="239">
        <v>0</v>
      </c>
      <c r="ES183" s="239">
        <v>-39784</v>
      </c>
      <c r="ET183" s="239">
        <v>0</v>
      </c>
      <c r="EU183" s="239">
        <v>0</v>
      </c>
      <c r="EV183" s="239">
        <v>0</v>
      </c>
      <c r="EW183" s="239">
        <v>0</v>
      </c>
      <c r="EX183" s="239">
        <v>0</v>
      </c>
      <c r="EY183" s="239">
        <v>0</v>
      </c>
      <c r="EZ183" s="239">
        <v>0</v>
      </c>
      <c r="FA183" s="239">
        <v>0</v>
      </c>
      <c r="FB183" s="239">
        <v>0</v>
      </c>
      <c r="FC183" s="239">
        <v>19424281</v>
      </c>
      <c r="FD183" s="239">
        <v>0</v>
      </c>
      <c r="FE183" s="239">
        <v>19424281</v>
      </c>
      <c r="FF183" s="239">
        <v>33103</v>
      </c>
      <c r="FG183" s="239">
        <v>0</v>
      </c>
      <c r="FH183" s="239">
        <v>33103</v>
      </c>
      <c r="FI183" s="239">
        <v>-4872818</v>
      </c>
      <c r="FJ183" s="239">
        <v>0</v>
      </c>
      <c r="FK183" s="239">
        <v>-4872818</v>
      </c>
      <c r="FL183" s="239">
        <v>-420607</v>
      </c>
      <c r="FM183" s="239">
        <v>0</v>
      </c>
      <c r="FN183" s="239">
        <v>-420607</v>
      </c>
      <c r="FO183" s="239">
        <v>-173143</v>
      </c>
      <c r="FP183" s="239">
        <v>0</v>
      </c>
      <c r="FQ183" s="239">
        <v>-173143</v>
      </c>
      <c r="FR183" s="239">
        <v>-39784</v>
      </c>
      <c r="FS183" s="239">
        <v>0</v>
      </c>
      <c r="FT183" s="239">
        <v>-39784</v>
      </c>
      <c r="FU183" s="239">
        <v>0</v>
      </c>
      <c r="FV183" s="239">
        <v>0</v>
      </c>
      <c r="FW183" s="239">
        <v>0</v>
      </c>
      <c r="FX183" s="239">
        <v>-5473249</v>
      </c>
      <c r="FY183" s="239">
        <v>0</v>
      </c>
      <c r="FZ183" s="239">
        <v>-5473249</v>
      </c>
      <c r="GA183" s="239">
        <v>13951032</v>
      </c>
      <c r="GB183" s="239">
        <v>0</v>
      </c>
      <c r="GC183" s="239">
        <v>13951032</v>
      </c>
      <c r="GD183" s="214" t="s">
        <v>1190</v>
      </c>
    </row>
    <row r="184" spans="2:186" s="214" customFormat="1" x14ac:dyDescent="0.2">
      <c r="B184" s="609" t="s">
        <v>450</v>
      </c>
      <c r="C184" s="609" t="s">
        <v>449</v>
      </c>
      <c r="D184" s="239">
        <v>0</v>
      </c>
      <c r="E184" s="239">
        <v>0</v>
      </c>
      <c r="F184" s="239">
        <v>0</v>
      </c>
      <c r="G184" s="239">
        <v>104863</v>
      </c>
      <c r="H184" s="239">
        <v>0</v>
      </c>
      <c r="I184" s="239">
        <v>104863</v>
      </c>
      <c r="J184" s="239">
        <v>0</v>
      </c>
      <c r="K184" s="239">
        <v>0</v>
      </c>
      <c r="L184" s="239">
        <v>0</v>
      </c>
      <c r="M184" s="239">
        <v>16843</v>
      </c>
      <c r="N184" s="239">
        <v>0</v>
      </c>
      <c r="O184" s="239">
        <v>16843</v>
      </c>
      <c r="P184" s="239">
        <v>121706</v>
      </c>
      <c r="Q184" s="239">
        <v>0</v>
      </c>
      <c r="R184" s="239">
        <v>121706</v>
      </c>
      <c r="S184" s="239">
        <v>-1985410</v>
      </c>
      <c r="T184" s="239">
        <v>0</v>
      </c>
      <c r="U184" s="239">
        <v>-1985410</v>
      </c>
      <c r="V184" s="239">
        <v>0</v>
      </c>
      <c r="W184" s="239">
        <v>0</v>
      </c>
      <c r="X184" s="239">
        <v>0</v>
      </c>
      <c r="Y184" s="239">
        <v>-178882</v>
      </c>
      <c r="Z184" s="239">
        <v>0</v>
      </c>
      <c r="AA184" s="239">
        <v>-178882</v>
      </c>
      <c r="AB184" s="239">
        <v>0</v>
      </c>
      <c r="AC184" s="239">
        <v>0</v>
      </c>
      <c r="AD184" s="239">
        <v>0</v>
      </c>
      <c r="AE184" s="239">
        <v>0</v>
      </c>
      <c r="AF184" s="239">
        <v>0</v>
      </c>
      <c r="AG184" s="239">
        <v>0</v>
      </c>
      <c r="AH184" s="239">
        <v>392107</v>
      </c>
      <c r="AI184" s="239">
        <v>0</v>
      </c>
      <c r="AJ184" s="239">
        <v>392107</v>
      </c>
      <c r="AK184" s="239">
        <v>-17822</v>
      </c>
      <c r="AL184" s="239">
        <v>0</v>
      </c>
      <c r="AM184" s="239">
        <v>-17822</v>
      </c>
      <c r="AN184" s="239">
        <v>-552501</v>
      </c>
      <c r="AO184" s="239">
        <v>0</v>
      </c>
      <c r="AP184" s="239">
        <v>-552501</v>
      </c>
      <c r="AQ184" s="239">
        <v>-7208</v>
      </c>
      <c r="AR184" s="239">
        <v>0</v>
      </c>
      <c r="AS184" s="239">
        <v>-7208</v>
      </c>
      <c r="AT184" s="239">
        <v>-19739</v>
      </c>
      <c r="AU184" s="239">
        <v>0</v>
      </c>
      <c r="AV184" s="239">
        <v>-19739</v>
      </c>
      <c r="AW184" s="239">
        <v>-24222</v>
      </c>
      <c r="AX184" s="239">
        <v>0</v>
      </c>
      <c r="AY184" s="239">
        <v>-24222</v>
      </c>
      <c r="AZ184" s="239">
        <v>-6604</v>
      </c>
      <c r="BA184" s="239">
        <v>0</v>
      </c>
      <c r="BB184" s="239">
        <v>-6604</v>
      </c>
      <c r="BC184" s="239">
        <v>0</v>
      </c>
      <c r="BD184" s="239">
        <v>0</v>
      </c>
      <c r="BE184" s="239">
        <v>0</v>
      </c>
      <c r="BF184" s="239">
        <v>-2400281</v>
      </c>
      <c r="BG184" s="239">
        <v>0</v>
      </c>
      <c r="BH184" s="239">
        <v>-2400281</v>
      </c>
      <c r="BI184" s="239">
        <v>-31874</v>
      </c>
      <c r="BJ184" s="239">
        <v>0</v>
      </c>
      <c r="BK184" s="239">
        <v>-31874</v>
      </c>
      <c r="BL184" s="239">
        <v>-31754</v>
      </c>
      <c r="BM184" s="239">
        <v>0</v>
      </c>
      <c r="BN184" s="239">
        <v>-31754</v>
      </c>
      <c r="BO184" s="239">
        <v>-422226</v>
      </c>
      <c r="BP184" s="239">
        <v>0</v>
      </c>
      <c r="BQ184" s="239">
        <v>-422226</v>
      </c>
      <c r="BR184" s="239">
        <v>-12784</v>
      </c>
      <c r="BS184" s="239">
        <v>0</v>
      </c>
      <c r="BT184" s="239">
        <v>-12784</v>
      </c>
      <c r="BU184" s="239">
        <v>-498638</v>
      </c>
      <c r="BV184" s="239">
        <v>0</v>
      </c>
      <c r="BW184" s="239">
        <v>-498638</v>
      </c>
      <c r="BX184" s="239">
        <v>-30417</v>
      </c>
      <c r="BY184" s="239">
        <v>0</v>
      </c>
      <c r="BZ184" s="239">
        <v>-30417</v>
      </c>
      <c r="CA184" s="239">
        <v>0</v>
      </c>
      <c r="CB184" s="239">
        <v>0</v>
      </c>
      <c r="CC184" s="239">
        <v>0</v>
      </c>
      <c r="CD184" s="239">
        <v>-15975</v>
      </c>
      <c r="CE184" s="239">
        <v>0</v>
      </c>
      <c r="CF184" s="239">
        <v>-15975</v>
      </c>
      <c r="CG184" s="239">
        <v>122</v>
      </c>
      <c r="CH184" s="239">
        <v>0</v>
      </c>
      <c r="CI184" s="239">
        <v>122</v>
      </c>
      <c r="CJ184" s="239">
        <v>-229</v>
      </c>
      <c r="CK184" s="239">
        <v>0</v>
      </c>
      <c r="CL184" s="239">
        <v>-229</v>
      </c>
      <c r="CM184" s="239">
        <v>0</v>
      </c>
      <c r="CN184" s="239">
        <v>0</v>
      </c>
      <c r="CO184" s="239">
        <v>0</v>
      </c>
      <c r="CP184" s="239">
        <v>-1274</v>
      </c>
      <c r="CQ184" s="239">
        <v>0</v>
      </c>
      <c r="CR184" s="239">
        <v>-1274</v>
      </c>
      <c r="CS184" s="239">
        <v>0</v>
      </c>
      <c r="CT184" s="239">
        <v>0</v>
      </c>
      <c r="CU184" s="239">
        <v>0</v>
      </c>
      <c r="CV184" s="239">
        <v>0</v>
      </c>
      <c r="CW184" s="239">
        <v>0</v>
      </c>
      <c r="CX184" s="239">
        <v>0</v>
      </c>
      <c r="CY184" s="239">
        <v>0</v>
      </c>
      <c r="CZ184" s="239">
        <v>0</v>
      </c>
      <c r="DA184" s="239">
        <v>0</v>
      </c>
      <c r="DB184" s="239">
        <v>0</v>
      </c>
      <c r="DC184" s="239">
        <v>0</v>
      </c>
      <c r="DD184" s="239">
        <v>0</v>
      </c>
      <c r="DE184" s="239">
        <v>0</v>
      </c>
      <c r="DF184" s="239">
        <v>0</v>
      </c>
      <c r="DG184" s="239">
        <v>0</v>
      </c>
      <c r="DH184" s="239">
        <v>0</v>
      </c>
      <c r="DI184" s="239">
        <v>0</v>
      </c>
      <c r="DJ184" s="239">
        <v>-47773</v>
      </c>
      <c r="DK184" s="239">
        <v>0</v>
      </c>
      <c r="DL184" s="239">
        <v>-47773</v>
      </c>
      <c r="DM184" s="239">
        <v>0</v>
      </c>
      <c r="DN184" s="239">
        <v>0</v>
      </c>
      <c r="DO184" s="239">
        <v>0</v>
      </c>
      <c r="DP184" s="239">
        <v>0</v>
      </c>
      <c r="DQ184" s="239">
        <v>0</v>
      </c>
      <c r="DR184" s="239">
        <v>0</v>
      </c>
      <c r="DS184" s="239">
        <v>0</v>
      </c>
      <c r="DT184" s="239">
        <v>0</v>
      </c>
      <c r="DU184" s="239">
        <v>0</v>
      </c>
      <c r="DV184" s="239">
        <v>0</v>
      </c>
      <c r="DW184" s="239">
        <v>0</v>
      </c>
      <c r="DX184" s="239">
        <v>0</v>
      </c>
      <c r="DY184" s="239">
        <v>0</v>
      </c>
      <c r="DZ184" s="239">
        <v>0</v>
      </c>
      <c r="EA184" s="239">
        <v>0</v>
      </c>
      <c r="EB184" s="239">
        <v>22831</v>
      </c>
      <c r="EC184" s="239">
        <v>0</v>
      </c>
      <c r="ED184" s="239">
        <v>22831</v>
      </c>
      <c r="EE184" s="239">
        <v>0</v>
      </c>
      <c r="EF184" s="239">
        <v>0</v>
      </c>
      <c r="EG184" s="239">
        <v>0</v>
      </c>
      <c r="EH184" s="239">
        <v>0</v>
      </c>
      <c r="EI184" s="239">
        <v>0</v>
      </c>
      <c r="EJ184" s="239">
        <v>0</v>
      </c>
      <c r="EK184" s="239">
        <v>-10647</v>
      </c>
      <c r="EL184" s="239">
        <v>0</v>
      </c>
      <c r="EM184" s="239">
        <v>-10647</v>
      </c>
      <c r="EN184" s="239">
        <v>0</v>
      </c>
      <c r="EO184" s="239">
        <v>0</v>
      </c>
      <c r="EP184" s="239">
        <v>0</v>
      </c>
      <c r="EQ184" s="239">
        <v>12184</v>
      </c>
      <c r="ER184" s="239">
        <v>0</v>
      </c>
      <c r="ES184" s="239">
        <v>12184</v>
      </c>
      <c r="ET184" s="239">
        <v>0</v>
      </c>
      <c r="EU184" s="239">
        <v>0</v>
      </c>
      <c r="EV184" s="239">
        <v>0</v>
      </c>
      <c r="EW184" s="239">
        <v>0</v>
      </c>
      <c r="EX184" s="239">
        <v>0</v>
      </c>
      <c r="EY184" s="239">
        <v>0</v>
      </c>
      <c r="EZ184" s="239">
        <v>0</v>
      </c>
      <c r="FA184" s="239">
        <v>0</v>
      </c>
      <c r="FB184" s="239">
        <v>0</v>
      </c>
      <c r="FC184" s="239">
        <v>18835691</v>
      </c>
      <c r="FD184" s="239">
        <v>0</v>
      </c>
      <c r="FE184" s="239">
        <v>18835691</v>
      </c>
      <c r="FF184" s="239">
        <v>121706</v>
      </c>
      <c r="FG184" s="239">
        <v>0</v>
      </c>
      <c r="FH184" s="239">
        <v>121706</v>
      </c>
      <c r="FI184" s="239">
        <v>-2400281</v>
      </c>
      <c r="FJ184" s="239">
        <v>0</v>
      </c>
      <c r="FK184" s="239">
        <v>-2400281</v>
      </c>
      <c r="FL184" s="239">
        <v>-498638</v>
      </c>
      <c r="FM184" s="239">
        <v>0</v>
      </c>
      <c r="FN184" s="239">
        <v>-498638</v>
      </c>
      <c r="FO184" s="239">
        <v>-47773</v>
      </c>
      <c r="FP184" s="239">
        <v>0</v>
      </c>
      <c r="FQ184" s="239">
        <v>-47773</v>
      </c>
      <c r="FR184" s="239">
        <v>12184</v>
      </c>
      <c r="FS184" s="239">
        <v>0</v>
      </c>
      <c r="FT184" s="239">
        <v>12184</v>
      </c>
      <c r="FU184" s="239">
        <v>0</v>
      </c>
      <c r="FV184" s="239">
        <v>0</v>
      </c>
      <c r="FW184" s="239">
        <v>0</v>
      </c>
      <c r="FX184" s="239">
        <v>-2812802</v>
      </c>
      <c r="FY184" s="239">
        <v>0</v>
      </c>
      <c r="FZ184" s="239">
        <v>-2812802</v>
      </c>
      <c r="GA184" s="239">
        <v>16022889</v>
      </c>
      <c r="GB184" s="239">
        <v>0</v>
      </c>
      <c r="GC184" s="239">
        <v>16022889</v>
      </c>
      <c r="GD184" s="214" t="s">
        <v>1190</v>
      </c>
    </row>
    <row r="185" spans="2:186" s="214" customFormat="1" x14ac:dyDescent="0.2">
      <c r="B185" s="609" t="s">
        <v>452</v>
      </c>
      <c r="C185" s="609" t="s">
        <v>451</v>
      </c>
      <c r="D185" s="239">
        <v>0</v>
      </c>
      <c r="E185" s="239">
        <v>0</v>
      </c>
      <c r="F185" s="239">
        <v>0</v>
      </c>
      <c r="G185" s="239">
        <v>-209524</v>
      </c>
      <c r="H185" s="239">
        <v>0</v>
      </c>
      <c r="I185" s="239">
        <v>-209524</v>
      </c>
      <c r="J185" s="239">
        <v>0</v>
      </c>
      <c r="K185" s="239">
        <v>0</v>
      </c>
      <c r="L185" s="239">
        <v>0</v>
      </c>
      <c r="M185" s="239">
        <v>46464</v>
      </c>
      <c r="N185" s="239">
        <v>0</v>
      </c>
      <c r="O185" s="239">
        <v>46464</v>
      </c>
      <c r="P185" s="239">
        <v>-163060</v>
      </c>
      <c r="Q185" s="239">
        <v>0</v>
      </c>
      <c r="R185" s="239">
        <v>-163060</v>
      </c>
      <c r="S185" s="239">
        <v>-3505304</v>
      </c>
      <c r="T185" s="239">
        <v>0</v>
      </c>
      <c r="U185" s="239">
        <v>-3505304</v>
      </c>
      <c r="V185" s="239">
        <v>-22857</v>
      </c>
      <c r="W185" s="239">
        <v>0</v>
      </c>
      <c r="X185" s="239">
        <v>-22857</v>
      </c>
      <c r="Y185" s="239">
        <v>-332706</v>
      </c>
      <c r="Z185" s="239">
        <v>0</v>
      </c>
      <c r="AA185" s="239">
        <v>-332706</v>
      </c>
      <c r="AB185" s="239">
        <v>-204258</v>
      </c>
      <c r="AC185" s="239">
        <v>0</v>
      </c>
      <c r="AD185" s="239">
        <v>-204258</v>
      </c>
      <c r="AE185" s="239">
        <v>3098</v>
      </c>
      <c r="AF185" s="239">
        <v>0</v>
      </c>
      <c r="AG185" s="239">
        <v>3098</v>
      </c>
      <c r="AH185" s="239">
        <v>1854525</v>
      </c>
      <c r="AI185" s="239">
        <v>0</v>
      </c>
      <c r="AJ185" s="239">
        <v>1854525</v>
      </c>
      <c r="AK185" s="239">
        <v>-9275</v>
      </c>
      <c r="AL185" s="239">
        <v>0</v>
      </c>
      <c r="AM185" s="239">
        <v>-9275</v>
      </c>
      <c r="AN185" s="239">
        <v>-3829659</v>
      </c>
      <c r="AO185" s="239">
        <v>0</v>
      </c>
      <c r="AP185" s="239">
        <v>-3829659</v>
      </c>
      <c r="AQ185" s="239">
        <v>-831300</v>
      </c>
      <c r="AR185" s="239">
        <v>0</v>
      </c>
      <c r="AS185" s="239">
        <v>-831300</v>
      </c>
      <c r="AT185" s="239">
        <v>-92283</v>
      </c>
      <c r="AU185" s="239">
        <v>0</v>
      </c>
      <c r="AV185" s="239">
        <v>-92283</v>
      </c>
      <c r="AW185" s="239">
        <v>0</v>
      </c>
      <c r="AX185" s="239">
        <v>0</v>
      </c>
      <c r="AY185" s="239">
        <v>0</v>
      </c>
      <c r="AZ185" s="239">
        <v>-596</v>
      </c>
      <c r="BA185" s="239">
        <v>0</v>
      </c>
      <c r="BB185" s="239">
        <v>-596</v>
      </c>
      <c r="BC185" s="239">
        <v>0</v>
      </c>
      <c r="BD185" s="239">
        <v>0</v>
      </c>
      <c r="BE185" s="239">
        <v>0</v>
      </c>
      <c r="BF185" s="239">
        <v>-6746598</v>
      </c>
      <c r="BG185" s="239">
        <v>0</v>
      </c>
      <c r="BH185" s="239">
        <v>-6746598</v>
      </c>
      <c r="BI185" s="239">
        <v>0</v>
      </c>
      <c r="BJ185" s="239">
        <v>0</v>
      </c>
      <c r="BK185" s="239">
        <v>0</v>
      </c>
      <c r="BL185" s="239">
        <v>-4899</v>
      </c>
      <c r="BM185" s="239">
        <v>0</v>
      </c>
      <c r="BN185" s="239">
        <v>-4899</v>
      </c>
      <c r="BO185" s="239">
        <v>-2205792</v>
      </c>
      <c r="BP185" s="239">
        <v>0</v>
      </c>
      <c r="BQ185" s="239">
        <v>-2205792</v>
      </c>
      <c r="BR185" s="239">
        <v>-108436</v>
      </c>
      <c r="BS185" s="239">
        <v>0</v>
      </c>
      <c r="BT185" s="239">
        <v>-108436</v>
      </c>
      <c r="BU185" s="239">
        <v>-2319127</v>
      </c>
      <c r="BV185" s="239">
        <v>0</v>
      </c>
      <c r="BW185" s="239">
        <v>-2319127</v>
      </c>
      <c r="BX185" s="239">
        <v>-87453</v>
      </c>
      <c r="BY185" s="239">
        <v>0</v>
      </c>
      <c r="BZ185" s="239">
        <v>-87453</v>
      </c>
      <c r="CA185" s="239">
        <v>-15436</v>
      </c>
      <c r="CB185" s="239">
        <v>0</v>
      </c>
      <c r="CC185" s="239">
        <v>-15436</v>
      </c>
      <c r="CD185" s="239">
        <v>-473310</v>
      </c>
      <c r="CE185" s="239">
        <v>0</v>
      </c>
      <c r="CF185" s="239">
        <v>-473310</v>
      </c>
      <c r="CG185" s="239">
        <v>-495110</v>
      </c>
      <c r="CH185" s="239">
        <v>0</v>
      </c>
      <c r="CI185" s="239">
        <v>-495110</v>
      </c>
      <c r="CJ185" s="239">
        <v>-2864</v>
      </c>
      <c r="CK185" s="239">
        <v>0</v>
      </c>
      <c r="CL185" s="239">
        <v>-2864</v>
      </c>
      <c r="CM185" s="239">
        <v>0</v>
      </c>
      <c r="CN185" s="239">
        <v>0</v>
      </c>
      <c r="CO185" s="239">
        <v>0</v>
      </c>
      <c r="CP185" s="239">
        <v>-574</v>
      </c>
      <c r="CQ185" s="239">
        <v>0</v>
      </c>
      <c r="CR185" s="239">
        <v>-574</v>
      </c>
      <c r="CS185" s="239">
        <v>0</v>
      </c>
      <c r="CT185" s="239">
        <v>0</v>
      </c>
      <c r="CU185" s="239">
        <v>0</v>
      </c>
      <c r="CV185" s="239">
        <v>0</v>
      </c>
      <c r="CW185" s="239">
        <v>0</v>
      </c>
      <c r="CX185" s="239">
        <v>0</v>
      </c>
      <c r="CY185" s="239">
        <v>0</v>
      </c>
      <c r="CZ185" s="239">
        <v>0</v>
      </c>
      <c r="DA185" s="239">
        <v>0</v>
      </c>
      <c r="DB185" s="239">
        <v>-20900</v>
      </c>
      <c r="DC185" s="239">
        <v>-65728</v>
      </c>
      <c r="DD185" s="239">
        <v>-86628</v>
      </c>
      <c r="DE185" s="239">
        <v>0</v>
      </c>
      <c r="DF185" s="239">
        <v>0</v>
      </c>
      <c r="DG185" s="239">
        <v>0</v>
      </c>
      <c r="DH185" s="239">
        <v>-65728</v>
      </c>
      <c r="DI185" s="239">
        <v>0</v>
      </c>
      <c r="DJ185" s="239">
        <v>-1095647</v>
      </c>
      <c r="DK185" s="239">
        <v>-65728</v>
      </c>
      <c r="DL185" s="239">
        <v>-1161375</v>
      </c>
      <c r="DM185" s="239">
        <v>-32375</v>
      </c>
      <c r="DN185" s="239">
        <v>0</v>
      </c>
      <c r="DO185" s="239">
        <v>-32375</v>
      </c>
      <c r="DP185" s="239">
        <v>-6860</v>
      </c>
      <c r="DQ185" s="239">
        <v>0</v>
      </c>
      <c r="DR185" s="239">
        <v>-6860</v>
      </c>
      <c r="DS185" s="239">
        <v>-29901</v>
      </c>
      <c r="DT185" s="239">
        <v>0</v>
      </c>
      <c r="DU185" s="239">
        <v>-29901</v>
      </c>
      <c r="DV185" s="239">
        <v>-573</v>
      </c>
      <c r="DW185" s="239">
        <v>0</v>
      </c>
      <c r="DX185" s="239">
        <v>-573</v>
      </c>
      <c r="DY185" s="239">
        <v>0</v>
      </c>
      <c r="DZ185" s="239">
        <v>0</v>
      </c>
      <c r="EA185" s="239">
        <v>0</v>
      </c>
      <c r="EB185" s="239">
        <v>17896</v>
      </c>
      <c r="EC185" s="239">
        <v>0</v>
      </c>
      <c r="ED185" s="239">
        <v>17896</v>
      </c>
      <c r="EE185" s="239">
        <v>0</v>
      </c>
      <c r="EF185" s="239">
        <v>0</v>
      </c>
      <c r="EG185" s="239">
        <v>0</v>
      </c>
      <c r="EH185" s="239">
        <v>0</v>
      </c>
      <c r="EI185" s="239">
        <v>0</v>
      </c>
      <c r="EJ185" s="239">
        <v>0</v>
      </c>
      <c r="EK185" s="239">
        <v>-550</v>
      </c>
      <c r="EL185" s="239">
        <v>0</v>
      </c>
      <c r="EM185" s="239">
        <v>-550</v>
      </c>
      <c r="EN185" s="239">
        <v>264</v>
      </c>
      <c r="EO185" s="239">
        <v>0</v>
      </c>
      <c r="EP185" s="239">
        <v>264</v>
      </c>
      <c r="EQ185" s="239">
        <v>-52099</v>
      </c>
      <c r="ER185" s="239">
        <v>0</v>
      </c>
      <c r="ES185" s="239">
        <v>-52099</v>
      </c>
      <c r="ET185" s="239">
        <v>0</v>
      </c>
      <c r="EU185" s="239">
        <v>0</v>
      </c>
      <c r="EV185" s="239">
        <v>0</v>
      </c>
      <c r="EW185" s="239">
        <v>0</v>
      </c>
      <c r="EX185" s="239">
        <v>0</v>
      </c>
      <c r="EY185" s="239">
        <v>0</v>
      </c>
      <c r="EZ185" s="239">
        <v>0</v>
      </c>
      <c r="FA185" s="239">
        <v>0</v>
      </c>
      <c r="FB185" s="239">
        <v>0</v>
      </c>
      <c r="FC185" s="239">
        <v>75939157</v>
      </c>
      <c r="FD185" s="239">
        <v>65728</v>
      </c>
      <c r="FE185" s="239">
        <v>76004885</v>
      </c>
      <c r="FF185" s="239">
        <v>-163060</v>
      </c>
      <c r="FG185" s="239">
        <v>0</v>
      </c>
      <c r="FH185" s="239">
        <v>-163060</v>
      </c>
      <c r="FI185" s="239">
        <v>-6746598</v>
      </c>
      <c r="FJ185" s="239">
        <v>0</v>
      </c>
      <c r="FK185" s="239">
        <v>-6746598</v>
      </c>
      <c r="FL185" s="239">
        <v>-2319127</v>
      </c>
      <c r="FM185" s="239">
        <v>0</v>
      </c>
      <c r="FN185" s="239">
        <v>-2319127</v>
      </c>
      <c r="FO185" s="239">
        <v>-1095647</v>
      </c>
      <c r="FP185" s="239">
        <v>-65728</v>
      </c>
      <c r="FQ185" s="239">
        <v>-1161375</v>
      </c>
      <c r="FR185" s="239">
        <v>-52099</v>
      </c>
      <c r="FS185" s="239">
        <v>0</v>
      </c>
      <c r="FT185" s="239">
        <v>-52099</v>
      </c>
      <c r="FU185" s="239">
        <v>0</v>
      </c>
      <c r="FV185" s="239">
        <v>0</v>
      </c>
      <c r="FW185" s="239">
        <v>0</v>
      </c>
      <c r="FX185" s="239">
        <v>-10376531</v>
      </c>
      <c r="FY185" s="239">
        <v>-65728</v>
      </c>
      <c r="FZ185" s="239">
        <v>-10442259</v>
      </c>
      <c r="GA185" s="239">
        <v>65562626</v>
      </c>
      <c r="GB185" s="239">
        <v>0</v>
      </c>
      <c r="GC185" s="239">
        <v>65562626</v>
      </c>
      <c r="GD185" s="214" t="s">
        <v>747</v>
      </c>
    </row>
    <row r="186" spans="2:186" s="214" customFormat="1" x14ac:dyDescent="0.2">
      <c r="B186" s="609" t="s">
        <v>454</v>
      </c>
      <c r="C186" s="609" t="s">
        <v>453</v>
      </c>
      <c r="D186" s="239">
        <v>0</v>
      </c>
      <c r="E186" s="239">
        <v>0</v>
      </c>
      <c r="F186" s="239">
        <v>0</v>
      </c>
      <c r="G186" s="239">
        <v>42621</v>
      </c>
      <c r="H186" s="239">
        <v>0</v>
      </c>
      <c r="I186" s="239">
        <v>42621</v>
      </c>
      <c r="J186" s="239">
        <v>0</v>
      </c>
      <c r="K186" s="239">
        <v>0</v>
      </c>
      <c r="L186" s="239">
        <v>0</v>
      </c>
      <c r="M186" s="239">
        <v>5640</v>
      </c>
      <c r="N186" s="239">
        <v>0</v>
      </c>
      <c r="O186" s="239">
        <v>5640</v>
      </c>
      <c r="P186" s="239">
        <v>48261</v>
      </c>
      <c r="Q186" s="239">
        <v>0</v>
      </c>
      <c r="R186" s="239">
        <v>48261</v>
      </c>
      <c r="S186" s="239">
        <v>-2709015</v>
      </c>
      <c r="T186" s="239">
        <v>0</v>
      </c>
      <c r="U186" s="239">
        <v>-2709015</v>
      </c>
      <c r="V186" s="239">
        <v>0</v>
      </c>
      <c r="W186" s="239">
        <v>0</v>
      </c>
      <c r="X186" s="239">
        <v>0</v>
      </c>
      <c r="Y186" s="239">
        <v>-205730</v>
      </c>
      <c r="Z186" s="239">
        <v>0</v>
      </c>
      <c r="AA186" s="239">
        <v>-205730</v>
      </c>
      <c r="AB186" s="239">
        <v>0</v>
      </c>
      <c r="AC186" s="239">
        <v>0</v>
      </c>
      <c r="AD186" s="239">
        <v>0</v>
      </c>
      <c r="AE186" s="239">
        <v>0</v>
      </c>
      <c r="AF186" s="239">
        <v>0</v>
      </c>
      <c r="AG186" s="239">
        <v>0</v>
      </c>
      <c r="AH186" s="239">
        <v>999754</v>
      </c>
      <c r="AI186" s="239">
        <v>0</v>
      </c>
      <c r="AJ186" s="239">
        <v>999754</v>
      </c>
      <c r="AK186" s="239">
        <v>-6473</v>
      </c>
      <c r="AL186" s="239">
        <v>0</v>
      </c>
      <c r="AM186" s="239">
        <v>-6473</v>
      </c>
      <c r="AN186" s="239">
        <v>-2980202</v>
      </c>
      <c r="AO186" s="239">
        <v>0</v>
      </c>
      <c r="AP186" s="239">
        <v>-2980202</v>
      </c>
      <c r="AQ186" s="239">
        <v>-318158</v>
      </c>
      <c r="AR186" s="239">
        <v>0</v>
      </c>
      <c r="AS186" s="239">
        <v>-318158</v>
      </c>
      <c r="AT186" s="239">
        <v>-35681</v>
      </c>
      <c r="AU186" s="239">
        <v>0</v>
      </c>
      <c r="AV186" s="239">
        <v>-35681</v>
      </c>
      <c r="AW186" s="239">
        <v>3302</v>
      </c>
      <c r="AX186" s="239">
        <v>0</v>
      </c>
      <c r="AY186" s="239">
        <v>3302</v>
      </c>
      <c r="AZ186" s="239">
        <v>-15198</v>
      </c>
      <c r="BA186" s="239">
        <v>0</v>
      </c>
      <c r="BB186" s="239">
        <v>-15198</v>
      </c>
      <c r="BC186" s="239">
        <v>3138</v>
      </c>
      <c r="BD186" s="239">
        <v>0</v>
      </c>
      <c r="BE186" s="239">
        <v>3138</v>
      </c>
      <c r="BF186" s="239">
        <v>-5264263</v>
      </c>
      <c r="BG186" s="239">
        <v>0</v>
      </c>
      <c r="BH186" s="239">
        <v>-5264263</v>
      </c>
      <c r="BI186" s="239">
        <v>-33384</v>
      </c>
      <c r="BJ186" s="239">
        <v>0</v>
      </c>
      <c r="BK186" s="239">
        <v>-33384</v>
      </c>
      <c r="BL186" s="239">
        <v>3990</v>
      </c>
      <c r="BM186" s="239">
        <v>0</v>
      </c>
      <c r="BN186" s="239">
        <v>3990</v>
      </c>
      <c r="BO186" s="239">
        <v>-1551248</v>
      </c>
      <c r="BP186" s="239">
        <v>0</v>
      </c>
      <c r="BQ186" s="239">
        <v>-1551248</v>
      </c>
      <c r="BR186" s="239">
        <v>-117195</v>
      </c>
      <c r="BS186" s="239">
        <v>0</v>
      </c>
      <c r="BT186" s="239">
        <v>-117195</v>
      </c>
      <c r="BU186" s="239">
        <v>-1697837</v>
      </c>
      <c r="BV186" s="239">
        <v>0</v>
      </c>
      <c r="BW186" s="239">
        <v>-1697837</v>
      </c>
      <c r="BX186" s="239">
        <v>-177637</v>
      </c>
      <c r="BY186" s="239">
        <v>0</v>
      </c>
      <c r="BZ186" s="239">
        <v>-177637</v>
      </c>
      <c r="CA186" s="239">
        <v>-4988</v>
      </c>
      <c r="CB186" s="239">
        <v>0</v>
      </c>
      <c r="CC186" s="239">
        <v>-4988</v>
      </c>
      <c r="CD186" s="239">
        <v>-86060</v>
      </c>
      <c r="CE186" s="239">
        <v>0</v>
      </c>
      <c r="CF186" s="239">
        <v>-86060</v>
      </c>
      <c r="CG186" s="239">
        <v>-98</v>
      </c>
      <c r="CH186" s="239">
        <v>0</v>
      </c>
      <c r="CI186" s="239">
        <v>-98</v>
      </c>
      <c r="CJ186" s="239">
        <v>-7633</v>
      </c>
      <c r="CK186" s="239">
        <v>0</v>
      </c>
      <c r="CL186" s="239">
        <v>-7633</v>
      </c>
      <c r="CM186" s="239">
        <v>0</v>
      </c>
      <c r="CN186" s="239">
        <v>0</v>
      </c>
      <c r="CO186" s="239">
        <v>0</v>
      </c>
      <c r="CP186" s="239">
        <v>-11751</v>
      </c>
      <c r="CQ186" s="239">
        <v>0</v>
      </c>
      <c r="CR186" s="239">
        <v>-11751</v>
      </c>
      <c r="CS186" s="239">
        <v>756</v>
      </c>
      <c r="CT186" s="239">
        <v>0</v>
      </c>
      <c r="CU186" s="239">
        <v>756</v>
      </c>
      <c r="CV186" s="239">
        <v>-3424</v>
      </c>
      <c r="CW186" s="239">
        <v>0</v>
      </c>
      <c r="CX186" s="239">
        <v>-3424</v>
      </c>
      <c r="CY186" s="239">
        <v>3318</v>
      </c>
      <c r="CZ186" s="239">
        <v>0</v>
      </c>
      <c r="DA186" s="239">
        <v>3318</v>
      </c>
      <c r="DB186" s="239">
        <v>0</v>
      </c>
      <c r="DC186" s="239">
        <v>0</v>
      </c>
      <c r="DD186" s="239">
        <v>0</v>
      </c>
      <c r="DE186" s="239">
        <v>0</v>
      </c>
      <c r="DF186" s="239">
        <v>0</v>
      </c>
      <c r="DG186" s="239">
        <v>0</v>
      </c>
      <c r="DH186" s="239">
        <v>0</v>
      </c>
      <c r="DI186" s="239">
        <v>0</v>
      </c>
      <c r="DJ186" s="239">
        <v>-287517</v>
      </c>
      <c r="DK186" s="239">
        <v>0</v>
      </c>
      <c r="DL186" s="239">
        <v>-287517</v>
      </c>
      <c r="DM186" s="239">
        <v>0</v>
      </c>
      <c r="DN186" s="239">
        <v>0</v>
      </c>
      <c r="DO186" s="239">
        <v>0</v>
      </c>
      <c r="DP186" s="239">
        <v>0</v>
      </c>
      <c r="DQ186" s="239">
        <v>0</v>
      </c>
      <c r="DR186" s="239">
        <v>0</v>
      </c>
      <c r="DS186" s="239">
        <v>-8635</v>
      </c>
      <c r="DT186" s="239">
        <v>0</v>
      </c>
      <c r="DU186" s="239">
        <v>-8635</v>
      </c>
      <c r="DV186" s="239">
        <v>-2457</v>
      </c>
      <c r="DW186" s="239">
        <v>0</v>
      </c>
      <c r="DX186" s="239">
        <v>-2457</v>
      </c>
      <c r="DY186" s="239">
        <v>0</v>
      </c>
      <c r="DZ186" s="239">
        <v>0</v>
      </c>
      <c r="EA186" s="239">
        <v>0</v>
      </c>
      <c r="EB186" s="239">
        <v>-16119</v>
      </c>
      <c r="EC186" s="239">
        <v>0</v>
      </c>
      <c r="ED186" s="239">
        <v>-16119</v>
      </c>
      <c r="EE186" s="239">
        <v>0</v>
      </c>
      <c r="EF186" s="239">
        <v>0</v>
      </c>
      <c r="EG186" s="239">
        <v>0</v>
      </c>
      <c r="EH186" s="239">
        <v>0</v>
      </c>
      <c r="EI186" s="239">
        <v>0</v>
      </c>
      <c r="EJ186" s="239">
        <v>0</v>
      </c>
      <c r="EK186" s="239">
        <v>-3048</v>
      </c>
      <c r="EL186" s="239">
        <v>0</v>
      </c>
      <c r="EM186" s="239">
        <v>-3048</v>
      </c>
      <c r="EN186" s="239">
        <v>39</v>
      </c>
      <c r="EO186" s="239">
        <v>0</v>
      </c>
      <c r="EP186" s="239">
        <v>39</v>
      </c>
      <c r="EQ186" s="239">
        <v>-30220</v>
      </c>
      <c r="ER186" s="239">
        <v>0</v>
      </c>
      <c r="ES186" s="239">
        <v>-30220</v>
      </c>
      <c r="ET186" s="239">
        <v>0</v>
      </c>
      <c r="EU186" s="239">
        <v>0</v>
      </c>
      <c r="EV186" s="239">
        <v>0</v>
      </c>
      <c r="EW186" s="239">
        <v>0</v>
      </c>
      <c r="EX186" s="239">
        <v>0</v>
      </c>
      <c r="EY186" s="239">
        <v>0</v>
      </c>
      <c r="EZ186" s="239">
        <v>0</v>
      </c>
      <c r="FA186" s="239">
        <v>0</v>
      </c>
      <c r="FB186" s="239">
        <v>0</v>
      </c>
      <c r="FC186" s="239">
        <v>46119884</v>
      </c>
      <c r="FD186" s="239">
        <v>0</v>
      </c>
      <c r="FE186" s="239">
        <v>46119884</v>
      </c>
      <c r="FF186" s="239">
        <v>48261</v>
      </c>
      <c r="FG186" s="239">
        <v>0</v>
      </c>
      <c r="FH186" s="239">
        <v>48261</v>
      </c>
      <c r="FI186" s="239">
        <v>-5264263</v>
      </c>
      <c r="FJ186" s="239">
        <v>0</v>
      </c>
      <c r="FK186" s="239">
        <v>-5264263</v>
      </c>
      <c r="FL186" s="239">
        <v>-1697837</v>
      </c>
      <c r="FM186" s="239">
        <v>0</v>
      </c>
      <c r="FN186" s="239">
        <v>-1697837</v>
      </c>
      <c r="FO186" s="239">
        <v>-287517</v>
      </c>
      <c r="FP186" s="239">
        <v>0</v>
      </c>
      <c r="FQ186" s="239">
        <v>-287517</v>
      </c>
      <c r="FR186" s="239">
        <v>-30220</v>
      </c>
      <c r="FS186" s="239">
        <v>0</v>
      </c>
      <c r="FT186" s="239">
        <v>-30220</v>
      </c>
      <c r="FU186" s="239">
        <v>0</v>
      </c>
      <c r="FV186" s="239">
        <v>0</v>
      </c>
      <c r="FW186" s="239">
        <v>0</v>
      </c>
      <c r="FX186" s="239">
        <v>-7231576</v>
      </c>
      <c r="FY186" s="239">
        <v>0</v>
      </c>
      <c r="FZ186" s="239">
        <v>-7231576</v>
      </c>
      <c r="GA186" s="239">
        <v>38888308</v>
      </c>
      <c r="GB186" s="239">
        <v>0</v>
      </c>
      <c r="GC186" s="239">
        <v>38888308</v>
      </c>
      <c r="GD186" s="214" t="s">
        <v>1190</v>
      </c>
    </row>
    <row r="187" spans="2:186" s="214" customFormat="1" x14ac:dyDescent="0.2">
      <c r="B187" s="609" t="s">
        <v>456</v>
      </c>
      <c r="C187" s="609" t="s">
        <v>455</v>
      </c>
      <c r="D187" s="239">
        <v>0</v>
      </c>
      <c r="E187" s="239">
        <v>0</v>
      </c>
      <c r="F187" s="239">
        <v>0</v>
      </c>
      <c r="G187" s="239">
        <v>53143</v>
      </c>
      <c r="H187" s="239">
        <v>0</v>
      </c>
      <c r="I187" s="239">
        <v>53143</v>
      </c>
      <c r="J187" s="239">
        <v>0</v>
      </c>
      <c r="K187" s="239">
        <v>0</v>
      </c>
      <c r="L187" s="239">
        <v>0</v>
      </c>
      <c r="M187" s="239">
        <v>2113</v>
      </c>
      <c r="N187" s="239">
        <v>0</v>
      </c>
      <c r="O187" s="239">
        <v>2113</v>
      </c>
      <c r="P187" s="239">
        <v>55256</v>
      </c>
      <c r="Q187" s="239">
        <v>0</v>
      </c>
      <c r="R187" s="239">
        <v>55256</v>
      </c>
      <c r="S187" s="239">
        <v>-2467269</v>
      </c>
      <c r="T187" s="239">
        <v>0</v>
      </c>
      <c r="U187" s="239">
        <v>-2467269</v>
      </c>
      <c r="V187" s="239">
        <v>-13502</v>
      </c>
      <c r="W187" s="239">
        <v>0</v>
      </c>
      <c r="X187" s="239">
        <v>-13502</v>
      </c>
      <c r="Y187" s="239">
        <v>-66890</v>
      </c>
      <c r="Z187" s="239">
        <v>0</v>
      </c>
      <c r="AA187" s="239">
        <v>-66890</v>
      </c>
      <c r="AB187" s="239">
        <v>-52423</v>
      </c>
      <c r="AC187" s="239">
        <v>0</v>
      </c>
      <c r="AD187" s="239">
        <v>-52423</v>
      </c>
      <c r="AE187" s="239">
        <v>-1772</v>
      </c>
      <c r="AF187" s="239">
        <v>0</v>
      </c>
      <c r="AG187" s="239">
        <v>-1772</v>
      </c>
      <c r="AH187" s="239">
        <v>666053</v>
      </c>
      <c r="AI187" s="239">
        <v>0</v>
      </c>
      <c r="AJ187" s="239">
        <v>666053</v>
      </c>
      <c r="AK187" s="239">
        <v>3163</v>
      </c>
      <c r="AL187" s="239">
        <v>0</v>
      </c>
      <c r="AM187" s="239">
        <v>3163</v>
      </c>
      <c r="AN187" s="239">
        <v>-1729686</v>
      </c>
      <c r="AO187" s="239">
        <v>0</v>
      </c>
      <c r="AP187" s="239">
        <v>-1729686</v>
      </c>
      <c r="AQ187" s="239">
        <v>5485</v>
      </c>
      <c r="AR187" s="239">
        <v>0</v>
      </c>
      <c r="AS187" s="239">
        <v>5485</v>
      </c>
      <c r="AT187" s="239">
        <v>-28905</v>
      </c>
      <c r="AU187" s="239">
        <v>0</v>
      </c>
      <c r="AV187" s="239">
        <v>-28905</v>
      </c>
      <c r="AW187" s="239">
        <v>0</v>
      </c>
      <c r="AX187" s="239">
        <v>0</v>
      </c>
      <c r="AY187" s="239">
        <v>0</v>
      </c>
      <c r="AZ187" s="239">
        <v>-45676</v>
      </c>
      <c r="BA187" s="239">
        <v>0</v>
      </c>
      <c r="BB187" s="239">
        <v>-45676</v>
      </c>
      <c r="BC187" s="239">
        <v>-23</v>
      </c>
      <c r="BD187" s="239">
        <v>0</v>
      </c>
      <c r="BE187" s="239">
        <v>-23</v>
      </c>
      <c r="BF187" s="239">
        <v>-3663748</v>
      </c>
      <c r="BG187" s="239">
        <v>0</v>
      </c>
      <c r="BH187" s="239">
        <v>-3663748</v>
      </c>
      <c r="BI187" s="239">
        <v>0</v>
      </c>
      <c r="BJ187" s="239">
        <v>0</v>
      </c>
      <c r="BK187" s="239">
        <v>0</v>
      </c>
      <c r="BL187" s="239">
        <v>0</v>
      </c>
      <c r="BM187" s="239">
        <v>0</v>
      </c>
      <c r="BN187" s="239">
        <v>0</v>
      </c>
      <c r="BO187" s="239">
        <v>-861993</v>
      </c>
      <c r="BP187" s="239">
        <v>0</v>
      </c>
      <c r="BQ187" s="239">
        <v>-861993</v>
      </c>
      <c r="BR187" s="239">
        <v>-8038</v>
      </c>
      <c r="BS187" s="239">
        <v>0</v>
      </c>
      <c r="BT187" s="239">
        <v>-8038</v>
      </c>
      <c r="BU187" s="239">
        <v>-870031</v>
      </c>
      <c r="BV187" s="239">
        <v>0</v>
      </c>
      <c r="BW187" s="239">
        <v>-870031</v>
      </c>
      <c r="BX187" s="239">
        <v>-66247</v>
      </c>
      <c r="BY187" s="239">
        <v>0</v>
      </c>
      <c r="BZ187" s="239">
        <v>-66247</v>
      </c>
      <c r="CA187" s="239">
        <v>-87</v>
      </c>
      <c r="CB187" s="239">
        <v>0</v>
      </c>
      <c r="CC187" s="239">
        <v>-87</v>
      </c>
      <c r="CD187" s="239">
        <v>-16795</v>
      </c>
      <c r="CE187" s="239">
        <v>0</v>
      </c>
      <c r="CF187" s="239">
        <v>-16795</v>
      </c>
      <c r="CG187" s="239">
        <v>0</v>
      </c>
      <c r="CH187" s="239">
        <v>0</v>
      </c>
      <c r="CI187" s="239">
        <v>0</v>
      </c>
      <c r="CJ187" s="239">
        <v>0</v>
      </c>
      <c r="CK187" s="239">
        <v>0</v>
      </c>
      <c r="CL187" s="239">
        <v>0</v>
      </c>
      <c r="CM187" s="239">
        <v>0</v>
      </c>
      <c r="CN187" s="239">
        <v>0</v>
      </c>
      <c r="CO187" s="239">
        <v>0</v>
      </c>
      <c r="CP187" s="239">
        <v>-6803</v>
      </c>
      <c r="CQ187" s="239">
        <v>0</v>
      </c>
      <c r="CR187" s="239">
        <v>-6803</v>
      </c>
      <c r="CS187" s="239">
        <v>0</v>
      </c>
      <c r="CT187" s="239">
        <v>0</v>
      </c>
      <c r="CU187" s="239">
        <v>0</v>
      </c>
      <c r="CV187" s="239">
        <v>0</v>
      </c>
      <c r="CW187" s="239">
        <v>0</v>
      </c>
      <c r="CX187" s="239">
        <v>0</v>
      </c>
      <c r="CY187" s="239">
        <v>0</v>
      </c>
      <c r="CZ187" s="239">
        <v>0</v>
      </c>
      <c r="DA187" s="239">
        <v>0</v>
      </c>
      <c r="DB187" s="239">
        <v>-63757</v>
      </c>
      <c r="DC187" s="239">
        <v>0</v>
      </c>
      <c r="DD187" s="239">
        <v>-63757</v>
      </c>
      <c r="DE187" s="239">
        <v>0</v>
      </c>
      <c r="DF187" s="239">
        <v>0</v>
      </c>
      <c r="DG187" s="239">
        <v>0</v>
      </c>
      <c r="DH187" s="239">
        <v>0</v>
      </c>
      <c r="DI187" s="239">
        <v>0</v>
      </c>
      <c r="DJ187" s="239">
        <v>-153689</v>
      </c>
      <c r="DK187" s="239">
        <v>0</v>
      </c>
      <c r="DL187" s="239">
        <v>-153689</v>
      </c>
      <c r="DM187" s="239">
        <v>-47587</v>
      </c>
      <c r="DN187" s="239">
        <v>0</v>
      </c>
      <c r="DO187" s="239">
        <v>-47587</v>
      </c>
      <c r="DP187" s="239">
        <v>-6084</v>
      </c>
      <c r="DQ187" s="239">
        <v>0</v>
      </c>
      <c r="DR187" s="239">
        <v>-6084</v>
      </c>
      <c r="DS187" s="239">
        <v>-1213</v>
      </c>
      <c r="DT187" s="239">
        <v>0</v>
      </c>
      <c r="DU187" s="239">
        <v>-1213</v>
      </c>
      <c r="DV187" s="239">
        <v>12520</v>
      </c>
      <c r="DW187" s="239">
        <v>0</v>
      </c>
      <c r="DX187" s="239">
        <v>12520</v>
      </c>
      <c r="DY187" s="239">
        <v>0</v>
      </c>
      <c r="DZ187" s="239">
        <v>0</v>
      </c>
      <c r="EA187" s="239">
        <v>0</v>
      </c>
      <c r="EB187" s="239">
        <v>-7514</v>
      </c>
      <c r="EC187" s="239">
        <v>0</v>
      </c>
      <c r="ED187" s="239">
        <v>-7514</v>
      </c>
      <c r="EE187" s="239">
        <v>0</v>
      </c>
      <c r="EF187" s="239">
        <v>0</v>
      </c>
      <c r="EG187" s="239">
        <v>0</v>
      </c>
      <c r="EH187" s="239">
        <v>0</v>
      </c>
      <c r="EI187" s="239">
        <v>0</v>
      </c>
      <c r="EJ187" s="239">
        <v>0</v>
      </c>
      <c r="EK187" s="239">
        <v>0</v>
      </c>
      <c r="EL187" s="239">
        <v>0</v>
      </c>
      <c r="EM187" s="239">
        <v>0</v>
      </c>
      <c r="EN187" s="239">
        <v>0</v>
      </c>
      <c r="EO187" s="239">
        <v>0</v>
      </c>
      <c r="EP187" s="239">
        <v>0</v>
      </c>
      <c r="EQ187" s="239">
        <v>-49878</v>
      </c>
      <c r="ER187" s="239">
        <v>0</v>
      </c>
      <c r="ES187" s="239">
        <v>-49878</v>
      </c>
      <c r="ET187" s="239">
        <v>0</v>
      </c>
      <c r="EU187" s="239">
        <v>0</v>
      </c>
      <c r="EV187" s="239">
        <v>0</v>
      </c>
      <c r="EW187" s="239">
        <v>0</v>
      </c>
      <c r="EX187" s="239">
        <v>0</v>
      </c>
      <c r="EY187" s="239">
        <v>0</v>
      </c>
      <c r="EZ187" s="239">
        <v>0</v>
      </c>
      <c r="FA187" s="239">
        <v>0</v>
      </c>
      <c r="FB187" s="239">
        <v>0</v>
      </c>
      <c r="FC187" s="239">
        <v>30944474</v>
      </c>
      <c r="FD187" s="239">
        <v>0</v>
      </c>
      <c r="FE187" s="239">
        <v>30944474</v>
      </c>
      <c r="FF187" s="239">
        <v>55256</v>
      </c>
      <c r="FG187" s="239">
        <v>0</v>
      </c>
      <c r="FH187" s="239">
        <v>55256</v>
      </c>
      <c r="FI187" s="239">
        <v>-3663748</v>
      </c>
      <c r="FJ187" s="239">
        <v>0</v>
      </c>
      <c r="FK187" s="239">
        <v>-3663748</v>
      </c>
      <c r="FL187" s="239">
        <v>-870031</v>
      </c>
      <c r="FM187" s="239">
        <v>0</v>
      </c>
      <c r="FN187" s="239">
        <v>-870031</v>
      </c>
      <c r="FO187" s="239">
        <v>-153689</v>
      </c>
      <c r="FP187" s="239">
        <v>0</v>
      </c>
      <c r="FQ187" s="239">
        <v>-153689</v>
      </c>
      <c r="FR187" s="239">
        <v>-49878</v>
      </c>
      <c r="FS187" s="239">
        <v>0</v>
      </c>
      <c r="FT187" s="239">
        <v>-49878</v>
      </c>
      <c r="FU187" s="239">
        <v>0</v>
      </c>
      <c r="FV187" s="239">
        <v>0</v>
      </c>
      <c r="FW187" s="239">
        <v>0</v>
      </c>
      <c r="FX187" s="239">
        <v>-4682090</v>
      </c>
      <c r="FY187" s="239">
        <v>0</v>
      </c>
      <c r="FZ187" s="239">
        <v>-4682090</v>
      </c>
      <c r="GA187" s="239">
        <v>26262384</v>
      </c>
      <c r="GB187" s="239">
        <v>0</v>
      </c>
      <c r="GC187" s="239">
        <v>26262384</v>
      </c>
      <c r="GD187" s="214" t="s">
        <v>1190</v>
      </c>
    </row>
    <row r="188" spans="2:186" s="214" customFormat="1" x14ac:dyDescent="0.2">
      <c r="B188" s="609" t="s">
        <v>458</v>
      </c>
      <c r="C188" s="609" t="s">
        <v>457</v>
      </c>
      <c r="D188" s="239">
        <v>0</v>
      </c>
      <c r="E188" s="239">
        <v>0</v>
      </c>
      <c r="F188" s="239">
        <v>0</v>
      </c>
      <c r="G188" s="239">
        <v>97490</v>
      </c>
      <c r="H188" s="239">
        <v>1072</v>
      </c>
      <c r="I188" s="239">
        <v>98562</v>
      </c>
      <c r="J188" s="239">
        <v>0</v>
      </c>
      <c r="K188" s="239">
        <v>0</v>
      </c>
      <c r="L188" s="239">
        <v>0</v>
      </c>
      <c r="M188" s="239">
        <v>246566</v>
      </c>
      <c r="N188" s="239">
        <v>0</v>
      </c>
      <c r="O188" s="239">
        <v>246566</v>
      </c>
      <c r="P188" s="239">
        <v>344056</v>
      </c>
      <c r="Q188" s="239">
        <v>1072</v>
      </c>
      <c r="R188" s="239">
        <v>345128</v>
      </c>
      <c r="S188" s="239">
        <v>-3723585</v>
      </c>
      <c r="T188" s="239">
        <v>-7829</v>
      </c>
      <c r="U188" s="239">
        <v>-3731414</v>
      </c>
      <c r="V188" s="239">
        <v>-19136</v>
      </c>
      <c r="W188" s="239">
        <v>0</v>
      </c>
      <c r="X188" s="239">
        <v>-19136</v>
      </c>
      <c r="Y188" s="239">
        <v>-221244</v>
      </c>
      <c r="Z188" s="239">
        <v>0</v>
      </c>
      <c r="AA188" s="239">
        <v>-221244</v>
      </c>
      <c r="AB188" s="239">
        <v>-174430</v>
      </c>
      <c r="AC188" s="239">
        <v>0</v>
      </c>
      <c r="AD188" s="239">
        <v>-174430</v>
      </c>
      <c r="AE188" s="239">
        <v>3436</v>
      </c>
      <c r="AF188" s="239">
        <v>0</v>
      </c>
      <c r="AG188" s="239">
        <v>3436</v>
      </c>
      <c r="AH188" s="239">
        <v>2461850</v>
      </c>
      <c r="AI188" s="239">
        <v>0</v>
      </c>
      <c r="AJ188" s="239">
        <v>2461850</v>
      </c>
      <c r="AK188" s="239">
        <v>23096</v>
      </c>
      <c r="AL188" s="239">
        <v>0</v>
      </c>
      <c r="AM188" s="239">
        <v>23096</v>
      </c>
      <c r="AN188" s="239">
        <v>-2423743</v>
      </c>
      <c r="AO188" s="239">
        <v>0</v>
      </c>
      <c r="AP188" s="239">
        <v>-2423743</v>
      </c>
      <c r="AQ188" s="239">
        <v>-9193</v>
      </c>
      <c r="AR188" s="239">
        <v>0</v>
      </c>
      <c r="AS188" s="239">
        <v>-9193</v>
      </c>
      <c r="AT188" s="239">
        <v>-38836</v>
      </c>
      <c r="AU188" s="239">
        <v>0</v>
      </c>
      <c r="AV188" s="239">
        <v>-38836</v>
      </c>
      <c r="AW188" s="239">
        <v>0</v>
      </c>
      <c r="AX188" s="239">
        <v>0</v>
      </c>
      <c r="AY188" s="239">
        <v>0</v>
      </c>
      <c r="AZ188" s="239">
        <v>-23585</v>
      </c>
      <c r="BA188" s="239">
        <v>0</v>
      </c>
      <c r="BB188" s="239">
        <v>-23585</v>
      </c>
      <c r="BC188" s="239">
        <v>2005</v>
      </c>
      <c r="BD188" s="239">
        <v>0</v>
      </c>
      <c r="BE188" s="239">
        <v>2005</v>
      </c>
      <c r="BF188" s="239">
        <v>-3953235</v>
      </c>
      <c r="BG188" s="239">
        <v>-7829</v>
      </c>
      <c r="BH188" s="239">
        <v>-3961064</v>
      </c>
      <c r="BI188" s="239">
        <v>-97355</v>
      </c>
      <c r="BJ188" s="239">
        <v>0</v>
      </c>
      <c r="BK188" s="239">
        <v>-97355</v>
      </c>
      <c r="BL188" s="239">
        <v>-174550</v>
      </c>
      <c r="BM188" s="239">
        <v>0</v>
      </c>
      <c r="BN188" s="239">
        <v>-174550</v>
      </c>
      <c r="BO188" s="239">
        <v>-4544424</v>
      </c>
      <c r="BP188" s="239">
        <v>0</v>
      </c>
      <c r="BQ188" s="239">
        <v>-4544424</v>
      </c>
      <c r="BR188" s="239">
        <v>-221888</v>
      </c>
      <c r="BS188" s="239">
        <v>0</v>
      </c>
      <c r="BT188" s="239">
        <v>-221888</v>
      </c>
      <c r="BU188" s="239">
        <v>-5038217</v>
      </c>
      <c r="BV188" s="239">
        <v>0</v>
      </c>
      <c r="BW188" s="239">
        <v>-5038217</v>
      </c>
      <c r="BX188" s="239">
        <v>-80812</v>
      </c>
      <c r="BY188" s="239">
        <v>0</v>
      </c>
      <c r="BZ188" s="239">
        <v>-80812</v>
      </c>
      <c r="CA188" s="239">
        <v>609</v>
      </c>
      <c r="CB188" s="239">
        <v>0</v>
      </c>
      <c r="CC188" s="239">
        <v>609</v>
      </c>
      <c r="CD188" s="239">
        <v>-136434</v>
      </c>
      <c r="CE188" s="239">
        <v>0</v>
      </c>
      <c r="CF188" s="239">
        <v>-136434</v>
      </c>
      <c r="CG188" s="239">
        <v>-16236</v>
      </c>
      <c r="CH188" s="239">
        <v>0</v>
      </c>
      <c r="CI188" s="239">
        <v>-16236</v>
      </c>
      <c r="CJ188" s="239">
        <v>-3254</v>
      </c>
      <c r="CK188" s="239">
        <v>0</v>
      </c>
      <c r="CL188" s="239">
        <v>-3254</v>
      </c>
      <c r="CM188" s="239">
        <v>0</v>
      </c>
      <c r="CN188" s="239">
        <v>0</v>
      </c>
      <c r="CO188" s="239">
        <v>0</v>
      </c>
      <c r="CP188" s="239">
        <v>-23475</v>
      </c>
      <c r="CQ188" s="239">
        <v>0</v>
      </c>
      <c r="CR188" s="239">
        <v>-23475</v>
      </c>
      <c r="CS188" s="239">
        <v>0</v>
      </c>
      <c r="CT188" s="239">
        <v>0</v>
      </c>
      <c r="CU188" s="239">
        <v>0</v>
      </c>
      <c r="CV188" s="239">
        <v>-5144</v>
      </c>
      <c r="CW188" s="239">
        <v>0</v>
      </c>
      <c r="CX188" s="239">
        <v>-5144</v>
      </c>
      <c r="CY188" s="239">
        <v>-4224</v>
      </c>
      <c r="CZ188" s="239">
        <v>0</v>
      </c>
      <c r="DA188" s="239">
        <v>-4224</v>
      </c>
      <c r="DB188" s="239">
        <v>0</v>
      </c>
      <c r="DC188" s="239">
        <v>0</v>
      </c>
      <c r="DD188" s="239">
        <v>0</v>
      </c>
      <c r="DE188" s="239">
        <v>0</v>
      </c>
      <c r="DF188" s="239">
        <v>0</v>
      </c>
      <c r="DG188" s="239">
        <v>0</v>
      </c>
      <c r="DH188" s="239">
        <v>0</v>
      </c>
      <c r="DI188" s="239">
        <v>0</v>
      </c>
      <c r="DJ188" s="239">
        <v>-268970</v>
      </c>
      <c r="DK188" s="239">
        <v>0</v>
      </c>
      <c r="DL188" s="239">
        <v>-268970</v>
      </c>
      <c r="DM188" s="239">
        <v>-6597</v>
      </c>
      <c r="DN188" s="239">
        <v>0</v>
      </c>
      <c r="DO188" s="239">
        <v>-6597</v>
      </c>
      <c r="DP188" s="239">
        <v>0</v>
      </c>
      <c r="DQ188" s="239">
        <v>0</v>
      </c>
      <c r="DR188" s="239">
        <v>0</v>
      </c>
      <c r="DS188" s="239">
        <v>-84916</v>
      </c>
      <c r="DT188" s="239">
        <v>0</v>
      </c>
      <c r="DU188" s="239">
        <v>-84916</v>
      </c>
      <c r="DV188" s="239">
        <v>-1169</v>
      </c>
      <c r="DW188" s="239">
        <v>0</v>
      </c>
      <c r="DX188" s="239">
        <v>-1169</v>
      </c>
      <c r="DY188" s="239">
        <v>0</v>
      </c>
      <c r="DZ188" s="239">
        <v>0</v>
      </c>
      <c r="EA188" s="239">
        <v>0</v>
      </c>
      <c r="EB188" s="239">
        <v>778</v>
      </c>
      <c r="EC188" s="239">
        <v>0</v>
      </c>
      <c r="ED188" s="239">
        <v>778</v>
      </c>
      <c r="EE188" s="239">
        <v>0</v>
      </c>
      <c r="EF188" s="239">
        <v>0</v>
      </c>
      <c r="EG188" s="239">
        <v>0</v>
      </c>
      <c r="EH188" s="239">
        <v>0</v>
      </c>
      <c r="EI188" s="239">
        <v>0</v>
      </c>
      <c r="EJ188" s="239">
        <v>0</v>
      </c>
      <c r="EK188" s="239">
        <v>-5198</v>
      </c>
      <c r="EL188" s="239">
        <v>0</v>
      </c>
      <c r="EM188" s="239">
        <v>-5198</v>
      </c>
      <c r="EN188" s="239">
        <v>0</v>
      </c>
      <c r="EO188" s="239">
        <v>0</v>
      </c>
      <c r="EP188" s="239">
        <v>0</v>
      </c>
      <c r="EQ188" s="239">
        <v>-97102</v>
      </c>
      <c r="ER188" s="239">
        <v>0</v>
      </c>
      <c r="ES188" s="239">
        <v>-97102</v>
      </c>
      <c r="ET188" s="239">
        <v>-2043</v>
      </c>
      <c r="EU188" s="239">
        <v>0</v>
      </c>
      <c r="EV188" s="239">
        <v>-2043</v>
      </c>
      <c r="EW188" s="239">
        <v>0</v>
      </c>
      <c r="EX188" s="239">
        <v>0</v>
      </c>
      <c r="EY188" s="239">
        <v>0</v>
      </c>
      <c r="EZ188" s="239">
        <v>-2043</v>
      </c>
      <c r="FA188" s="239">
        <v>0</v>
      </c>
      <c r="FB188" s="239">
        <v>-2043</v>
      </c>
      <c r="FC188" s="239">
        <v>97802620</v>
      </c>
      <c r="FD188" s="239">
        <v>2058800</v>
      </c>
      <c r="FE188" s="239">
        <v>99861420</v>
      </c>
      <c r="FF188" s="239">
        <v>344056</v>
      </c>
      <c r="FG188" s="239">
        <v>1072</v>
      </c>
      <c r="FH188" s="239">
        <v>345128</v>
      </c>
      <c r="FI188" s="239">
        <v>-3953235</v>
      </c>
      <c r="FJ188" s="239">
        <v>-7829</v>
      </c>
      <c r="FK188" s="239">
        <v>-3961064</v>
      </c>
      <c r="FL188" s="239">
        <v>-5038217</v>
      </c>
      <c r="FM188" s="239">
        <v>0</v>
      </c>
      <c r="FN188" s="239">
        <v>-5038217</v>
      </c>
      <c r="FO188" s="239">
        <v>-268970</v>
      </c>
      <c r="FP188" s="239">
        <v>0</v>
      </c>
      <c r="FQ188" s="239">
        <v>-268970</v>
      </c>
      <c r="FR188" s="239">
        <v>-97102</v>
      </c>
      <c r="FS188" s="239">
        <v>0</v>
      </c>
      <c r="FT188" s="239">
        <v>-97102</v>
      </c>
      <c r="FU188" s="239">
        <v>-2043</v>
      </c>
      <c r="FV188" s="239">
        <v>0</v>
      </c>
      <c r="FW188" s="239">
        <v>-2043</v>
      </c>
      <c r="FX188" s="239">
        <v>-9015511</v>
      </c>
      <c r="FY188" s="239">
        <v>-6757</v>
      </c>
      <c r="FZ188" s="239">
        <v>-9022268</v>
      </c>
      <c r="GA188" s="239">
        <v>88787109</v>
      </c>
      <c r="GB188" s="239">
        <v>2052043</v>
      </c>
      <c r="GC188" s="239">
        <v>90839152</v>
      </c>
      <c r="GD188" s="214" t="s">
        <v>747</v>
      </c>
    </row>
    <row r="189" spans="2:186" s="214" customFormat="1" x14ac:dyDescent="0.2">
      <c r="B189" s="609" t="s">
        <v>460</v>
      </c>
      <c r="C189" s="609" t="s">
        <v>459</v>
      </c>
      <c r="D189" s="239">
        <v>0</v>
      </c>
      <c r="E189" s="239">
        <v>0</v>
      </c>
      <c r="F189" s="239">
        <v>0</v>
      </c>
      <c r="G189" s="239">
        <v>23714</v>
      </c>
      <c r="H189" s="239">
        <v>0</v>
      </c>
      <c r="I189" s="239">
        <v>23714</v>
      </c>
      <c r="J189" s="239">
        <v>0</v>
      </c>
      <c r="K189" s="239">
        <v>0</v>
      </c>
      <c r="L189" s="239">
        <v>0</v>
      </c>
      <c r="M189" s="239">
        <v>11184</v>
      </c>
      <c r="N189" s="239">
        <v>0</v>
      </c>
      <c r="O189" s="239">
        <v>11184</v>
      </c>
      <c r="P189" s="239">
        <v>34898</v>
      </c>
      <c r="Q189" s="239">
        <v>0</v>
      </c>
      <c r="R189" s="239">
        <v>34898</v>
      </c>
      <c r="S189" s="239">
        <v>-4749464</v>
      </c>
      <c r="T189" s="239">
        <v>0</v>
      </c>
      <c r="U189" s="239">
        <v>-4749464</v>
      </c>
      <c r="V189" s="239">
        <v>-12032</v>
      </c>
      <c r="W189" s="239">
        <v>0</v>
      </c>
      <c r="X189" s="239">
        <v>-12032</v>
      </c>
      <c r="Y189" s="239">
        <v>-375930</v>
      </c>
      <c r="Z189" s="239">
        <v>0</v>
      </c>
      <c r="AA189" s="239">
        <v>-375930</v>
      </c>
      <c r="AB189" s="239">
        <v>-274753</v>
      </c>
      <c r="AC189" s="239">
        <v>0</v>
      </c>
      <c r="AD189" s="239">
        <v>-274753</v>
      </c>
      <c r="AE189" s="239">
        <v>-1109</v>
      </c>
      <c r="AF189" s="239">
        <v>0</v>
      </c>
      <c r="AG189" s="239">
        <v>-1109</v>
      </c>
      <c r="AH189" s="239">
        <v>597813</v>
      </c>
      <c r="AI189" s="239">
        <v>1248</v>
      </c>
      <c r="AJ189" s="239">
        <v>599061</v>
      </c>
      <c r="AK189" s="239">
        <v>-7817</v>
      </c>
      <c r="AL189" s="239">
        <v>0</v>
      </c>
      <c r="AM189" s="239">
        <v>-7817</v>
      </c>
      <c r="AN189" s="239">
        <v>-1771567</v>
      </c>
      <c r="AO189" s="239">
        <v>0</v>
      </c>
      <c r="AP189" s="239">
        <v>-1771567</v>
      </c>
      <c r="AQ189" s="239">
        <v>-370993</v>
      </c>
      <c r="AR189" s="239">
        <v>0</v>
      </c>
      <c r="AS189" s="239">
        <v>-370993</v>
      </c>
      <c r="AT189" s="239">
        <v>-39044</v>
      </c>
      <c r="AU189" s="239">
        <v>0</v>
      </c>
      <c r="AV189" s="239">
        <v>-39044</v>
      </c>
      <c r="AW189" s="239">
        <v>0</v>
      </c>
      <c r="AX189" s="239">
        <v>0</v>
      </c>
      <c r="AY189" s="239">
        <v>0</v>
      </c>
      <c r="AZ189" s="239">
        <v>-101438</v>
      </c>
      <c r="BA189" s="239">
        <v>0</v>
      </c>
      <c r="BB189" s="239">
        <v>-101438</v>
      </c>
      <c r="BC189" s="239">
        <v>-408</v>
      </c>
      <c r="BD189" s="239">
        <v>0</v>
      </c>
      <c r="BE189" s="239">
        <v>-408</v>
      </c>
      <c r="BF189" s="239">
        <v>-6818848</v>
      </c>
      <c r="BG189" s="239">
        <v>1248</v>
      </c>
      <c r="BH189" s="239">
        <v>-6817600</v>
      </c>
      <c r="BI189" s="239">
        <v>-31191</v>
      </c>
      <c r="BJ189" s="239">
        <v>0</v>
      </c>
      <c r="BK189" s="239">
        <v>-31191</v>
      </c>
      <c r="BL189" s="239">
        <v>-838</v>
      </c>
      <c r="BM189" s="239">
        <v>0</v>
      </c>
      <c r="BN189" s="239">
        <v>-838</v>
      </c>
      <c r="BO189" s="239">
        <v>-403938</v>
      </c>
      <c r="BP189" s="239">
        <v>0</v>
      </c>
      <c r="BQ189" s="239">
        <v>-403938</v>
      </c>
      <c r="BR189" s="239">
        <v>-2944</v>
      </c>
      <c r="BS189" s="239">
        <v>0</v>
      </c>
      <c r="BT189" s="239">
        <v>-2944</v>
      </c>
      <c r="BU189" s="239">
        <v>-438911</v>
      </c>
      <c r="BV189" s="239">
        <v>0</v>
      </c>
      <c r="BW189" s="239">
        <v>-438911</v>
      </c>
      <c r="BX189" s="239">
        <v>-5491</v>
      </c>
      <c r="BY189" s="239">
        <v>0</v>
      </c>
      <c r="BZ189" s="239">
        <v>-5491</v>
      </c>
      <c r="CA189" s="239">
        <v>-516</v>
      </c>
      <c r="CB189" s="239">
        <v>0</v>
      </c>
      <c r="CC189" s="239">
        <v>-516</v>
      </c>
      <c r="CD189" s="239">
        <v>0</v>
      </c>
      <c r="CE189" s="239">
        <v>0</v>
      </c>
      <c r="CF189" s="239">
        <v>0</v>
      </c>
      <c r="CG189" s="239">
        <v>205408</v>
      </c>
      <c r="CH189" s="239">
        <v>0</v>
      </c>
      <c r="CI189" s="239">
        <v>205408</v>
      </c>
      <c r="CJ189" s="239">
        <v>0</v>
      </c>
      <c r="CK189" s="239">
        <v>0</v>
      </c>
      <c r="CL189" s="239">
        <v>0</v>
      </c>
      <c r="CM189" s="239">
        <v>0</v>
      </c>
      <c r="CN189" s="239">
        <v>0</v>
      </c>
      <c r="CO189" s="239">
        <v>0</v>
      </c>
      <c r="CP189" s="239">
        <v>-8403</v>
      </c>
      <c r="CQ189" s="239">
        <v>0</v>
      </c>
      <c r="CR189" s="239">
        <v>-8403</v>
      </c>
      <c r="CS189" s="239">
        <v>0</v>
      </c>
      <c r="CT189" s="239">
        <v>0</v>
      </c>
      <c r="CU189" s="239">
        <v>0</v>
      </c>
      <c r="CV189" s="239">
        <v>0</v>
      </c>
      <c r="CW189" s="239">
        <v>0</v>
      </c>
      <c r="CX189" s="239">
        <v>0</v>
      </c>
      <c r="CY189" s="239">
        <v>0</v>
      </c>
      <c r="CZ189" s="239">
        <v>0</v>
      </c>
      <c r="DA189" s="239">
        <v>0</v>
      </c>
      <c r="DB189" s="239">
        <v>0</v>
      </c>
      <c r="DC189" s="239">
        <v>-76138</v>
      </c>
      <c r="DD189" s="239">
        <v>-76138</v>
      </c>
      <c r="DE189" s="239">
        <v>0</v>
      </c>
      <c r="DF189" s="239">
        <v>0</v>
      </c>
      <c r="DG189" s="239">
        <v>0</v>
      </c>
      <c r="DH189" s="239">
        <v>-76138</v>
      </c>
      <c r="DI189" s="239">
        <v>0</v>
      </c>
      <c r="DJ189" s="239">
        <v>190998</v>
      </c>
      <c r="DK189" s="239">
        <v>-76138</v>
      </c>
      <c r="DL189" s="239">
        <v>114860</v>
      </c>
      <c r="DM189" s="239">
        <v>-6581</v>
      </c>
      <c r="DN189" s="239">
        <v>0</v>
      </c>
      <c r="DO189" s="239">
        <v>-6581</v>
      </c>
      <c r="DP189" s="239">
        <v>44</v>
      </c>
      <c r="DQ189" s="239">
        <v>0</v>
      </c>
      <c r="DR189" s="239">
        <v>44</v>
      </c>
      <c r="DS189" s="239">
        <v>-7637</v>
      </c>
      <c r="DT189" s="239">
        <v>0</v>
      </c>
      <c r="DU189" s="239">
        <v>-7637</v>
      </c>
      <c r="DV189" s="239">
        <v>-5179</v>
      </c>
      <c r="DW189" s="239">
        <v>0</v>
      </c>
      <c r="DX189" s="239">
        <v>-5179</v>
      </c>
      <c r="DY189" s="239">
        <v>0</v>
      </c>
      <c r="DZ189" s="239">
        <v>0</v>
      </c>
      <c r="EA189" s="239">
        <v>0</v>
      </c>
      <c r="EB189" s="239">
        <v>666</v>
      </c>
      <c r="EC189" s="239">
        <v>0</v>
      </c>
      <c r="ED189" s="239">
        <v>666</v>
      </c>
      <c r="EE189" s="239">
        <v>0</v>
      </c>
      <c r="EF189" s="239">
        <v>0</v>
      </c>
      <c r="EG189" s="239">
        <v>0</v>
      </c>
      <c r="EH189" s="239">
        <v>0</v>
      </c>
      <c r="EI189" s="239">
        <v>0</v>
      </c>
      <c r="EJ189" s="239">
        <v>0</v>
      </c>
      <c r="EK189" s="239">
        <v>-27203</v>
      </c>
      <c r="EL189" s="239">
        <v>0</v>
      </c>
      <c r="EM189" s="239">
        <v>-27203</v>
      </c>
      <c r="EN189" s="239">
        <v>2034</v>
      </c>
      <c r="EO189" s="239">
        <v>0</v>
      </c>
      <c r="EP189" s="239">
        <v>2034</v>
      </c>
      <c r="EQ189" s="239">
        <v>-43856</v>
      </c>
      <c r="ER189" s="239">
        <v>0</v>
      </c>
      <c r="ES189" s="239">
        <v>-43856</v>
      </c>
      <c r="ET189" s="239">
        <v>-1344</v>
      </c>
      <c r="EU189" s="239">
        <v>0</v>
      </c>
      <c r="EV189" s="239">
        <v>-1344</v>
      </c>
      <c r="EW189" s="239">
        <v>0</v>
      </c>
      <c r="EX189" s="239">
        <v>0</v>
      </c>
      <c r="EY189" s="239">
        <v>0</v>
      </c>
      <c r="EZ189" s="239">
        <v>-1344</v>
      </c>
      <c r="FA189" s="239">
        <v>0</v>
      </c>
      <c r="FB189" s="239">
        <v>-1344</v>
      </c>
      <c r="FC189" s="239">
        <v>32532427</v>
      </c>
      <c r="FD189" s="239">
        <v>74890</v>
      </c>
      <c r="FE189" s="239">
        <v>32607317</v>
      </c>
      <c r="FF189" s="239">
        <v>34898</v>
      </c>
      <c r="FG189" s="239">
        <v>0</v>
      </c>
      <c r="FH189" s="239">
        <v>34898</v>
      </c>
      <c r="FI189" s="239">
        <v>-6818848</v>
      </c>
      <c r="FJ189" s="239">
        <v>1248</v>
      </c>
      <c r="FK189" s="239">
        <v>-6817600</v>
      </c>
      <c r="FL189" s="239">
        <v>-438911</v>
      </c>
      <c r="FM189" s="239">
        <v>0</v>
      </c>
      <c r="FN189" s="239">
        <v>-438911</v>
      </c>
      <c r="FO189" s="239">
        <v>190998</v>
      </c>
      <c r="FP189" s="239">
        <v>-76138</v>
      </c>
      <c r="FQ189" s="239">
        <v>114860</v>
      </c>
      <c r="FR189" s="239">
        <v>-43856</v>
      </c>
      <c r="FS189" s="239">
        <v>0</v>
      </c>
      <c r="FT189" s="239">
        <v>-43856</v>
      </c>
      <c r="FU189" s="239">
        <v>-1344</v>
      </c>
      <c r="FV189" s="239">
        <v>0</v>
      </c>
      <c r="FW189" s="239">
        <v>-1344</v>
      </c>
      <c r="FX189" s="239">
        <v>-7077063</v>
      </c>
      <c r="FY189" s="239">
        <v>-74890</v>
      </c>
      <c r="FZ189" s="239">
        <v>-7151953</v>
      </c>
      <c r="GA189" s="239">
        <v>25455364</v>
      </c>
      <c r="GB189" s="239">
        <v>0</v>
      </c>
      <c r="GC189" s="239">
        <v>25455364</v>
      </c>
      <c r="GD189" s="214" t="s">
        <v>1190</v>
      </c>
    </row>
    <row r="190" spans="2:186" s="214" customFormat="1" x14ac:dyDescent="0.2">
      <c r="B190" s="609" t="s">
        <v>462</v>
      </c>
      <c r="C190" s="609" t="s">
        <v>461</v>
      </c>
      <c r="D190" s="239">
        <v>0</v>
      </c>
      <c r="E190" s="239">
        <v>0</v>
      </c>
      <c r="F190" s="239">
        <v>0</v>
      </c>
      <c r="G190" s="239">
        <v>55911</v>
      </c>
      <c r="H190" s="239">
        <v>0</v>
      </c>
      <c r="I190" s="239">
        <v>55911</v>
      </c>
      <c r="J190" s="239">
        <v>0</v>
      </c>
      <c r="K190" s="239">
        <v>0</v>
      </c>
      <c r="L190" s="239">
        <v>0</v>
      </c>
      <c r="M190" s="239">
        <v>28256</v>
      </c>
      <c r="N190" s="239">
        <v>0</v>
      </c>
      <c r="O190" s="239">
        <v>28256</v>
      </c>
      <c r="P190" s="239">
        <v>84167</v>
      </c>
      <c r="Q190" s="239">
        <v>0</v>
      </c>
      <c r="R190" s="239">
        <v>84167</v>
      </c>
      <c r="S190" s="239">
        <v>-4177359</v>
      </c>
      <c r="T190" s="239">
        <v>-60648</v>
      </c>
      <c r="U190" s="239">
        <v>-4238007</v>
      </c>
      <c r="V190" s="239">
        <v>-16775</v>
      </c>
      <c r="W190" s="239">
        <v>0</v>
      </c>
      <c r="X190" s="239">
        <v>-16775</v>
      </c>
      <c r="Y190" s="239">
        <v>-129070</v>
      </c>
      <c r="Z190" s="239">
        <v>-672</v>
      </c>
      <c r="AA190" s="239">
        <v>-129742</v>
      </c>
      <c r="AB190" s="239">
        <v>-102654</v>
      </c>
      <c r="AC190" s="239">
        <v>-672</v>
      </c>
      <c r="AD190" s="239">
        <v>-103326</v>
      </c>
      <c r="AE190" s="239">
        <v>-766</v>
      </c>
      <c r="AF190" s="239">
        <v>0</v>
      </c>
      <c r="AG190" s="239">
        <v>-766</v>
      </c>
      <c r="AH190" s="239">
        <v>1635993</v>
      </c>
      <c r="AI190" s="239">
        <v>23198</v>
      </c>
      <c r="AJ190" s="239">
        <v>1659191</v>
      </c>
      <c r="AK190" s="239">
        <v>43518</v>
      </c>
      <c r="AL190" s="239">
        <v>177</v>
      </c>
      <c r="AM190" s="239">
        <v>43695</v>
      </c>
      <c r="AN190" s="239">
        <v>-4724000</v>
      </c>
      <c r="AO190" s="239">
        <v>-178324</v>
      </c>
      <c r="AP190" s="239">
        <v>-4902324</v>
      </c>
      <c r="AQ190" s="239">
        <v>49960</v>
      </c>
      <c r="AR190" s="239">
        <v>0</v>
      </c>
      <c r="AS190" s="239">
        <v>49960</v>
      </c>
      <c r="AT190" s="239">
        <v>-112559</v>
      </c>
      <c r="AU190" s="239">
        <v>0</v>
      </c>
      <c r="AV190" s="239">
        <v>-112559</v>
      </c>
      <c r="AW190" s="239">
        <v>-17841</v>
      </c>
      <c r="AX190" s="239">
        <v>0</v>
      </c>
      <c r="AY190" s="239">
        <v>-17841</v>
      </c>
      <c r="AZ190" s="239">
        <v>-11816</v>
      </c>
      <c r="BA190" s="239">
        <v>0</v>
      </c>
      <c r="BB190" s="239">
        <v>-11816</v>
      </c>
      <c r="BC190" s="239">
        <v>-1406</v>
      </c>
      <c r="BD190" s="239">
        <v>0</v>
      </c>
      <c r="BE190" s="239">
        <v>-1406</v>
      </c>
      <c r="BF190" s="239">
        <v>-7444580</v>
      </c>
      <c r="BG190" s="239">
        <v>-216269</v>
      </c>
      <c r="BH190" s="239">
        <v>-7660849</v>
      </c>
      <c r="BI190" s="239">
        <v>-1116</v>
      </c>
      <c r="BJ190" s="239">
        <v>0</v>
      </c>
      <c r="BK190" s="239">
        <v>-1116</v>
      </c>
      <c r="BL190" s="239">
        <v>4324</v>
      </c>
      <c r="BM190" s="239">
        <v>0</v>
      </c>
      <c r="BN190" s="239">
        <v>4324</v>
      </c>
      <c r="BO190" s="239">
        <v>-2395802</v>
      </c>
      <c r="BP190" s="239">
        <v>-19496</v>
      </c>
      <c r="BQ190" s="239">
        <v>-2415298</v>
      </c>
      <c r="BR190" s="239">
        <v>-210731</v>
      </c>
      <c r="BS190" s="239">
        <v>4395</v>
      </c>
      <c r="BT190" s="239">
        <v>-206336</v>
      </c>
      <c r="BU190" s="239">
        <v>-2603325</v>
      </c>
      <c r="BV190" s="239">
        <v>-15101</v>
      </c>
      <c r="BW190" s="239">
        <v>-2618426</v>
      </c>
      <c r="BX190" s="239">
        <v>-73164</v>
      </c>
      <c r="BY190" s="239">
        <v>0</v>
      </c>
      <c r="BZ190" s="239">
        <v>-73164</v>
      </c>
      <c r="CA190" s="239">
        <v>1156</v>
      </c>
      <c r="CB190" s="239">
        <v>0</v>
      </c>
      <c r="CC190" s="239">
        <v>1156</v>
      </c>
      <c r="CD190" s="239">
        <v>-450006</v>
      </c>
      <c r="CE190" s="239">
        <v>-7853</v>
      </c>
      <c r="CF190" s="239">
        <v>-457859</v>
      </c>
      <c r="CG190" s="239">
        <v>25351</v>
      </c>
      <c r="CH190" s="239">
        <v>0</v>
      </c>
      <c r="CI190" s="239">
        <v>25351</v>
      </c>
      <c r="CJ190" s="239">
        <v>0</v>
      </c>
      <c r="CK190" s="239">
        <v>0</v>
      </c>
      <c r="CL190" s="239">
        <v>0</v>
      </c>
      <c r="CM190" s="239">
        <v>0</v>
      </c>
      <c r="CN190" s="239">
        <v>0</v>
      </c>
      <c r="CO190" s="239">
        <v>0</v>
      </c>
      <c r="CP190" s="239">
        <v>-3176</v>
      </c>
      <c r="CQ190" s="239">
        <v>0</v>
      </c>
      <c r="CR190" s="239">
        <v>-3176</v>
      </c>
      <c r="CS190" s="239">
        <v>-407</v>
      </c>
      <c r="CT190" s="239">
        <v>0</v>
      </c>
      <c r="CU190" s="239">
        <v>-407</v>
      </c>
      <c r="CV190" s="239">
        <v>-1502</v>
      </c>
      <c r="CW190" s="239">
        <v>0</v>
      </c>
      <c r="CX190" s="239">
        <v>-1502</v>
      </c>
      <c r="CY190" s="239">
        <v>-12</v>
      </c>
      <c r="CZ190" s="239">
        <v>0</v>
      </c>
      <c r="DA190" s="239">
        <v>-12</v>
      </c>
      <c r="DB190" s="239">
        <v>0</v>
      </c>
      <c r="DC190" s="239">
        <v>0</v>
      </c>
      <c r="DD190" s="239">
        <v>0</v>
      </c>
      <c r="DE190" s="239">
        <v>0</v>
      </c>
      <c r="DF190" s="239">
        <v>0</v>
      </c>
      <c r="DG190" s="239">
        <v>0</v>
      </c>
      <c r="DH190" s="239">
        <v>0</v>
      </c>
      <c r="DI190" s="239">
        <v>0</v>
      </c>
      <c r="DJ190" s="239">
        <v>-501760</v>
      </c>
      <c r="DK190" s="239">
        <v>-7853</v>
      </c>
      <c r="DL190" s="239">
        <v>-509613</v>
      </c>
      <c r="DM190" s="239">
        <v>0</v>
      </c>
      <c r="DN190" s="239">
        <v>-1741</v>
      </c>
      <c r="DO190" s="239">
        <v>-1741</v>
      </c>
      <c r="DP190" s="239">
        <v>0</v>
      </c>
      <c r="DQ190" s="239">
        <v>0</v>
      </c>
      <c r="DR190" s="239">
        <v>0</v>
      </c>
      <c r="DS190" s="239">
        <v>-3444</v>
      </c>
      <c r="DT190" s="239">
        <v>0</v>
      </c>
      <c r="DU190" s="239">
        <v>-3444</v>
      </c>
      <c r="DV190" s="239">
        <v>0</v>
      </c>
      <c r="DW190" s="239">
        <v>0</v>
      </c>
      <c r="DX190" s="239">
        <v>0</v>
      </c>
      <c r="DY190" s="239">
        <v>0</v>
      </c>
      <c r="DZ190" s="239">
        <v>0</v>
      </c>
      <c r="EA190" s="239">
        <v>0</v>
      </c>
      <c r="EB190" s="239">
        <v>-4748</v>
      </c>
      <c r="EC190" s="239">
        <v>0</v>
      </c>
      <c r="ED190" s="239">
        <v>-4748</v>
      </c>
      <c r="EE190" s="239">
        <v>0</v>
      </c>
      <c r="EF190" s="239">
        <v>0</v>
      </c>
      <c r="EG190" s="239">
        <v>0</v>
      </c>
      <c r="EH190" s="239">
        <v>0</v>
      </c>
      <c r="EI190" s="239">
        <v>0</v>
      </c>
      <c r="EJ190" s="239">
        <v>0</v>
      </c>
      <c r="EK190" s="239">
        <v>-16836</v>
      </c>
      <c r="EL190" s="239">
        <v>0</v>
      </c>
      <c r="EM190" s="239">
        <v>-16836</v>
      </c>
      <c r="EN190" s="239">
        <v>-3053</v>
      </c>
      <c r="EO190" s="239">
        <v>0</v>
      </c>
      <c r="EP190" s="239">
        <v>-3053</v>
      </c>
      <c r="EQ190" s="239">
        <v>-28081</v>
      </c>
      <c r="ER190" s="239">
        <v>-1741</v>
      </c>
      <c r="ES190" s="239">
        <v>-29822</v>
      </c>
      <c r="ET190" s="239">
        <v>0</v>
      </c>
      <c r="EU190" s="239">
        <v>0</v>
      </c>
      <c r="EV190" s="239">
        <v>0</v>
      </c>
      <c r="EW190" s="239">
        <v>0</v>
      </c>
      <c r="EX190" s="239">
        <v>0</v>
      </c>
      <c r="EY190" s="239">
        <v>0</v>
      </c>
      <c r="EZ190" s="239">
        <v>0</v>
      </c>
      <c r="FA190" s="239">
        <v>0</v>
      </c>
      <c r="FB190" s="239">
        <v>0</v>
      </c>
      <c r="FC190" s="239">
        <v>72099846</v>
      </c>
      <c r="FD190" s="239">
        <v>1008949</v>
      </c>
      <c r="FE190" s="239">
        <v>73108795</v>
      </c>
      <c r="FF190" s="239">
        <v>84167</v>
      </c>
      <c r="FG190" s="239">
        <v>0</v>
      </c>
      <c r="FH190" s="239">
        <v>84167</v>
      </c>
      <c r="FI190" s="239">
        <v>-7444580</v>
      </c>
      <c r="FJ190" s="239">
        <v>-216269</v>
      </c>
      <c r="FK190" s="239">
        <v>-7660849</v>
      </c>
      <c r="FL190" s="239">
        <v>-2603325</v>
      </c>
      <c r="FM190" s="239">
        <v>-15101</v>
      </c>
      <c r="FN190" s="239">
        <v>-2618426</v>
      </c>
      <c r="FO190" s="239">
        <v>-501760</v>
      </c>
      <c r="FP190" s="239">
        <v>-7853</v>
      </c>
      <c r="FQ190" s="239">
        <v>-509613</v>
      </c>
      <c r="FR190" s="239">
        <v>-28081</v>
      </c>
      <c r="FS190" s="239">
        <v>-1741</v>
      </c>
      <c r="FT190" s="239">
        <v>-29822</v>
      </c>
      <c r="FU190" s="239">
        <v>0</v>
      </c>
      <c r="FV190" s="239">
        <v>0</v>
      </c>
      <c r="FW190" s="239">
        <v>0</v>
      </c>
      <c r="FX190" s="239">
        <v>-10493579</v>
      </c>
      <c r="FY190" s="239">
        <v>-240964</v>
      </c>
      <c r="FZ190" s="239">
        <v>-10734543</v>
      </c>
      <c r="GA190" s="239">
        <v>61606267</v>
      </c>
      <c r="GB190" s="239">
        <v>767985</v>
      </c>
      <c r="GC190" s="239">
        <v>62374252</v>
      </c>
      <c r="GD190" s="214" t="s">
        <v>747</v>
      </c>
    </row>
    <row r="191" spans="2:186" s="214" customFormat="1" x14ac:dyDescent="0.2">
      <c r="B191" s="609" t="s">
        <v>464</v>
      </c>
      <c r="C191" s="609" t="s">
        <v>463</v>
      </c>
      <c r="D191" s="239">
        <v>0</v>
      </c>
      <c r="E191" s="239">
        <v>0</v>
      </c>
      <c r="F191" s="239">
        <v>0</v>
      </c>
      <c r="G191" s="239">
        <v>29748</v>
      </c>
      <c r="H191" s="239">
        <v>0</v>
      </c>
      <c r="I191" s="239">
        <v>29748</v>
      </c>
      <c r="J191" s="239">
        <v>0</v>
      </c>
      <c r="K191" s="239">
        <v>0</v>
      </c>
      <c r="L191" s="239">
        <v>0</v>
      </c>
      <c r="M191" s="239">
        <v>193848</v>
      </c>
      <c r="N191" s="239">
        <v>0</v>
      </c>
      <c r="O191" s="239">
        <v>193848</v>
      </c>
      <c r="P191" s="239">
        <v>223596</v>
      </c>
      <c r="Q191" s="239">
        <v>0</v>
      </c>
      <c r="R191" s="239">
        <v>223596</v>
      </c>
      <c r="S191" s="239">
        <v>-3833344</v>
      </c>
      <c r="T191" s="239">
        <v>-11825</v>
      </c>
      <c r="U191" s="239">
        <v>-3845169</v>
      </c>
      <c r="V191" s="239">
        <v>-24427</v>
      </c>
      <c r="W191" s="239">
        <v>0</v>
      </c>
      <c r="X191" s="239">
        <v>-24427</v>
      </c>
      <c r="Y191" s="239">
        <v>-175417</v>
      </c>
      <c r="Z191" s="239">
        <v>0</v>
      </c>
      <c r="AA191" s="239">
        <v>-175417</v>
      </c>
      <c r="AB191" s="239">
        <v>-151615</v>
      </c>
      <c r="AC191" s="239">
        <v>0</v>
      </c>
      <c r="AD191" s="239">
        <v>-151615</v>
      </c>
      <c r="AE191" s="239">
        <v>-1903</v>
      </c>
      <c r="AF191" s="239">
        <v>0</v>
      </c>
      <c r="AG191" s="239">
        <v>-1903</v>
      </c>
      <c r="AH191" s="239">
        <v>1636916</v>
      </c>
      <c r="AI191" s="239">
        <v>18041</v>
      </c>
      <c r="AJ191" s="239">
        <v>1654957</v>
      </c>
      <c r="AK191" s="239">
        <v>-18249</v>
      </c>
      <c r="AL191" s="239">
        <v>27</v>
      </c>
      <c r="AM191" s="239">
        <v>-18222</v>
      </c>
      <c r="AN191" s="239">
        <v>-4334251</v>
      </c>
      <c r="AO191" s="239">
        <v>0</v>
      </c>
      <c r="AP191" s="239">
        <v>-4334251</v>
      </c>
      <c r="AQ191" s="239">
        <v>146003</v>
      </c>
      <c r="AR191" s="239">
        <v>0</v>
      </c>
      <c r="AS191" s="239">
        <v>146003</v>
      </c>
      <c r="AT191" s="239">
        <v>-59616</v>
      </c>
      <c r="AU191" s="239">
        <v>0</v>
      </c>
      <c r="AV191" s="239">
        <v>-59616</v>
      </c>
      <c r="AW191" s="239">
        <v>0</v>
      </c>
      <c r="AX191" s="239">
        <v>0</v>
      </c>
      <c r="AY191" s="239">
        <v>0</v>
      </c>
      <c r="AZ191" s="239">
        <v>0</v>
      </c>
      <c r="BA191" s="239">
        <v>0</v>
      </c>
      <c r="BB191" s="239">
        <v>0</v>
      </c>
      <c r="BC191" s="239">
        <v>0</v>
      </c>
      <c r="BD191" s="239">
        <v>0</v>
      </c>
      <c r="BE191" s="239">
        <v>0</v>
      </c>
      <c r="BF191" s="239">
        <v>-6637958</v>
      </c>
      <c r="BG191" s="239">
        <v>6243</v>
      </c>
      <c r="BH191" s="239">
        <v>-6631715</v>
      </c>
      <c r="BI191" s="239">
        <v>-19808</v>
      </c>
      <c r="BJ191" s="239">
        <v>0</v>
      </c>
      <c r="BK191" s="239">
        <v>-19808</v>
      </c>
      <c r="BL191" s="239">
        <v>-3866</v>
      </c>
      <c r="BM191" s="239">
        <v>0</v>
      </c>
      <c r="BN191" s="239">
        <v>-3866</v>
      </c>
      <c r="BO191" s="239">
        <v>-2566957</v>
      </c>
      <c r="BP191" s="239">
        <v>-11852</v>
      </c>
      <c r="BQ191" s="239">
        <v>-2578809</v>
      </c>
      <c r="BR191" s="239">
        <v>-32887</v>
      </c>
      <c r="BS191" s="239">
        <v>682</v>
      </c>
      <c r="BT191" s="239">
        <v>-32205</v>
      </c>
      <c r="BU191" s="239">
        <v>-2623518</v>
      </c>
      <c r="BV191" s="239">
        <v>-11170</v>
      </c>
      <c r="BW191" s="239">
        <v>-2634688</v>
      </c>
      <c r="BX191" s="239">
        <v>-299895</v>
      </c>
      <c r="BY191" s="239">
        <v>0</v>
      </c>
      <c r="BZ191" s="239">
        <v>-299895</v>
      </c>
      <c r="CA191" s="239">
        <v>5850</v>
      </c>
      <c r="CB191" s="239">
        <v>0</v>
      </c>
      <c r="CC191" s="239">
        <v>5850</v>
      </c>
      <c r="CD191" s="239">
        <v>-32013</v>
      </c>
      <c r="CE191" s="239">
        <v>0</v>
      </c>
      <c r="CF191" s="239">
        <v>-32013</v>
      </c>
      <c r="CG191" s="239">
        <v>97</v>
      </c>
      <c r="CH191" s="239">
        <v>0</v>
      </c>
      <c r="CI191" s="239">
        <v>97</v>
      </c>
      <c r="CJ191" s="239">
        <v>-14904</v>
      </c>
      <c r="CK191" s="239">
        <v>0</v>
      </c>
      <c r="CL191" s="239">
        <v>-14904</v>
      </c>
      <c r="CM191" s="239">
        <v>0</v>
      </c>
      <c r="CN191" s="239">
        <v>0</v>
      </c>
      <c r="CO191" s="239">
        <v>0</v>
      </c>
      <c r="CP191" s="239">
        <v>0</v>
      </c>
      <c r="CQ191" s="239">
        <v>0</v>
      </c>
      <c r="CR191" s="239">
        <v>0</v>
      </c>
      <c r="CS191" s="239">
        <v>0</v>
      </c>
      <c r="CT191" s="239">
        <v>0</v>
      </c>
      <c r="CU191" s="239">
        <v>0</v>
      </c>
      <c r="CV191" s="239">
        <v>0</v>
      </c>
      <c r="CW191" s="239">
        <v>0</v>
      </c>
      <c r="CX191" s="239">
        <v>0</v>
      </c>
      <c r="CY191" s="239">
        <v>0</v>
      </c>
      <c r="CZ191" s="239">
        <v>0</v>
      </c>
      <c r="DA191" s="239">
        <v>0</v>
      </c>
      <c r="DB191" s="239">
        <v>0</v>
      </c>
      <c r="DC191" s="239">
        <v>-62934</v>
      </c>
      <c r="DD191" s="239">
        <v>-62934</v>
      </c>
      <c r="DE191" s="239">
        <v>0</v>
      </c>
      <c r="DF191" s="239">
        <v>-911</v>
      </c>
      <c r="DG191" s="239">
        <v>-911</v>
      </c>
      <c r="DH191" s="239">
        <v>-63845</v>
      </c>
      <c r="DI191" s="239">
        <v>0</v>
      </c>
      <c r="DJ191" s="239">
        <v>-340865</v>
      </c>
      <c r="DK191" s="239">
        <v>-63845</v>
      </c>
      <c r="DL191" s="239">
        <v>-404710</v>
      </c>
      <c r="DM191" s="239">
        <v>0</v>
      </c>
      <c r="DN191" s="239">
        <v>0</v>
      </c>
      <c r="DO191" s="239">
        <v>0</v>
      </c>
      <c r="DP191" s="239">
        <v>0</v>
      </c>
      <c r="DQ191" s="239">
        <v>0</v>
      </c>
      <c r="DR191" s="239">
        <v>0</v>
      </c>
      <c r="DS191" s="239">
        <v>-43536</v>
      </c>
      <c r="DT191" s="239">
        <v>0</v>
      </c>
      <c r="DU191" s="239">
        <v>-43536</v>
      </c>
      <c r="DV191" s="239">
        <v>-2370</v>
      </c>
      <c r="DW191" s="239">
        <v>0</v>
      </c>
      <c r="DX191" s="239">
        <v>-2370</v>
      </c>
      <c r="DY191" s="239">
        <v>0</v>
      </c>
      <c r="DZ191" s="239">
        <v>0</v>
      </c>
      <c r="EA191" s="239">
        <v>0</v>
      </c>
      <c r="EB191" s="239">
        <v>-10885</v>
      </c>
      <c r="EC191" s="239">
        <v>0</v>
      </c>
      <c r="ED191" s="239">
        <v>-10885</v>
      </c>
      <c r="EE191" s="239">
        <v>0</v>
      </c>
      <c r="EF191" s="239">
        <v>0</v>
      </c>
      <c r="EG191" s="239">
        <v>0</v>
      </c>
      <c r="EH191" s="239">
        <v>0</v>
      </c>
      <c r="EI191" s="239">
        <v>0</v>
      </c>
      <c r="EJ191" s="239">
        <v>0</v>
      </c>
      <c r="EK191" s="239">
        <v>-3057</v>
      </c>
      <c r="EL191" s="239">
        <v>0</v>
      </c>
      <c r="EM191" s="239">
        <v>-3057</v>
      </c>
      <c r="EN191" s="239">
        <v>0</v>
      </c>
      <c r="EO191" s="239">
        <v>0</v>
      </c>
      <c r="EP191" s="239">
        <v>0</v>
      </c>
      <c r="EQ191" s="239">
        <v>-59848</v>
      </c>
      <c r="ER191" s="239">
        <v>0</v>
      </c>
      <c r="ES191" s="239">
        <v>-59848</v>
      </c>
      <c r="ET191" s="239">
        <v>0</v>
      </c>
      <c r="EU191" s="239">
        <v>0</v>
      </c>
      <c r="EV191" s="239">
        <v>0</v>
      </c>
      <c r="EW191" s="239">
        <v>0</v>
      </c>
      <c r="EX191" s="239">
        <v>0</v>
      </c>
      <c r="EY191" s="239">
        <v>0</v>
      </c>
      <c r="EZ191" s="239">
        <v>0</v>
      </c>
      <c r="FA191" s="239">
        <v>0</v>
      </c>
      <c r="FB191" s="239">
        <v>0</v>
      </c>
      <c r="FC191" s="239">
        <v>69016767</v>
      </c>
      <c r="FD191" s="239">
        <v>718894</v>
      </c>
      <c r="FE191" s="239">
        <v>69735661</v>
      </c>
      <c r="FF191" s="239">
        <v>223596</v>
      </c>
      <c r="FG191" s="239">
        <v>0</v>
      </c>
      <c r="FH191" s="239">
        <v>223596</v>
      </c>
      <c r="FI191" s="239">
        <v>-6637958</v>
      </c>
      <c r="FJ191" s="239">
        <v>6243</v>
      </c>
      <c r="FK191" s="239">
        <v>-6631715</v>
      </c>
      <c r="FL191" s="239">
        <v>-2623518</v>
      </c>
      <c r="FM191" s="239">
        <v>-11170</v>
      </c>
      <c r="FN191" s="239">
        <v>-2634688</v>
      </c>
      <c r="FO191" s="239">
        <v>-340865</v>
      </c>
      <c r="FP191" s="239">
        <v>-63845</v>
      </c>
      <c r="FQ191" s="239">
        <v>-404710</v>
      </c>
      <c r="FR191" s="239">
        <v>-59848</v>
      </c>
      <c r="FS191" s="239">
        <v>0</v>
      </c>
      <c r="FT191" s="239">
        <v>-59848</v>
      </c>
      <c r="FU191" s="239">
        <v>0</v>
      </c>
      <c r="FV191" s="239">
        <v>0</v>
      </c>
      <c r="FW191" s="239">
        <v>0</v>
      </c>
      <c r="FX191" s="239">
        <v>-9438593</v>
      </c>
      <c r="FY191" s="239">
        <v>-68772</v>
      </c>
      <c r="FZ191" s="239">
        <v>-9507365</v>
      </c>
      <c r="GA191" s="239">
        <v>59578174</v>
      </c>
      <c r="GB191" s="239">
        <v>650122</v>
      </c>
      <c r="GC191" s="239">
        <v>60228296</v>
      </c>
      <c r="GD191" s="214" t="s">
        <v>1192</v>
      </c>
    </row>
    <row r="192" spans="2:186" s="214" customFormat="1" x14ac:dyDescent="0.2">
      <c r="B192" s="609" t="s">
        <v>466</v>
      </c>
      <c r="C192" s="609" t="s">
        <v>465</v>
      </c>
      <c r="D192" s="239">
        <v>0</v>
      </c>
      <c r="E192" s="239">
        <v>0</v>
      </c>
      <c r="F192" s="239">
        <v>0</v>
      </c>
      <c r="G192" s="239">
        <v>-337690</v>
      </c>
      <c r="H192" s="239">
        <v>0</v>
      </c>
      <c r="I192" s="239">
        <v>-337690</v>
      </c>
      <c r="J192" s="239">
        <v>0</v>
      </c>
      <c r="K192" s="239">
        <v>0</v>
      </c>
      <c r="L192" s="239">
        <v>0</v>
      </c>
      <c r="M192" s="239">
        <v>409110</v>
      </c>
      <c r="N192" s="239">
        <v>0</v>
      </c>
      <c r="O192" s="239">
        <v>409110</v>
      </c>
      <c r="P192" s="239">
        <v>71420</v>
      </c>
      <c r="Q192" s="239">
        <v>0</v>
      </c>
      <c r="R192" s="239">
        <v>71420</v>
      </c>
      <c r="S192" s="239">
        <v>-1460706</v>
      </c>
      <c r="T192" s="239">
        <v>0</v>
      </c>
      <c r="U192" s="239">
        <v>-1460706</v>
      </c>
      <c r="V192" s="239">
        <v>-11413</v>
      </c>
      <c r="W192" s="239">
        <v>0</v>
      </c>
      <c r="X192" s="239">
        <v>-11413</v>
      </c>
      <c r="Y192" s="239">
        <v>-115500</v>
      </c>
      <c r="Z192" s="239">
        <v>0</v>
      </c>
      <c r="AA192" s="239">
        <v>-115500</v>
      </c>
      <c r="AB192" s="239">
        <v>-70956</v>
      </c>
      <c r="AC192" s="239">
        <v>0</v>
      </c>
      <c r="AD192" s="239">
        <v>-70956</v>
      </c>
      <c r="AE192" s="239">
        <v>-2907</v>
      </c>
      <c r="AF192" s="239">
        <v>0</v>
      </c>
      <c r="AG192" s="239">
        <v>-2907</v>
      </c>
      <c r="AH192" s="239">
        <v>1170090</v>
      </c>
      <c r="AI192" s="239">
        <v>0</v>
      </c>
      <c r="AJ192" s="239">
        <v>1170090</v>
      </c>
      <c r="AK192" s="239">
        <v>-37044</v>
      </c>
      <c r="AL192" s="239">
        <v>0</v>
      </c>
      <c r="AM192" s="239">
        <v>-37044</v>
      </c>
      <c r="AN192" s="239">
        <v>-850182</v>
      </c>
      <c r="AO192" s="239">
        <v>0</v>
      </c>
      <c r="AP192" s="239">
        <v>-850182</v>
      </c>
      <c r="AQ192" s="239">
        <v>-367</v>
      </c>
      <c r="AR192" s="239">
        <v>0</v>
      </c>
      <c r="AS192" s="239">
        <v>-367</v>
      </c>
      <c r="AT192" s="239">
        <v>-27325</v>
      </c>
      <c r="AU192" s="239">
        <v>0</v>
      </c>
      <c r="AV192" s="239">
        <v>-27325</v>
      </c>
      <c r="AW192" s="239">
        <v>0</v>
      </c>
      <c r="AX192" s="239">
        <v>0</v>
      </c>
      <c r="AY192" s="239">
        <v>0</v>
      </c>
      <c r="AZ192" s="239">
        <v>-15763</v>
      </c>
      <c r="BA192" s="239">
        <v>0</v>
      </c>
      <c r="BB192" s="239">
        <v>-15763</v>
      </c>
      <c r="BC192" s="239">
        <v>0</v>
      </c>
      <c r="BD192" s="239">
        <v>0</v>
      </c>
      <c r="BE192" s="239">
        <v>0</v>
      </c>
      <c r="BF192" s="239">
        <v>-1336797</v>
      </c>
      <c r="BG192" s="239">
        <v>0</v>
      </c>
      <c r="BH192" s="239">
        <v>-1336797</v>
      </c>
      <c r="BI192" s="239">
        <v>0</v>
      </c>
      <c r="BJ192" s="239">
        <v>0</v>
      </c>
      <c r="BK192" s="239">
        <v>0</v>
      </c>
      <c r="BL192" s="239">
        <v>-16840</v>
      </c>
      <c r="BM192" s="239">
        <v>0</v>
      </c>
      <c r="BN192" s="239">
        <v>-16840</v>
      </c>
      <c r="BO192" s="239">
        <v>-1171618</v>
      </c>
      <c r="BP192" s="239">
        <v>0</v>
      </c>
      <c r="BQ192" s="239">
        <v>-1171618</v>
      </c>
      <c r="BR192" s="239">
        <v>181965</v>
      </c>
      <c r="BS192" s="239">
        <v>0</v>
      </c>
      <c r="BT192" s="239">
        <v>181965</v>
      </c>
      <c r="BU192" s="239">
        <v>-1006493</v>
      </c>
      <c r="BV192" s="239">
        <v>0</v>
      </c>
      <c r="BW192" s="239">
        <v>-1006493</v>
      </c>
      <c r="BX192" s="239">
        <v>-29371</v>
      </c>
      <c r="BY192" s="239">
        <v>0</v>
      </c>
      <c r="BZ192" s="239">
        <v>-29371</v>
      </c>
      <c r="CA192" s="239">
        <v>149</v>
      </c>
      <c r="CB192" s="239">
        <v>0</v>
      </c>
      <c r="CC192" s="239">
        <v>149</v>
      </c>
      <c r="CD192" s="239">
        <v>-4440</v>
      </c>
      <c r="CE192" s="239">
        <v>0</v>
      </c>
      <c r="CF192" s="239">
        <v>-4440</v>
      </c>
      <c r="CG192" s="239">
        <v>0</v>
      </c>
      <c r="CH192" s="239">
        <v>0</v>
      </c>
      <c r="CI192" s="239">
        <v>0</v>
      </c>
      <c r="CJ192" s="239">
        <v>-2097</v>
      </c>
      <c r="CK192" s="239">
        <v>0</v>
      </c>
      <c r="CL192" s="239">
        <v>-2097</v>
      </c>
      <c r="CM192" s="239">
        <v>0</v>
      </c>
      <c r="CN192" s="239">
        <v>0</v>
      </c>
      <c r="CO192" s="239">
        <v>0</v>
      </c>
      <c r="CP192" s="239">
        <v>0</v>
      </c>
      <c r="CQ192" s="239">
        <v>0</v>
      </c>
      <c r="CR192" s="239">
        <v>0</v>
      </c>
      <c r="CS192" s="239">
        <v>0</v>
      </c>
      <c r="CT192" s="239">
        <v>0</v>
      </c>
      <c r="CU192" s="239">
        <v>0</v>
      </c>
      <c r="CV192" s="239">
        <v>-4820</v>
      </c>
      <c r="CW192" s="239">
        <v>0</v>
      </c>
      <c r="CX192" s="239">
        <v>-4820</v>
      </c>
      <c r="CY192" s="239">
        <v>0</v>
      </c>
      <c r="CZ192" s="239">
        <v>0</v>
      </c>
      <c r="DA192" s="239">
        <v>0</v>
      </c>
      <c r="DB192" s="239">
        <v>0</v>
      </c>
      <c r="DC192" s="239">
        <v>0</v>
      </c>
      <c r="DD192" s="239">
        <v>0</v>
      </c>
      <c r="DE192" s="239">
        <v>0</v>
      </c>
      <c r="DF192" s="239">
        <v>0</v>
      </c>
      <c r="DG192" s="239">
        <v>0</v>
      </c>
      <c r="DH192" s="239">
        <v>0</v>
      </c>
      <c r="DI192" s="239">
        <v>0</v>
      </c>
      <c r="DJ192" s="239">
        <v>-40579</v>
      </c>
      <c r="DK192" s="239">
        <v>0</v>
      </c>
      <c r="DL192" s="239">
        <v>-40579</v>
      </c>
      <c r="DM192" s="239">
        <v>0</v>
      </c>
      <c r="DN192" s="239">
        <v>0</v>
      </c>
      <c r="DO192" s="239">
        <v>0</v>
      </c>
      <c r="DP192" s="239">
        <v>0</v>
      </c>
      <c r="DQ192" s="239">
        <v>0</v>
      </c>
      <c r="DR192" s="239">
        <v>0</v>
      </c>
      <c r="DS192" s="239">
        <v>0</v>
      </c>
      <c r="DT192" s="239">
        <v>0</v>
      </c>
      <c r="DU192" s="239">
        <v>0</v>
      </c>
      <c r="DV192" s="239">
        <v>0</v>
      </c>
      <c r="DW192" s="239">
        <v>0</v>
      </c>
      <c r="DX192" s="239">
        <v>0</v>
      </c>
      <c r="DY192" s="239">
        <v>0</v>
      </c>
      <c r="DZ192" s="239">
        <v>0</v>
      </c>
      <c r="EA192" s="239">
        <v>0</v>
      </c>
      <c r="EB192" s="239">
        <v>9163</v>
      </c>
      <c r="EC192" s="239">
        <v>0</v>
      </c>
      <c r="ED192" s="239">
        <v>9163</v>
      </c>
      <c r="EE192" s="239">
        <v>0</v>
      </c>
      <c r="EF192" s="239">
        <v>0</v>
      </c>
      <c r="EG192" s="239">
        <v>0</v>
      </c>
      <c r="EH192" s="239">
        <v>0</v>
      </c>
      <c r="EI192" s="239">
        <v>0</v>
      </c>
      <c r="EJ192" s="239">
        <v>0</v>
      </c>
      <c r="EK192" s="239">
        <v>-1372</v>
      </c>
      <c r="EL192" s="239">
        <v>0</v>
      </c>
      <c r="EM192" s="239">
        <v>-1372</v>
      </c>
      <c r="EN192" s="239">
        <v>-656</v>
      </c>
      <c r="EO192" s="239">
        <v>0</v>
      </c>
      <c r="EP192" s="239">
        <v>-656</v>
      </c>
      <c r="EQ192" s="239">
        <v>7135</v>
      </c>
      <c r="ER192" s="239">
        <v>0</v>
      </c>
      <c r="ES192" s="239">
        <v>7135</v>
      </c>
      <c r="ET192" s="239">
        <v>0</v>
      </c>
      <c r="EU192" s="239">
        <v>0</v>
      </c>
      <c r="EV192" s="239">
        <v>0</v>
      </c>
      <c r="EW192" s="239">
        <v>0</v>
      </c>
      <c r="EX192" s="239">
        <v>0</v>
      </c>
      <c r="EY192" s="239">
        <v>0</v>
      </c>
      <c r="EZ192" s="239">
        <v>0</v>
      </c>
      <c r="FA192" s="239">
        <v>0</v>
      </c>
      <c r="FB192" s="239">
        <v>0</v>
      </c>
      <c r="FC192" s="239">
        <v>46000326</v>
      </c>
      <c r="FD192" s="239">
        <v>0</v>
      </c>
      <c r="FE192" s="239">
        <v>46000326</v>
      </c>
      <c r="FF192" s="239">
        <v>71420</v>
      </c>
      <c r="FG192" s="239">
        <v>0</v>
      </c>
      <c r="FH192" s="239">
        <v>71420</v>
      </c>
      <c r="FI192" s="239">
        <v>-1336797</v>
      </c>
      <c r="FJ192" s="239">
        <v>0</v>
      </c>
      <c r="FK192" s="239">
        <v>-1336797</v>
      </c>
      <c r="FL192" s="239">
        <v>-1006493</v>
      </c>
      <c r="FM192" s="239">
        <v>0</v>
      </c>
      <c r="FN192" s="239">
        <v>-1006493</v>
      </c>
      <c r="FO192" s="239">
        <v>-40579</v>
      </c>
      <c r="FP192" s="239">
        <v>0</v>
      </c>
      <c r="FQ192" s="239">
        <v>-40579</v>
      </c>
      <c r="FR192" s="239">
        <v>7135</v>
      </c>
      <c r="FS192" s="239">
        <v>0</v>
      </c>
      <c r="FT192" s="239">
        <v>7135</v>
      </c>
      <c r="FU192" s="239">
        <v>0</v>
      </c>
      <c r="FV192" s="239">
        <v>0</v>
      </c>
      <c r="FW192" s="239">
        <v>0</v>
      </c>
      <c r="FX192" s="239">
        <v>-2305314</v>
      </c>
      <c r="FY192" s="239">
        <v>0</v>
      </c>
      <c r="FZ192" s="239">
        <v>-2305314</v>
      </c>
      <c r="GA192" s="239">
        <v>43695012</v>
      </c>
      <c r="GB192" s="239">
        <v>0</v>
      </c>
      <c r="GC192" s="239">
        <v>43695012</v>
      </c>
      <c r="GD192" s="214" t="s">
        <v>1190</v>
      </c>
    </row>
    <row r="193" spans="2:186" s="214" customFormat="1" x14ac:dyDescent="0.2">
      <c r="B193" s="609" t="s">
        <v>468</v>
      </c>
      <c r="C193" s="609" t="s">
        <v>467</v>
      </c>
      <c r="D193" s="239">
        <v>0</v>
      </c>
      <c r="E193" s="239">
        <v>0</v>
      </c>
      <c r="F193" s="239">
        <v>0</v>
      </c>
      <c r="G193" s="239">
        <v>12654</v>
      </c>
      <c r="H193" s="239">
        <v>0</v>
      </c>
      <c r="I193" s="239">
        <v>12654</v>
      </c>
      <c r="J193" s="239">
        <v>0</v>
      </c>
      <c r="K193" s="239">
        <v>0</v>
      </c>
      <c r="L193" s="239">
        <v>0</v>
      </c>
      <c r="M193" s="239">
        <v>50111</v>
      </c>
      <c r="N193" s="239">
        <v>0</v>
      </c>
      <c r="O193" s="239">
        <v>50111</v>
      </c>
      <c r="P193" s="239">
        <v>62765</v>
      </c>
      <c r="Q193" s="239">
        <v>0</v>
      </c>
      <c r="R193" s="239">
        <v>62765</v>
      </c>
      <c r="S193" s="239">
        <v>-2050166</v>
      </c>
      <c r="T193" s="239">
        <v>0</v>
      </c>
      <c r="U193" s="239">
        <v>-2050166</v>
      </c>
      <c r="V193" s="239">
        <v>-7850</v>
      </c>
      <c r="W193" s="239">
        <v>0</v>
      </c>
      <c r="X193" s="239">
        <v>-7850</v>
      </c>
      <c r="Y193" s="239">
        <v>-80939</v>
      </c>
      <c r="Z193" s="239">
        <v>0</v>
      </c>
      <c r="AA193" s="239">
        <v>-80939</v>
      </c>
      <c r="AB193" s="239">
        <v>-78827</v>
      </c>
      <c r="AC193" s="239">
        <v>0</v>
      </c>
      <c r="AD193" s="239">
        <v>-78827</v>
      </c>
      <c r="AE193" s="239">
        <v>-2112</v>
      </c>
      <c r="AF193" s="239">
        <v>0</v>
      </c>
      <c r="AG193" s="239">
        <v>-2112</v>
      </c>
      <c r="AH193" s="239">
        <v>1415391</v>
      </c>
      <c r="AI193" s="239">
        <v>0</v>
      </c>
      <c r="AJ193" s="239">
        <v>1415391</v>
      </c>
      <c r="AK193" s="239">
        <v>-6618</v>
      </c>
      <c r="AL193" s="239">
        <v>0</v>
      </c>
      <c r="AM193" s="239">
        <v>-6618</v>
      </c>
      <c r="AN193" s="239">
        <v>-1449412</v>
      </c>
      <c r="AO193" s="239">
        <v>0</v>
      </c>
      <c r="AP193" s="239">
        <v>-1449412</v>
      </c>
      <c r="AQ193" s="239">
        <v>-15558</v>
      </c>
      <c r="AR193" s="239">
        <v>0</v>
      </c>
      <c r="AS193" s="239">
        <v>-15558</v>
      </c>
      <c r="AT193" s="239">
        <v>-22305</v>
      </c>
      <c r="AU193" s="239">
        <v>0</v>
      </c>
      <c r="AV193" s="239">
        <v>-22305</v>
      </c>
      <c r="AW193" s="239">
        <v>0</v>
      </c>
      <c r="AX193" s="239">
        <v>0</v>
      </c>
      <c r="AY193" s="239">
        <v>0</v>
      </c>
      <c r="AZ193" s="239">
        <v>-12424</v>
      </c>
      <c r="BA193" s="239">
        <v>0</v>
      </c>
      <c r="BB193" s="239">
        <v>-12424</v>
      </c>
      <c r="BC193" s="239">
        <v>0</v>
      </c>
      <c r="BD193" s="239">
        <v>0</v>
      </c>
      <c r="BE193" s="239">
        <v>0</v>
      </c>
      <c r="BF193" s="239">
        <v>-2222031</v>
      </c>
      <c r="BG193" s="239">
        <v>0</v>
      </c>
      <c r="BH193" s="239">
        <v>-2222031</v>
      </c>
      <c r="BI193" s="239">
        <v>-282958</v>
      </c>
      <c r="BJ193" s="239">
        <v>0</v>
      </c>
      <c r="BK193" s="239">
        <v>-282958</v>
      </c>
      <c r="BL193" s="239">
        <v>-1886</v>
      </c>
      <c r="BM193" s="239">
        <v>0</v>
      </c>
      <c r="BN193" s="239">
        <v>-1886</v>
      </c>
      <c r="BO193" s="239">
        <v>-1091743</v>
      </c>
      <c r="BP193" s="239">
        <v>0</v>
      </c>
      <c r="BQ193" s="239">
        <v>-1091743</v>
      </c>
      <c r="BR193" s="239">
        <v>165180</v>
      </c>
      <c r="BS193" s="239">
        <v>0</v>
      </c>
      <c r="BT193" s="239">
        <v>165180</v>
      </c>
      <c r="BU193" s="239">
        <v>-1211407</v>
      </c>
      <c r="BV193" s="239">
        <v>0</v>
      </c>
      <c r="BW193" s="239">
        <v>-1211407</v>
      </c>
      <c r="BX193" s="239">
        <v>-58504</v>
      </c>
      <c r="BY193" s="239">
        <v>0</v>
      </c>
      <c r="BZ193" s="239">
        <v>-58504</v>
      </c>
      <c r="CA193" s="239">
        <v>-198</v>
      </c>
      <c r="CB193" s="239">
        <v>0</v>
      </c>
      <c r="CC193" s="239">
        <v>-198</v>
      </c>
      <c r="CD193" s="239">
        <v>-84312</v>
      </c>
      <c r="CE193" s="239">
        <v>0</v>
      </c>
      <c r="CF193" s="239">
        <v>-84312</v>
      </c>
      <c r="CG193" s="239">
        <v>-2288</v>
      </c>
      <c r="CH193" s="239">
        <v>0</v>
      </c>
      <c r="CI193" s="239">
        <v>-2288</v>
      </c>
      <c r="CJ193" s="239">
        <v>-1311</v>
      </c>
      <c r="CK193" s="239">
        <v>0</v>
      </c>
      <c r="CL193" s="239">
        <v>-1311</v>
      </c>
      <c r="CM193" s="239">
        <v>0</v>
      </c>
      <c r="CN193" s="239">
        <v>0</v>
      </c>
      <c r="CO193" s="239">
        <v>0</v>
      </c>
      <c r="CP193" s="239">
        <v>-12424</v>
      </c>
      <c r="CQ193" s="239">
        <v>0</v>
      </c>
      <c r="CR193" s="239">
        <v>-12424</v>
      </c>
      <c r="CS193" s="239">
        <v>0</v>
      </c>
      <c r="CT193" s="239">
        <v>0</v>
      </c>
      <c r="CU193" s="239">
        <v>0</v>
      </c>
      <c r="CV193" s="239">
        <v>-240</v>
      </c>
      <c r="CW193" s="239">
        <v>0</v>
      </c>
      <c r="CX193" s="239">
        <v>-240</v>
      </c>
      <c r="CY193" s="239">
        <v>0</v>
      </c>
      <c r="CZ193" s="239">
        <v>0</v>
      </c>
      <c r="DA193" s="239">
        <v>0</v>
      </c>
      <c r="DB193" s="239">
        <v>0</v>
      </c>
      <c r="DC193" s="239">
        <v>0</v>
      </c>
      <c r="DD193" s="239">
        <v>0</v>
      </c>
      <c r="DE193" s="239">
        <v>0</v>
      </c>
      <c r="DF193" s="239">
        <v>0</v>
      </c>
      <c r="DG193" s="239">
        <v>0</v>
      </c>
      <c r="DH193" s="239">
        <v>0</v>
      </c>
      <c r="DI193" s="239">
        <v>0</v>
      </c>
      <c r="DJ193" s="239">
        <v>-159277</v>
      </c>
      <c r="DK193" s="239">
        <v>0</v>
      </c>
      <c r="DL193" s="239">
        <v>-159277</v>
      </c>
      <c r="DM193" s="239">
        <v>-95724</v>
      </c>
      <c r="DN193" s="239">
        <v>0</v>
      </c>
      <c r="DO193" s="239">
        <v>-95724</v>
      </c>
      <c r="DP193" s="239">
        <v>362</v>
      </c>
      <c r="DQ193" s="239">
        <v>0</v>
      </c>
      <c r="DR193" s="239">
        <v>362</v>
      </c>
      <c r="DS193" s="239">
        <v>0</v>
      </c>
      <c r="DT193" s="239">
        <v>0</v>
      </c>
      <c r="DU193" s="239">
        <v>0</v>
      </c>
      <c r="DV193" s="239">
        <v>0</v>
      </c>
      <c r="DW193" s="239">
        <v>0</v>
      </c>
      <c r="DX193" s="239">
        <v>0</v>
      </c>
      <c r="DY193" s="239">
        <v>0</v>
      </c>
      <c r="DZ193" s="239">
        <v>0</v>
      </c>
      <c r="EA193" s="239">
        <v>0</v>
      </c>
      <c r="EB193" s="239">
        <v>-7958</v>
      </c>
      <c r="EC193" s="239">
        <v>0</v>
      </c>
      <c r="ED193" s="239">
        <v>-7958</v>
      </c>
      <c r="EE193" s="239">
        <v>0</v>
      </c>
      <c r="EF193" s="239">
        <v>0</v>
      </c>
      <c r="EG193" s="239">
        <v>0</v>
      </c>
      <c r="EH193" s="239">
        <v>0</v>
      </c>
      <c r="EI193" s="239">
        <v>0</v>
      </c>
      <c r="EJ193" s="239">
        <v>0</v>
      </c>
      <c r="EK193" s="239">
        <v>-4006</v>
      </c>
      <c r="EL193" s="239">
        <v>0</v>
      </c>
      <c r="EM193" s="239">
        <v>-4006</v>
      </c>
      <c r="EN193" s="239">
        <v>0</v>
      </c>
      <c r="EO193" s="239">
        <v>0</v>
      </c>
      <c r="EP193" s="239">
        <v>0</v>
      </c>
      <c r="EQ193" s="239">
        <v>-107326</v>
      </c>
      <c r="ER193" s="239">
        <v>0</v>
      </c>
      <c r="ES193" s="239">
        <v>-107326</v>
      </c>
      <c r="ET193" s="239">
        <v>0</v>
      </c>
      <c r="EU193" s="239">
        <v>0</v>
      </c>
      <c r="EV193" s="239">
        <v>0</v>
      </c>
      <c r="EW193" s="239">
        <v>0</v>
      </c>
      <c r="EX193" s="239">
        <v>0</v>
      </c>
      <c r="EY193" s="239">
        <v>0</v>
      </c>
      <c r="EZ193" s="239">
        <v>0</v>
      </c>
      <c r="FA193" s="239">
        <v>0</v>
      </c>
      <c r="FB193" s="239">
        <v>0</v>
      </c>
      <c r="FC193" s="239">
        <v>57925823</v>
      </c>
      <c r="FD193" s="239">
        <v>0</v>
      </c>
      <c r="FE193" s="239">
        <v>57925823</v>
      </c>
      <c r="FF193" s="239">
        <v>62765</v>
      </c>
      <c r="FG193" s="239">
        <v>0</v>
      </c>
      <c r="FH193" s="239">
        <v>62765</v>
      </c>
      <c r="FI193" s="239">
        <v>-2222031</v>
      </c>
      <c r="FJ193" s="239">
        <v>0</v>
      </c>
      <c r="FK193" s="239">
        <v>-2222031</v>
      </c>
      <c r="FL193" s="239">
        <v>-1211407</v>
      </c>
      <c r="FM193" s="239">
        <v>0</v>
      </c>
      <c r="FN193" s="239">
        <v>-1211407</v>
      </c>
      <c r="FO193" s="239">
        <v>-159277</v>
      </c>
      <c r="FP193" s="239">
        <v>0</v>
      </c>
      <c r="FQ193" s="239">
        <v>-159277</v>
      </c>
      <c r="FR193" s="239">
        <v>-107326</v>
      </c>
      <c r="FS193" s="239">
        <v>0</v>
      </c>
      <c r="FT193" s="239">
        <v>-107326</v>
      </c>
      <c r="FU193" s="239">
        <v>0</v>
      </c>
      <c r="FV193" s="239">
        <v>0</v>
      </c>
      <c r="FW193" s="239">
        <v>0</v>
      </c>
      <c r="FX193" s="239">
        <v>-3637276</v>
      </c>
      <c r="FY193" s="239">
        <v>0</v>
      </c>
      <c r="FZ193" s="239">
        <v>-3637276</v>
      </c>
      <c r="GA193" s="239">
        <v>54288547</v>
      </c>
      <c r="GB193" s="239">
        <v>0</v>
      </c>
      <c r="GC193" s="239">
        <v>54288547</v>
      </c>
      <c r="GD193" s="214" t="s">
        <v>1190</v>
      </c>
    </row>
    <row r="194" spans="2:186" s="214" customFormat="1" x14ac:dyDescent="0.2">
      <c r="B194" s="609" t="s">
        <v>470</v>
      </c>
      <c r="C194" s="609" t="s">
        <v>469</v>
      </c>
      <c r="D194" s="239">
        <v>0</v>
      </c>
      <c r="E194" s="239">
        <v>0</v>
      </c>
      <c r="F194" s="239">
        <v>0</v>
      </c>
      <c r="G194" s="239">
        <v>-215154</v>
      </c>
      <c r="H194" s="239">
        <v>0</v>
      </c>
      <c r="I194" s="239">
        <v>-215154</v>
      </c>
      <c r="J194" s="239">
        <v>0</v>
      </c>
      <c r="K194" s="239">
        <v>0</v>
      </c>
      <c r="L194" s="239">
        <v>0</v>
      </c>
      <c r="M194" s="239">
        <v>-254115</v>
      </c>
      <c r="N194" s="239">
        <v>-1900</v>
      </c>
      <c r="O194" s="239">
        <v>-256015</v>
      </c>
      <c r="P194" s="239">
        <v>-469269</v>
      </c>
      <c r="Q194" s="239">
        <v>-1900</v>
      </c>
      <c r="R194" s="239">
        <v>-471169</v>
      </c>
      <c r="S194" s="239">
        <v>-3680409</v>
      </c>
      <c r="T194" s="239">
        <v>-76615</v>
      </c>
      <c r="U194" s="239">
        <v>-3757024</v>
      </c>
      <c r="V194" s="239">
        <v>0</v>
      </c>
      <c r="W194" s="239">
        <v>0</v>
      </c>
      <c r="X194" s="239">
        <v>0</v>
      </c>
      <c r="Y194" s="239">
        <v>27031</v>
      </c>
      <c r="Z194" s="239">
        <v>-4589</v>
      </c>
      <c r="AA194" s="239">
        <v>22442</v>
      </c>
      <c r="AB194" s="239">
        <v>27031</v>
      </c>
      <c r="AC194" s="239">
        <v>-4589</v>
      </c>
      <c r="AD194" s="239">
        <v>22442</v>
      </c>
      <c r="AE194" s="239">
        <v>0</v>
      </c>
      <c r="AF194" s="239">
        <v>0</v>
      </c>
      <c r="AG194" s="239">
        <v>0</v>
      </c>
      <c r="AH194" s="239">
        <v>2742409</v>
      </c>
      <c r="AI194" s="239">
        <v>116958</v>
      </c>
      <c r="AJ194" s="239">
        <v>2859367</v>
      </c>
      <c r="AK194" s="239">
        <v>-60444</v>
      </c>
      <c r="AL194" s="239">
        <v>-2744</v>
      </c>
      <c r="AM194" s="239">
        <v>-63188</v>
      </c>
      <c r="AN194" s="239">
        <v>-7044525</v>
      </c>
      <c r="AO194" s="239">
        <v>-80912</v>
      </c>
      <c r="AP194" s="239">
        <v>-7125437</v>
      </c>
      <c r="AQ194" s="239">
        <v>48213</v>
      </c>
      <c r="AR194" s="239">
        <v>0</v>
      </c>
      <c r="AS194" s="239">
        <v>48213</v>
      </c>
      <c r="AT194" s="239">
        <v>-15904</v>
      </c>
      <c r="AU194" s="239">
        <v>0</v>
      </c>
      <c r="AV194" s="239">
        <v>-15904</v>
      </c>
      <c r="AW194" s="239">
        <v>0</v>
      </c>
      <c r="AX194" s="239">
        <v>0</v>
      </c>
      <c r="AY194" s="239">
        <v>0</v>
      </c>
      <c r="AZ194" s="239">
        <v>0</v>
      </c>
      <c r="BA194" s="239">
        <v>0</v>
      </c>
      <c r="BB194" s="239">
        <v>0</v>
      </c>
      <c r="BC194" s="239">
        <v>0</v>
      </c>
      <c r="BD194" s="239">
        <v>0</v>
      </c>
      <c r="BE194" s="239">
        <v>0</v>
      </c>
      <c r="BF194" s="239">
        <v>-7983629</v>
      </c>
      <c r="BG194" s="239">
        <v>-47902</v>
      </c>
      <c r="BH194" s="239">
        <v>-8031531</v>
      </c>
      <c r="BI194" s="239">
        <v>-213324</v>
      </c>
      <c r="BJ194" s="239">
        <v>0</v>
      </c>
      <c r="BK194" s="239">
        <v>-213324</v>
      </c>
      <c r="BL194" s="239">
        <v>-37347</v>
      </c>
      <c r="BM194" s="239">
        <v>6778</v>
      </c>
      <c r="BN194" s="239">
        <v>-30569</v>
      </c>
      <c r="BO194" s="239">
        <v>-3166047</v>
      </c>
      <c r="BP194" s="239">
        <v>-114434</v>
      </c>
      <c r="BQ194" s="239">
        <v>-3280481</v>
      </c>
      <c r="BR194" s="239">
        <v>508348</v>
      </c>
      <c r="BS194" s="239">
        <v>2879</v>
      </c>
      <c r="BT194" s="239">
        <v>511227</v>
      </c>
      <c r="BU194" s="239">
        <v>-2908370</v>
      </c>
      <c r="BV194" s="239">
        <v>-104777</v>
      </c>
      <c r="BW194" s="239">
        <v>-3013147</v>
      </c>
      <c r="BX194" s="239">
        <v>-233766</v>
      </c>
      <c r="BY194" s="239">
        <v>-3392</v>
      </c>
      <c r="BZ194" s="239">
        <v>-237158</v>
      </c>
      <c r="CA194" s="239">
        <v>-1966</v>
      </c>
      <c r="CB194" s="239">
        <v>0</v>
      </c>
      <c r="CC194" s="239">
        <v>-1966</v>
      </c>
      <c r="CD194" s="239">
        <v>-241592</v>
      </c>
      <c r="CE194" s="239">
        <v>0</v>
      </c>
      <c r="CF194" s="239">
        <v>-241592</v>
      </c>
      <c r="CG194" s="239">
        <v>0</v>
      </c>
      <c r="CH194" s="239">
        <v>0</v>
      </c>
      <c r="CI194" s="239">
        <v>0</v>
      </c>
      <c r="CJ194" s="239">
        <v>-2982</v>
      </c>
      <c r="CK194" s="239">
        <v>0</v>
      </c>
      <c r="CL194" s="239">
        <v>-2982</v>
      </c>
      <c r="CM194" s="239">
        <v>0</v>
      </c>
      <c r="CN194" s="239">
        <v>0</v>
      </c>
      <c r="CO194" s="239">
        <v>0</v>
      </c>
      <c r="CP194" s="239">
        <v>0</v>
      </c>
      <c r="CQ194" s="239">
        <v>0</v>
      </c>
      <c r="CR194" s="239">
        <v>0</v>
      </c>
      <c r="CS194" s="239">
        <v>0</v>
      </c>
      <c r="CT194" s="239">
        <v>0</v>
      </c>
      <c r="CU194" s="239">
        <v>0</v>
      </c>
      <c r="CV194" s="239">
        <v>0</v>
      </c>
      <c r="CW194" s="239">
        <v>0</v>
      </c>
      <c r="CX194" s="239">
        <v>0</v>
      </c>
      <c r="CY194" s="239">
        <v>0</v>
      </c>
      <c r="CZ194" s="239">
        <v>0</v>
      </c>
      <c r="DA194" s="239">
        <v>0</v>
      </c>
      <c r="DB194" s="239">
        <v>0</v>
      </c>
      <c r="DC194" s="239">
        <v>-2036907</v>
      </c>
      <c r="DD194" s="239">
        <v>-2036907</v>
      </c>
      <c r="DE194" s="239">
        <v>0</v>
      </c>
      <c r="DF194" s="239">
        <v>59377</v>
      </c>
      <c r="DG194" s="239">
        <v>59377</v>
      </c>
      <c r="DH194" s="239">
        <v>-1977530</v>
      </c>
      <c r="DI194" s="239">
        <v>0</v>
      </c>
      <c r="DJ194" s="239">
        <v>-480306</v>
      </c>
      <c r="DK194" s="239">
        <v>-1980922</v>
      </c>
      <c r="DL194" s="239">
        <v>-2461228</v>
      </c>
      <c r="DM194" s="239">
        <v>0</v>
      </c>
      <c r="DN194" s="239">
        <v>0</v>
      </c>
      <c r="DO194" s="239">
        <v>0</v>
      </c>
      <c r="DP194" s="239">
        <v>0</v>
      </c>
      <c r="DQ194" s="239">
        <v>0</v>
      </c>
      <c r="DR194" s="239">
        <v>0</v>
      </c>
      <c r="DS194" s="239">
        <v>-141121</v>
      </c>
      <c r="DT194" s="239">
        <v>0</v>
      </c>
      <c r="DU194" s="239">
        <v>-141121</v>
      </c>
      <c r="DV194" s="239">
        <v>-97436</v>
      </c>
      <c r="DW194" s="239">
        <v>5586</v>
      </c>
      <c r="DX194" s="239">
        <v>-91850</v>
      </c>
      <c r="DY194" s="239">
        <v>0</v>
      </c>
      <c r="DZ194" s="239">
        <v>0</v>
      </c>
      <c r="EA194" s="239">
        <v>0</v>
      </c>
      <c r="EB194" s="239">
        <v>17279</v>
      </c>
      <c r="EC194" s="239">
        <v>193</v>
      </c>
      <c r="ED194" s="239">
        <v>17472</v>
      </c>
      <c r="EE194" s="239">
        <v>0</v>
      </c>
      <c r="EF194" s="239">
        <v>0</v>
      </c>
      <c r="EG194" s="239">
        <v>0</v>
      </c>
      <c r="EH194" s="239">
        <v>0</v>
      </c>
      <c r="EI194" s="239">
        <v>0</v>
      </c>
      <c r="EJ194" s="239">
        <v>0</v>
      </c>
      <c r="EK194" s="239">
        <v>0</v>
      </c>
      <c r="EL194" s="239">
        <v>0</v>
      </c>
      <c r="EM194" s="239">
        <v>0</v>
      </c>
      <c r="EN194" s="239">
        <v>0</v>
      </c>
      <c r="EO194" s="239">
        <v>0</v>
      </c>
      <c r="EP194" s="239">
        <v>0</v>
      </c>
      <c r="EQ194" s="239">
        <v>-221278</v>
      </c>
      <c r="ER194" s="239">
        <v>5779</v>
      </c>
      <c r="ES194" s="239">
        <v>-215499</v>
      </c>
      <c r="ET194" s="239">
        <v>0</v>
      </c>
      <c r="EU194" s="239">
        <v>0</v>
      </c>
      <c r="EV194" s="239">
        <v>0</v>
      </c>
      <c r="EW194" s="239">
        <v>0</v>
      </c>
      <c r="EX194" s="239">
        <v>0</v>
      </c>
      <c r="EY194" s="239">
        <v>0</v>
      </c>
      <c r="EZ194" s="239">
        <v>0</v>
      </c>
      <c r="FA194" s="239">
        <v>0</v>
      </c>
      <c r="FB194" s="239">
        <v>0</v>
      </c>
      <c r="FC194" s="239">
        <v>111117322</v>
      </c>
      <c r="FD194" s="239">
        <v>6660505</v>
      </c>
      <c r="FE194" s="239">
        <v>117777827</v>
      </c>
      <c r="FF194" s="239">
        <v>-469269</v>
      </c>
      <c r="FG194" s="239">
        <v>-1900</v>
      </c>
      <c r="FH194" s="239">
        <v>-471169</v>
      </c>
      <c r="FI194" s="239">
        <v>-7983629</v>
      </c>
      <c r="FJ194" s="239">
        <v>-47902</v>
      </c>
      <c r="FK194" s="239">
        <v>-8031531</v>
      </c>
      <c r="FL194" s="239">
        <v>-2908370</v>
      </c>
      <c r="FM194" s="239">
        <v>-104777</v>
      </c>
      <c r="FN194" s="239">
        <v>-3013147</v>
      </c>
      <c r="FO194" s="239">
        <v>-480306</v>
      </c>
      <c r="FP194" s="239">
        <v>-1980922</v>
      </c>
      <c r="FQ194" s="239">
        <v>-2461228</v>
      </c>
      <c r="FR194" s="239">
        <v>-221278</v>
      </c>
      <c r="FS194" s="239">
        <v>5779</v>
      </c>
      <c r="FT194" s="239">
        <v>-215499</v>
      </c>
      <c r="FU194" s="239">
        <v>0</v>
      </c>
      <c r="FV194" s="239">
        <v>0</v>
      </c>
      <c r="FW194" s="239">
        <v>0</v>
      </c>
      <c r="FX194" s="239">
        <v>-12062852</v>
      </c>
      <c r="FY194" s="239">
        <v>-2129722</v>
      </c>
      <c r="FZ194" s="239">
        <v>-14192574</v>
      </c>
      <c r="GA194" s="239">
        <v>99054470</v>
      </c>
      <c r="GB194" s="239">
        <v>4530783</v>
      </c>
      <c r="GC194" s="239">
        <v>103585253</v>
      </c>
      <c r="GD194" s="214" t="s">
        <v>1190</v>
      </c>
    </row>
    <row r="195" spans="2:186" s="214" customFormat="1" x14ac:dyDescent="0.2">
      <c r="B195" s="609" t="s">
        <v>472</v>
      </c>
      <c r="C195" s="609" t="s">
        <v>471</v>
      </c>
      <c r="D195" s="239">
        <v>0</v>
      </c>
      <c r="E195" s="239">
        <v>0</v>
      </c>
      <c r="F195" s="239">
        <v>0</v>
      </c>
      <c r="G195" s="239">
        <v>40337</v>
      </c>
      <c r="H195" s="239">
        <v>0</v>
      </c>
      <c r="I195" s="239">
        <v>40337</v>
      </c>
      <c r="J195" s="239">
        <v>0</v>
      </c>
      <c r="K195" s="239">
        <v>0</v>
      </c>
      <c r="L195" s="239">
        <v>0</v>
      </c>
      <c r="M195" s="239">
        <v>32324</v>
      </c>
      <c r="N195" s="239">
        <v>0</v>
      </c>
      <c r="O195" s="239">
        <v>32324</v>
      </c>
      <c r="P195" s="239">
        <v>72661</v>
      </c>
      <c r="Q195" s="239">
        <v>0</v>
      </c>
      <c r="R195" s="239">
        <v>72661</v>
      </c>
      <c r="S195" s="239">
        <v>-8492487</v>
      </c>
      <c r="T195" s="239">
        <v>0</v>
      </c>
      <c r="U195" s="239">
        <v>-8492487</v>
      </c>
      <c r="V195" s="239">
        <v>-51766</v>
      </c>
      <c r="W195" s="239">
        <v>0</v>
      </c>
      <c r="X195" s="239">
        <v>-51766</v>
      </c>
      <c r="Y195" s="239">
        <v>-519591</v>
      </c>
      <c r="Z195" s="239">
        <v>0</v>
      </c>
      <c r="AA195" s="239">
        <v>-519591</v>
      </c>
      <c r="AB195" s="239">
        <v>-378962</v>
      </c>
      <c r="AC195" s="239">
        <v>0</v>
      </c>
      <c r="AD195" s="239">
        <v>-378962</v>
      </c>
      <c r="AE195" s="239">
        <v>-7836</v>
      </c>
      <c r="AF195" s="239">
        <v>0</v>
      </c>
      <c r="AG195" s="239">
        <v>-7836</v>
      </c>
      <c r="AH195" s="239">
        <v>2075209</v>
      </c>
      <c r="AI195" s="239">
        <v>4139</v>
      </c>
      <c r="AJ195" s="239">
        <v>2079348</v>
      </c>
      <c r="AK195" s="239">
        <v>27492</v>
      </c>
      <c r="AL195" s="239">
        <v>48</v>
      </c>
      <c r="AM195" s="239">
        <v>27540</v>
      </c>
      <c r="AN195" s="239">
        <v>-6545461</v>
      </c>
      <c r="AO195" s="239">
        <v>0</v>
      </c>
      <c r="AP195" s="239">
        <v>-6545461</v>
      </c>
      <c r="AQ195" s="239">
        <v>-84193</v>
      </c>
      <c r="AR195" s="239">
        <v>0</v>
      </c>
      <c r="AS195" s="239">
        <v>-84193</v>
      </c>
      <c r="AT195" s="239">
        <v>-167873</v>
      </c>
      <c r="AU195" s="239">
        <v>0</v>
      </c>
      <c r="AV195" s="239">
        <v>-167873</v>
      </c>
      <c r="AW195" s="239">
        <v>-1098</v>
      </c>
      <c r="AX195" s="239">
        <v>0</v>
      </c>
      <c r="AY195" s="239">
        <v>-1098</v>
      </c>
      <c r="AZ195" s="239">
        <v>-89473</v>
      </c>
      <c r="BA195" s="239">
        <v>0</v>
      </c>
      <c r="BB195" s="239">
        <v>-89473</v>
      </c>
      <c r="BC195" s="239">
        <v>-580</v>
      </c>
      <c r="BD195" s="239">
        <v>0</v>
      </c>
      <c r="BE195" s="239">
        <v>-580</v>
      </c>
      <c r="BF195" s="239">
        <v>-13798055</v>
      </c>
      <c r="BG195" s="239">
        <v>4187</v>
      </c>
      <c r="BH195" s="239">
        <v>-13793868</v>
      </c>
      <c r="BI195" s="239">
        <v>0</v>
      </c>
      <c r="BJ195" s="239">
        <v>0</v>
      </c>
      <c r="BK195" s="239">
        <v>0</v>
      </c>
      <c r="BL195" s="239">
        <v>-38</v>
      </c>
      <c r="BM195" s="239">
        <v>0</v>
      </c>
      <c r="BN195" s="239">
        <v>-38</v>
      </c>
      <c r="BO195" s="239">
        <v>-2483891</v>
      </c>
      <c r="BP195" s="239">
        <v>-8672</v>
      </c>
      <c r="BQ195" s="239">
        <v>-2492563</v>
      </c>
      <c r="BR195" s="239">
        <v>-91657</v>
      </c>
      <c r="BS195" s="239">
        <v>-551</v>
      </c>
      <c r="BT195" s="239">
        <v>-92208</v>
      </c>
      <c r="BU195" s="239">
        <v>-2575586</v>
      </c>
      <c r="BV195" s="239">
        <v>-9223</v>
      </c>
      <c r="BW195" s="239">
        <v>-2584809</v>
      </c>
      <c r="BX195" s="239">
        <v>-697370</v>
      </c>
      <c r="BY195" s="239">
        <v>0</v>
      </c>
      <c r="BZ195" s="239">
        <v>-697370</v>
      </c>
      <c r="CA195" s="239">
        <v>-33129</v>
      </c>
      <c r="CB195" s="239">
        <v>0</v>
      </c>
      <c r="CC195" s="239">
        <v>-33129</v>
      </c>
      <c r="CD195" s="239">
        <v>-451075</v>
      </c>
      <c r="CE195" s="239">
        <v>0</v>
      </c>
      <c r="CF195" s="239">
        <v>-451075</v>
      </c>
      <c r="CG195" s="239">
        <v>-6674</v>
      </c>
      <c r="CH195" s="239">
        <v>0</v>
      </c>
      <c r="CI195" s="239">
        <v>-6674</v>
      </c>
      <c r="CJ195" s="239">
        <v>-17351</v>
      </c>
      <c r="CK195" s="239">
        <v>0</v>
      </c>
      <c r="CL195" s="239">
        <v>-17351</v>
      </c>
      <c r="CM195" s="239">
        <v>-1771</v>
      </c>
      <c r="CN195" s="239">
        <v>0</v>
      </c>
      <c r="CO195" s="239">
        <v>-1771</v>
      </c>
      <c r="CP195" s="239">
        <v>-18714</v>
      </c>
      <c r="CQ195" s="239">
        <v>0</v>
      </c>
      <c r="CR195" s="239">
        <v>-18714</v>
      </c>
      <c r="CS195" s="239">
        <v>-4357</v>
      </c>
      <c r="CT195" s="239">
        <v>0</v>
      </c>
      <c r="CU195" s="239">
        <v>-4357</v>
      </c>
      <c r="CV195" s="239">
        <v>-28991</v>
      </c>
      <c r="CW195" s="239">
        <v>0</v>
      </c>
      <c r="CX195" s="239">
        <v>-28991</v>
      </c>
      <c r="CY195" s="239">
        <v>-1111</v>
      </c>
      <c r="CZ195" s="239">
        <v>0</v>
      </c>
      <c r="DA195" s="239">
        <v>-1111</v>
      </c>
      <c r="DB195" s="239">
        <v>0</v>
      </c>
      <c r="DC195" s="239">
        <v>-141297</v>
      </c>
      <c r="DD195" s="239">
        <v>-141297</v>
      </c>
      <c r="DE195" s="239">
        <v>-481</v>
      </c>
      <c r="DF195" s="239">
        <v>453</v>
      </c>
      <c r="DG195" s="239">
        <v>-28</v>
      </c>
      <c r="DH195" s="239">
        <v>-140844</v>
      </c>
      <c r="DI195" s="239">
        <v>0</v>
      </c>
      <c r="DJ195" s="239">
        <v>-1261024</v>
      </c>
      <c r="DK195" s="239">
        <v>-140844</v>
      </c>
      <c r="DL195" s="239">
        <v>-1401868</v>
      </c>
      <c r="DM195" s="239">
        <v>0</v>
      </c>
      <c r="DN195" s="239">
        <v>0</v>
      </c>
      <c r="DO195" s="239">
        <v>0</v>
      </c>
      <c r="DP195" s="239">
        <v>1046</v>
      </c>
      <c r="DQ195" s="239">
        <v>0</v>
      </c>
      <c r="DR195" s="239">
        <v>1046</v>
      </c>
      <c r="DS195" s="239">
        <v>-36954</v>
      </c>
      <c r="DT195" s="239">
        <v>0</v>
      </c>
      <c r="DU195" s="239">
        <v>-36954</v>
      </c>
      <c r="DV195" s="239">
        <v>-11295</v>
      </c>
      <c r="DW195" s="239">
        <v>0</v>
      </c>
      <c r="DX195" s="239">
        <v>-11295</v>
      </c>
      <c r="DY195" s="239">
        <v>0</v>
      </c>
      <c r="DZ195" s="239">
        <v>0</v>
      </c>
      <c r="EA195" s="239">
        <v>0</v>
      </c>
      <c r="EB195" s="239">
        <v>10479</v>
      </c>
      <c r="EC195" s="239">
        <v>0</v>
      </c>
      <c r="ED195" s="239">
        <v>10479</v>
      </c>
      <c r="EE195" s="239">
        <v>-27264</v>
      </c>
      <c r="EF195" s="239">
        <v>0</v>
      </c>
      <c r="EG195" s="239">
        <v>-27264</v>
      </c>
      <c r="EH195" s="239">
        <v>-10555</v>
      </c>
      <c r="EI195" s="239">
        <v>0</v>
      </c>
      <c r="EJ195" s="239">
        <v>-10555</v>
      </c>
      <c r="EK195" s="239">
        <v>-3884</v>
      </c>
      <c r="EL195" s="239">
        <v>0</v>
      </c>
      <c r="EM195" s="239">
        <v>-3884</v>
      </c>
      <c r="EN195" s="239">
        <v>295</v>
      </c>
      <c r="EO195" s="239">
        <v>0</v>
      </c>
      <c r="EP195" s="239">
        <v>295</v>
      </c>
      <c r="EQ195" s="239">
        <v>-78132</v>
      </c>
      <c r="ER195" s="239">
        <v>0</v>
      </c>
      <c r="ES195" s="239">
        <v>-78132</v>
      </c>
      <c r="ET195" s="239">
        <v>0</v>
      </c>
      <c r="EU195" s="239">
        <v>0</v>
      </c>
      <c r="EV195" s="239">
        <v>0</v>
      </c>
      <c r="EW195" s="239">
        <v>19347</v>
      </c>
      <c r="EX195" s="239">
        <v>0</v>
      </c>
      <c r="EY195" s="239">
        <v>19347</v>
      </c>
      <c r="EZ195" s="239">
        <v>19347</v>
      </c>
      <c r="FA195" s="239">
        <v>0</v>
      </c>
      <c r="FB195" s="239">
        <v>19347</v>
      </c>
      <c r="FC195" s="239">
        <v>96735611</v>
      </c>
      <c r="FD195" s="239">
        <v>187563</v>
      </c>
      <c r="FE195" s="239">
        <v>96923174</v>
      </c>
      <c r="FF195" s="239">
        <v>72661</v>
      </c>
      <c r="FG195" s="239">
        <v>0</v>
      </c>
      <c r="FH195" s="239">
        <v>72661</v>
      </c>
      <c r="FI195" s="239">
        <v>-13798055</v>
      </c>
      <c r="FJ195" s="239">
        <v>4187</v>
      </c>
      <c r="FK195" s="239">
        <v>-13793868</v>
      </c>
      <c r="FL195" s="239">
        <v>-2575586</v>
      </c>
      <c r="FM195" s="239">
        <v>-9223</v>
      </c>
      <c r="FN195" s="239">
        <v>-2584809</v>
      </c>
      <c r="FO195" s="239">
        <v>-1261024</v>
      </c>
      <c r="FP195" s="239">
        <v>-140844</v>
      </c>
      <c r="FQ195" s="239">
        <v>-1401868</v>
      </c>
      <c r="FR195" s="239">
        <v>-78132</v>
      </c>
      <c r="FS195" s="239">
        <v>0</v>
      </c>
      <c r="FT195" s="239">
        <v>-78132</v>
      </c>
      <c r="FU195" s="239">
        <v>19347</v>
      </c>
      <c r="FV195" s="239">
        <v>0</v>
      </c>
      <c r="FW195" s="239">
        <v>19347</v>
      </c>
      <c r="FX195" s="239">
        <v>-17620789</v>
      </c>
      <c r="FY195" s="239">
        <v>-145880</v>
      </c>
      <c r="FZ195" s="239">
        <v>-17766669</v>
      </c>
      <c r="GA195" s="239">
        <v>79114822</v>
      </c>
      <c r="GB195" s="239">
        <v>41683</v>
      </c>
      <c r="GC195" s="239">
        <v>79156505</v>
      </c>
      <c r="GD195" s="214" t="s">
        <v>747</v>
      </c>
    </row>
    <row r="196" spans="2:186" s="214" customFormat="1" x14ac:dyDescent="0.2">
      <c r="B196" s="609" t="s">
        <v>474</v>
      </c>
      <c r="C196" s="609" t="s">
        <v>473</v>
      </c>
      <c r="D196" s="239">
        <v>0</v>
      </c>
      <c r="E196" s="239">
        <v>0</v>
      </c>
      <c r="F196" s="239">
        <v>0</v>
      </c>
      <c r="G196" s="239">
        <v>30176</v>
      </c>
      <c r="H196" s="239">
        <v>0</v>
      </c>
      <c r="I196" s="239">
        <v>30176</v>
      </c>
      <c r="J196" s="239">
        <v>0</v>
      </c>
      <c r="K196" s="239">
        <v>0</v>
      </c>
      <c r="L196" s="239">
        <v>0</v>
      </c>
      <c r="M196" s="239">
        <v>119471</v>
      </c>
      <c r="N196" s="239">
        <v>0</v>
      </c>
      <c r="O196" s="239">
        <v>119471</v>
      </c>
      <c r="P196" s="239">
        <v>149647</v>
      </c>
      <c r="Q196" s="239">
        <v>0</v>
      </c>
      <c r="R196" s="239">
        <v>149647</v>
      </c>
      <c r="S196" s="239">
        <v>-3573189</v>
      </c>
      <c r="T196" s="239">
        <v>0</v>
      </c>
      <c r="U196" s="239">
        <v>-3573189</v>
      </c>
      <c r="V196" s="239">
        <v>-12371</v>
      </c>
      <c r="W196" s="239">
        <v>0</v>
      </c>
      <c r="X196" s="239">
        <v>-12371</v>
      </c>
      <c r="Y196" s="239">
        <v>-201711</v>
      </c>
      <c r="Z196" s="239">
        <v>0</v>
      </c>
      <c r="AA196" s="239">
        <v>-201711</v>
      </c>
      <c r="AB196" s="239">
        <v>-141932</v>
      </c>
      <c r="AC196" s="239">
        <v>0</v>
      </c>
      <c r="AD196" s="239">
        <v>-141932</v>
      </c>
      <c r="AE196" s="239">
        <v>2608</v>
      </c>
      <c r="AF196" s="239">
        <v>0</v>
      </c>
      <c r="AG196" s="239">
        <v>2608</v>
      </c>
      <c r="AH196" s="239">
        <v>2220459</v>
      </c>
      <c r="AI196" s="239">
        <v>0</v>
      </c>
      <c r="AJ196" s="239">
        <v>2220459</v>
      </c>
      <c r="AK196" s="239">
        <v>29913</v>
      </c>
      <c r="AL196" s="239">
        <v>0</v>
      </c>
      <c r="AM196" s="239">
        <v>29913</v>
      </c>
      <c r="AN196" s="239">
        <v>-5847834</v>
      </c>
      <c r="AO196" s="239">
        <v>0</v>
      </c>
      <c r="AP196" s="239">
        <v>-5847834</v>
      </c>
      <c r="AQ196" s="239">
        <v>-82802</v>
      </c>
      <c r="AR196" s="239">
        <v>0</v>
      </c>
      <c r="AS196" s="239">
        <v>-82802</v>
      </c>
      <c r="AT196" s="239">
        <v>-24830</v>
      </c>
      <c r="AU196" s="239">
        <v>0</v>
      </c>
      <c r="AV196" s="239">
        <v>-24830</v>
      </c>
      <c r="AW196" s="239">
        <v>0</v>
      </c>
      <c r="AX196" s="239">
        <v>0</v>
      </c>
      <c r="AY196" s="239">
        <v>0</v>
      </c>
      <c r="AZ196" s="239">
        <v>0</v>
      </c>
      <c r="BA196" s="239">
        <v>0</v>
      </c>
      <c r="BB196" s="239">
        <v>0</v>
      </c>
      <c r="BC196" s="239">
        <v>0</v>
      </c>
      <c r="BD196" s="239">
        <v>0</v>
      </c>
      <c r="BE196" s="239">
        <v>0</v>
      </c>
      <c r="BF196" s="239">
        <v>-7479994</v>
      </c>
      <c r="BG196" s="239">
        <v>0</v>
      </c>
      <c r="BH196" s="239">
        <v>-7479994</v>
      </c>
      <c r="BI196" s="239">
        <v>-30854</v>
      </c>
      <c r="BJ196" s="239">
        <v>0</v>
      </c>
      <c r="BK196" s="239">
        <v>-30854</v>
      </c>
      <c r="BL196" s="239">
        <v>268</v>
      </c>
      <c r="BM196" s="239">
        <v>0</v>
      </c>
      <c r="BN196" s="239">
        <v>268</v>
      </c>
      <c r="BO196" s="239">
        <v>-3861010</v>
      </c>
      <c r="BP196" s="239">
        <v>0</v>
      </c>
      <c r="BQ196" s="239">
        <v>-3861010</v>
      </c>
      <c r="BR196" s="239">
        <v>56750</v>
      </c>
      <c r="BS196" s="239">
        <v>0</v>
      </c>
      <c r="BT196" s="239">
        <v>56750</v>
      </c>
      <c r="BU196" s="239">
        <v>-3834846</v>
      </c>
      <c r="BV196" s="239">
        <v>0</v>
      </c>
      <c r="BW196" s="239">
        <v>-3834846</v>
      </c>
      <c r="BX196" s="239">
        <v>-102371</v>
      </c>
      <c r="BY196" s="239">
        <v>0</v>
      </c>
      <c r="BZ196" s="239">
        <v>-102371</v>
      </c>
      <c r="CA196" s="239">
        <v>-3568</v>
      </c>
      <c r="CB196" s="239">
        <v>0</v>
      </c>
      <c r="CC196" s="239">
        <v>-3568</v>
      </c>
      <c r="CD196" s="239">
        <v>-93123</v>
      </c>
      <c r="CE196" s="239">
        <v>0</v>
      </c>
      <c r="CF196" s="239">
        <v>-93123</v>
      </c>
      <c r="CG196" s="239">
        <v>-11386</v>
      </c>
      <c r="CH196" s="239">
        <v>0</v>
      </c>
      <c r="CI196" s="239">
        <v>-11386</v>
      </c>
      <c r="CJ196" s="239">
        <v>0</v>
      </c>
      <c r="CK196" s="239">
        <v>0</v>
      </c>
      <c r="CL196" s="239">
        <v>0</v>
      </c>
      <c r="CM196" s="239">
        <v>0</v>
      </c>
      <c r="CN196" s="239">
        <v>0</v>
      </c>
      <c r="CO196" s="239">
        <v>0</v>
      </c>
      <c r="CP196" s="239">
        <v>0</v>
      </c>
      <c r="CQ196" s="239">
        <v>0</v>
      </c>
      <c r="CR196" s="239">
        <v>0</v>
      </c>
      <c r="CS196" s="239">
        <v>0</v>
      </c>
      <c r="CT196" s="239">
        <v>0</v>
      </c>
      <c r="CU196" s="239">
        <v>0</v>
      </c>
      <c r="CV196" s="239">
        <v>0</v>
      </c>
      <c r="CW196" s="239">
        <v>0</v>
      </c>
      <c r="CX196" s="239">
        <v>0</v>
      </c>
      <c r="CY196" s="239">
        <v>0</v>
      </c>
      <c r="CZ196" s="239">
        <v>0</v>
      </c>
      <c r="DA196" s="239">
        <v>0</v>
      </c>
      <c r="DB196" s="239">
        <v>0</v>
      </c>
      <c r="DC196" s="239">
        <v>0</v>
      </c>
      <c r="DD196" s="239">
        <v>0</v>
      </c>
      <c r="DE196" s="239">
        <v>0</v>
      </c>
      <c r="DF196" s="239">
        <v>0</v>
      </c>
      <c r="DG196" s="239">
        <v>0</v>
      </c>
      <c r="DH196" s="239">
        <v>0</v>
      </c>
      <c r="DI196" s="239">
        <v>0</v>
      </c>
      <c r="DJ196" s="239">
        <v>-210448</v>
      </c>
      <c r="DK196" s="239">
        <v>0</v>
      </c>
      <c r="DL196" s="239">
        <v>-210448</v>
      </c>
      <c r="DM196" s="239">
        <v>0</v>
      </c>
      <c r="DN196" s="239">
        <v>0</v>
      </c>
      <c r="DO196" s="239">
        <v>0</v>
      </c>
      <c r="DP196" s="239">
        <v>0</v>
      </c>
      <c r="DQ196" s="239">
        <v>0</v>
      </c>
      <c r="DR196" s="239">
        <v>0</v>
      </c>
      <c r="DS196" s="239">
        <v>-100115</v>
      </c>
      <c r="DT196" s="239">
        <v>0</v>
      </c>
      <c r="DU196" s="239">
        <v>-100115</v>
      </c>
      <c r="DV196" s="239">
        <v>-30886</v>
      </c>
      <c r="DW196" s="239">
        <v>0</v>
      </c>
      <c r="DX196" s="239">
        <v>-30886</v>
      </c>
      <c r="DY196" s="239">
        <v>0</v>
      </c>
      <c r="DZ196" s="239">
        <v>0</v>
      </c>
      <c r="EA196" s="239">
        <v>0</v>
      </c>
      <c r="EB196" s="239">
        <v>-17242</v>
      </c>
      <c r="EC196" s="239">
        <v>0</v>
      </c>
      <c r="ED196" s="239">
        <v>-17242</v>
      </c>
      <c r="EE196" s="239">
        <v>0</v>
      </c>
      <c r="EF196" s="239">
        <v>0</v>
      </c>
      <c r="EG196" s="239">
        <v>0</v>
      </c>
      <c r="EH196" s="239">
        <v>0</v>
      </c>
      <c r="EI196" s="239">
        <v>0</v>
      </c>
      <c r="EJ196" s="239">
        <v>0</v>
      </c>
      <c r="EK196" s="239">
        <v>-3064</v>
      </c>
      <c r="EL196" s="239">
        <v>0</v>
      </c>
      <c r="EM196" s="239">
        <v>-3064</v>
      </c>
      <c r="EN196" s="239">
        <v>1110</v>
      </c>
      <c r="EO196" s="239">
        <v>0</v>
      </c>
      <c r="EP196" s="239">
        <v>1110</v>
      </c>
      <c r="EQ196" s="239">
        <v>-150197</v>
      </c>
      <c r="ER196" s="239">
        <v>0</v>
      </c>
      <c r="ES196" s="239">
        <v>-150197</v>
      </c>
      <c r="ET196" s="239">
        <v>0</v>
      </c>
      <c r="EU196" s="239">
        <v>0</v>
      </c>
      <c r="EV196" s="239">
        <v>0</v>
      </c>
      <c r="EW196" s="239">
        <v>0</v>
      </c>
      <c r="EX196" s="239">
        <v>0</v>
      </c>
      <c r="EY196" s="239">
        <v>0</v>
      </c>
      <c r="EZ196" s="239">
        <v>0</v>
      </c>
      <c r="FA196" s="239">
        <v>0</v>
      </c>
      <c r="FB196" s="239">
        <v>0</v>
      </c>
      <c r="FC196" s="239">
        <v>92393273</v>
      </c>
      <c r="FD196" s="239">
        <v>0</v>
      </c>
      <c r="FE196" s="239">
        <v>92393273</v>
      </c>
      <c r="FF196" s="239">
        <v>149647</v>
      </c>
      <c r="FG196" s="239">
        <v>0</v>
      </c>
      <c r="FH196" s="239">
        <v>149647</v>
      </c>
      <c r="FI196" s="239">
        <v>-7479994</v>
      </c>
      <c r="FJ196" s="239">
        <v>0</v>
      </c>
      <c r="FK196" s="239">
        <v>-7479994</v>
      </c>
      <c r="FL196" s="239">
        <v>-3834846</v>
      </c>
      <c r="FM196" s="239">
        <v>0</v>
      </c>
      <c r="FN196" s="239">
        <v>-3834846</v>
      </c>
      <c r="FO196" s="239">
        <v>-210448</v>
      </c>
      <c r="FP196" s="239">
        <v>0</v>
      </c>
      <c r="FQ196" s="239">
        <v>-210448</v>
      </c>
      <c r="FR196" s="239">
        <v>-150197</v>
      </c>
      <c r="FS196" s="239">
        <v>0</v>
      </c>
      <c r="FT196" s="239">
        <v>-150197</v>
      </c>
      <c r="FU196" s="239">
        <v>0</v>
      </c>
      <c r="FV196" s="239">
        <v>0</v>
      </c>
      <c r="FW196" s="239">
        <v>0</v>
      </c>
      <c r="FX196" s="239">
        <v>-11525838</v>
      </c>
      <c r="FY196" s="239">
        <v>0</v>
      </c>
      <c r="FZ196" s="239">
        <v>-11525838</v>
      </c>
      <c r="GA196" s="239">
        <v>80867435</v>
      </c>
      <c r="GB196" s="239">
        <v>0</v>
      </c>
      <c r="GC196" s="239">
        <v>80867435</v>
      </c>
      <c r="GD196" s="214" t="s">
        <v>1190</v>
      </c>
    </row>
    <row r="197" spans="2:186" s="214" customFormat="1" x14ac:dyDescent="0.2">
      <c r="B197" s="609" t="s">
        <v>476</v>
      </c>
      <c r="C197" s="609" t="s">
        <v>475</v>
      </c>
      <c r="D197" s="239">
        <v>0</v>
      </c>
      <c r="E197" s="239">
        <v>0</v>
      </c>
      <c r="F197" s="239">
        <v>0</v>
      </c>
      <c r="G197" s="239">
        <v>186819</v>
      </c>
      <c r="H197" s="239">
        <v>-442</v>
      </c>
      <c r="I197" s="239">
        <v>186377</v>
      </c>
      <c r="J197" s="239">
        <v>0</v>
      </c>
      <c r="K197" s="239">
        <v>0</v>
      </c>
      <c r="L197" s="239">
        <v>0</v>
      </c>
      <c r="M197" s="239">
        <v>301956</v>
      </c>
      <c r="N197" s="239">
        <v>8853</v>
      </c>
      <c r="O197" s="239">
        <v>310809</v>
      </c>
      <c r="P197" s="239">
        <v>488775</v>
      </c>
      <c r="Q197" s="239">
        <v>8411</v>
      </c>
      <c r="R197" s="239">
        <v>497186</v>
      </c>
      <c r="S197" s="239">
        <v>-5588445</v>
      </c>
      <c r="T197" s="239">
        <v>-321367</v>
      </c>
      <c r="U197" s="239">
        <v>-5909812</v>
      </c>
      <c r="V197" s="239">
        <v>-23465</v>
      </c>
      <c r="W197" s="239">
        <v>-5600</v>
      </c>
      <c r="X197" s="239">
        <v>-29065</v>
      </c>
      <c r="Y197" s="239">
        <v>-200281</v>
      </c>
      <c r="Z197" s="239">
        <v>-35095</v>
      </c>
      <c r="AA197" s="239">
        <v>-235376</v>
      </c>
      <c r="AB197" s="239">
        <v>-190055</v>
      </c>
      <c r="AC197" s="239">
        <v>-33631</v>
      </c>
      <c r="AD197" s="239">
        <v>-223686</v>
      </c>
      <c r="AE197" s="239">
        <v>-10226</v>
      </c>
      <c r="AF197" s="239">
        <v>-1464</v>
      </c>
      <c r="AG197" s="239">
        <v>-11690</v>
      </c>
      <c r="AH197" s="239">
        <v>3498425</v>
      </c>
      <c r="AI197" s="239">
        <v>283656</v>
      </c>
      <c r="AJ197" s="239">
        <v>3782081</v>
      </c>
      <c r="AK197" s="239">
        <v>8171</v>
      </c>
      <c r="AL197" s="239">
        <v>663</v>
      </c>
      <c r="AM197" s="239">
        <v>8834</v>
      </c>
      <c r="AN197" s="239">
        <v>-12762654</v>
      </c>
      <c r="AO197" s="239">
        <v>-527703</v>
      </c>
      <c r="AP197" s="239">
        <v>-13290357</v>
      </c>
      <c r="AQ197" s="239">
        <v>196176</v>
      </c>
      <c r="AR197" s="239">
        <v>-11022</v>
      </c>
      <c r="AS197" s="239">
        <v>185154</v>
      </c>
      <c r="AT197" s="239">
        <v>-66291</v>
      </c>
      <c r="AU197" s="239">
        <v>0</v>
      </c>
      <c r="AV197" s="239">
        <v>-66291</v>
      </c>
      <c r="AW197" s="239">
        <v>-1310</v>
      </c>
      <c r="AX197" s="239">
        <v>0</v>
      </c>
      <c r="AY197" s="239">
        <v>-1310</v>
      </c>
      <c r="AZ197" s="239">
        <v>0</v>
      </c>
      <c r="BA197" s="239">
        <v>0</v>
      </c>
      <c r="BB197" s="239">
        <v>0</v>
      </c>
      <c r="BC197" s="239">
        <v>0</v>
      </c>
      <c r="BD197" s="239">
        <v>0</v>
      </c>
      <c r="BE197" s="239">
        <v>0</v>
      </c>
      <c r="BF197" s="239">
        <v>-14916209</v>
      </c>
      <c r="BG197" s="239">
        <v>-610868</v>
      </c>
      <c r="BH197" s="239">
        <v>-15527077</v>
      </c>
      <c r="BI197" s="239">
        <v>-422536</v>
      </c>
      <c r="BJ197" s="239">
        <v>0</v>
      </c>
      <c r="BK197" s="239">
        <v>-422536</v>
      </c>
      <c r="BL197" s="239">
        <v>-62802</v>
      </c>
      <c r="BM197" s="239">
        <v>0</v>
      </c>
      <c r="BN197" s="239">
        <v>-62802</v>
      </c>
      <c r="BO197" s="239">
        <v>-5796374</v>
      </c>
      <c r="BP197" s="239">
        <v>-389696</v>
      </c>
      <c r="BQ197" s="239">
        <v>-6186070</v>
      </c>
      <c r="BR197" s="239">
        <v>-402866</v>
      </c>
      <c r="BS197" s="239">
        <v>133323</v>
      </c>
      <c r="BT197" s="239">
        <v>-269543</v>
      </c>
      <c r="BU197" s="239">
        <v>-6684578</v>
      </c>
      <c r="BV197" s="239">
        <v>-256373</v>
      </c>
      <c r="BW197" s="239">
        <v>-6940951</v>
      </c>
      <c r="BX197" s="239">
        <v>-182148</v>
      </c>
      <c r="BY197" s="239">
        <v>-7287</v>
      </c>
      <c r="BZ197" s="239">
        <v>-189435</v>
      </c>
      <c r="CA197" s="239">
        <v>-4485</v>
      </c>
      <c r="CB197" s="239">
        <v>11</v>
      </c>
      <c r="CC197" s="239">
        <v>-4474</v>
      </c>
      <c r="CD197" s="239">
        <v>-319238</v>
      </c>
      <c r="CE197" s="239">
        <v>-255290</v>
      </c>
      <c r="CF197" s="239">
        <v>-574528</v>
      </c>
      <c r="CG197" s="239">
        <v>-13496</v>
      </c>
      <c r="CH197" s="239">
        <v>-5296</v>
      </c>
      <c r="CI197" s="239">
        <v>-18792</v>
      </c>
      <c r="CJ197" s="239">
        <v>-845</v>
      </c>
      <c r="CK197" s="239">
        <v>0</v>
      </c>
      <c r="CL197" s="239">
        <v>-845</v>
      </c>
      <c r="CM197" s="239">
        <v>0</v>
      </c>
      <c r="CN197" s="239">
        <v>0</v>
      </c>
      <c r="CO197" s="239">
        <v>0</v>
      </c>
      <c r="CP197" s="239">
        <v>0</v>
      </c>
      <c r="CQ197" s="239">
        <v>0</v>
      </c>
      <c r="CR197" s="239">
        <v>0</v>
      </c>
      <c r="CS197" s="239">
        <v>0</v>
      </c>
      <c r="CT197" s="239">
        <v>0</v>
      </c>
      <c r="CU197" s="239">
        <v>0</v>
      </c>
      <c r="CV197" s="239">
        <v>0</v>
      </c>
      <c r="CW197" s="239">
        <v>0</v>
      </c>
      <c r="CX197" s="239">
        <v>0</v>
      </c>
      <c r="CY197" s="239">
        <v>0</v>
      </c>
      <c r="CZ197" s="239">
        <v>0</v>
      </c>
      <c r="DA197" s="239">
        <v>0</v>
      </c>
      <c r="DB197" s="239">
        <v>-42246</v>
      </c>
      <c r="DC197" s="239">
        <v>-29362</v>
      </c>
      <c r="DD197" s="239">
        <v>-71608</v>
      </c>
      <c r="DE197" s="239">
        <v>0</v>
      </c>
      <c r="DF197" s="239">
        <v>0</v>
      </c>
      <c r="DG197" s="239">
        <v>0</v>
      </c>
      <c r="DH197" s="239">
        <v>0</v>
      </c>
      <c r="DI197" s="239">
        <v>0</v>
      </c>
      <c r="DJ197" s="239">
        <v>-562458</v>
      </c>
      <c r="DK197" s="239">
        <v>-297224</v>
      </c>
      <c r="DL197" s="239">
        <v>-859682</v>
      </c>
      <c r="DM197" s="239">
        <v>0</v>
      </c>
      <c r="DN197" s="239">
        <v>0</v>
      </c>
      <c r="DO197" s="239">
        <v>0</v>
      </c>
      <c r="DP197" s="239">
        <v>0</v>
      </c>
      <c r="DQ197" s="239">
        <v>0</v>
      </c>
      <c r="DR197" s="239">
        <v>0</v>
      </c>
      <c r="DS197" s="239">
        <v>-158013</v>
      </c>
      <c r="DT197" s="239">
        <v>-10428</v>
      </c>
      <c r="DU197" s="239">
        <v>-168441</v>
      </c>
      <c r="DV197" s="239">
        <v>38771</v>
      </c>
      <c r="DW197" s="239">
        <v>-11885</v>
      </c>
      <c r="DX197" s="239">
        <v>26886</v>
      </c>
      <c r="DY197" s="239">
        <v>0</v>
      </c>
      <c r="DZ197" s="239">
        <v>0</v>
      </c>
      <c r="EA197" s="239">
        <v>0</v>
      </c>
      <c r="EB197" s="239">
        <v>-29449</v>
      </c>
      <c r="EC197" s="239">
        <v>-2754</v>
      </c>
      <c r="ED197" s="239">
        <v>-32203</v>
      </c>
      <c r="EE197" s="239">
        <v>0</v>
      </c>
      <c r="EF197" s="239">
        <v>0</v>
      </c>
      <c r="EG197" s="239">
        <v>0</v>
      </c>
      <c r="EH197" s="239">
        <v>0</v>
      </c>
      <c r="EI197" s="239">
        <v>0</v>
      </c>
      <c r="EJ197" s="239">
        <v>0</v>
      </c>
      <c r="EK197" s="239">
        <v>0</v>
      </c>
      <c r="EL197" s="239">
        <v>0</v>
      </c>
      <c r="EM197" s="239">
        <v>0</v>
      </c>
      <c r="EN197" s="239">
        <v>0</v>
      </c>
      <c r="EO197" s="239">
        <v>0</v>
      </c>
      <c r="EP197" s="239">
        <v>0</v>
      </c>
      <c r="EQ197" s="239">
        <v>-148691</v>
      </c>
      <c r="ER197" s="239">
        <v>-25067</v>
      </c>
      <c r="ES197" s="239">
        <v>-173758</v>
      </c>
      <c r="ET197" s="239">
        <v>0</v>
      </c>
      <c r="EU197" s="239">
        <v>0</v>
      </c>
      <c r="EV197" s="239">
        <v>0</v>
      </c>
      <c r="EW197" s="239">
        <v>0</v>
      </c>
      <c r="EX197" s="239">
        <v>0</v>
      </c>
      <c r="EY197" s="239">
        <v>0</v>
      </c>
      <c r="EZ197" s="239">
        <v>0</v>
      </c>
      <c r="FA197" s="239">
        <v>0</v>
      </c>
      <c r="FB197" s="239">
        <v>0</v>
      </c>
      <c r="FC197" s="239">
        <v>143449032</v>
      </c>
      <c r="FD197" s="239">
        <v>10803483</v>
      </c>
      <c r="FE197" s="239">
        <v>154252515</v>
      </c>
      <c r="FF197" s="239">
        <v>488775</v>
      </c>
      <c r="FG197" s="239">
        <v>8411</v>
      </c>
      <c r="FH197" s="239">
        <v>497186</v>
      </c>
      <c r="FI197" s="239">
        <v>-14916209</v>
      </c>
      <c r="FJ197" s="239">
        <v>-610868</v>
      </c>
      <c r="FK197" s="239">
        <v>-15527077</v>
      </c>
      <c r="FL197" s="239">
        <v>-6684578</v>
      </c>
      <c r="FM197" s="239">
        <v>-256373</v>
      </c>
      <c r="FN197" s="239">
        <v>-6940951</v>
      </c>
      <c r="FO197" s="239">
        <v>-562458</v>
      </c>
      <c r="FP197" s="239">
        <v>-297224</v>
      </c>
      <c r="FQ197" s="239">
        <v>-859682</v>
      </c>
      <c r="FR197" s="239">
        <v>-148691</v>
      </c>
      <c r="FS197" s="239">
        <v>-25067</v>
      </c>
      <c r="FT197" s="239">
        <v>-173758</v>
      </c>
      <c r="FU197" s="239">
        <v>0</v>
      </c>
      <c r="FV197" s="239">
        <v>0</v>
      </c>
      <c r="FW197" s="239">
        <v>0</v>
      </c>
      <c r="FX197" s="239">
        <v>-21823161</v>
      </c>
      <c r="FY197" s="239">
        <v>-1181121</v>
      </c>
      <c r="FZ197" s="239">
        <v>-23004282</v>
      </c>
      <c r="GA197" s="239">
        <v>121625871</v>
      </c>
      <c r="GB197" s="239">
        <v>9622362</v>
      </c>
      <c r="GC197" s="239">
        <v>131248233</v>
      </c>
      <c r="GD197" s="214" t="s">
        <v>747</v>
      </c>
    </row>
    <row r="198" spans="2:186" s="214" customFormat="1" x14ac:dyDescent="0.2">
      <c r="B198" s="609" t="s">
        <v>478</v>
      </c>
      <c r="C198" s="609" t="s">
        <v>477</v>
      </c>
      <c r="D198" s="239">
        <v>0</v>
      </c>
      <c r="E198" s="239">
        <v>0</v>
      </c>
      <c r="F198" s="239">
        <v>0</v>
      </c>
      <c r="G198" s="239">
        <v>35723</v>
      </c>
      <c r="H198" s="239">
        <v>0</v>
      </c>
      <c r="I198" s="239">
        <v>35723</v>
      </c>
      <c r="J198" s="239">
        <v>0</v>
      </c>
      <c r="K198" s="239">
        <v>0</v>
      </c>
      <c r="L198" s="239">
        <v>0</v>
      </c>
      <c r="M198" s="239">
        <v>-2701</v>
      </c>
      <c r="N198" s="239">
        <v>0</v>
      </c>
      <c r="O198" s="239">
        <v>-2701</v>
      </c>
      <c r="P198" s="239">
        <v>33022</v>
      </c>
      <c r="Q198" s="239">
        <v>0</v>
      </c>
      <c r="R198" s="239">
        <v>33022</v>
      </c>
      <c r="S198" s="239">
        <v>-2099144</v>
      </c>
      <c r="T198" s="239">
        <v>0</v>
      </c>
      <c r="U198" s="239">
        <v>-2099144</v>
      </c>
      <c r="V198" s="239">
        <v>0</v>
      </c>
      <c r="W198" s="239">
        <v>0</v>
      </c>
      <c r="X198" s="239">
        <v>0</v>
      </c>
      <c r="Y198" s="239">
        <v>-158503</v>
      </c>
      <c r="Z198" s="239">
        <v>0</v>
      </c>
      <c r="AA198" s="239">
        <v>-158503</v>
      </c>
      <c r="AB198" s="239">
        <v>-105845</v>
      </c>
      <c r="AC198" s="239">
        <v>0</v>
      </c>
      <c r="AD198" s="239">
        <v>-105845</v>
      </c>
      <c r="AE198" s="239">
        <v>0</v>
      </c>
      <c r="AF198" s="239">
        <v>0</v>
      </c>
      <c r="AG198" s="239">
        <v>0</v>
      </c>
      <c r="AH198" s="239">
        <v>930804</v>
      </c>
      <c r="AI198" s="239">
        <v>0</v>
      </c>
      <c r="AJ198" s="239">
        <v>930804</v>
      </c>
      <c r="AK198" s="239">
        <v>-15419</v>
      </c>
      <c r="AL198" s="239">
        <v>0</v>
      </c>
      <c r="AM198" s="239">
        <v>-15419</v>
      </c>
      <c r="AN198" s="239">
        <v>-2020479</v>
      </c>
      <c r="AO198" s="239">
        <v>0</v>
      </c>
      <c r="AP198" s="239">
        <v>-2020479</v>
      </c>
      <c r="AQ198" s="239">
        <v>-9879</v>
      </c>
      <c r="AR198" s="239">
        <v>0</v>
      </c>
      <c r="AS198" s="239">
        <v>-9879</v>
      </c>
      <c r="AT198" s="239">
        <v>-23757</v>
      </c>
      <c r="AU198" s="239">
        <v>0</v>
      </c>
      <c r="AV198" s="239">
        <v>-23757</v>
      </c>
      <c r="AW198" s="239">
        <v>0</v>
      </c>
      <c r="AX198" s="239">
        <v>0</v>
      </c>
      <c r="AY198" s="239">
        <v>0</v>
      </c>
      <c r="AZ198" s="239">
        <v>0</v>
      </c>
      <c r="BA198" s="239">
        <v>0</v>
      </c>
      <c r="BB198" s="239">
        <v>0</v>
      </c>
      <c r="BC198" s="239">
        <v>0</v>
      </c>
      <c r="BD198" s="239">
        <v>0</v>
      </c>
      <c r="BE198" s="239">
        <v>0</v>
      </c>
      <c r="BF198" s="239">
        <v>-3396377</v>
      </c>
      <c r="BG198" s="239">
        <v>0</v>
      </c>
      <c r="BH198" s="239">
        <v>-3396377</v>
      </c>
      <c r="BI198" s="239">
        <v>0</v>
      </c>
      <c r="BJ198" s="239">
        <v>0</v>
      </c>
      <c r="BK198" s="239">
        <v>0</v>
      </c>
      <c r="BL198" s="239">
        <v>-6493</v>
      </c>
      <c r="BM198" s="239">
        <v>0</v>
      </c>
      <c r="BN198" s="239">
        <v>-6493</v>
      </c>
      <c r="BO198" s="239">
        <v>-1098491</v>
      </c>
      <c r="BP198" s="239">
        <v>0</v>
      </c>
      <c r="BQ198" s="239">
        <v>-1098491</v>
      </c>
      <c r="BR198" s="239">
        <v>-5425</v>
      </c>
      <c r="BS198" s="239">
        <v>0</v>
      </c>
      <c r="BT198" s="239">
        <v>-5425</v>
      </c>
      <c r="BU198" s="239">
        <v>-1110409</v>
      </c>
      <c r="BV198" s="239">
        <v>0</v>
      </c>
      <c r="BW198" s="239">
        <v>-1110409</v>
      </c>
      <c r="BX198" s="239">
        <v>-13027</v>
      </c>
      <c r="BY198" s="239">
        <v>0</v>
      </c>
      <c r="BZ198" s="239">
        <v>-13027</v>
      </c>
      <c r="CA198" s="239">
        <v>-1183</v>
      </c>
      <c r="CB198" s="239">
        <v>0</v>
      </c>
      <c r="CC198" s="239">
        <v>-1183</v>
      </c>
      <c r="CD198" s="239">
        <v>-23976</v>
      </c>
      <c r="CE198" s="239">
        <v>0</v>
      </c>
      <c r="CF198" s="239">
        <v>-23976</v>
      </c>
      <c r="CG198" s="239">
        <v>3341</v>
      </c>
      <c r="CH198" s="239">
        <v>0</v>
      </c>
      <c r="CI198" s="239">
        <v>3341</v>
      </c>
      <c r="CJ198" s="239">
        <v>0</v>
      </c>
      <c r="CK198" s="239">
        <v>0</v>
      </c>
      <c r="CL198" s="239">
        <v>0</v>
      </c>
      <c r="CM198" s="239">
        <v>0</v>
      </c>
      <c r="CN198" s="239">
        <v>0</v>
      </c>
      <c r="CO198" s="239">
        <v>0</v>
      </c>
      <c r="CP198" s="239">
        <v>0</v>
      </c>
      <c r="CQ198" s="239">
        <v>0</v>
      </c>
      <c r="CR198" s="239">
        <v>0</v>
      </c>
      <c r="CS198" s="239">
        <v>0</v>
      </c>
      <c r="CT198" s="239">
        <v>0</v>
      </c>
      <c r="CU198" s="239">
        <v>0</v>
      </c>
      <c r="CV198" s="239">
        <v>0</v>
      </c>
      <c r="CW198" s="239">
        <v>0</v>
      </c>
      <c r="CX198" s="239">
        <v>0</v>
      </c>
      <c r="CY198" s="239">
        <v>0</v>
      </c>
      <c r="CZ198" s="239">
        <v>0</v>
      </c>
      <c r="DA198" s="239">
        <v>0</v>
      </c>
      <c r="DB198" s="239">
        <v>-50244</v>
      </c>
      <c r="DC198" s="239">
        <v>0</v>
      </c>
      <c r="DD198" s="239">
        <v>-50244</v>
      </c>
      <c r="DE198" s="239">
        <v>0</v>
      </c>
      <c r="DF198" s="239">
        <v>0</v>
      </c>
      <c r="DG198" s="239">
        <v>0</v>
      </c>
      <c r="DH198" s="239">
        <v>0</v>
      </c>
      <c r="DI198" s="239">
        <v>0</v>
      </c>
      <c r="DJ198" s="239">
        <v>-85089</v>
      </c>
      <c r="DK198" s="239">
        <v>0</v>
      </c>
      <c r="DL198" s="239">
        <v>-85089</v>
      </c>
      <c r="DM198" s="239">
        <v>-32370</v>
      </c>
      <c r="DN198" s="239">
        <v>0</v>
      </c>
      <c r="DO198" s="239">
        <v>-32370</v>
      </c>
      <c r="DP198" s="239">
        <v>-796</v>
      </c>
      <c r="DQ198" s="239">
        <v>0</v>
      </c>
      <c r="DR198" s="239">
        <v>-796</v>
      </c>
      <c r="DS198" s="239">
        <v>-7943</v>
      </c>
      <c r="DT198" s="239">
        <v>0</v>
      </c>
      <c r="DU198" s="239">
        <v>-7943</v>
      </c>
      <c r="DV198" s="239">
        <v>-5696</v>
      </c>
      <c r="DW198" s="239">
        <v>0</v>
      </c>
      <c r="DX198" s="239">
        <v>-5696</v>
      </c>
      <c r="DY198" s="239">
        <v>0</v>
      </c>
      <c r="DZ198" s="239">
        <v>0</v>
      </c>
      <c r="EA198" s="239">
        <v>0</v>
      </c>
      <c r="EB198" s="239">
        <v>2546</v>
      </c>
      <c r="EC198" s="239">
        <v>0</v>
      </c>
      <c r="ED198" s="239">
        <v>2546</v>
      </c>
      <c r="EE198" s="239">
        <v>0</v>
      </c>
      <c r="EF198" s="239">
        <v>0</v>
      </c>
      <c r="EG198" s="239">
        <v>0</v>
      </c>
      <c r="EH198" s="239">
        <v>0</v>
      </c>
      <c r="EI198" s="239">
        <v>0</v>
      </c>
      <c r="EJ198" s="239">
        <v>0</v>
      </c>
      <c r="EK198" s="239">
        <v>-4153</v>
      </c>
      <c r="EL198" s="239">
        <v>0</v>
      </c>
      <c r="EM198" s="239">
        <v>-4153</v>
      </c>
      <c r="EN198" s="239">
        <v>0</v>
      </c>
      <c r="EO198" s="239">
        <v>0</v>
      </c>
      <c r="EP198" s="239">
        <v>0</v>
      </c>
      <c r="EQ198" s="239">
        <v>-48412</v>
      </c>
      <c r="ER198" s="239">
        <v>0</v>
      </c>
      <c r="ES198" s="239">
        <v>-48412</v>
      </c>
      <c r="ET198" s="239">
        <v>0</v>
      </c>
      <c r="EU198" s="239">
        <v>0</v>
      </c>
      <c r="EV198" s="239">
        <v>0</v>
      </c>
      <c r="EW198" s="239">
        <v>0</v>
      </c>
      <c r="EX198" s="239">
        <v>0</v>
      </c>
      <c r="EY198" s="239">
        <v>0</v>
      </c>
      <c r="EZ198" s="239">
        <v>0</v>
      </c>
      <c r="FA198" s="239">
        <v>0</v>
      </c>
      <c r="FB198" s="239">
        <v>0</v>
      </c>
      <c r="FC198" s="239">
        <v>40338369</v>
      </c>
      <c r="FD198" s="239">
        <v>0</v>
      </c>
      <c r="FE198" s="239">
        <v>40338369</v>
      </c>
      <c r="FF198" s="239">
        <v>33022</v>
      </c>
      <c r="FG198" s="239">
        <v>0</v>
      </c>
      <c r="FH198" s="239">
        <v>33022</v>
      </c>
      <c r="FI198" s="239">
        <v>-3396377</v>
      </c>
      <c r="FJ198" s="239">
        <v>0</v>
      </c>
      <c r="FK198" s="239">
        <v>-3396377</v>
      </c>
      <c r="FL198" s="239">
        <v>-1110409</v>
      </c>
      <c r="FM198" s="239">
        <v>0</v>
      </c>
      <c r="FN198" s="239">
        <v>-1110409</v>
      </c>
      <c r="FO198" s="239">
        <v>-85089</v>
      </c>
      <c r="FP198" s="239">
        <v>0</v>
      </c>
      <c r="FQ198" s="239">
        <v>-85089</v>
      </c>
      <c r="FR198" s="239">
        <v>-48412</v>
      </c>
      <c r="FS198" s="239">
        <v>0</v>
      </c>
      <c r="FT198" s="239">
        <v>-48412</v>
      </c>
      <c r="FU198" s="239">
        <v>0</v>
      </c>
      <c r="FV198" s="239">
        <v>0</v>
      </c>
      <c r="FW198" s="239">
        <v>0</v>
      </c>
      <c r="FX198" s="239">
        <v>-4607265</v>
      </c>
      <c r="FY198" s="239">
        <v>0</v>
      </c>
      <c r="FZ198" s="239">
        <v>-4607265</v>
      </c>
      <c r="GA198" s="239">
        <v>35731104</v>
      </c>
      <c r="GB198" s="239">
        <v>0</v>
      </c>
      <c r="GC198" s="239">
        <v>35731104</v>
      </c>
      <c r="GD198" s="214" t="s">
        <v>1190</v>
      </c>
    </row>
    <row r="199" spans="2:186" s="214" customFormat="1" x14ac:dyDescent="0.2">
      <c r="B199" s="609" t="s">
        <v>480</v>
      </c>
      <c r="C199" s="609" t="s">
        <v>479</v>
      </c>
      <c r="D199" s="239">
        <v>0</v>
      </c>
      <c r="E199" s="239">
        <v>0</v>
      </c>
      <c r="F199" s="239">
        <v>0</v>
      </c>
      <c r="G199" s="239">
        <v>537</v>
      </c>
      <c r="H199" s="239">
        <v>0</v>
      </c>
      <c r="I199" s="239">
        <v>537</v>
      </c>
      <c r="J199" s="239">
        <v>0</v>
      </c>
      <c r="K199" s="239">
        <v>0</v>
      </c>
      <c r="L199" s="239">
        <v>0</v>
      </c>
      <c r="M199" s="239">
        <v>-2811</v>
      </c>
      <c r="N199" s="239">
        <v>0</v>
      </c>
      <c r="O199" s="239">
        <v>-2811</v>
      </c>
      <c r="P199" s="239">
        <v>-2274</v>
      </c>
      <c r="Q199" s="239">
        <v>0</v>
      </c>
      <c r="R199" s="239">
        <v>-2274</v>
      </c>
      <c r="S199" s="239">
        <v>-1031933</v>
      </c>
      <c r="T199" s="239">
        <v>0</v>
      </c>
      <c r="U199" s="239">
        <v>-1031933</v>
      </c>
      <c r="V199" s="239">
        <v>-8140</v>
      </c>
      <c r="W199" s="239">
        <v>0</v>
      </c>
      <c r="X199" s="239">
        <v>-8140</v>
      </c>
      <c r="Y199" s="239">
        <v>-41412</v>
      </c>
      <c r="Z199" s="239">
        <v>0</v>
      </c>
      <c r="AA199" s="239">
        <v>-41412</v>
      </c>
      <c r="AB199" s="239">
        <v>-39564</v>
      </c>
      <c r="AC199" s="239">
        <v>0</v>
      </c>
      <c r="AD199" s="239">
        <v>-39564</v>
      </c>
      <c r="AE199" s="239">
        <v>-1848</v>
      </c>
      <c r="AF199" s="239">
        <v>0</v>
      </c>
      <c r="AG199" s="239">
        <v>-1848</v>
      </c>
      <c r="AH199" s="239">
        <v>327326</v>
      </c>
      <c r="AI199" s="239">
        <v>0</v>
      </c>
      <c r="AJ199" s="239">
        <v>327326</v>
      </c>
      <c r="AK199" s="239">
        <v>-5346</v>
      </c>
      <c r="AL199" s="239">
        <v>0</v>
      </c>
      <c r="AM199" s="239">
        <v>-5346</v>
      </c>
      <c r="AN199" s="239">
        <v>-1526742</v>
      </c>
      <c r="AO199" s="239">
        <v>0</v>
      </c>
      <c r="AP199" s="239">
        <v>-1526742</v>
      </c>
      <c r="AQ199" s="239">
        <v>-125079</v>
      </c>
      <c r="AR199" s="239">
        <v>0</v>
      </c>
      <c r="AS199" s="239">
        <v>-125079</v>
      </c>
      <c r="AT199" s="239">
        <v>0</v>
      </c>
      <c r="AU199" s="239">
        <v>0</v>
      </c>
      <c r="AV199" s="239">
        <v>0</v>
      </c>
      <c r="AW199" s="239">
        <v>0</v>
      </c>
      <c r="AX199" s="239">
        <v>0</v>
      </c>
      <c r="AY199" s="239">
        <v>0</v>
      </c>
      <c r="AZ199" s="239">
        <v>0</v>
      </c>
      <c r="BA199" s="239">
        <v>0</v>
      </c>
      <c r="BB199" s="239">
        <v>0</v>
      </c>
      <c r="BC199" s="239">
        <v>0</v>
      </c>
      <c r="BD199" s="239">
        <v>0</v>
      </c>
      <c r="BE199" s="239">
        <v>0</v>
      </c>
      <c r="BF199" s="239">
        <v>-2403186</v>
      </c>
      <c r="BG199" s="239">
        <v>0</v>
      </c>
      <c r="BH199" s="239">
        <v>-2403186</v>
      </c>
      <c r="BI199" s="239">
        <v>0</v>
      </c>
      <c r="BJ199" s="239">
        <v>0</v>
      </c>
      <c r="BK199" s="239">
        <v>0</v>
      </c>
      <c r="BL199" s="239">
        <v>0</v>
      </c>
      <c r="BM199" s="239">
        <v>0</v>
      </c>
      <c r="BN199" s="239">
        <v>0</v>
      </c>
      <c r="BO199" s="239">
        <v>-418443</v>
      </c>
      <c r="BP199" s="239">
        <v>0</v>
      </c>
      <c r="BQ199" s="239">
        <v>-418443</v>
      </c>
      <c r="BR199" s="239">
        <v>32483</v>
      </c>
      <c r="BS199" s="239">
        <v>0</v>
      </c>
      <c r="BT199" s="239">
        <v>32483</v>
      </c>
      <c r="BU199" s="239">
        <v>-385960</v>
      </c>
      <c r="BV199" s="239">
        <v>0</v>
      </c>
      <c r="BW199" s="239">
        <v>-385960</v>
      </c>
      <c r="BX199" s="239">
        <v>-73802</v>
      </c>
      <c r="BY199" s="239">
        <v>0</v>
      </c>
      <c r="BZ199" s="239">
        <v>-73802</v>
      </c>
      <c r="CA199" s="239">
        <v>-19834</v>
      </c>
      <c r="CB199" s="239">
        <v>0</v>
      </c>
      <c r="CC199" s="239">
        <v>-19834</v>
      </c>
      <c r="CD199" s="239">
        <v>-13518</v>
      </c>
      <c r="CE199" s="239">
        <v>0</v>
      </c>
      <c r="CF199" s="239">
        <v>-13518</v>
      </c>
      <c r="CG199" s="239">
        <v>0</v>
      </c>
      <c r="CH199" s="239">
        <v>0</v>
      </c>
      <c r="CI199" s="239">
        <v>0</v>
      </c>
      <c r="CJ199" s="239">
        <v>0</v>
      </c>
      <c r="CK199" s="239">
        <v>0</v>
      </c>
      <c r="CL199" s="239">
        <v>0</v>
      </c>
      <c r="CM199" s="239">
        <v>0</v>
      </c>
      <c r="CN199" s="239">
        <v>0</v>
      </c>
      <c r="CO199" s="239">
        <v>0</v>
      </c>
      <c r="CP199" s="239">
        <v>0</v>
      </c>
      <c r="CQ199" s="239">
        <v>0</v>
      </c>
      <c r="CR199" s="239">
        <v>0</v>
      </c>
      <c r="CS199" s="239">
        <v>0</v>
      </c>
      <c r="CT199" s="239">
        <v>0</v>
      </c>
      <c r="CU199" s="239">
        <v>0</v>
      </c>
      <c r="CV199" s="239">
        <v>0</v>
      </c>
      <c r="CW199" s="239">
        <v>0</v>
      </c>
      <c r="CX199" s="239">
        <v>0</v>
      </c>
      <c r="CY199" s="239">
        <v>0</v>
      </c>
      <c r="CZ199" s="239">
        <v>0</v>
      </c>
      <c r="DA199" s="239">
        <v>0</v>
      </c>
      <c r="DB199" s="239">
        <v>0</v>
      </c>
      <c r="DC199" s="239">
        <v>0</v>
      </c>
      <c r="DD199" s="239">
        <v>0</v>
      </c>
      <c r="DE199" s="239">
        <v>0</v>
      </c>
      <c r="DF199" s="239">
        <v>0</v>
      </c>
      <c r="DG199" s="239">
        <v>0</v>
      </c>
      <c r="DH199" s="239">
        <v>0</v>
      </c>
      <c r="DI199" s="239">
        <v>0</v>
      </c>
      <c r="DJ199" s="239">
        <v>-107154</v>
      </c>
      <c r="DK199" s="239">
        <v>0</v>
      </c>
      <c r="DL199" s="239">
        <v>-107154</v>
      </c>
      <c r="DM199" s="239">
        <v>0</v>
      </c>
      <c r="DN199" s="239">
        <v>0</v>
      </c>
      <c r="DO199" s="239">
        <v>0</v>
      </c>
      <c r="DP199" s="239">
        <v>0</v>
      </c>
      <c r="DQ199" s="239">
        <v>0</v>
      </c>
      <c r="DR199" s="239">
        <v>0</v>
      </c>
      <c r="DS199" s="239">
        <v>-484</v>
      </c>
      <c r="DT199" s="239">
        <v>0</v>
      </c>
      <c r="DU199" s="239">
        <v>-484</v>
      </c>
      <c r="DV199" s="239">
        <v>0</v>
      </c>
      <c r="DW199" s="239">
        <v>0</v>
      </c>
      <c r="DX199" s="239">
        <v>0</v>
      </c>
      <c r="DY199" s="239">
        <v>0</v>
      </c>
      <c r="DZ199" s="239">
        <v>0</v>
      </c>
      <c r="EA199" s="239">
        <v>0</v>
      </c>
      <c r="EB199" s="239">
        <v>8268</v>
      </c>
      <c r="EC199" s="239">
        <v>0</v>
      </c>
      <c r="ED199" s="239">
        <v>8268</v>
      </c>
      <c r="EE199" s="239">
        <v>0</v>
      </c>
      <c r="EF199" s="239">
        <v>0</v>
      </c>
      <c r="EG199" s="239">
        <v>0</v>
      </c>
      <c r="EH199" s="239">
        <v>0</v>
      </c>
      <c r="EI199" s="239">
        <v>0</v>
      </c>
      <c r="EJ199" s="239">
        <v>0</v>
      </c>
      <c r="EK199" s="239">
        <v>0</v>
      </c>
      <c r="EL199" s="239">
        <v>0</v>
      </c>
      <c r="EM199" s="239">
        <v>0</v>
      </c>
      <c r="EN199" s="239">
        <v>0</v>
      </c>
      <c r="EO199" s="239">
        <v>0</v>
      </c>
      <c r="EP199" s="239">
        <v>0</v>
      </c>
      <c r="EQ199" s="239">
        <v>7784</v>
      </c>
      <c r="ER199" s="239">
        <v>0</v>
      </c>
      <c r="ES199" s="239">
        <v>7784</v>
      </c>
      <c r="ET199" s="239">
        <v>0</v>
      </c>
      <c r="EU199" s="239">
        <v>0</v>
      </c>
      <c r="EV199" s="239">
        <v>0</v>
      </c>
      <c r="EW199" s="239">
        <v>0</v>
      </c>
      <c r="EX199" s="239">
        <v>0</v>
      </c>
      <c r="EY199" s="239">
        <v>0</v>
      </c>
      <c r="EZ199" s="239">
        <v>0</v>
      </c>
      <c r="FA199" s="239">
        <v>0</v>
      </c>
      <c r="FB199" s="239">
        <v>0</v>
      </c>
      <c r="FC199" s="239">
        <v>15109944</v>
      </c>
      <c r="FD199" s="239">
        <v>0</v>
      </c>
      <c r="FE199" s="239">
        <v>15109944</v>
      </c>
      <c r="FF199" s="239">
        <v>-2274</v>
      </c>
      <c r="FG199" s="239">
        <v>0</v>
      </c>
      <c r="FH199" s="239">
        <v>-2274</v>
      </c>
      <c r="FI199" s="239">
        <v>-2403186</v>
      </c>
      <c r="FJ199" s="239">
        <v>0</v>
      </c>
      <c r="FK199" s="239">
        <v>-2403186</v>
      </c>
      <c r="FL199" s="239">
        <v>-385960</v>
      </c>
      <c r="FM199" s="239">
        <v>0</v>
      </c>
      <c r="FN199" s="239">
        <v>-385960</v>
      </c>
      <c r="FO199" s="239">
        <v>-107154</v>
      </c>
      <c r="FP199" s="239">
        <v>0</v>
      </c>
      <c r="FQ199" s="239">
        <v>-107154</v>
      </c>
      <c r="FR199" s="239">
        <v>7784</v>
      </c>
      <c r="FS199" s="239">
        <v>0</v>
      </c>
      <c r="FT199" s="239">
        <v>7784</v>
      </c>
      <c r="FU199" s="239">
        <v>0</v>
      </c>
      <c r="FV199" s="239">
        <v>0</v>
      </c>
      <c r="FW199" s="239">
        <v>0</v>
      </c>
      <c r="FX199" s="239">
        <v>-2890790</v>
      </c>
      <c r="FY199" s="239">
        <v>0</v>
      </c>
      <c r="FZ199" s="239">
        <v>-2890790</v>
      </c>
      <c r="GA199" s="239">
        <v>12219154</v>
      </c>
      <c r="GB199" s="239">
        <v>0</v>
      </c>
      <c r="GC199" s="239">
        <v>12219154</v>
      </c>
      <c r="GD199" s="214" t="s">
        <v>1190</v>
      </c>
    </row>
    <row r="200" spans="2:186" s="214" customFormat="1" x14ac:dyDescent="0.2">
      <c r="B200" s="609" t="s">
        <v>482</v>
      </c>
      <c r="C200" s="609" t="s">
        <v>481</v>
      </c>
      <c r="D200" s="239">
        <v>0</v>
      </c>
      <c r="E200" s="239">
        <v>0</v>
      </c>
      <c r="F200" s="239">
        <v>0</v>
      </c>
      <c r="G200" s="239">
        <v>956395</v>
      </c>
      <c r="H200" s="239">
        <v>0</v>
      </c>
      <c r="I200" s="239">
        <v>956395</v>
      </c>
      <c r="J200" s="239">
        <v>0</v>
      </c>
      <c r="K200" s="239">
        <v>0</v>
      </c>
      <c r="L200" s="239">
        <v>0</v>
      </c>
      <c r="M200" s="239">
        <v>169868</v>
      </c>
      <c r="N200" s="239">
        <v>0</v>
      </c>
      <c r="O200" s="239">
        <v>169868</v>
      </c>
      <c r="P200" s="239">
        <v>1126263</v>
      </c>
      <c r="Q200" s="239">
        <v>0</v>
      </c>
      <c r="R200" s="239">
        <v>1126263</v>
      </c>
      <c r="S200" s="239">
        <v>-6297076</v>
      </c>
      <c r="T200" s="239">
        <v>0</v>
      </c>
      <c r="U200" s="239">
        <v>-6297076</v>
      </c>
      <c r="V200" s="239">
        <v>-187</v>
      </c>
      <c r="W200" s="239">
        <v>0</v>
      </c>
      <c r="X200" s="239">
        <v>-187</v>
      </c>
      <c r="Y200" s="239">
        <v>-260126</v>
      </c>
      <c r="Z200" s="239">
        <v>0</v>
      </c>
      <c r="AA200" s="239">
        <v>-260126</v>
      </c>
      <c r="AB200" s="239">
        <v>-192488</v>
      </c>
      <c r="AC200" s="239">
        <v>0</v>
      </c>
      <c r="AD200" s="239">
        <v>-192488</v>
      </c>
      <c r="AE200" s="239">
        <v>0</v>
      </c>
      <c r="AF200" s="239">
        <v>0</v>
      </c>
      <c r="AG200" s="239">
        <v>0</v>
      </c>
      <c r="AH200" s="239">
        <v>1676966</v>
      </c>
      <c r="AI200" s="239">
        <v>0</v>
      </c>
      <c r="AJ200" s="239">
        <v>1676966</v>
      </c>
      <c r="AK200" s="239">
        <v>-73299</v>
      </c>
      <c r="AL200" s="239">
        <v>0</v>
      </c>
      <c r="AM200" s="239">
        <v>-73299</v>
      </c>
      <c r="AN200" s="239">
        <v>-5937055</v>
      </c>
      <c r="AO200" s="239">
        <v>0</v>
      </c>
      <c r="AP200" s="239">
        <v>-5937055</v>
      </c>
      <c r="AQ200" s="239">
        <v>-75681</v>
      </c>
      <c r="AR200" s="239">
        <v>0</v>
      </c>
      <c r="AS200" s="239">
        <v>-75681</v>
      </c>
      <c r="AT200" s="239">
        <v>-84937</v>
      </c>
      <c r="AU200" s="239">
        <v>0</v>
      </c>
      <c r="AV200" s="239">
        <v>-84937</v>
      </c>
      <c r="AW200" s="239">
        <v>0</v>
      </c>
      <c r="AX200" s="239">
        <v>0</v>
      </c>
      <c r="AY200" s="239">
        <v>0</v>
      </c>
      <c r="AZ200" s="239">
        <v>-7964</v>
      </c>
      <c r="BA200" s="239">
        <v>0</v>
      </c>
      <c r="BB200" s="239">
        <v>-7964</v>
      </c>
      <c r="BC200" s="239">
        <v>2033</v>
      </c>
      <c r="BD200" s="239">
        <v>0</v>
      </c>
      <c r="BE200" s="239">
        <v>2033</v>
      </c>
      <c r="BF200" s="239">
        <v>-11057139</v>
      </c>
      <c r="BG200" s="239">
        <v>0</v>
      </c>
      <c r="BH200" s="239">
        <v>-11057139</v>
      </c>
      <c r="BI200" s="239">
        <v>-2336</v>
      </c>
      <c r="BJ200" s="239">
        <v>0</v>
      </c>
      <c r="BK200" s="239">
        <v>-2336</v>
      </c>
      <c r="BL200" s="239">
        <v>-5377</v>
      </c>
      <c r="BM200" s="239">
        <v>0</v>
      </c>
      <c r="BN200" s="239">
        <v>-5377</v>
      </c>
      <c r="BO200" s="239">
        <v>-3490971</v>
      </c>
      <c r="BP200" s="239">
        <v>0</v>
      </c>
      <c r="BQ200" s="239">
        <v>-3490971</v>
      </c>
      <c r="BR200" s="239">
        <v>-598953</v>
      </c>
      <c r="BS200" s="239">
        <v>0</v>
      </c>
      <c r="BT200" s="239">
        <v>-598953</v>
      </c>
      <c r="BU200" s="239">
        <v>-4097637</v>
      </c>
      <c r="BV200" s="239">
        <v>0</v>
      </c>
      <c r="BW200" s="239">
        <v>-4097637</v>
      </c>
      <c r="BX200" s="239">
        <v>-220162</v>
      </c>
      <c r="BY200" s="239">
        <v>0</v>
      </c>
      <c r="BZ200" s="239">
        <v>-220162</v>
      </c>
      <c r="CA200" s="239">
        <v>-25537</v>
      </c>
      <c r="CB200" s="239">
        <v>0</v>
      </c>
      <c r="CC200" s="239">
        <v>-25537</v>
      </c>
      <c r="CD200" s="239">
        <v>-115383</v>
      </c>
      <c r="CE200" s="239">
        <v>0</v>
      </c>
      <c r="CF200" s="239">
        <v>-115383</v>
      </c>
      <c r="CG200" s="239">
        <v>-38919</v>
      </c>
      <c r="CH200" s="239">
        <v>0</v>
      </c>
      <c r="CI200" s="239">
        <v>-38919</v>
      </c>
      <c r="CJ200" s="239">
        <v>-152</v>
      </c>
      <c r="CK200" s="239">
        <v>0</v>
      </c>
      <c r="CL200" s="239">
        <v>-152</v>
      </c>
      <c r="CM200" s="239">
        <v>0</v>
      </c>
      <c r="CN200" s="239">
        <v>0</v>
      </c>
      <c r="CO200" s="239">
        <v>0</v>
      </c>
      <c r="CP200" s="239">
        <v>-746</v>
      </c>
      <c r="CQ200" s="239">
        <v>0</v>
      </c>
      <c r="CR200" s="239">
        <v>-746</v>
      </c>
      <c r="CS200" s="239">
        <v>0</v>
      </c>
      <c r="CT200" s="239">
        <v>0</v>
      </c>
      <c r="CU200" s="239">
        <v>0</v>
      </c>
      <c r="CV200" s="239">
        <v>0</v>
      </c>
      <c r="CW200" s="239">
        <v>0</v>
      </c>
      <c r="CX200" s="239">
        <v>0</v>
      </c>
      <c r="CY200" s="239">
        <v>0</v>
      </c>
      <c r="CZ200" s="239">
        <v>0</v>
      </c>
      <c r="DA200" s="239">
        <v>0</v>
      </c>
      <c r="DB200" s="239">
        <v>0</v>
      </c>
      <c r="DC200" s="239">
        <v>0</v>
      </c>
      <c r="DD200" s="239">
        <v>0</v>
      </c>
      <c r="DE200" s="239">
        <v>0</v>
      </c>
      <c r="DF200" s="239">
        <v>0</v>
      </c>
      <c r="DG200" s="239">
        <v>0</v>
      </c>
      <c r="DH200" s="239">
        <v>0</v>
      </c>
      <c r="DI200" s="239">
        <v>0</v>
      </c>
      <c r="DJ200" s="239">
        <v>-400899</v>
      </c>
      <c r="DK200" s="239">
        <v>0</v>
      </c>
      <c r="DL200" s="239">
        <v>-400899</v>
      </c>
      <c r="DM200" s="239">
        <v>-51503</v>
      </c>
      <c r="DN200" s="239">
        <v>0</v>
      </c>
      <c r="DO200" s="239">
        <v>-51503</v>
      </c>
      <c r="DP200" s="239">
        <v>0</v>
      </c>
      <c r="DQ200" s="239">
        <v>0</v>
      </c>
      <c r="DR200" s="239">
        <v>0</v>
      </c>
      <c r="DS200" s="239">
        <v>-56608</v>
      </c>
      <c r="DT200" s="239">
        <v>0</v>
      </c>
      <c r="DU200" s="239">
        <v>-56608</v>
      </c>
      <c r="DV200" s="239">
        <v>-16098</v>
      </c>
      <c r="DW200" s="239">
        <v>0</v>
      </c>
      <c r="DX200" s="239">
        <v>-16098</v>
      </c>
      <c r="DY200" s="239">
        <v>0</v>
      </c>
      <c r="DZ200" s="239">
        <v>0</v>
      </c>
      <c r="EA200" s="239">
        <v>0</v>
      </c>
      <c r="EB200" s="239">
        <v>-3864</v>
      </c>
      <c r="EC200" s="239">
        <v>0</v>
      </c>
      <c r="ED200" s="239">
        <v>-3864</v>
      </c>
      <c r="EE200" s="239">
        <v>0</v>
      </c>
      <c r="EF200" s="239">
        <v>0</v>
      </c>
      <c r="EG200" s="239">
        <v>0</v>
      </c>
      <c r="EH200" s="239">
        <v>0</v>
      </c>
      <c r="EI200" s="239">
        <v>0</v>
      </c>
      <c r="EJ200" s="239">
        <v>0</v>
      </c>
      <c r="EK200" s="239">
        <v>-4506</v>
      </c>
      <c r="EL200" s="239">
        <v>0</v>
      </c>
      <c r="EM200" s="239">
        <v>-4506</v>
      </c>
      <c r="EN200" s="239">
        <v>272</v>
      </c>
      <c r="EO200" s="239">
        <v>0</v>
      </c>
      <c r="EP200" s="239">
        <v>272</v>
      </c>
      <c r="EQ200" s="239">
        <v>-132307</v>
      </c>
      <c r="ER200" s="239">
        <v>0</v>
      </c>
      <c r="ES200" s="239">
        <v>-132307</v>
      </c>
      <c r="ET200" s="239">
        <v>-20494</v>
      </c>
      <c r="EU200" s="239">
        <v>0</v>
      </c>
      <c r="EV200" s="239">
        <v>-20494</v>
      </c>
      <c r="EW200" s="239">
        <v>-336</v>
      </c>
      <c r="EX200" s="239">
        <v>0</v>
      </c>
      <c r="EY200" s="239">
        <v>-336</v>
      </c>
      <c r="EZ200" s="239">
        <v>-20830</v>
      </c>
      <c r="FA200" s="239">
        <v>0</v>
      </c>
      <c r="FB200" s="239">
        <v>-20830</v>
      </c>
      <c r="FC200" s="239">
        <v>73392709</v>
      </c>
      <c r="FD200" s="239">
        <v>0</v>
      </c>
      <c r="FE200" s="239">
        <v>73392709</v>
      </c>
      <c r="FF200" s="239">
        <v>1126263</v>
      </c>
      <c r="FG200" s="239">
        <v>0</v>
      </c>
      <c r="FH200" s="239">
        <v>1126263</v>
      </c>
      <c r="FI200" s="239">
        <v>-11057139</v>
      </c>
      <c r="FJ200" s="239">
        <v>0</v>
      </c>
      <c r="FK200" s="239">
        <v>-11057139</v>
      </c>
      <c r="FL200" s="239">
        <v>-4097637</v>
      </c>
      <c r="FM200" s="239">
        <v>0</v>
      </c>
      <c r="FN200" s="239">
        <v>-4097637</v>
      </c>
      <c r="FO200" s="239">
        <v>-400899</v>
      </c>
      <c r="FP200" s="239">
        <v>0</v>
      </c>
      <c r="FQ200" s="239">
        <v>-400899</v>
      </c>
      <c r="FR200" s="239">
        <v>-132307</v>
      </c>
      <c r="FS200" s="239">
        <v>0</v>
      </c>
      <c r="FT200" s="239">
        <v>-132307</v>
      </c>
      <c r="FU200" s="239">
        <v>-20830</v>
      </c>
      <c r="FV200" s="239">
        <v>0</v>
      </c>
      <c r="FW200" s="239">
        <v>-20830</v>
      </c>
      <c r="FX200" s="239">
        <v>-14582549</v>
      </c>
      <c r="FY200" s="239">
        <v>0</v>
      </c>
      <c r="FZ200" s="239">
        <v>-14582549</v>
      </c>
      <c r="GA200" s="239">
        <v>58810160</v>
      </c>
      <c r="GB200" s="239">
        <v>0</v>
      </c>
      <c r="GC200" s="239">
        <v>58810160</v>
      </c>
      <c r="GD200" s="214" t="s">
        <v>1192</v>
      </c>
    </row>
    <row r="201" spans="2:186" s="214" customFormat="1" x14ac:dyDescent="0.2">
      <c r="B201" s="609" t="s">
        <v>484</v>
      </c>
      <c r="C201" s="609" t="s">
        <v>483</v>
      </c>
      <c r="D201" s="239">
        <v>0</v>
      </c>
      <c r="E201" s="239">
        <v>0</v>
      </c>
      <c r="F201" s="239">
        <v>0</v>
      </c>
      <c r="G201" s="239">
        <v>96696</v>
      </c>
      <c r="H201" s="239">
        <v>0</v>
      </c>
      <c r="I201" s="239">
        <v>96696</v>
      </c>
      <c r="J201" s="239">
        <v>0</v>
      </c>
      <c r="K201" s="239">
        <v>0</v>
      </c>
      <c r="L201" s="239">
        <v>0</v>
      </c>
      <c r="M201" s="239">
        <v>414637</v>
      </c>
      <c r="N201" s="239">
        <v>0</v>
      </c>
      <c r="O201" s="239">
        <v>414637</v>
      </c>
      <c r="P201" s="239">
        <v>511333</v>
      </c>
      <c r="Q201" s="239">
        <v>0</v>
      </c>
      <c r="R201" s="239">
        <v>511333</v>
      </c>
      <c r="S201" s="239">
        <v>-1233277</v>
      </c>
      <c r="T201" s="239">
        <v>0</v>
      </c>
      <c r="U201" s="239">
        <v>-1233277</v>
      </c>
      <c r="V201" s="239">
        <v>-2548</v>
      </c>
      <c r="W201" s="239">
        <v>0</v>
      </c>
      <c r="X201" s="239">
        <v>-2548</v>
      </c>
      <c r="Y201" s="239">
        <v>-97303</v>
      </c>
      <c r="Z201" s="239">
        <v>0</v>
      </c>
      <c r="AA201" s="239">
        <v>-97303</v>
      </c>
      <c r="AB201" s="239">
        <v>-55470</v>
      </c>
      <c r="AC201" s="239">
        <v>0</v>
      </c>
      <c r="AD201" s="239">
        <v>-55470</v>
      </c>
      <c r="AE201" s="239">
        <v>0</v>
      </c>
      <c r="AF201" s="239">
        <v>0</v>
      </c>
      <c r="AG201" s="239">
        <v>0</v>
      </c>
      <c r="AH201" s="239">
        <v>2774738</v>
      </c>
      <c r="AI201" s="239">
        <v>0</v>
      </c>
      <c r="AJ201" s="239">
        <v>2774738</v>
      </c>
      <c r="AK201" s="239">
        <v>-63616</v>
      </c>
      <c r="AL201" s="239">
        <v>0</v>
      </c>
      <c r="AM201" s="239">
        <v>-63616</v>
      </c>
      <c r="AN201" s="239">
        <v>-20766110</v>
      </c>
      <c r="AO201" s="239">
        <v>0</v>
      </c>
      <c r="AP201" s="239">
        <v>-20766110</v>
      </c>
      <c r="AQ201" s="239">
        <v>-221850</v>
      </c>
      <c r="AR201" s="239">
        <v>0</v>
      </c>
      <c r="AS201" s="239">
        <v>-221850</v>
      </c>
      <c r="AT201" s="239">
        <v>-35009</v>
      </c>
      <c r="AU201" s="239">
        <v>0</v>
      </c>
      <c r="AV201" s="239">
        <v>-35009</v>
      </c>
      <c r="AW201" s="239">
        <v>0</v>
      </c>
      <c r="AX201" s="239">
        <v>0</v>
      </c>
      <c r="AY201" s="239">
        <v>0</v>
      </c>
      <c r="AZ201" s="239">
        <v>0</v>
      </c>
      <c r="BA201" s="239">
        <v>0</v>
      </c>
      <c r="BB201" s="239">
        <v>0</v>
      </c>
      <c r="BC201" s="239">
        <v>0</v>
      </c>
      <c r="BD201" s="239">
        <v>0</v>
      </c>
      <c r="BE201" s="239">
        <v>0</v>
      </c>
      <c r="BF201" s="239">
        <v>-19642427</v>
      </c>
      <c r="BG201" s="239">
        <v>0</v>
      </c>
      <c r="BH201" s="239">
        <v>-19642427</v>
      </c>
      <c r="BI201" s="239">
        <v>-23037</v>
      </c>
      <c r="BJ201" s="239">
        <v>0</v>
      </c>
      <c r="BK201" s="239">
        <v>-23037</v>
      </c>
      <c r="BL201" s="239">
        <v>0</v>
      </c>
      <c r="BM201" s="239">
        <v>0</v>
      </c>
      <c r="BN201" s="239">
        <v>0</v>
      </c>
      <c r="BO201" s="239">
        <v>-1022129</v>
      </c>
      <c r="BP201" s="239">
        <v>0</v>
      </c>
      <c r="BQ201" s="239">
        <v>-1022129</v>
      </c>
      <c r="BR201" s="239">
        <v>-75267</v>
      </c>
      <c r="BS201" s="239">
        <v>0</v>
      </c>
      <c r="BT201" s="239">
        <v>-75267</v>
      </c>
      <c r="BU201" s="239">
        <v>-1120433</v>
      </c>
      <c r="BV201" s="239">
        <v>0</v>
      </c>
      <c r="BW201" s="239">
        <v>-1120433</v>
      </c>
      <c r="BX201" s="239">
        <v>0</v>
      </c>
      <c r="BY201" s="239">
        <v>0</v>
      </c>
      <c r="BZ201" s="239">
        <v>0</v>
      </c>
      <c r="CA201" s="239">
        <v>0</v>
      </c>
      <c r="CB201" s="239">
        <v>0</v>
      </c>
      <c r="CC201" s="239">
        <v>0</v>
      </c>
      <c r="CD201" s="239">
        <v>-40140</v>
      </c>
      <c r="CE201" s="239">
        <v>0</v>
      </c>
      <c r="CF201" s="239">
        <v>-40140</v>
      </c>
      <c r="CG201" s="239">
        <v>-349</v>
      </c>
      <c r="CH201" s="239">
        <v>0</v>
      </c>
      <c r="CI201" s="239">
        <v>-349</v>
      </c>
      <c r="CJ201" s="239">
        <v>0</v>
      </c>
      <c r="CK201" s="239">
        <v>0</v>
      </c>
      <c r="CL201" s="239">
        <v>0</v>
      </c>
      <c r="CM201" s="239">
        <v>0</v>
      </c>
      <c r="CN201" s="239">
        <v>0</v>
      </c>
      <c r="CO201" s="239">
        <v>0</v>
      </c>
      <c r="CP201" s="239">
        <v>0</v>
      </c>
      <c r="CQ201" s="239">
        <v>0</v>
      </c>
      <c r="CR201" s="239">
        <v>0</v>
      </c>
      <c r="CS201" s="239">
        <v>0</v>
      </c>
      <c r="CT201" s="239">
        <v>0</v>
      </c>
      <c r="CU201" s="239">
        <v>0</v>
      </c>
      <c r="CV201" s="239">
        <v>0</v>
      </c>
      <c r="CW201" s="239">
        <v>0</v>
      </c>
      <c r="CX201" s="239">
        <v>0</v>
      </c>
      <c r="CY201" s="239">
        <v>0</v>
      </c>
      <c r="CZ201" s="239">
        <v>0</v>
      </c>
      <c r="DA201" s="239">
        <v>0</v>
      </c>
      <c r="DB201" s="239">
        <v>0</v>
      </c>
      <c r="DC201" s="239">
        <v>0</v>
      </c>
      <c r="DD201" s="239">
        <v>0</v>
      </c>
      <c r="DE201" s="239">
        <v>0</v>
      </c>
      <c r="DF201" s="239">
        <v>0</v>
      </c>
      <c r="DG201" s="239">
        <v>0</v>
      </c>
      <c r="DH201" s="239">
        <v>0</v>
      </c>
      <c r="DI201" s="239">
        <v>0</v>
      </c>
      <c r="DJ201" s="239">
        <v>-40489</v>
      </c>
      <c r="DK201" s="239">
        <v>0</v>
      </c>
      <c r="DL201" s="239">
        <v>-40489</v>
      </c>
      <c r="DM201" s="239">
        <v>-60425</v>
      </c>
      <c r="DN201" s="239">
        <v>0</v>
      </c>
      <c r="DO201" s="239">
        <v>-60425</v>
      </c>
      <c r="DP201" s="239">
        <v>69</v>
      </c>
      <c r="DQ201" s="239">
        <v>0</v>
      </c>
      <c r="DR201" s="239">
        <v>69</v>
      </c>
      <c r="DS201" s="239">
        <v>-44172</v>
      </c>
      <c r="DT201" s="239">
        <v>0</v>
      </c>
      <c r="DU201" s="239">
        <v>-44172</v>
      </c>
      <c r="DV201" s="239">
        <v>-5544</v>
      </c>
      <c r="DW201" s="239">
        <v>0</v>
      </c>
      <c r="DX201" s="239">
        <v>-5544</v>
      </c>
      <c r="DY201" s="239">
        <v>0</v>
      </c>
      <c r="DZ201" s="239">
        <v>0</v>
      </c>
      <c r="EA201" s="239">
        <v>0</v>
      </c>
      <c r="EB201" s="239">
        <v>3097</v>
      </c>
      <c r="EC201" s="239">
        <v>0</v>
      </c>
      <c r="ED201" s="239">
        <v>3097</v>
      </c>
      <c r="EE201" s="239">
        <v>0</v>
      </c>
      <c r="EF201" s="239">
        <v>0</v>
      </c>
      <c r="EG201" s="239">
        <v>0</v>
      </c>
      <c r="EH201" s="239">
        <v>0</v>
      </c>
      <c r="EI201" s="239">
        <v>0</v>
      </c>
      <c r="EJ201" s="239">
        <v>0</v>
      </c>
      <c r="EK201" s="239">
        <v>-6336</v>
      </c>
      <c r="EL201" s="239">
        <v>0</v>
      </c>
      <c r="EM201" s="239">
        <v>-6336</v>
      </c>
      <c r="EN201" s="239">
        <v>886</v>
      </c>
      <c r="EO201" s="239">
        <v>0</v>
      </c>
      <c r="EP201" s="239">
        <v>886</v>
      </c>
      <c r="EQ201" s="239">
        <v>-112425</v>
      </c>
      <c r="ER201" s="239">
        <v>0</v>
      </c>
      <c r="ES201" s="239">
        <v>-112425</v>
      </c>
      <c r="ET201" s="239">
        <v>0</v>
      </c>
      <c r="EU201" s="239">
        <v>0</v>
      </c>
      <c r="EV201" s="239">
        <v>0</v>
      </c>
      <c r="EW201" s="239">
        <v>0</v>
      </c>
      <c r="EX201" s="239">
        <v>0</v>
      </c>
      <c r="EY201" s="239">
        <v>0</v>
      </c>
      <c r="EZ201" s="239">
        <v>0</v>
      </c>
      <c r="FA201" s="239">
        <v>0</v>
      </c>
      <c r="FB201" s="239">
        <v>0</v>
      </c>
      <c r="FC201" s="239">
        <v>106530806</v>
      </c>
      <c r="FD201" s="239">
        <v>0</v>
      </c>
      <c r="FE201" s="239">
        <v>106530806</v>
      </c>
      <c r="FF201" s="239">
        <v>511333</v>
      </c>
      <c r="FG201" s="239">
        <v>0</v>
      </c>
      <c r="FH201" s="239">
        <v>511333</v>
      </c>
      <c r="FI201" s="239">
        <v>-19642427</v>
      </c>
      <c r="FJ201" s="239">
        <v>0</v>
      </c>
      <c r="FK201" s="239">
        <v>-19642427</v>
      </c>
      <c r="FL201" s="239">
        <v>-1120433</v>
      </c>
      <c r="FM201" s="239">
        <v>0</v>
      </c>
      <c r="FN201" s="239">
        <v>-1120433</v>
      </c>
      <c r="FO201" s="239">
        <v>-40489</v>
      </c>
      <c r="FP201" s="239">
        <v>0</v>
      </c>
      <c r="FQ201" s="239">
        <v>-40489</v>
      </c>
      <c r="FR201" s="239">
        <v>-112425</v>
      </c>
      <c r="FS201" s="239">
        <v>0</v>
      </c>
      <c r="FT201" s="239">
        <v>-112425</v>
      </c>
      <c r="FU201" s="239">
        <v>0</v>
      </c>
      <c r="FV201" s="239">
        <v>0</v>
      </c>
      <c r="FW201" s="239">
        <v>0</v>
      </c>
      <c r="FX201" s="239">
        <v>-20404441</v>
      </c>
      <c r="FY201" s="239">
        <v>0</v>
      </c>
      <c r="FZ201" s="239">
        <v>-20404441</v>
      </c>
      <c r="GA201" s="239">
        <v>86126365</v>
      </c>
      <c r="GB201" s="239">
        <v>0</v>
      </c>
      <c r="GC201" s="239">
        <v>86126365</v>
      </c>
      <c r="GD201" s="214" t="s">
        <v>1190</v>
      </c>
    </row>
    <row r="202" spans="2:186" s="214" customFormat="1" x14ac:dyDescent="0.2">
      <c r="B202" s="609" t="s">
        <v>486</v>
      </c>
      <c r="C202" s="609" t="s">
        <v>485</v>
      </c>
      <c r="D202" s="239">
        <v>0</v>
      </c>
      <c r="E202" s="239">
        <v>0</v>
      </c>
      <c r="F202" s="239">
        <v>0</v>
      </c>
      <c r="G202" s="239">
        <v>5966</v>
      </c>
      <c r="H202" s="239">
        <v>0</v>
      </c>
      <c r="I202" s="239">
        <v>5966</v>
      </c>
      <c r="J202" s="239">
        <v>0</v>
      </c>
      <c r="K202" s="239">
        <v>0</v>
      </c>
      <c r="L202" s="239">
        <v>0</v>
      </c>
      <c r="M202" s="239">
        <v>2531</v>
      </c>
      <c r="N202" s="239">
        <v>0</v>
      </c>
      <c r="O202" s="239">
        <v>2531</v>
      </c>
      <c r="P202" s="239">
        <v>8497</v>
      </c>
      <c r="Q202" s="239">
        <v>0</v>
      </c>
      <c r="R202" s="239">
        <v>8497</v>
      </c>
      <c r="S202" s="239">
        <v>-2928812</v>
      </c>
      <c r="T202" s="239">
        <v>0</v>
      </c>
      <c r="U202" s="239">
        <v>-2928812</v>
      </c>
      <c r="V202" s="239">
        <v>0</v>
      </c>
      <c r="W202" s="239">
        <v>0</v>
      </c>
      <c r="X202" s="239">
        <v>0</v>
      </c>
      <c r="Y202" s="239">
        <v>-101659</v>
      </c>
      <c r="Z202" s="239">
        <v>0</v>
      </c>
      <c r="AA202" s="239">
        <v>-101659</v>
      </c>
      <c r="AB202" s="239">
        <v>-72573</v>
      </c>
      <c r="AC202" s="239">
        <v>0</v>
      </c>
      <c r="AD202" s="239">
        <v>-72573</v>
      </c>
      <c r="AE202" s="239">
        <v>0</v>
      </c>
      <c r="AF202" s="239">
        <v>0</v>
      </c>
      <c r="AG202" s="239">
        <v>0</v>
      </c>
      <c r="AH202" s="239">
        <v>536370</v>
      </c>
      <c r="AI202" s="239">
        <v>0</v>
      </c>
      <c r="AJ202" s="239">
        <v>536370</v>
      </c>
      <c r="AK202" s="239">
        <v>0</v>
      </c>
      <c r="AL202" s="239">
        <v>0</v>
      </c>
      <c r="AM202" s="239">
        <v>0</v>
      </c>
      <c r="AN202" s="239">
        <v>-1198020</v>
      </c>
      <c r="AO202" s="239">
        <v>0</v>
      </c>
      <c r="AP202" s="239">
        <v>-1198020</v>
      </c>
      <c r="AQ202" s="239">
        <v>-9964</v>
      </c>
      <c r="AR202" s="239">
        <v>0</v>
      </c>
      <c r="AS202" s="239">
        <v>-9964</v>
      </c>
      <c r="AT202" s="239">
        <v>0</v>
      </c>
      <c r="AU202" s="239">
        <v>0</v>
      </c>
      <c r="AV202" s="239">
        <v>0</v>
      </c>
      <c r="AW202" s="239">
        <v>0</v>
      </c>
      <c r="AX202" s="239">
        <v>0</v>
      </c>
      <c r="AY202" s="239">
        <v>0</v>
      </c>
      <c r="AZ202" s="239">
        <v>-951</v>
      </c>
      <c r="BA202" s="239">
        <v>0</v>
      </c>
      <c r="BB202" s="239">
        <v>-951</v>
      </c>
      <c r="BC202" s="239">
        <v>0</v>
      </c>
      <c r="BD202" s="239">
        <v>0</v>
      </c>
      <c r="BE202" s="239">
        <v>0</v>
      </c>
      <c r="BF202" s="239">
        <v>-3703036</v>
      </c>
      <c r="BG202" s="239">
        <v>0</v>
      </c>
      <c r="BH202" s="239">
        <v>-3703036</v>
      </c>
      <c r="BI202" s="239">
        <v>0</v>
      </c>
      <c r="BJ202" s="239">
        <v>0</v>
      </c>
      <c r="BK202" s="239">
        <v>0</v>
      </c>
      <c r="BL202" s="239">
        <v>0</v>
      </c>
      <c r="BM202" s="239">
        <v>0</v>
      </c>
      <c r="BN202" s="239">
        <v>0</v>
      </c>
      <c r="BO202" s="239">
        <v>-1002015</v>
      </c>
      <c r="BP202" s="239">
        <v>0</v>
      </c>
      <c r="BQ202" s="239">
        <v>-1002015</v>
      </c>
      <c r="BR202" s="239">
        <v>17216</v>
      </c>
      <c r="BS202" s="239">
        <v>0</v>
      </c>
      <c r="BT202" s="239">
        <v>17216</v>
      </c>
      <c r="BU202" s="239">
        <v>-984799</v>
      </c>
      <c r="BV202" s="239">
        <v>0</v>
      </c>
      <c r="BW202" s="239">
        <v>-984799</v>
      </c>
      <c r="BX202" s="239">
        <v>-128007</v>
      </c>
      <c r="BY202" s="239">
        <v>0</v>
      </c>
      <c r="BZ202" s="239">
        <v>-128007</v>
      </c>
      <c r="CA202" s="239">
        <v>-455</v>
      </c>
      <c r="CB202" s="239">
        <v>0</v>
      </c>
      <c r="CC202" s="239">
        <v>-455</v>
      </c>
      <c r="CD202" s="239">
        <v>-116105</v>
      </c>
      <c r="CE202" s="239">
        <v>0</v>
      </c>
      <c r="CF202" s="239">
        <v>-116105</v>
      </c>
      <c r="CG202" s="239">
        <v>1263</v>
      </c>
      <c r="CH202" s="239">
        <v>0</v>
      </c>
      <c r="CI202" s="239">
        <v>1263</v>
      </c>
      <c r="CJ202" s="239">
        <v>0</v>
      </c>
      <c r="CK202" s="239">
        <v>0</v>
      </c>
      <c r="CL202" s="239">
        <v>0</v>
      </c>
      <c r="CM202" s="239">
        <v>0</v>
      </c>
      <c r="CN202" s="239">
        <v>0</v>
      </c>
      <c r="CO202" s="239">
        <v>0</v>
      </c>
      <c r="CP202" s="239">
        <v>-951</v>
      </c>
      <c r="CQ202" s="239">
        <v>0</v>
      </c>
      <c r="CR202" s="239">
        <v>-951</v>
      </c>
      <c r="CS202" s="239">
        <v>0</v>
      </c>
      <c r="CT202" s="239">
        <v>0</v>
      </c>
      <c r="CU202" s="239">
        <v>0</v>
      </c>
      <c r="CV202" s="239">
        <v>0</v>
      </c>
      <c r="CW202" s="239">
        <v>0</v>
      </c>
      <c r="CX202" s="239">
        <v>0</v>
      </c>
      <c r="CY202" s="239">
        <v>0</v>
      </c>
      <c r="CZ202" s="239">
        <v>0</v>
      </c>
      <c r="DA202" s="239">
        <v>0</v>
      </c>
      <c r="DB202" s="239">
        <v>0</v>
      </c>
      <c r="DC202" s="239">
        <v>0</v>
      </c>
      <c r="DD202" s="239">
        <v>0</v>
      </c>
      <c r="DE202" s="239">
        <v>0</v>
      </c>
      <c r="DF202" s="239">
        <v>0</v>
      </c>
      <c r="DG202" s="239">
        <v>0</v>
      </c>
      <c r="DH202" s="239">
        <v>0</v>
      </c>
      <c r="DI202" s="239">
        <v>0</v>
      </c>
      <c r="DJ202" s="239">
        <v>-244255</v>
      </c>
      <c r="DK202" s="239">
        <v>0</v>
      </c>
      <c r="DL202" s="239">
        <v>-244255</v>
      </c>
      <c r="DM202" s="239">
        <v>0</v>
      </c>
      <c r="DN202" s="239">
        <v>0</v>
      </c>
      <c r="DO202" s="239">
        <v>0</v>
      </c>
      <c r="DP202" s="239">
        <v>0</v>
      </c>
      <c r="DQ202" s="239">
        <v>0</v>
      </c>
      <c r="DR202" s="239">
        <v>0</v>
      </c>
      <c r="DS202" s="239">
        <v>-3460</v>
      </c>
      <c r="DT202" s="239">
        <v>0</v>
      </c>
      <c r="DU202" s="239">
        <v>-3460</v>
      </c>
      <c r="DV202" s="239">
        <v>0</v>
      </c>
      <c r="DW202" s="239">
        <v>0</v>
      </c>
      <c r="DX202" s="239">
        <v>0</v>
      </c>
      <c r="DY202" s="239">
        <v>0</v>
      </c>
      <c r="DZ202" s="239">
        <v>0</v>
      </c>
      <c r="EA202" s="239">
        <v>0</v>
      </c>
      <c r="EB202" s="239">
        <v>-4288</v>
      </c>
      <c r="EC202" s="239">
        <v>0</v>
      </c>
      <c r="ED202" s="239">
        <v>-4288</v>
      </c>
      <c r="EE202" s="239">
        <v>0</v>
      </c>
      <c r="EF202" s="239">
        <v>0</v>
      </c>
      <c r="EG202" s="239">
        <v>0</v>
      </c>
      <c r="EH202" s="239">
        <v>-201</v>
      </c>
      <c r="EI202" s="239">
        <v>0</v>
      </c>
      <c r="EJ202" s="239">
        <v>-201</v>
      </c>
      <c r="EK202" s="239">
        <v>0</v>
      </c>
      <c r="EL202" s="239">
        <v>0</v>
      </c>
      <c r="EM202" s="239">
        <v>0</v>
      </c>
      <c r="EN202" s="239">
        <v>0</v>
      </c>
      <c r="EO202" s="239">
        <v>0</v>
      </c>
      <c r="EP202" s="239">
        <v>0</v>
      </c>
      <c r="EQ202" s="239">
        <v>-7949</v>
      </c>
      <c r="ER202" s="239">
        <v>0</v>
      </c>
      <c r="ES202" s="239">
        <v>-7949</v>
      </c>
      <c r="ET202" s="239">
        <v>-578</v>
      </c>
      <c r="EU202" s="239">
        <v>0</v>
      </c>
      <c r="EV202" s="239">
        <v>-578</v>
      </c>
      <c r="EW202" s="239">
        <v>0</v>
      </c>
      <c r="EX202" s="239">
        <v>0</v>
      </c>
      <c r="EY202" s="239">
        <v>0</v>
      </c>
      <c r="EZ202" s="239">
        <v>-578</v>
      </c>
      <c r="FA202" s="239">
        <v>0</v>
      </c>
      <c r="FB202" s="239">
        <v>-578</v>
      </c>
      <c r="FC202" s="239">
        <v>25236205</v>
      </c>
      <c r="FD202" s="239">
        <v>0</v>
      </c>
      <c r="FE202" s="239">
        <v>25236205</v>
      </c>
      <c r="FF202" s="239">
        <v>8497</v>
      </c>
      <c r="FG202" s="239">
        <v>0</v>
      </c>
      <c r="FH202" s="239">
        <v>8497</v>
      </c>
      <c r="FI202" s="239">
        <v>-3703036</v>
      </c>
      <c r="FJ202" s="239">
        <v>0</v>
      </c>
      <c r="FK202" s="239">
        <v>-3703036</v>
      </c>
      <c r="FL202" s="239">
        <v>-984799</v>
      </c>
      <c r="FM202" s="239">
        <v>0</v>
      </c>
      <c r="FN202" s="239">
        <v>-984799</v>
      </c>
      <c r="FO202" s="239">
        <v>-244255</v>
      </c>
      <c r="FP202" s="239">
        <v>0</v>
      </c>
      <c r="FQ202" s="239">
        <v>-244255</v>
      </c>
      <c r="FR202" s="239">
        <v>-7949</v>
      </c>
      <c r="FS202" s="239">
        <v>0</v>
      </c>
      <c r="FT202" s="239">
        <v>-7949</v>
      </c>
      <c r="FU202" s="239">
        <v>-578</v>
      </c>
      <c r="FV202" s="239">
        <v>0</v>
      </c>
      <c r="FW202" s="239">
        <v>-578</v>
      </c>
      <c r="FX202" s="239">
        <v>-4932120</v>
      </c>
      <c r="FY202" s="239">
        <v>0</v>
      </c>
      <c r="FZ202" s="239">
        <v>-4932120</v>
      </c>
      <c r="GA202" s="239">
        <v>20304085</v>
      </c>
      <c r="GB202" s="239">
        <v>0</v>
      </c>
      <c r="GC202" s="239">
        <v>20304085</v>
      </c>
      <c r="GD202" s="214" t="s">
        <v>1190</v>
      </c>
    </row>
    <row r="203" spans="2:186" s="214" customFormat="1" x14ac:dyDescent="0.2">
      <c r="B203" s="609" t="s">
        <v>488</v>
      </c>
      <c r="C203" s="609" t="s">
        <v>487</v>
      </c>
      <c r="D203" s="239">
        <v>0</v>
      </c>
      <c r="E203" s="239">
        <v>0</v>
      </c>
      <c r="F203" s="239">
        <v>0</v>
      </c>
      <c r="G203" s="239">
        <v>1758998</v>
      </c>
      <c r="H203" s="239">
        <v>0</v>
      </c>
      <c r="I203" s="239">
        <v>1758998</v>
      </c>
      <c r="J203" s="239">
        <v>0</v>
      </c>
      <c r="K203" s="239">
        <v>0</v>
      </c>
      <c r="L203" s="239">
        <v>0</v>
      </c>
      <c r="M203" s="239">
        <v>151300</v>
      </c>
      <c r="N203" s="239">
        <v>0</v>
      </c>
      <c r="O203" s="239">
        <v>151300</v>
      </c>
      <c r="P203" s="239">
        <v>1910298</v>
      </c>
      <c r="Q203" s="239">
        <v>0</v>
      </c>
      <c r="R203" s="239">
        <v>1910298</v>
      </c>
      <c r="S203" s="239">
        <v>-3362317</v>
      </c>
      <c r="T203" s="239">
        <v>0</v>
      </c>
      <c r="U203" s="239">
        <v>-3362317</v>
      </c>
      <c r="V203" s="239">
        <v>-17404</v>
      </c>
      <c r="W203" s="239">
        <v>0</v>
      </c>
      <c r="X203" s="239">
        <v>-17404</v>
      </c>
      <c r="Y203" s="239">
        <v>-130620</v>
      </c>
      <c r="Z203" s="239">
        <v>0</v>
      </c>
      <c r="AA203" s="239">
        <v>-130620</v>
      </c>
      <c r="AB203" s="239">
        <v>-80001</v>
      </c>
      <c r="AC203" s="239">
        <v>0</v>
      </c>
      <c r="AD203" s="239">
        <v>-80001</v>
      </c>
      <c r="AE203" s="239">
        <v>-1563</v>
      </c>
      <c r="AF203" s="239">
        <v>0</v>
      </c>
      <c r="AG203" s="239">
        <v>-1563</v>
      </c>
      <c r="AH203" s="239">
        <v>2694012</v>
      </c>
      <c r="AI203" s="239">
        <v>0</v>
      </c>
      <c r="AJ203" s="239">
        <v>2694012</v>
      </c>
      <c r="AK203" s="239">
        <v>-93578</v>
      </c>
      <c r="AL203" s="239">
        <v>0</v>
      </c>
      <c r="AM203" s="239">
        <v>-93578</v>
      </c>
      <c r="AN203" s="239">
        <v>-6224139</v>
      </c>
      <c r="AO203" s="239">
        <v>0</v>
      </c>
      <c r="AP203" s="239">
        <v>-6224139</v>
      </c>
      <c r="AQ203" s="239">
        <v>24738</v>
      </c>
      <c r="AR203" s="239">
        <v>0</v>
      </c>
      <c r="AS203" s="239">
        <v>24738</v>
      </c>
      <c r="AT203" s="239">
        <v>-60584</v>
      </c>
      <c r="AU203" s="239">
        <v>0</v>
      </c>
      <c r="AV203" s="239">
        <v>-60584</v>
      </c>
      <c r="AW203" s="239">
        <v>0</v>
      </c>
      <c r="AX203" s="239">
        <v>0</v>
      </c>
      <c r="AY203" s="239">
        <v>0</v>
      </c>
      <c r="AZ203" s="239">
        <v>-16153</v>
      </c>
      <c r="BA203" s="239">
        <v>0</v>
      </c>
      <c r="BB203" s="239">
        <v>-16153</v>
      </c>
      <c r="BC203" s="239">
        <v>-2527</v>
      </c>
      <c r="BD203" s="239">
        <v>0</v>
      </c>
      <c r="BE203" s="239">
        <v>-2527</v>
      </c>
      <c r="BF203" s="239">
        <v>-7171168</v>
      </c>
      <c r="BG203" s="239">
        <v>0</v>
      </c>
      <c r="BH203" s="239">
        <v>-7171168</v>
      </c>
      <c r="BI203" s="239">
        <v>-5379</v>
      </c>
      <c r="BJ203" s="239">
        <v>0</v>
      </c>
      <c r="BK203" s="239">
        <v>-5379</v>
      </c>
      <c r="BL203" s="239">
        <v>237488</v>
      </c>
      <c r="BM203" s="239">
        <v>0</v>
      </c>
      <c r="BN203" s="239">
        <v>237488</v>
      </c>
      <c r="BO203" s="239">
        <v>-2333672</v>
      </c>
      <c r="BP203" s="239">
        <v>0</v>
      </c>
      <c r="BQ203" s="239">
        <v>-2333672</v>
      </c>
      <c r="BR203" s="239">
        <v>-79750</v>
      </c>
      <c r="BS203" s="239">
        <v>0</v>
      </c>
      <c r="BT203" s="239">
        <v>-79750</v>
      </c>
      <c r="BU203" s="239">
        <v>-2181313</v>
      </c>
      <c r="BV203" s="239">
        <v>0</v>
      </c>
      <c r="BW203" s="239">
        <v>-2181313</v>
      </c>
      <c r="BX203" s="239">
        <v>-306575</v>
      </c>
      <c r="BY203" s="239">
        <v>0</v>
      </c>
      <c r="BZ203" s="239">
        <v>-306575</v>
      </c>
      <c r="CA203" s="239">
        <v>-89782</v>
      </c>
      <c r="CB203" s="239">
        <v>0</v>
      </c>
      <c r="CC203" s="239">
        <v>-89782</v>
      </c>
      <c r="CD203" s="239">
        <v>-51961</v>
      </c>
      <c r="CE203" s="239">
        <v>0</v>
      </c>
      <c r="CF203" s="239">
        <v>-51961</v>
      </c>
      <c r="CG203" s="239">
        <v>-24663</v>
      </c>
      <c r="CH203" s="239">
        <v>0</v>
      </c>
      <c r="CI203" s="239">
        <v>-24663</v>
      </c>
      <c r="CJ203" s="239">
        <v>-3216</v>
      </c>
      <c r="CK203" s="239">
        <v>0</v>
      </c>
      <c r="CL203" s="239">
        <v>-3216</v>
      </c>
      <c r="CM203" s="239">
        <v>-779</v>
      </c>
      <c r="CN203" s="239">
        <v>0</v>
      </c>
      <c r="CO203" s="239">
        <v>-779</v>
      </c>
      <c r="CP203" s="239">
        <v>-3032</v>
      </c>
      <c r="CQ203" s="239">
        <v>0</v>
      </c>
      <c r="CR203" s="239">
        <v>-3032</v>
      </c>
      <c r="CS203" s="239">
        <v>-2527</v>
      </c>
      <c r="CT203" s="239">
        <v>0</v>
      </c>
      <c r="CU203" s="239">
        <v>-2527</v>
      </c>
      <c r="CV203" s="239">
        <v>-445</v>
      </c>
      <c r="CW203" s="239">
        <v>0</v>
      </c>
      <c r="CX203" s="239">
        <v>-445</v>
      </c>
      <c r="CY203" s="239">
        <v>-441</v>
      </c>
      <c r="CZ203" s="239">
        <v>0</v>
      </c>
      <c r="DA203" s="239">
        <v>-441</v>
      </c>
      <c r="DB203" s="239">
        <v>0</v>
      </c>
      <c r="DC203" s="239">
        <v>0</v>
      </c>
      <c r="DD203" s="239">
        <v>0</v>
      </c>
      <c r="DE203" s="239">
        <v>0</v>
      </c>
      <c r="DF203" s="239">
        <v>0</v>
      </c>
      <c r="DG203" s="239">
        <v>0</v>
      </c>
      <c r="DH203" s="239">
        <v>0</v>
      </c>
      <c r="DI203" s="239">
        <v>0</v>
      </c>
      <c r="DJ203" s="239">
        <v>-483421</v>
      </c>
      <c r="DK203" s="239">
        <v>0</v>
      </c>
      <c r="DL203" s="239">
        <v>-483421</v>
      </c>
      <c r="DM203" s="239">
        <v>0</v>
      </c>
      <c r="DN203" s="239">
        <v>0</v>
      </c>
      <c r="DO203" s="239">
        <v>0</v>
      </c>
      <c r="DP203" s="239">
        <v>0</v>
      </c>
      <c r="DQ203" s="239">
        <v>0</v>
      </c>
      <c r="DR203" s="239">
        <v>0</v>
      </c>
      <c r="DS203" s="239">
        <v>-9452</v>
      </c>
      <c r="DT203" s="239">
        <v>0</v>
      </c>
      <c r="DU203" s="239">
        <v>-9452</v>
      </c>
      <c r="DV203" s="239">
        <v>0</v>
      </c>
      <c r="DW203" s="239">
        <v>0</v>
      </c>
      <c r="DX203" s="239">
        <v>0</v>
      </c>
      <c r="DY203" s="239">
        <v>0</v>
      </c>
      <c r="DZ203" s="239">
        <v>0</v>
      </c>
      <c r="EA203" s="239">
        <v>0</v>
      </c>
      <c r="EB203" s="239">
        <v>13362</v>
      </c>
      <c r="EC203" s="239">
        <v>0</v>
      </c>
      <c r="ED203" s="239">
        <v>13362</v>
      </c>
      <c r="EE203" s="239">
        <v>0</v>
      </c>
      <c r="EF203" s="239">
        <v>0</v>
      </c>
      <c r="EG203" s="239">
        <v>0</v>
      </c>
      <c r="EH203" s="239">
        <v>0</v>
      </c>
      <c r="EI203" s="239">
        <v>0</v>
      </c>
      <c r="EJ203" s="239">
        <v>0</v>
      </c>
      <c r="EK203" s="239">
        <v>0</v>
      </c>
      <c r="EL203" s="239">
        <v>0</v>
      </c>
      <c r="EM203" s="239">
        <v>0</v>
      </c>
      <c r="EN203" s="239">
        <v>694</v>
      </c>
      <c r="EO203" s="239">
        <v>0</v>
      </c>
      <c r="EP203" s="239">
        <v>694</v>
      </c>
      <c r="EQ203" s="239">
        <v>4604</v>
      </c>
      <c r="ER203" s="239">
        <v>0</v>
      </c>
      <c r="ES203" s="239">
        <v>4604</v>
      </c>
      <c r="ET203" s="239">
        <v>0</v>
      </c>
      <c r="EU203" s="239">
        <v>0</v>
      </c>
      <c r="EV203" s="239">
        <v>0</v>
      </c>
      <c r="EW203" s="239">
        <v>0</v>
      </c>
      <c r="EX203" s="239">
        <v>0</v>
      </c>
      <c r="EY203" s="239">
        <v>0</v>
      </c>
      <c r="EZ203" s="239">
        <v>0</v>
      </c>
      <c r="FA203" s="239">
        <v>0</v>
      </c>
      <c r="FB203" s="239">
        <v>0</v>
      </c>
      <c r="FC203" s="239">
        <v>107006061</v>
      </c>
      <c r="FD203" s="239">
        <v>0</v>
      </c>
      <c r="FE203" s="239">
        <v>107006061</v>
      </c>
      <c r="FF203" s="239">
        <v>1910298</v>
      </c>
      <c r="FG203" s="239">
        <v>0</v>
      </c>
      <c r="FH203" s="239">
        <v>1910298</v>
      </c>
      <c r="FI203" s="239">
        <v>-7171168</v>
      </c>
      <c r="FJ203" s="239">
        <v>0</v>
      </c>
      <c r="FK203" s="239">
        <v>-7171168</v>
      </c>
      <c r="FL203" s="239">
        <v>-2181313</v>
      </c>
      <c r="FM203" s="239">
        <v>0</v>
      </c>
      <c r="FN203" s="239">
        <v>-2181313</v>
      </c>
      <c r="FO203" s="239">
        <v>-483421</v>
      </c>
      <c r="FP203" s="239">
        <v>0</v>
      </c>
      <c r="FQ203" s="239">
        <v>-483421</v>
      </c>
      <c r="FR203" s="239">
        <v>4604</v>
      </c>
      <c r="FS203" s="239">
        <v>0</v>
      </c>
      <c r="FT203" s="239">
        <v>4604</v>
      </c>
      <c r="FU203" s="239">
        <v>0</v>
      </c>
      <c r="FV203" s="239">
        <v>0</v>
      </c>
      <c r="FW203" s="239">
        <v>0</v>
      </c>
      <c r="FX203" s="239">
        <v>-7921000</v>
      </c>
      <c r="FY203" s="239">
        <v>0</v>
      </c>
      <c r="FZ203" s="239">
        <v>-7921000</v>
      </c>
      <c r="GA203" s="239">
        <v>99085061</v>
      </c>
      <c r="GB203" s="239">
        <v>0</v>
      </c>
      <c r="GC203" s="239">
        <v>99085061</v>
      </c>
      <c r="GD203" s="214" t="s">
        <v>747</v>
      </c>
    </row>
    <row r="204" spans="2:186" s="214" customFormat="1" x14ac:dyDescent="0.2">
      <c r="B204" s="609" t="s">
        <v>490</v>
      </c>
      <c r="C204" s="609" t="s">
        <v>489</v>
      </c>
      <c r="D204" s="239">
        <v>0</v>
      </c>
      <c r="E204" s="239">
        <v>0</v>
      </c>
      <c r="F204" s="239">
        <v>0</v>
      </c>
      <c r="G204" s="239">
        <v>740035</v>
      </c>
      <c r="H204" s="239">
        <v>0</v>
      </c>
      <c r="I204" s="239">
        <v>740035</v>
      </c>
      <c r="J204" s="239">
        <v>0</v>
      </c>
      <c r="K204" s="239">
        <v>0</v>
      </c>
      <c r="L204" s="239">
        <v>0</v>
      </c>
      <c r="M204" s="239">
        <v>39002</v>
      </c>
      <c r="N204" s="239">
        <v>0</v>
      </c>
      <c r="O204" s="239">
        <v>39002</v>
      </c>
      <c r="P204" s="239">
        <v>779037</v>
      </c>
      <c r="Q204" s="239">
        <v>0</v>
      </c>
      <c r="R204" s="239">
        <v>779037</v>
      </c>
      <c r="S204" s="239">
        <v>-4849878</v>
      </c>
      <c r="T204" s="239">
        <v>0</v>
      </c>
      <c r="U204" s="239">
        <v>-4849878</v>
      </c>
      <c r="V204" s="239">
        <v>-1717</v>
      </c>
      <c r="W204" s="239">
        <v>0</v>
      </c>
      <c r="X204" s="239">
        <v>-1717</v>
      </c>
      <c r="Y204" s="239">
        <v>-169336</v>
      </c>
      <c r="Z204" s="239">
        <v>0</v>
      </c>
      <c r="AA204" s="239">
        <v>-169336</v>
      </c>
      <c r="AB204" s="239">
        <v>-169011</v>
      </c>
      <c r="AC204" s="239">
        <v>0</v>
      </c>
      <c r="AD204" s="239">
        <v>-169011</v>
      </c>
      <c r="AE204" s="239">
        <v>-325</v>
      </c>
      <c r="AF204" s="239">
        <v>0</v>
      </c>
      <c r="AG204" s="239">
        <v>-325</v>
      </c>
      <c r="AH204" s="239">
        <v>2595239</v>
      </c>
      <c r="AI204" s="239">
        <v>0</v>
      </c>
      <c r="AJ204" s="239">
        <v>2595239</v>
      </c>
      <c r="AK204" s="239">
        <v>-79662</v>
      </c>
      <c r="AL204" s="239">
        <v>0</v>
      </c>
      <c r="AM204" s="239">
        <v>-79662</v>
      </c>
      <c r="AN204" s="239">
        <v>-10383450</v>
      </c>
      <c r="AO204" s="239">
        <v>0</v>
      </c>
      <c r="AP204" s="239">
        <v>-10383450</v>
      </c>
      <c r="AQ204" s="239">
        <v>28755</v>
      </c>
      <c r="AR204" s="239">
        <v>0</v>
      </c>
      <c r="AS204" s="239">
        <v>28755</v>
      </c>
      <c r="AT204" s="239">
        <v>-11479</v>
      </c>
      <c r="AU204" s="239">
        <v>0</v>
      </c>
      <c r="AV204" s="239">
        <v>-11479</v>
      </c>
      <c r="AW204" s="239">
        <v>0</v>
      </c>
      <c r="AX204" s="239">
        <v>0</v>
      </c>
      <c r="AY204" s="239">
        <v>0</v>
      </c>
      <c r="AZ204" s="239">
        <v>0</v>
      </c>
      <c r="BA204" s="239">
        <v>0</v>
      </c>
      <c r="BB204" s="239">
        <v>0</v>
      </c>
      <c r="BC204" s="239">
        <v>0</v>
      </c>
      <c r="BD204" s="239">
        <v>0</v>
      </c>
      <c r="BE204" s="239">
        <v>0</v>
      </c>
      <c r="BF204" s="239">
        <v>-12869811</v>
      </c>
      <c r="BG204" s="239">
        <v>0</v>
      </c>
      <c r="BH204" s="239">
        <v>-12869811</v>
      </c>
      <c r="BI204" s="239">
        <v>-28576</v>
      </c>
      <c r="BJ204" s="239">
        <v>0</v>
      </c>
      <c r="BK204" s="239">
        <v>-28576</v>
      </c>
      <c r="BL204" s="239">
        <v>718</v>
      </c>
      <c r="BM204" s="239">
        <v>0</v>
      </c>
      <c r="BN204" s="239">
        <v>718</v>
      </c>
      <c r="BO204" s="239">
        <v>-2936964</v>
      </c>
      <c r="BP204" s="239">
        <v>0</v>
      </c>
      <c r="BQ204" s="239">
        <v>-2936964</v>
      </c>
      <c r="BR204" s="239">
        <v>-101528</v>
      </c>
      <c r="BS204" s="239">
        <v>0</v>
      </c>
      <c r="BT204" s="239">
        <v>-101528</v>
      </c>
      <c r="BU204" s="239">
        <v>-3066350</v>
      </c>
      <c r="BV204" s="239">
        <v>0</v>
      </c>
      <c r="BW204" s="239">
        <v>-3066350</v>
      </c>
      <c r="BX204" s="239">
        <v>0</v>
      </c>
      <c r="BY204" s="239">
        <v>0</v>
      </c>
      <c r="BZ204" s="239">
        <v>0</v>
      </c>
      <c r="CA204" s="239">
        <v>0</v>
      </c>
      <c r="CB204" s="239">
        <v>0</v>
      </c>
      <c r="CC204" s="239">
        <v>0</v>
      </c>
      <c r="CD204" s="239">
        <v>-63275</v>
      </c>
      <c r="CE204" s="239">
        <v>0</v>
      </c>
      <c r="CF204" s="239">
        <v>-63275</v>
      </c>
      <c r="CG204" s="239">
        <v>10152</v>
      </c>
      <c r="CH204" s="239">
        <v>0</v>
      </c>
      <c r="CI204" s="239">
        <v>10152</v>
      </c>
      <c r="CJ204" s="239">
        <v>0</v>
      </c>
      <c r="CK204" s="239">
        <v>0</v>
      </c>
      <c r="CL204" s="239">
        <v>0</v>
      </c>
      <c r="CM204" s="239">
        <v>0</v>
      </c>
      <c r="CN204" s="239">
        <v>0</v>
      </c>
      <c r="CO204" s="239">
        <v>0</v>
      </c>
      <c r="CP204" s="239">
        <v>0</v>
      </c>
      <c r="CQ204" s="239">
        <v>0</v>
      </c>
      <c r="CR204" s="239">
        <v>0</v>
      </c>
      <c r="CS204" s="239">
        <v>0</v>
      </c>
      <c r="CT204" s="239">
        <v>0</v>
      </c>
      <c r="CU204" s="239">
        <v>0</v>
      </c>
      <c r="CV204" s="239">
        <v>0</v>
      </c>
      <c r="CW204" s="239">
        <v>0</v>
      </c>
      <c r="CX204" s="239">
        <v>0</v>
      </c>
      <c r="CY204" s="239">
        <v>0</v>
      </c>
      <c r="CZ204" s="239">
        <v>0</v>
      </c>
      <c r="DA204" s="239">
        <v>0</v>
      </c>
      <c r="DB204" s="239">
        <v>-65347</v>
      </c>
      <c r="DC204" s="239">
        <v>0</v>
      </c>
      <c r="DD204" s="239">
        <v>-65347</v>
      </c>
      <c r="DE204" s="239">
        <v>-25705</v>
      </c>
      <c r="DF204" s="239">
        <v>0</v>
      </c>
      <c r="DG204" s="239">
        <v>-25705</v>
      </c>
      <c r="DH204" s="239">
        <v>0</v>
      </c>
      <c r="DI204" s="239">
        <v>0</v>
      </c>
      <c r="DJ204" s="239">
        <v>-144175</v>
      </c>
      <c r="DK204" s="239">
        <v>0</v>
      </c>
      <c r="DL204" s="239">
        <v>-144175</v>
      </c>
      <c r="DM204" s="239">
        <v>-36033</v>
      </c>
      <c r="DN204" s="239">
        <v>0</v>
      </c>
      <c r="DO204" s="239">
        <v>-36033</v>
      </c>
      <c r="DP204" s="239">
        <v>5391</v>
      </c>
      <c r="DQ204" s="239">
        <v>0</v>
      </c>
      <c r="DR204" s="239">
        <v>5391</v>
      </c>
      <c r="DS204" s="239">
        <v>-180131</v>
      </c>
      <c r="DT204" s="239">
        <v>0</v>
      </c>
      <c r="DU204" s="239">
        <v>-180131</v>
      </c>
      <c r="DV204" s="239">
        <v>-9795</v>
      </c>
      <c r="DW204" s="239">
        <v>0</v>
      </c>
      <c r="DX204" s="239">
        <v>-9795</v>
      </c>
      <c r="DY204" s="239">
        <v>0</v>
      </c>
      <c r="DZ204" s="239">
        <v>0</v>
      </c>
      <c r="EA204" s="239">
        <v>0</v>
      </c>
      <c r="EB204" s="239">
        <v>-6867</v>
      </c>
      <c r="EC204" s="239">
        <v>0</v>
      </c>
      <c r="ED204" s="239">
        <v>-6867</v>
      </c>
      <c r="EE204" s="239">
        <v>0</v>
      </c>
      <c r="EF204" s="239">
        <v>0</v>
      </c>
      <c r="EG204" s="239">
        <v>0</v>
      </c>
      <c r="EH204" s="239">
        <v>0</v>
      </c>
      <c r="EI204" s="239">
        <v>0</v>
      </c>
      <c r="EJ204" s="239">
        <v>0</v>
      </c>
      <c r="EK204" s="239">
        <v>-3734</v>
      </c>
      <c r="EL204" s="239">
        <v>0</v>
      </c>
      <c r="EM204" s="239">
        <v>-3734</v>
      </c>
      <c r="EN204" s="239">
        <v>1055</v>
      </c>
      <c r="EO204" s="239">
        <v>0</v>
      </c>
      <c r="EP204" s="239">
        <v>1055</v>
      </c>
      <c r="EQ204" s="239">
        <v>-230114</v>
      </c>
      <c r="ER204" s="239">
        <v>0</v>
      </c>
      <c r="ES204" s="239">
        <v>-230114</v>
      </c>
      <c r="ET204" s="239">
        <v>-72504</v>
      </c>
      <c r="EU204" s="239">
        <v>0</v>
      </c>
      <c r="EV204" s="239">
        <v>-72504</v>
      </c>
      <c r="EW204" s="239">
        <v>192</v>
      </c>
      <c r="EX204" s="239">
        <v>0</v>
      </c>
      <c r="EY204" s="239">
        <v>192</v>
      </c>
      <c r="EZ204" s="239">
        <v>-72312</v>
      </c>
      <c r="FA204" s="239">
        <v>0</v>
      </c>
      <c r="FB204" s="239">
        <v>-72312</v>
      </c>
      <c r="FC204" s="239">
        <v>107218498</v>
      </c>
      <c r="FD204" s="239">
        <v>0</v>
      </c>
      <c r="FE204" s="239">
        <v>107218498</v>
      </c>
      <c r="FF204" s="239">
        <v>779037</v>
      </c>
      <c r="FG204" s="239">
        <v>0</v>
      </c>
      <c r="FH204" s="239">
        <v>779037</v>
      </c>
      <c r="FI204" s="239">
        <v>-12869811</v>
      </c>
      <c r="FJ204" s="239">
        <v>0</v>
      </c>
      <c r="FK204" s="239">
        <v>-12869811</v>
      </c>
      <c r="FL204" s="239">
        <v>-3066350</v>
      </c>
      <c r="FM204" s="239">
        <v>0</v>
      </c>
      <c r="FN204" s="239">
        <v>-3066350</v>
      </c>
      <c r="FO204" s="239">
        <v>-144175</v>
      </c>
      <c r="FP204" s="239">
        <v>0</v>
      </c>
      <c r="FQ204" s="239">
        <v>-144175</v>
      </c>
      <c r="FR204" s="239">
        <v>-230114</v>
      </c>
      <c r="FS204" s="239">
        <v>0</v>
      </c>
      <c r="FT204" s="239">
        <v>-230114</v>
      </c>
      <c r="FU204" s="239">
        <v>-72312</v>
      </c>
      <c r="FV204" s="239">
        <v>0</v>
      </c>
      <c r="FW204" s="239">
        <v>-72312</v>
      </c>
      <c r="FX204" s="239">
        <v>-15603725</v>
      </c>
      <c r="FY204" s="239">
        <v>0</v>
      </c>
      <c r="FZ204" s="239">
        <v>-15603725</v>
      </c>
      <c r="GA204" s="239">
        <v>91614773</v>
      </c>
      <c r="GB204" s="239">
        <v>0</v>
      </c>
      <c r="GC204" s="239">
        <v>91614773</v>
      </c>
      <c r="GD204" s="214" t="s">
        <v>747</v>
      </c>
    </row>
    <row r="205" spans="2:186" s="214" customFormat="1" x14ac:dyDescent="0.2">
      <c r="B205" s="609" t="s">
        <v>492</v>
      </c>
      <c r="C205" s="609" t="s">
        <v>491</v>
      </c>
      <c r="D205" s="239">
        <v>0</v>
      </c>
      <c r="E205" s="239">
        <v>0</v>
      </c>
      <c r="F205" s="239">
        <v>0</v>
      </c>
      <c r="G205" s="239">
        <v>-20107</v>
      </c>
      <c r="H205" s="239">
        <v>0</v>
      </c>
      <c r="I205" s="239">
        <v>-20107</v>
      </c>
      <c r="J205" s="239">
        <v>0</v>
      </c>
      <c r="K205" s="239">
        <v>0</v>
      </c>
      <c r="L205" s="239">
        <v>0</v>
      </c>
      <c r="M205" s="239">
        <v>-35266</v>
      </c>
      <c r="N205" s="239">
        <v>0</v>
      </c>
      <c r="O205" s="239">
        <v>-35266</v>
      </c>
      <c r="P205" s="239">
        <v>-55373</v>
      </c>
      <c r="Q205" s="239">
        <v>0</v>
      </c>
      <c r="R205" s="239">
        <v>-55373</v>
      </c>
      <c r="S205" s="239">
        <v>-3212743</v>
      </c>
      <c r="T205" s="239">
        <v>0</v>
      </c>
      <c r="U205" s="239">
        <v>-3212743</v>
      </c>
      <c r="V205" s="239">
        <v>-5055</v>
      </c>
      <c r="W205" s="239">
        <v>0</v>
      </c>
      <c r="X205" s="239">
        <v>-5055</v>
      </c>
      <c r="Y205" s="239">
        <v>-124245</v>
      </c>
      <c r="Z205" s="239">
        <v>0</v>
      </c>
      <c r="AA205" s="239">
        <v>-124245</v>
      </c>
      <c r="AB205" s="239">
        <v>-91792</v>
      </c>
      <c r="AC205" s="239">
        <v>0</v>
      </c>
      <c r="AD205" s="239">
        <v>-91792</v>
      </c>
      <c r="AE205" s="239">
        <v>-444</v>
      </c>
      <c r="AF205" s="239">
        <v>0</v>
      </c>
      <c r="AG205" s="239">
        <v>-444</v>
      </c>
      <c r="AH205" s="239">
        <v>1731333</v>
      </c>
      <c r="AI205" s="239">
        <v>0</v>
      </c>
      <c r="AJ205" s="239">
        <v>1731333</v>
      </c>
      <c r="AK205" s="239">
        <v>-40993</v>
      </c>
      <c r="AL205" s="239">
        <v>0</v>
      </c>
      <c r="AM205" s="239">
        <v>-40993</v>
      </c>
      <c r="AN205" s="239">
        <v>-5686660</v>
      </c>
      <c r="AO205" s="239">
        <v>0</v>
      </c>
      <c r="AP205" s="239">
        <v>-5686660</v>
      </c>
      <c r="AQ205" s="239">
        <v>-148557</v>
      </c>
      <c r="AR205" s="239">
        <v>0</v>
      </c>
      <c r="AS205" s="239">
        <v>-148557</v>
      </c>
      <c r="AT205" s="239">
        <v>-50989</v>
      </c>
      <c r="AU205" s="239">
        <v>0</v>
      </c>
      <c r="AV205" s="239">
        <v>-50989</v>
      </c>
      <c r="AW205" s="239">
        <v>-3847</v>
      </c>
      <c r="AX205" s="239">
        <v>0</v>
      </c>
      <c r="AY205" s="239">
        <v>-3847</v>
      </c>
      <c r="AZ205" s="239">
        <v>0</v>
      </c>
      <c r="BA205" s="239">
        <v>0</v>
      </c>
      <c r="BB205" s="239">
        <v>0</v>
      </c>
      <c r="BC205" s="239">
        <v>0</v>
      </c>
      <c r="BD205" s="239">
        <v>0</v>
      </c>
      <c r="BE205" s="239">
        <v>0</v>
      </c>
      <c r="BF205" s="239">
        <v>-7536701</v>
      </c>
      <c r="BG205" s="239">
        <v>0</v>
      </c>
      <c r="BH205" s="239">
        <v>-7536701</v>
      </c>
      <c r="BI205" s="239">
        <v>-40519</v>
      </c>
      <c r="BJ205" s="239">
        <v>0</v>
      </c>
      <c r="BK205" s="239">
        <v>-40519</v>
      </c>
      <c r="BL205" s="239">
        <v>-57923</v>
      </c>
      <c r="BM205" s="239">
        <v>0</v>
      </c>
      <c r="BN205" s="239">
        <v>-57923</v>
      </c>
      <c r="BO205" s="239">
        <v>-1665502</v>
      </c>
      <c r="BP205" s="239">
        <v>0</v>
      </c>
      <c r="BQ205" s="239">
        <v>-1665502</v>
      </c>
      <c r="BR205" s="239">
        <v>7020</v>
      </c>
      <c r="BS205" s="239">
        <v>0</v>
      </c>
      <c r="BT205" s="239">
        <v>7020</v>
      </c>
      <c r="BU205" s="239">
        <v>-1756924</v>
      </c>
      <c r="BV205" s="239">
        <v>0</v>
      </c>
      <c r="BW205" s="239">
        <v>-1756924</v>
      </c>
      <c r="BX205" s="239">
        <v>-182216</v>
      </c>
      <c r="BY205" s="239">
        <v>0</v>
      </c>
      <c r="BZ205" s="239">
        <v>-182216</v>
      </c>
      <c r="CA205" s="239">
        <v>217</v>
      </c>
      <c r="CB205" s="239">
        <v>0</v>
      </c>
      <c r="CC205" s="239">
        <v>217</v>
      </c>
      <c r="CD205" s="239">
        <v>-39718</v>
      </c>
      <c r="CE205" s="239">
        <v>0</v>
      </c>
      <c r="CF205" s="239">
        <v>-39718</v>
      </c>
      <c r="CG205" s="239">
        <v>-1127</v>
      </c>
      <c r="CH205" s="239">
        <v>0</v>
      </c>
      <c r="CI205" s="239">
        <v>-1127</v>
      </c>
      <c r="CJ205" s="239">
        <v>-4557</v>
      </c>
      <c r="CK205" s="239">
        <v>0</v>
      </c>
      <c r="CL205" s="239">
        <v>-4557</v>
      </c>
      <c r="CM205" s="239">
        <v>-209</v>
      </c>
      <c r="CN205" s="239">
        <v>0</v>
      </c>
      <c r="CO205" s="239">
        <v>-209</v>
      </c>
      <c r="CP205" s="239">
        <v>0</v>
      </c>
      <c r="CQ205" s="239">
        <v>0</v>
      </c>
      <c r="CR205" s="239">
        <v>0</v>
      </c>
      <c r="CS205" s="239">
        <v>0</v>
      </c>
      <c r="CT205" s="239">
        <v>0</v>
      </c>
      <c r="CU205" s="239">
        <v>0</v>
      </c>
      <c r="CV205" s="239">
        <v>0</v>
      </c>
      <c r="CW205" s="239">
        <v>0</v>
      </c>
      <c r="CX205" s="239">
        <v>0</v>
      </c>
      <c r="CY205" s="239">
        <v>0</v>
      </c>
      <c r="CZ205" s="239">
        <v>0</v>
      </c>
      <c r="DA205" s="239">
        <v>0</v>
      </c>
      <c r="DB205" s="239">
        <v>0</v>
      </c>
      <c r="DC205" s="239">
        <v>0</v>
      </c>
      <c r="DD205" s="239">
        <v>0</v>
      </c>
      <c r="DE205" s="239">
        <v>0</v>
      </c>
      <c r="DF205" s="239">
        <v>0</v>
      </c>
      <c r="DG205" s="239">
        <v>0</v>
      </c>
      <c r="DH205" s="239">
        <v>0</v>
      </c>
      <c r="DI205" s="239">
        <v>0</v>
      </c>
      <c r="DJ205" s="239">
        <v>-227610</v>
      </c>
      <c r="DK205" s="239">
        <v>0</v>
      </c>
      <c r="DL205" s="239">
        <v>-227610</v>
      </c>
      <c r="DM205" s="239">
        <v>0</v>
      </c>
      <c r="DN205" s="239">
        <v>0</v>
      </c>
      <c r="DO205" s="239">
        <v>0</v>
      </c>
      <c r="DP205" s="239">
        <v>0</v>
      </c>
      <c r="DQ205" s="239">
        <v>0</v>
      </c>
      <c r="DR205" s="239">
        <v>0</v>
      </c>
      <c r="DS205" s="239">
        <v>-22888</v>
      </c>
      <c r="DT205" s="239">
        <v>0</v>
      </c>
      <c r="DU205" s="239">
        <v>-22888</v>
      </c>
      <c r="DV205" s="239">
        <v>2509</v>
      </c>
      <c r="DW205" s="239">
        <v>0</v>
      </c>
      <c r="DX205" s="239">
        <v>2509</v>
      </c>
      <c r="DY205" s="239">
        <v>0</v>
      </c>
      <c r="DZ205" s="239">
        <v>0</v>
      </c>
      <c r="EA205" s="239">
        <v>0</v>
      </c>
      <c r="EB205" s="239">
        <v>8553</v>
      </c>
      <c r="EC205" s="239">
        <v>0</v>
      </c>
      <c r="ED205" s="239">
        <v>8553</v>
      </c>
      <c r="EE205" s="239">
        <v>0</v>
      </c>
      <c r="EF205" s="239">
        <v>0</v>
      </c>
      <c r="EG205" s="239">
        <v>0</v>
      </c>
      <c r="EH205" s="239">
        <v>3774</v>
      </c>
      <c r="EI205" s="239">
        <v>0</v>
      </c>
      <c r="EJ205" s="239">
        <v>3774</v>
      </c>
      <c r="EK205" s="239">
        <v>-5632</v>
      </c>
      <c r="EL205" s="239">
        <v>0</v>
      </c>
      <c r="EM205" s="239">
        <v>-5632</v>
      </c>
      <c r="EN205" s="239">
        <v>216</v>
      </c>
      <c r="EO205" s="239">
        <v>0</v>
      </c>
      <c r="EP205" s="239">
        <v>216</v>
      </c>
      <c r="EQ205" s="239">
        <v>-13468</v>
      </c>
      <c r="ER205" s="239">
        <v>0</v>
      </c>
      <c r="ES205" s="239">
        <v>-13468</v>
      </c>
      <c r="ET205" s="239">
        <v>0</v>
      </c>
      <c r="EU205" s="239">
        <v>0</v>
      </c>
      <c r="EV205" s="239">
        <v>0</v>
      </c>
      <c r="EW205" s="239">
        <v>0</v>
      </c>
      <c r="EX205" s="239">
        <v>0</v>
      </c>
      <c r="EY205" s="239">
        <v>0</v>
      </c>
      <c r="EZ205" s="239">
        <v>0</v>
      </c>
      <c r="FA205" s="239">
        <v>0</v>
      </c>
      <c r="FB205" s="239">
        <v>0</v>
      </c>
      <c r="FC205" s="239">
        <v>72354796</v>
      </c>
      <c r="FD205" s="239">
        <v>0</v>
      </c>
      <c r="FE205" s="239">
        <v>72354796</v>
      </c>
      <c r="FF205" s="239">
        <v>-55373</v>
      </c>
      <c r="FG205" s="239">
        <v>0</v>
      </c>
      <c r="FH205" s="239">
        <v>-55373</v>
      </c>
      <c r="FI205" s="239">
        <v>-7536701</v>
      </c>
      <c r="FJ205" s="239">
        <v>0</v>
      </c>
      <c r="FK205" s="239">
        <v>-7536701</v>
      </c>
      <c r="FL205" s="239">
        <v>-1756924</v>
      </c>
      <c r="FM205" s="239">
        <v>0</v>
      </c>
      <c r="FN205" s="239">
        <v>-1756924</v>
      </c>
      <c r="FO205" s="239">
        <v>-227610</v>
      </c>
      <c r="FP205" s="239">
        <v>0</v>
      </c>
      <c r="FQ205" s="239">
        <v>-227610</v>
      </c>
      <c r="FR205" s="239">
        <v>-13468</v>
      </c>
      <c r="FS205" s="239">
        <v>0</v>
      </c>
      <c r="FT205" s="239">
        <v>-13468</v>
      </c>
      <c r="FU205" s="239">
        <v>0</v>
      </c>
      <c r="FV205" s="239">
        <v>0</v>
      </c>
      <c r="FW205" s="239">
        <v>0</v>
      </c>
      <c r="FX205" s="239">
        <v>-9590076</v>
      </c>
      <c r="FY205" s="239">
        <v>0</v>
      </c>
      <c r="FZ205" s="239">
        <v>-9590076</v>
      </c>
      <c r="GA205" s="239">
        <v>62764720</v>
      </c>
      <c r="GB205" s="239">
        <v>0</v>
      </c>
      <c r="GC205" s="239">
        <v>62764720</v>
      </c>
      <c r="GD205" s="214" t="s">
        <v>747</v>
      </c>
    </row>
    <row r="206" spans="2:186" s="214" customFormat="1" x14ac:dyDescent="0.2">
      <c r="B206" s="609" t="s">
        <v>494</v>
      </c>
      <c r="C206" s="609" t="s">
        <v>493</v>
      </c>
      <c r="D206" s="239">
        <v>0</v>
      </c>
      <c r="E206" s="239">
        <v>0</v>
      </c>
      <c r="F206" s="239">
        <v>0</v>
      </c>
      <c r="G206" s="239">
        <v>717793</v>
      </c>
      <c r="H206" s="239">
        <v>0</v>
      </c>
      <c r="I206" s="239">
        <v>717793</v>
      </c>
      <c r="J206" s="239">
        <v>0</v>
      </c>
      <c r="K206" s="239">
        <v>0</v>
      </c>
      <c r="L206" s="239">
        <v>0</v>
      </c>
      <c r="M206" s="239">
        <v>21831</v>
      </c>
      <c r="N206" s="239">
        <v>0</v>
      </c>
      <c r="O206" s="239">
        <v>21831</v>
      </c>
      <c r="P206" s="239">
        <v>739624</v>
      </c>
      <c r="Q206" s="239">
        <v>0</v>
      </c>
      <c r="R206" s="239">
        <v>739624</v>
      </c>
      <c r="S206" s="239">
        <v>-3766813</v>
      </c>
      <c r="T206" s="239">
        <v>0</v>
      </c>
      <c r="U206" s="239">
        <v>-3766813</v>
      </c>
      <c r="V206" s="239">
        <v>-16212</v>
      </c>
      <c r="W206" s="239">
        <v>0</v>
      </c>
      <c r="X206" s="239">
        <v>-16212</v>
      </c>
      <c r="Y206" s="239">
        <v>-91746</v>
      </c>
      <c r="Z206" s="239">
        <v>0</v>
      </c>
      <c r="AA206" s="239">
        <v>-91746</v>
      </c>
      <c r="AB206" s="239">
        <v>-57722</v>
      </c>
      <c r="AC206" s="239">
        <v>0</v>
      </c>
      <c r="AD206" s="239">
        <v>-57722</v>
      </c>
      <c r="AE206" s="239">
        <v>6062</v>
      </c>
      <c r="AF206" s="239">
        <v>0</v>
      </c>
      <c r="AG206" s="239">
        <v>6062</v>
      </c>
      <c r="AH206" s="239">
        <v>2331710</v>
      </c>
      <c r="AI206" s="239">
        <v>0</v>
      </c>
      <c r="AJ206" s="239">
        <v>2331710</v>
      </c>
      <c r="AK206" s="239">
        <v>0</v>
      </c>
      <c r="AL206" s="239">
        <v>0</v>
      </c>
      <c r="AM206" s="239">
        <v>0</v>
      </c>
      <c r="AN206" s="239">
        <v>-6956859</v>
      </c>
      <c r="AO206" s="239">
        <v>0</v>
      </c>
      <c r="AP206" s="239">
        <v>-6956859</v>
      </c>
      <c r="AQ206" s="239">
        <v>-1119</v>
      </c>
      <c r="AR206" s="239">
        <v>0</v>
      </c>
      <c r="AS206" s="239">
        <v>-1119</v>
      </c>
      <c r="AT206" s="239">
        <v>-34842</v>
      </c>
      <c r="AU206" s="239">
        <v>0</v>
      </c>
      <c r="AV206" s="239">
        <v>-34842</v>
      </c>
      <c r="AW206" s="239">
        <v>0</v>
      </c>
      <c r="AX206" s="239">
        <v>0</v>
      </c>
      <c r="AY206" s="239">
        <v>0</v>
      </c>
      <c r="AZ206" s="239">
        <v>0</v>
      </c>
      <c r="BA206" s="239">
        <v>0</v>
      </c>
      <c r="BB206" s="239">
        <v>0</v>
      </c>
      <c r="BC206" s="239">
        <v>0</v>
      </c>
      <c r="BD206" s="239">
        <v>0</v>
      </c>
      <c r="BE206" s="239">
        <v>0</v>
      </c>
      <c r="BF206" s="239">
        <v>-8519669</v>
      </c>
      <c r="BG206" s="239">
        <v>0</v>
      </c>
      <c r="BH206" s="239">
        <v>-8519669</v>
      </c>
      <c r="BI206" s="239">
        <v>-10927</v>
      </c>
      <c r="BJ206" s="239">
        <v>0</v>
      </c>
      <c r="BK206" s="239">
        <v>-10927</v>
      </c>
      <c r="BL206" s="239">
        <v>1270</v>
      </c>
      <c r="BM206" s="239">
        <v>0</v>
      </c>
      <c r="BN206" s="239">
        <v>1270</v>
      </c>
      <c r="BO206" s="239">
        <v>-2237985</v>
      </c>
      <c r="BP206" s="239">
        <v>0</v>
      </c>
      <c r="BQ206" s="239">
        <v>-2237985</v>
      </c>
      <c r="BR206" s="239">
        <v>-97173</v>
      </c>
      <c r="BS206" s="239">
        <v>0</v>
      </c>
      <c r="BT206" s="239">
        <v>-97173</v>
      </c>
      <c r="BU206" s="239">
        <v>-2344815</v>
      </c>
      <c r="BV206" s="239">
        <v>0</v>
      </c>
      <c r="BW206" s="239">
        <v>-2344815</v>
      </c>
      <c r="BX206" s="239">
        <v>-204932</v>
      </c>
      <c r="BY206" s="239">
        <v>0</v>
      </c>
      <c r="BZ206" s="239">
        <v>-204932</v>
      </c>
      <c r="CA206" s="239">
        <v>557</v>
      </c>
      <c r="CB206" s="239">
        <v>0</v>
      </c>
      <c r="CC206" s="239">
        <v>557</v>
      </c>
      <c r="CD206" s="239">
        <v>0</v>
      </c>
      <c r="CE206" s="239">
        <v>0</v>
      </c>
      <c r="CF206" s="239">
        <v>0</v>
      </c>
      <c r="CG206" s="239">
        <v>0</v>
      </c>
      <c r="CH206" s="239">
        <v>0</v>
      </c>
      <c r="CI206" s="239">
        <v>0</v>
      </c>
      <c r="CJ206" s="239">
        <v>-924</v>
      </c>
      <c r="CK206" s="239">
        <v>0</v>
      </c>
      <c r="CL206" s="239">
        <v>-924</v>
      </c>
      <c r="CM206" s="239">
        <v>0</v>
      </c>
      <c r="CN206" s="239">
        <v>0</v>
      </c>
      <c r="CO206" s="239">
        <v>0</v>
      </c>
      <c r="CP206" s="239">
        <v>0</v>
      </c>
      <c r="CQ206" s="239">
        <v>0</v>
      </c>
      <c r="CR206" s="239">
        <v>0</v>
      </c>
      <c r="CS206" s="239">
        <v>0</v>
      </c>
      <c r="CT206" s="239">
        <v>0</v>
      </c>
      <c r="CU206" s="239">
        <v>0</v>
      </c>
      <c r="CV206" s="239">
        <v>0</v>
      </c>
      <c r="CW206" s="239">
        <v>0</v>
      </c>
      <c r="CX206" s="239">
        <v>0</v>
      </c>
      <c r="CY206" s="239">
        <v>0</v>
      </c>
      <c r="CZ206" s="239">
        <v>0</v>
      </c>
      <c r="DA206" s="239">
        <v>0</v>
      </c>
      <c r="DB206" s="239">
        <v>0</v>
      </c>
      <c r="DC206" s="239">
        <v>0</v>
      </c>
      <c r="DD206" s="239">
        <v>0</v>
      </c>
      <c r="DE206" s="239">
        <v>0</v>
      </c>
      <c r="DF206" s="239">
        <v>0</v>
      </c>
      <c r="DG206" s="239">
        <v>0</v>
      </c>
      <c r="DH206" s="239">
        <v>0</v>
      </c>
      <c r="DI206" s="239">
        <v>0</v>
      </c>
      <c r="DJ206" s="239">
        <v>-205299</v>
      </c>
      <c r="DK206" s="239">
        <v>0</v>
      </c>
      <c r="DL206" s="239">
        <v>-205299</v>
      </c>
      <c r="DM206" s="239">
        <v>-7941</v>
      </c>
      <c r="DN206" s="239">
        <v>0</v>
      </c>
      <c r="DO206" s="239">
        <v>-7941</v>
      </c>
      <c r="DP206" s="239">
        <v>-434</v>
      </c>
      <c r="DQ206" s="239">
        <v>0</v>
      </c>
      <c r="DR206" s="239">
        <v>-434</v>
      </c>
      <c r="DS206" s="239">
        <v>-92284</v>
      </c>
      <c r="DT206" s="239">
        <v>0</v>
      </c>
      <c r="DU206" s="239">
        <v>-92284</v>
      </c>
      <c r="DV206" s="239">
        <v>-20908</v>
      </c>
      <c r="DW206" s="239">
        <v>0</v>
      </c>
      <c r="DX206" s="239">
        <v>-20908</v>
      </c>
      <c r="DY206" s="239">
        <v>0</v>
      </c>
      <c r="DZ206" s="239">
        <v>0</v>
      </c>
      <c r="EA206" s="239">
        <v>0</v>
      </c>
      <c r="EB206" s="239">
        <v>-10655</v>
      </c>
      <c r="EC206" s="239">
        <v>0</v>
      </c>
      <c r="ED206" s="239">
        <v>-10655</v>
      </c>
      <c r="EE206" s="239">
        <v>0</v>
      </c>
      <c r="EF206" s="239">
        <v>0</v>
      </c>
      <c r="EG206" s="239">
        <v>0</v>
      </c>
      <c r="EH206" s="239">
        <v>0</v>
      </c>
      <c r="EI206" s="239">
        <v>0</v>
      </c>
      <c r="EJ206" s="239">
        <v>0</v>
      </c>
      <c r="EK206" s="239">
        <v>0</v>
      </c>
      <c r="EL206" s="239">
        <v>0</v>
      </c>
      <c r="EM206" s="239">
        <v>0</v>
      </c>
      <c r="EN206" s="239">
        <v>-3831</v>
      </c>
      <c r="EO206" s="239">
        <v>0</v>
      </c>
      <c r="EP206" s="239">
        <v>-3831</v>
      </c>
      <c r="EQ206" s="239">
        <v>-136053</v>
      </c>
      <c r="ER206" s="239">
        <v>0</v>
      </c>
      <c r="ES206" s="239">
        <v>-136053</v>
      </c>
      <c r="ET206" s="239">
        <v>0</v>
      </c>
      <c r="EU206" s="239">
        <v>0</v>
      </c>
      <c r="EV206" s="239">
        <v>0</v>
      </c>
      <c r="EW206" s="239">
        <v>0</v>
      </c>
      <c r="EX206" s="239">
        <v>0</v>
      </c>
      <c r="EY206" s="239">
        <v>0</v>
      </c>
      <c r="EZ206" s="239">
        <v>0</v>
      </c>
      <c r="FA206" s="239">
        <v>0</v>
      </c>
      <c r="FB206" s="239">
        <v>0</v>
      </c>
      <c r="FC206" s="239">
        <v>97016507</v>
      </c>
      <c r="FD206" s="239">
        <v>0</v>
      </c>
      <c r="FE206" s="239">
        <v>97016507</v>
      </c>
      <c r="FF206" s="239">
        <v>739624</v>
      </c>
      <c r="FG206" s="239">
        <v>0</v>
      </c>
      <c r="FH206" s="239">
        <v>739624</v>
      </c>
      <c r="FI206" s="239">
        <v>-8519669</v>
      </c>
      <c r="FJ206" s="239">
        <v>0</v>
      </c>
      <c r="FK206" s="239">
        <v>-8519669</v>
      </c>
      <c r="FL206" s="239">
        <v>-2344815</v>
      </c>
      <c r="FM206" s="239">
        <v>0</v>
      </c>
      <c r="FN206" s="239">
        <v>-2344815</v>
      </c>
      <c r="FO206" s="239">
        <v>-205299</v>
      </c>
      <c r="FP206" s="239">
        <v>0</v>
      </c>
      <c r="FQ206" s="239">
        <v>-205299</v>
      </c>
      <c r="FR206" s="239">
        <v>-136053</v>
      </c>
      <c r="FS206" s="239">
        <v>0</v>
      </c>
      <c r="FT206" s="239">
        <v>-136053</v>
      </c>
      <c r="FU206" s="239">
        <v>0</v>
      </c>
      <c r="FV206" s="239">
        <v>0</v>
      </c>
      <c r="FW206" s="239">
        <v>0</v>
      </c>
      <c r="FX206" s="239">
        <v>-10466212</v>
      </c>
      <c r="FY206" s="239">
        <v>0</v>
      </c>
      <c r="FZ206" s="239">
        <v>-10466212</v>
      </c>
      <c r="GA206" s="239">
        <v>86550295</v>
      </c>
      <c r="GB206" s="239">
        <v>0</v>
      </c>
      <c r="GC206" s="239">
        <v>86550295</v>
      </c>
      <c r="GD206" s="214" t="s">
        <v>747</v>
      </c>
    </row>
    <row r="207" spans="2:186" s="214" customFormat="1" x14ac:dyDescent="0.2">
      <c r="B207" s="609" t="s">
        <v>496</v>
      </c>
      <c r="C207" s="609" t="s">
        <v>495</v>
      </c>
      <c r="D207" s="239">
        <v>0</v>
      </c>
      <c r="E207" s="239">
        <v>0</v>
      </c>
      <c r="F207" s="239">
        <v>0</v>
      </c>
      <c r="G207" s="239">
        <v>211394</v>
      </c>
      <c r="H207" s="239">
        <v>0</v>
      </c>
      <c r="I207" s="239">
        <v>211394</v>
      </c>
      <c r="J207" s="239">
        <v>0</v>
      </c>
      <c r="K207" s="239">
        <v>0</v>
      </c>
      <c r="L207" s="239">
        <v>0</v>
      </c>
      <c r="M207" s="239">
        <v>11295</v>
      </c>
      <c r="N207" s="239">
        <v>0</v>
      </c>
      <c r="O207" s="239">
        <v>11295</v>
      </c>
      <c r="P207" s="239">
        <v>222689</v>
      </c>
      <c r="Q207" s="239">
        <v>0</v>
      </c>
      <c r="R207" s="239">
        <v>222689</v>
      </c>
      <c r="S207" s="239">
        <v>-3550373</v>
      </c>
      <c r="T207" s="239">
        <v>0</v>
      </c>
      <c r="U207" s="239">
        <v>-3550373</v>
      </c>
      <c r="V207" s="239">
        <v>-12564</v>
      </c>
      <c r="W207" s="239">
        <v>0</v>
      </c>
      <c r="X207" s="239">
        <v>-12564</v>
      </c>
      <c r="Y207" s="239">
        <v>-77579</v>
      </c>
      <c r="Z207" s="239">
        <v>0</v>
      </c>
      <c r="AA207" s="239">
        <v>-77579</v>
      </c>
      <c r="AB207" s="239">
        <v>-77579</v>
      </c>
      <c r="AC207" s="239">
        <v>0</v>
      </c>
      <c r="AD207" s="239">
        <v>-77579</v>
      </c>
      <c r="AE207" s="239">
        <v>-593</v>
      </c>
      <c r="AF207" s="239">
        <v>0</v>
      </c>
      <c r="AG207" s="239">
        <v>-593</v>
      </c>
      <c r="AH207" s="239">
        <v>1949726</v>
      </c>
      <c r="AI207" s="239">
        <v>0</v>
      </c>
      <c r="AJ207" s="239">
        <v>1949726</v>
      </c>
      <c r="AK207" s="239">
        <v>-46231</v>
      </c>
      <c r="AL207" s="239">
        <v>0</v>
      </c>
      <c r="AM207" s="239">
        <v>-46231</v>
      </c>
      <c r="AN207" s="239">
        <v>-5056227</v>
      </c>
      <c r="AO207" s="239">
        <v>0</v>
      </c>
      <c r="AP207" s="239">
        <v>-5056227</v>
      </c>
      <c r="AQ207" s="239">
        <v>-425074</v>
      </c>
      <c r="AR207" s="239">
        <v>0</v>
      </c>
      <c r="AS207" s="239">
        <v>-425074</v>
      </c>
      <c r="AT207" s="239">
        <v>-95873</v>
      </c>
      <c r="AU207" s="239">
        <v>0</v>
      </c>
      <c r="AV207" s="239">
        <v>-95873</v>
      </c>
      <c r="AW207" s="239">
        <v>0</v>
      </c>
      <c r="AX207" s="239">
        <v>0</v>
      </c>
      <c r="AY207" s="239">
        <v>0</v>
      </c>
      <c r="AZ207" s="239">
        <v>-1839</v>
      </c>
      <c r="BA207" s="239">
        <v>0</v>
      </c>
      <c r="BB207" s="239">
        <v>-1839</v>
      </c>
      <c r="BC207" s="239">
        <v>0</v>
      </c>
      <c r="BD207" s="239">
        <v>0</v>
      </c>
      <c r="BE207" s="239">
        <v>0</v>
      </c>
      <c r="BF207" s="239">
        <v>-7303470</v>
      </c>
      <c r="BG207" s="239">
        <v>0</v>
      </c>
      <c r="BH207" s="239">
        <v>-7303470</v>
      </c>
      <c r="BI207" s="239">
        <v>-975</v>
      </c>
      <c r="BJ207" s="239">
        <v>0</v>
      </c>
      <c r="BK207" s="239">
        <v>-975</v>
      </c>
      <c r="BL207" s="239">
        <v>-508</v>
      </c>
      <c r="BM207" s="239">
        <v>0</v>
      </c>
      <c r="BN207" s="239">
        <v>-508</v>
      </c>
      <c r="BO207" s="239">
        <v>-3069777</v>
      </c>
      <c r="BP207" s="239">
        <v>0</v>
      </c>
      <c r="BQ207" s="239">
        <v>-3069777</v>
      </c>
      <c r="BR207" s="239">
        <v>-177558</v>
      </c>
      <c r="BS207" s="239">
        <v>0</v>
      </c>
      <c r="BT207" s="239">
        <v>-177558</v>
      </c>
      <c r="BU207" s="239">
        <v>-3248818</v>
      </c>
      <c r="BV207" s="239">
        <v>0</v>
      </c>
      <c r="BW207" s="239">
        <v>-3248818</v>
      </c>
      <c r="BX207" s="239">
        <v>-88289</v>
      </c>
      <c r="BY207" s="239">
        <v>0</v>
      </c>
      <c r="BZ207" s="239">
        <v>-88289</v>
      </c>
      <c r="CA207" s="239">
        <v>-4551</v>
      </c>
      <c r="CB207" s="239">
        <v>0</v>
      </c>
      <c r="CC207" s="239">
        <v>-4551</v>
      </c>
      <c r="CD207" s="239">
        <v>-27362</v>
      </c>
      <c r="CE207" s="239">
        <v>0</v>
      </c>
      <c r="CF207" s="239">
        <v>-27362</v>
      </c>
      <c r="CG207" s="239">
        <v>-1657</v>
      </c>
      <c r="CH207" s="239">
        <v>0</v>
      </c>
      <c r="CI207" s="239">
        <v>-1657</v>
      </c>
      <c r="CJ207" s="239">
        <v>-5477</v>
      </c>
      <c r="CK207" s="239">
        <v>0</v>
      </c>
      <c r="CL207" s="239">
        <v>-5477</v>
      </c>
      <c r="CM207" s="239">
        <v>0</v>
      </c>
      <c r="CN207" s="239">
        <v>0</v>
      </c>
      <c r="CO207" s="239">
        <v>0</v>
      </c>
      <c r="CP207" s="239">
        <v>-1218</v>
      </c>
      <c r="CQ207" s="239">
        <v>0</v>
      </c>
      <c r="CR207" s="239">
        <v>-1218</v>
      </c>
      <c r="CS207" s="239">
        <v>0</v>
      </c>
      <c r="CT207" s="239">
        <v>0</v>
      </c>
      <c r="CU207" s="239">
        <v>0</v>
      </c>
      <c r="CV207" s="239">
        <v>0</v>
      </c>
      <c r="CW207" s="239">
        <v>0</v>
      </c>
      <c r="CX207" s="239">
        <v>0</v>
      </c>
      <c r="CY207" s="239">
        <v>0</v>
      </c>
      <c r="CZ207" s="239">
        <v>0</v>
      </c>
      <c r="DA207" s="239">
        <v>0</v>
      </c>
      <c r="DB207" s="239">
        <v>0</v>
      </c>
      <c r="DC207" s="239">
        <v>0</v>
      </c>
      <c r="DD207" s="239">
        <v>0</v>
      </c>
      <c r="DE207" s="239">
        <v>0</v>
      </c>
      <c r="DF207" s="239">
        <v>0</v>
      </c>
      <c r="DG207" s="239">
        <v>0</v>
      </c>
      <c r="DH207" s="239">
        <v>0</v>
      </c>
      <c r="DI207" s="239">
        <v>0</v>
      </c>
      <c r="DJ207" s="239">
        <v>-128554</v>
      </c>
      <c r="DK207" s="239">
        <v>0</v>
      </c>
      <c r="DL207" s="239">
        <v>-128554</v>
      </c>
      <c r="DM207" s="239">
        <v>-838</v>
      </c>
      <c r="DN207" s="239">
        <v>0</v>
      </c>
      <c r="DO207" s="239">
        <v>-838</v>
      </c>
      <c r="DP207" s="239">
        <v>336</v>
      </c>
      <c r="DQ207" s="239">
        <v>0</v>
      </c>
      <c r="DR207" s="239">
        <v>336</v>
      </c>
      <c r="DS207" s="239">
        <v>-122400</v>
      </c>
      <c r="DT207" s="239">
        <v>0</v>
      </c>
      <c r="DU207" s="239">
        <v>-122400</v>
      </c>
      <c r="DV207" s="239">
        <v>7578</v>
      </c>
      <c r="DW207" s="239">
        <v>0</v>
      </c>
      <c r="DX207" s="239">
        <v>7578</v>
      </c>
      <c r="DY207" s="239">
        <v>0</v>
      </c>
      <c r="DZ207" s="239">
        <v>0</v>
      </c>
      <c r="EA207" s="239">
        <v>0</v>
      </c>
      <c r="EB207" s="239">
        <v>33063</v>
      </c>
      <c r="EC207" s="239">
        <v>0</v>
      </c>
      <c r="ED207" s="239">
        <v>33063</v>
      </c>
      <c r="EE207" s="239">
        <v>0</v>
      </c>
      <c r="EF207" s="239">
        <v>0</v>
      </c>
      <c r="EG207" s="239">
        <v>0</v>
      </c>
      <c r="EH207" s="239">
        <v>-1254</v>
      </c>
      <c r="EI207" s="239">
        <v>0</v>
      </c>
      <c r="EJ207" s="239">
        <v>-1254</v>
      </c>
      <c r="EK207" s="239">
        <v>-6010</v>
      </c>
      <c r="EL207" s="239">
        <v>0</v>
      </c>
      <c r="EM207" s="239">
        <v>-6010</v>
      </c>
      <c r="EN207" s="239">
        <v>42</v>
      </c>
      <c r="EO207" s="239">
        <v>0</v>
      </c>
      <c r="EP207" s="239">
        <v>42</v>
      </c>
      <c r="EQ207" s="239">
        <v>-89483</v>
      </c>
      <c r="ER207" s="239">
        <v>0</v>
      </c>
      <c r="ES207" s="239">
        <v>-89483</v>
      </c>
      <c r="ET207" s="239">
        <v>0</v>
      </c>
      <c r="EU207" s="239">
        <v>0</v>
      </c>
      <c r="EV207" s="239">
        <v>0</v>
      </c>
      <c r="EW207" s="239">
        <v>0</v>
      </c>
      <c r="EX207" s="239">
        <v>0</v>
      </c>
      <c r="EY207" s="239">
        <v>0</v>
      </c>
      <c r="EZ207" s="239">
        <v>0</v>
      </c>
      <c r="FA207" s="239">
        <v>0</v>
      </c>
      <c r="FB207" s="239">
        <v>0</v>
      </c>
      <c r="FC207" s="239">
        <v>80039260</v>
      </c>
      <c r="FD207" s="239">
        <v>0</v>
      </c>
      <c r="FE207" s="239">
        <v>80039260</v>
      </c>
      <c r="FF207" s="239">
        <v>222689</v>
      </c>
      <c r="FG207" s="239">
        <v>0</v>
      </c>
      <c r="FH207" s="239">
        <v>222689</v>
      </c>
      <c r="FI207" s="239">
        <v>-7303470</v>
      </c>
      <c r="FJ207" s="239">
        <v>0</v>
      </c>
      <c r="FK207" s="239">
        <v>-7303470</v>
      </c>
      <c r="FL207" s="239">
        <v>-3248818</v>
      </c>
      <c r="FM207" s="239">
        <v>0</v>
      </c>
      <c r="FN207" s="239">
        <v>-3248818</v>
      </c>
      <c r="FO207" s="239">
        <v>-128554</v>
      </c>
      <c r="FP207" s="239">
        <v>0</v>
      </c>
      <c r="FQ207" s="239">
        <v>-128554</v>
      </c>
      <c r="FR207" s="239">
        <v>-89483</v>
      </c>
      <c r="FS207" s="239">
        <v>0</v>
      </c>
      <c r="FT207" s="239">
        <v>-89483</v>
      </c>
      <c r="FU207" s="239">
        <v>0</v>
      </c>
      <c r="FV207" s="239">
        <v>0</v>
      </c>
      <c r="FW207" s="239">
        <v>0</v>
      </c>
      <c r="FX207" s="239">
        <v>-10547636</v>
      </c>
      <c r="FY207" s="239">
        <v>0</v>
      </c>
      <c r="FZ207" s="239">
        <v>-10547636</v>
      </c>
      <c r="GA207" s="239">
        <v>69491624</v>
      </c>
      <c r="GB207" s="239">
        <v>0</v>
      </c>
      <c r="GC207" s="239">
        <v>69491624</v>
      </c>
      <c r="GD207" s="214" t="s">
        <v>1190</v>
      </c>
    </row>
    <row r="208" spans="2:186" s="214" customFormat="1" x14ac:dyDescent="0.2">
      <c r="B208" s="609" t="s">
        <v>498</v>
      </c>
      <c r="C208" s="609" t="s">
        <v>497</v>
      </c>
      <c r="D208" s="239">
        <v>0</v>
      </c>
      <c r="E208" s="239">
        <v>0</v>
      </c>
      <c r="F208" s="239">
        <v>0</v>
      </c>
      <c r="G208" s="239">
        <v>2597306</v>
      </c>
      <c r="H208" s="239">
        <v>0</v>
      </c>
      <c r="I208" s="239">
        <v>2597306</v>
      </c>
      <c r="J208" s="239">
        <v>0</v>
      </c>
      <c r="K208" s="239">
        <v>0</v>
      </c>
      <c r="L208" s="239">
        <v>0</v>
      </c>
      <c r="M208" s="239">
        <v>87886</v>
      </c>
      <c r="N208" s="239">
        <v>0</v>
      </c>
      <c r="O208" s="239">
        <v>87886</v>
      </c>
      <c r="P208" s="239">
        <v>2685192</v>
      </c>
      <c r="Q208" s="239">
        <v>0</v>
      </c>
      <c r="R208" s="239">
        <v>2685192</v>
      </c>
      <c r="S208" s="239">
        <v>-1955000</v>
      </c>
      <c r="T208" s="239">
        <v>0</v>
      </c>
      <c r="U208" s="239">
        <v>-1955000</v>
      </c>
      <c r="V208" s="239">
        <v>0</v>
      </c>
      <c r="W208" s="239">
        <v>0</v>
      </c>
      <c r="X208" s="239">
        <v>0</v>
      </c>
      <c r="Y208" s="239">
        <v>-96310</v>
      </c>
      <c r="Z208" s="239">
        <v>0</v>
      </c>
      <c r="AA208" s="239">
        <v>-96310</v>
      </c>
      <c r="AB208" s="239">
        <v>-85633</v>
      </c>
      <c r="AC208" s="239">
        <v>0</v>
      </c>
      <c r="AD208" s="239">
        <v>-85633</v>
      </c>
      <c r="AE208" s="239">
        <v>0</v>
      </c>
      <c r="AF208" s="239">
        <v>0</v>
      </c>
      <c r="AG208" s="239">
        <v>0</v>
      </c>
      <c r="AH208" s="239">
        <v>402696</v>
      </c>
      <c r="AI208" s="239">
        <v>0</v>
      </c>
      <c r="AJ208" s="239">
        <v>402696</v>
      </c>
      <c r="AK208" s="239">
        <v>-149957</v>
      </c>
      <c r="AL208" s="239">
        <v>0</v>
      </c>
      <c r="AM208" s="239">
        <v>-149957</v>
      </c>
      <c r="AN208" s="239">
        <v>-1044139</v>
      </c>
      <c r="AO208" s="239">
        <v>0</v>
      </c>
      <c r="AP208" s="239">
        <v>-1044139</v>
      </c>
      <c r="AQ208" s="239">
        <v>-107655</v>
      </c>
      <c r="AR208" s="239">
        <v>0</v>
      </c>
      <c r="AS208" s="239">
        <v>-107655</v>
      </c>
      <c r="AT208" s="239">
        <v>-46221</v>
      </c>
      <c r="AU208" s="239">
        <v>0</v>
      </c>
      <c r="AV208" s="239">
        <v>-46221</v>
      </c>
      <c r="AW208" s="239">
        <v>0</v>
      </c>
      <c r="AX208" s="239">
        <v>0</v>
      </c>
      <c r="AY208" s="239">
        <v>0</v>
      </c>
      <c r="AZ208" s="239">
        <v>-7381</v>
      </c>
      <c r="BA208" s="239">
        <v>0</v>
      </c>
      <c r="BB208" s="239">
        <v>-7381</v>
      </c>
      <c r="BC208" s="239">
        <v>0</v>
      </c>
      <c r="BD208" s="239">
        <v>0</v>
      </c>
      <c r="BE208" s="239">
        <v>0</v>
      </c>
      <c r="BF208" s="239">
        <v>-3003967</v>
      </c>
      <c r="BG208" s="239">
        <v>0</v>
      </c>
      <c r="BH208" s="239">
        <v>-3003967</v>
      </c>
      <c r="BI208" s="239">
        <v>0</v>
      </c>
      <c r="BJ208" s="239">
        <v>0</v>
      </c>
      <c r="BK208" s="239">
        <v>0</v>
      </c>
      <c r="BL208" s="239">
        <v>0</v>
      </c>
      <c r="BM208" s="239">
        <v>0</v>
      </c>
      <c r="BN208" s="239">
        <v>0</v>
      </c>
      <c r="BO208" s="239">
        <v>-194731</v>
      </c>
      <c r="BP208" s="239">
        <v>0</v>
      </c>
      <c r="BQ208" s="239">
        <v>-194731</v>
      </c>
      <c r="BR208" s="239">
        <v>3736</v>
      </c>
      <c r="BS208" s="239">
        <v>0</v>
      </c>
      <c r="BT208" s="239">
        <v>3736</v>
      </c>
      <c r="BU208" s="239">
        <v>-190995</v>
      </c>
      <c r="BV208" s="239">
        <v>0</v>
      </c>
      <c r="BW208" s="239">
        <v>-190995</v>
      </c>
      <c r="BX208" s="239">
        <v>-16616</v>
      </c>
      <c r="BY208" s="239">
        <v>0</v>
      </c>
      <c r="BZ208" s="239">
        <v>-16616</v>
      </c>
      <c r="CA208" s="239">
        <v>1418</v>
      </c>
      <c r="CB208" s="239">
        <v>0</v>
      </c>
      <c r="CC208" s="239">
        <v>1418</v>
      </c>
      <c r="CD208" s="239">
        <v>-5168</v>
      </c>
      <c r="CE208" s="239">
        <v>0</v>
      </c>
      <c r="CF208" s="239">
        <v>-5168</v>
      </c>
      <c r="CG208" s="239">
        <v>439</v>
      </c>
      <c r="CH208" s="239">
        <v>0</v>
      </c>
      <c r="CI208" s="239">
        <v>439</v>
      </c>
      <c r="CJ208" s="239">
        <v>-1700</v>
      </c>
      <c r="CK208" s="239">
        <v>0</v>
      </c>
      <c r="CL208" s="239">
        <v>-1700</v>
      </c>
      <c r="CM208" s="239">
        <v>0</v>
      </c>
      <c r="CN208" s="239">
        <v>0</v>
      </c>
      <c r="CO208" s="239">
        <v>0</v>
      </c>
      <c r="CP208" s="239">
        <v>-4064</v>
      </c>
      <c r="CQ208" s="239">
        <v>0</v>
      </c>
      <c r="CR208" s="239">
        <v>-4064</v>
      </c>
      <c r="CS208" s="239">
        <v>0</v>
      </c>
      <c r="CT208" s="239">
        <v>0</v>
      </c>
      <c r="CU208" s="239">
        <v>0</v>
      </c>
      <c r="CV208" s="239">
        <v>0</v>
      </c>
      <c r="CW208" s="239">
        <v>0</v>
      </c>
      <c r="CX208" s="239">
        <v>0</v>
      </c>
      <c r="CY208" s="239">
        <v>0</v>
      </c>
      <c r="CZ208" s="239">
        <v>0</v>
      </c>
      <c r="DA208" s="239">
        <v>0</v>
      </c>
      <c r="DB208" s="239">
        <v>0</v>
      </c>
      <c r="DC208" s="239">
        <v>0</v>
      </c>
      <c r="DD208" s="239">
        <v>0</v>
      </c>
      <c r="DE208" s="239">
        <v>0</v>
      </c>
      <c r="DF208" s="239">
        <v>0</v>
      </c>
      <c r="DG208" s="239">
        <v>0</v>
      </c>
      <c r="DH208" s="239">
        <v>0</v>
      </c>
      <c r="DI208" s="239">
        <v>0</v>
      </c>
      <c r="DJ208" s="239">
        <v>-25691</v>
      </c>
      <c r="DK208" s="239">
        <v>0</v>
      </c>
      <c r="DL208" s="239">
        <v>-25691</v>
      </c>
      <c r="DM208" s="239">
        <v>-11365</v>
      </c>
      <c r="DN208" s="239">
        <v>0</v>
      </c>
      <c r="DO208" s="239">
        <v>-11365</v>
      </c>
      <c r="DP208" s="239">
        <v>0</v>
      </c>
      <c r="DQ208" s="239">
        <v>0</v>
      </c>
      <c r="DR208" s="239">
        <v>0</v>
      </c>
      <c r="DS208" s="239">
        <v>-1194</v>
      </c>
      <c r="DT208" s="239">
        <v>0</v>
      </c>
      <c r="DU208" s="239">
        <v>-1194</v>
      </c>
      <c r="DV208" s="239">
        <v>0</v>
      </c>
      <c r="DW208" s="239">
        <v>0</v>
      </c>
      <c r="DX208" s="239">
        <v>0</v>
      </c>
      <c r="DY208" s="239">
        <v>0</v>
      </c>
      <c r="DZ208" s="239">
        <v>0</v>
      </c>
      <c r="EA208" s="239">
        <v>0</v>
      </c>
      <c r="EB208" s="239">
        <v>3573</v>
      </c>
      <c r="EC208" s="239">
        <v>0</v>
      </c>
      <c r="ED208" s="239">
        <v>3573</v>
      </c>
      <c r="EE208" s="239">
        <v>0</v>
      </c>
      <c r="EF208" s="239">
        <v>0</v>
      </c>
      <c r="EG208" s="239">
        <v>0</v>
      </c>
      <c r="EH208" s="239">
        <v>0</v>
      </c>
      <c r="EI208" s="239">
        <v>0</v>
      </c>
      <c r="EJ208" s="239">
        <v>0</v>
      </c>
      <c r="EK208" s="239">
        <v>-881</v>
      </c>
      <c r="EL208" s="239">
        <v>0</v>
      </c>
      <c r="EM208" s="239">
        <v>-881</v>
      </c>
      <c r="EN208" s="239">
        <v>0</v>
      </c>
      <c r="EO208" s="239">
        <v>0</v>
      </c>
      <c r="EP208" s="239">
        <v>0</v>
      </c>
      <c r="EQ208" s="239">
        <v>-9867</v>
      </c>
      <c r="ER208" s="239">
        <v>0</v>
      </c>
      <c r="ES208" s="239">
        <v>-9867</v>
      </c>
      <c r="ET208" s="239">
        <v>0</v>
      </c>
      <c r="EU208" s="239">
        <v>0</v>
      </c>
      <c r="EV208" s="239">
        <v>0</v>
      </c>
      <c r="EW208" s="239">
        <v>0</v>
      </c>
      <c r="EX208" s="239">
        <v>0</v>
      </c>
      <c r="EY208" s="239">
        <v>0</v>
      </c>
      <c r="EZ208" s="239">
        <v>0</v>
      </c>
      <c r="FA208" s="239">
        <v>0</v>
      </c>
      <c r="FB208" s="239">
        <v>0</v>
      </c>
      <c r="FC208" s="239">
        <v>11683567</v>
      </c>
      <c r="FD208" s="239">
        <v>0</v>
      </c>
      <c r="FE208" s="239">
        <v>11683567</v>
      </c>
      <c r="FF208" s="239">
        <v>2685192</v>
      </c>
      <c r="FG208" s="239">
        <v>0</v>
      </c>
      <c r="FH208" s="239">
        <v>2685192</v>
      </c>
      <c r="FI208" s="239">
        <v>-3003967</v>
      </c>
      <c r="FJ208" s="239">
        <v>0</v>
      </c>
      <c r="FK208" s="239">
        <v>-3003967</v>
      </c>
      <c r="FL208" s="239">
        <v>-190995</v>
      </c>
      <c r="FM208" s="239">
        <v>0</v>
      </c>
      <c r="FN208" s="239">
        <v>-190995</v>
      </c>
      <c r="FO208" s="239">
        <v>-25691</v>
      </c>
      <c r="FP208" s="239">
        <v>0</v>
      </c>
      <c r="FQ208" s="239">
        <v>-25691</v>
      </c>
      <c r="FR208" s="239">
        <v>-9867</v>
      </c>
      <c r="FS208" s="239">
        <v>0</v>
      </c>
      <c r="FT208" s="239">
        <v>-9867</v>
      </c>
      <c r="FU208" s="239">
        <v>0</v>
      </c>
      <c r="FV208" s="239">
        <v>0</v>
      </c>
      <c r="FW208" s="239">
        <v>0</v>
      </c>
      <c r="FX208" s="239">
        <v>-545328</v>
      </c>
      <c r="FY208" s="239">
        <v>0</v>
      </c>
      <c r="FZ208" s="239">
        <v>-545328</v>
      </c>
      <c r="GA208" s="239">
        <v>11138239</v>
      </c>
      <c r="GB208" s="239">
        <v>0</v>
      </c>
      <c r="GC208" s="239">
        <v>11138239</v>
      </c>
      <c r="GD208" s="214" t="s">
        <v>1190</v>
      </c>
    </row>
    <row r="209" spans="2:186" s="214" customFormat="1" x14ac:dyDescent="0.2">
      <c r="B209" s="609" t="s">
        <v>500</v>
      </c>
      <c r="C209" s="609" t="s">
        <v>499</v>
      </c>
      <c r="D209" s="239">
        <v>0</v>
      </c>
      <c r="E209" s="239">
        <v>0</v>
      </c>
      <c r="F209" s="239">
        <v>0</v>
      </c>
      <c r="G209" s="239">
        <v>-175881</v>
      </c>
      <c r="H209" s="239">
        <v>0</v>
      </c>
      <c r="I209" s="239">
        <v>-175881</v>
      </c>
      <c r="J209" s="239">
        <v>0</v>
      </c>
      <c r="K209" s="239">
        <v>0</v>
      </c>
      <c r="L209" s="239">
        <v>0</v>
      </c>
      <c r="M209" s="239">
        <v>53431</v>
      </c>
      <c r="N209" s="239">
        <v>0</v>
      </c>
      <c r="O209" s="239">
        <v>53431</v>
      </c>
      <c r="P209" s="239">
        <v>-122450</v>
      </c>
      <c r="Q209" s="239">
        <v>0</v>
      </c>
      <c r="R209" s="239">
        <v>-122450</v>
      </c>
      <c r="S209" s="239">
        <v>-1947087</v>
      </c>
      <c r="T209" s="239">
        <v>0</v>
      </c>
      <c r="U209" s="239">
        <v>-1947087</v>
      </c>
      <c r="V209" s="239">
        <v>-2044</v>
      </c>
      <c r="W209" s="239">
        <v>0</v>
      </c>
      <c r="X209" s="239">
        <v>-2044</v>
      </c>
      <c r="Y209" s="239">
        <v>-157688</v>
      </c>
      <c r="Z209" s="239">
        <v>0</v>
      </c>
      <c r="AA209" s="239">
        <v>-157688</v>
      </c>
      <c r="AB209" s="239">
        <v>-121686</v>
      </c>
      <c r="AC209" s="239">
        <v>0</v>
      </c>
      <c r="AD209" s="239">
        <v>-121686</v>
      </c>
      <c r="AE209" s="239">
        <v>-153</v>
      </c>
      <c r="AF209" s="239">
        <v>0</v>
      </c>
      <c r="AG209" s="239">
        <v>-153</v>
      </c>
      <c r="AH209" s="239">
        <v>3053780</v>
      </c>
      <c r="AI209" s="239">
        <v>0</v>
      </c>
      <c r="AJ209" s="239">
        <v>3053780</v>
      </c>
      <c r="AK209" s="239">
        <v>-26561</v>
      </c>
      <c r="AL209" s="239">
        <v>0</v>
      </c>
      <c r="AM209" s="239">
        <v>-26561</v>
      </c>
      <c r="AN209" s="239">
        <v>-4314048</v>
      </c>
      <c r="AO209" s="239">
        <v>0</v>
      </c>
      <c r="AP209" s="239">
        <v>-4314048</v>
      </c>
      <c r="AQ209" s="239">
        <v>79614</v>
      </c>
      <c r="AR209" s="239">
        <v>0</v>
      </c>
      <c r="AS209" s="239">
        <v>79614</v>
      </c>
      <c r="AT209" s="239">
        <v>-6839</v>
      </c>
      <c r="AU209" s="239">
        <v>0</v>
      </c>
      <c r="AV209" s="239">
        <v>-6839</v>
      </c>
      <c r="AW209" s="239">
        <v>0</v>
      </c>
      <c r="AX209" s="239">
        <v>0</v>
      </c>
      <c r="AY209" s="239">
        <v>0</v>
      </c>
      <c r="AZ209" s="239">
        <v>0</v>
      </c>
      <c r="BA209" s="239">
        <v>0</v>
      </c>
      <c r="BB209" s="239">
        <v>0</v>
      </c>
      <c r="BC209" s="239">
        <v>0</v>
      </c>
      <c r="BD209" s="239">
        <v>0</v>
      </c>
      <c r="BE209" s="239">
        <v>0</v>
      </c>
      <c r="BF209" s="239">
        <v>-3318829</v>
      </c>
      <c r="BG209" s="239">
        <v>0</v>
      </c>
      <c r="BH209" s="239">
        <v>-3318829</v>
      </c>
      <c r="BI209" s="239">
        <v>-31630</v>
      </c>
      <c r="BJ209" s="239">
        <v>0</v>
      </c>
      <c r="BK209" s="239">
        <v>-31630</v>
      </c>
      <c r="BL209" s="239">
        <v>-1188</v>
      </c>
      <c r="BM209" s="239">
        <v>0</v>
      </c>
      <c r="BN209" s="239">
        <v>-1188</v>
      </c>
      <c r="BO209" s="239">
        <v>-3712261</v>
      </c>
      <c r="BP209" s="239">
        <v>0</v>
      </c>
      <c r="BQ209" s="239">
        <v>-3712261</v>
      </c>
      <c r="BR209" s="239">
        <v>-36045</v>
      </c>
      <c r="BS209" s="239">
        <v>0</v>
      </c>
      <c r="BT209" s="239">
        <v>-36045</v>
      </c>
      <c r="BU209" s="239">
        <v>-3781124</v>
      </c>
      <c r="BV209" s="239">
        <v>0</v>
      </c>
      <c r="BW209" s="239">
        <v>-3781124</v>
      </c>
      <c r="BX209" s="239">
        <v>-748</v>
      </c>
      <c r="BY209" s="239">
        <v>0</v>
      </c>
      <c r="BZ209" s="239">
        <v>-748</v>
      </c>
      <c r="CA209" s="239">
        <v>107</v>
      </c>
      <c r="CB209" s="239">
        <v>0</v>
      </c>
      <c r="CC209" s="239">
        <v>107</v>
      </c>
      <c r="CD209" s="239">
        <v>0</v>
      </c>
      <c r="CE209" s="239">
        <v>0</v>
      </c>
      <c r="CF209" s="239">
        <v>0</v>
      </c>
      <c r="CG209" s="239">
        <v>3105</v>
      </c>
      <c r="CH209" s="239">
        <v>0</v>
      </c>
      <c r="CI209" s="239">
        <v>3105</v>
      </c>
      <c r="CJ209" s="239">
        <v>0</v>
      </c>
      <c r="CK209" s="239">
        <v>0</v>
      </c>
      <c r="CL209" s="239">
        <v>0</v>
      </c>
      <c r="CM209" s="239">
        <v>0</v>
      </c>
      <c r="CN209" s="239">
        <v>0</v>
      </c>
      <c r="CO209" s="239">
        <v>0</v>
      </c>
      <c r="CP209" s="239">
        <v>0</v>
      </c>
      <c r="CQ209" s="239">
        <v>0</v>
      </c>
      <c r="CR209" s="239">
        <v>0</v>
      </c>
      <c r="CS209" s="239">
        <v>0</v>
      </c>
      <c r="CT209" s="239">
        <v>0</v>
      </c>
      <c r="CU209" s="239">
        <v>0</v>
      </c>
      <c r="CV209" s="239">
        <v>0</v>
      </c>
      <c r="CW209" s="239">
        <v>0</v>
      </c>
      <c r="CX209" s="239">
        <v>0</v>
      </c>
      <c r="CY209" s="239">
        <v>0</v>
      </c>
      <c r="CZ209" s="239">
        <v>0</v>
      </c>
      <c r="DA209" s="239">
        <v>0</v>
      </c>
      <c r="DB209" s="239">
        <v>0</v>
      </c>
      <c r="DC209" s="239">
        <v>0</v>
      </c>
      <c r="DD209" s="239">
        <v>0</v>
      </c>
      <c r="DE209" s="239">
        <v>0</v>
      </c>
      <c r="DF209" s="239">
        <v>0</v>
      </c>
      <c r="DG209" s="239">
        <v>0</v>
      </c>
      <c r="DH209" s="239">
        <v>0</v>
      </c>
      <c r="DI209" s="239">
        <v>0</v>
      </c>
      <c r="DJ209" s="239">
        <v>2464</v>
      </c>
      <c r="DK209" s="239">
        <v>0</v>
      </c>
      <c r="DL209" s="239">
        <v>2464</v>
      </c>
      <c r="DM209" s="239">
        <v>-26846</v>
      </c>
      <c r="DN209" s="239">
        <v>0</v>
      </c>
      <c r="DO209" s="239">
        <v>-26846</v>
      </c>
      <c r="DP209" s="239">
        <v>0</v>
      </c>
      <c r="DQ209" s="239">
        <v>0</v>
      </c>
      <c r="DR209" s="239">
        <v>0</v>
      </c>
      <c r="DS209" s="239">
        <v>-67213</v>
      </c>
      <c r="DT209" s="239">
        <v>0</v>
      </c>
      <c r="DU209" s="239">
        <v>-67213</v>
      </c>
      <c r="DV209" s="239">
        <v>-330</v>
      </c>
      <c r="DW209" s="239">
        <v>0</v>
      </c>
      <c r="DX209" s="239">
        <v>-330</v>
      </c>
      <c r="DY209" s="239">
        <v>0</v>
      </c>
      <c r="DZ209" s="239">
        <v>0</v>
      </c>
      <c r="EA209" s="239">
        <v>0</v>
      </c>
      <c r="EB209" s="239">
        <v>-16884</v>
      </c>
      <c r="EC209" s="239">
        <v>0</v>
      </c>
      <c r="ED209" s="239">
        <v>-16884</v>
      </c>
      <c r="EE209" s="239">
        <v>0</v>
      </c>
      <c r="EF209" s="239">
        <v>0</v>
      </c>
      <c r="EG209" s="239">
        <v>0</v>
      </c>
      <c r="EH209" s="239">
        <v>0</v>
      </c>
      <c r="EI209" s="239">
        <v>0</v>
      </c>
      <c r="EJ209" s="239">
        <v>0</v>
      </c>
      <c r="EK209" s="239">
        <v>-15975</v>
      </c>
      <c r="EL209" s="239">
        <v>0</v>
      </c>
      <c r="EM209" s="239">
        <v>-15975</v>
      </c>
      <c r="EN209" s="239">
        <v>17</v>
      </c>
      <c r="EO209" s="239">
        <v>0</v>
      </c>
      <c r="EP209" s="239">
        <v>17</v>
      </c>
      <c r="EQ209" s="239">
        <v>-127231</v>
      </c>
      <c r="ER209" s="239">
        <v>0</v>
      </c>
      <c r="ES209" s="239">
        <v>-127231</v>
      </c>
      <c r="ET209" s="239">
        <v>0</v>
      </c>
      <c r="EU209" s="239">
        <v>0</v>
      </c>
      <c r="EV209" s="239">
        <v>0</v>
      </c>
      <c r="EW209" s="239">
        <v>0</v>
      </c>
      <c r="EX209" s="239">
        <v>0</v>
      </c>
      <c r="EY209" s="239">
        <v>0</v>
      </c>
      <c r="EZ209" s="239">
        <v>0</v>
      </c>
      <c r="FA209" s="239">
        <v>0</v>
      </c>
      <c r="FB209" s="239">
        <v>0</v>
      </c>
      <c r="FC209" s="239">
        <v>120769424</v>
      </c>
      <c r="FD209" s="239">
        <v>0</v>
      </c>
      <c r="FE209" s="239">
        <v>120769424</v>
      </c>
      <c r="FF209" s="239">
        <v>-122450</v>
      </c>
      <c r="FG209" s="239">
        <v>0</v>
      </c>
      <c r="FH209" s="239">
        <v>-122450</v>
      </c>
      <c r="FI209" s="239">
        <v>-3318829</v>
      </c>
      <c r="FJ209" s="239">
        <v>0</v>
      </c>
      <c r="FK209" s="239">
        <v>-3318829</v>
      </c>
      <c r="FL209" s="239">
        <v>-3781124</v>
      </c>
      <c r="FM209" s="239">
        <v>0</v>
      </c>
      <c r="FN209" s="239">
        <v>-3781124</v>
      </c>
      <c r="FO209" s="239">
        <v>2464</v>
      </c>
      <c r="FP209" s="239">
        <v>0</v>
      </c>
      <c r="FQ209" s="239">
        <v>2464</v>
      </c>
      <c r="FR209" s="239">
        <v>-127231</v>
      </c>
      <c r="FS209" s="239">
        <v>0</v>
      </c>
      <c r="FT209" s="239">
        <v>-127231</v>
      </c>
      <c r="FU209" s="239">
        <v>0</v>
      </c>
      <c r="FV209" s="239">
        <v>0</v>
      </c>
      <c r="FW209" s="239">
        <v>0</v>
      </c>
      <c r="FX209" s="239">
        <v>-7347170</v>
      </c>
      <c r="FY209" s="239">
        <v>0</v>
      </c>
      <c r="FZ209" s="239">
        <v>-7347170</v>
      </c>
      <c r="GA209" s="239">
        <v>113422254</v>
      </c>
      <c r="GB209" s="239">
        <v>0</v>
      </c>
      <c r="GC209" s="239">
        <v>113422254</v>
      </c>
      <c r="GD209" s="214" t="s">
        <v>747</v>
      </c>
    </row>
    <row r="210" spans="2:186" s="214" customFormat="1" x14ac:dyDescent="0.2">
      <c r="B210" s="609" t="s">
        <v>502</v>
      </c>
      <c r="C210" s="609" t="s">
        <v>501</v>
      </c>
      <c r="D210" s="239">
        <v>0</v>
      </c>
      <c r="E210" s="239">
        <v>0</v>
      </c>
      <c r="F210" s="239">
        <v>0</v>
      </c>
      <c r="G210" s="239">
        <v>32752</v>
      </c>
      <c r="H210" s="239">
        <v>0</v>
      </c>
      <c r="I210" s="239">
        <v>32752</v>
      </c>
      <c r="J210" s="239">
        <v>0</v>
      </c>
      <c r="K210" s="239">
        <v>0</v>
      </c>
      <c r="L210" s="239">
        <v>0</v>
      </c>
      <c r="M210" s="239">
        <v>37553</v>
      </c>
      <c r="N210" s="239">
        <v>0</v>
      </c>
      <c r="O210" s="239">
        <v>37553</v>
      </c>
      <c r="P210" s="239">
        <v>70305</v>
      </c>
      <c r="Q210" s="239">
        <v>0</v>
      </c>
      <c r="R210" s="239">
        <v>70305</v>
      </c>
      <c r="S210" s="239">
        <v>-4111130</v>
      </c>
      <c r="T210" s="239">
        <v>0</v>
      </c>
      <c r="U210" s="239">
        <v>-4111130</v>
      </c>
      <c r="V210" s="239">
        <v>-13088</v>
      </c>
      <c r="W210" s="239">
        <v>0</v>
      </c>
      <c r="X210" s="239">
        <v>-13088</v>
      </c>
      <c r="Y210" s="239">
        <v>-294021</v>
      </c>
      <c r="Z210" s="239">
        <v>0</v>
      </c>
      <c r="AA210" s="239">
        <v>-294021</v>
      </c>
      <c r="AB210" s="239">
        <v>-213803</v>
      </c>
      <c r="AC210" s="239">
        <v>0</v>
      </c>
      <c r="AD210" s="239">
        <v>-213803</v>
      </c>
      <c r="AE210" s="239">
        <v>-1847</v>
      </c>
      <c r="AF210" s="239">
        <v>0</v>
      </c>
      <c r="AG210" s="239">
        <v>-1847</v>
      </c>
      <c r="AH210" s="239">
        <v>1261944</v>
      </c>
      <c r="AI210" s="239">
        <v>0</v>
      </c>
      <c r="AJ210" s="239">
        <v>1261944</v>
      </c>
      <c r="AK210" s="239">
        <v>30349</v>
      </c>
      <c r="AL210" s="239">
        <v>0</v>
      </c>
      <c r="AM210" s="239">
        <v>30349</v>
      </c>
      <c r="AN210" s="239">
        <v>-4796768</v>
      </c>
      <c r="AO210" s="239">
        <v>0</v>
      </c>
      <c r="AP210" s="239">
        <v>-4796768</v>
      </c>
      <c r="AQ210" s="239">
        <v>-14846</v>
      </c>
      <c r="AR210" s="239">
        <v>0</v>
      </c>
      <c r="AS210" s="239">
        <v>-14846</v>
      </c>
      <c r="AT210" s="239">
        <v>-130681</v>
      </c>
      <c r="AU210" s="239">
        <v>0</v>
      </c>
      <c r="AV210" s="239">
        <v>-130681</v>
      </c>
      <c r="AW210" s="239">
        <v>0</v>
      </c>
      <c r="AX210" s="239">
        <v>0</v>
      </c>
      <c r="AY210" s="239">
        <v>0</v>
      </c>
      <c r="AZ210" s="239">
        <v>0</v>
      </c>
      <c r="BA210" s="239">
        <v>0</v>
      </c>
      <c r="BB210" s="239">
        <v>0</v>
      </c>
      <c r="BC210" s="239">
        <v>0</v>
      </c>
      <c r="BD210" s="239">
        <v>0</v>
      </c>
      <c r="BE210" s="239">
        <v>0</v>
      </c>
      <c r="BF210" s="239">
        <v>-8055153</v>
      </c>
      <c r="BG210" s="239">
        <v>0</v>
      </c>
      <c r="BH210" s="239">
        <v>-8055153</v>
      </c>
      <c r="BI210" s="239">
        <v>-7920</v>
      </c>
      <c r="BJ210" s="239">
        <v>0</v>
      </c>
      <c r="BK210" s="239">
        <v>-7920</v>
      </c>
      <c r="BL210" s="239">
        <v>0</v>
      </c>
      <c r="BM210" s="239">
        <v>0</v>
      </c>
      <c r="BN210" s="239">
        <v>0</v>
      </c>
      <c r="BO210" s="239">
        <v>-1904646</v>
      </c>
      <c r="BP210" s="239">
        <v>0</v>
      </c>
      <c r="BQ210" s="239">
        <v>-1904646</v>
      </c>
      <c r="BR210" s="239">
        <v>-31578</v>
      </c>
      <c r="BS210" s="239">
        <v>0</v>
      </c>
      <c r="BT210" s="239">
        <v>-31578</v>
      </c>
      <c r="BU210" s="239">
        <v>-1944144</v>
      </c>
      <c r="BV210" s="239">
        <v>0</v>
      </c>
      <c r="BW210" s="239">
        <v>-1944144</v>
      </c>
      <c r="BX210" s="239">
        <v>-134203</v>
      </c>
      <c r="BY210" s="239">
        <v>0</v>
      </c>
      <c r="BZ210" s="239">
        <v>-134203</v>
      </c>
      <c r="CA210" s="239">
        <v>1247</v>
      </c>
      <c r="CB210" s="239">
        <v>0</v>
      </c>
      <c r="CC210" s="239">
        <v>1247</v>
      </c>
      <c r="CD210" s="239">
        <v>-17569</v>
      </c>
      <c r="CE210" s="239">
        <v>0</v>
      </c>
      <c r="CF210" s="239">
        <v>-17569</v>
      </c>
      <c r="CG210" s="239">
        <v>120</v>
      </c>
      <c r="CH210" s="239">
        <v>0</v>
      </c>
      <c r="CI210" s="239">
        <v>120</v>
      </c>
      <c r="CJ210" s="239">
        <v>0</v>
      </c>
      <c r="CK210" s="239">
        <v>0</v>
      </c>
      <c r="CL210" s="239">
        <v>0</v>
      </c>
      <c r="CM210" s="239">
        <v>0</v>
      </c>
      <c r="CN210" s="239">
        <v>0</v>
      </c>
      <c r="CO210" s="239">
        <v>0</v>
      </c>
      <c r="CP210" s="239">
        <v>0</v>
      </c>
      <c r="CQ210" s="239">
        <v>0</v>
      </c>
      <c r="CR210" s="239">
        <v>0</v>
      </c>
      <c r="CS210" s="239">
        <v>0</v>
      </c>
      <c r="CT210" s="239">
        <v>0</v>
      </c>
      <c r="CU210" s="239">
        <v>0</v>
      </c>
      <c r="CV210" s="239">
        <v>0</v>
      </c>
      <c r="CW210" s="239">
        <v>0</v>
      </c>
      <c r="CX210" s="239">
        <v>0</v>
      </c>
      <c r="CY210" s="239">
        <v>0</v>
      </c>
      <c r="CZ210" s="239">
        <v>0</v>
      </c>
      <c r="DA210" s="239">
        <v>0</v>
      </c>
      <c r="DB210" s="239">
        <v>0</v>
      </c>
      <c r="DC210" s="239">
        <v>0</v>
      </c>
      <c r="DD210" s="239">
        <v>0</v>
      </c>
      <c r="DE210" s="239">
        <v>0</v>
      </c>
      <c r="DF210" s="239">
        <v>0</v>
      </c>
      <c r="DG210" s="239">
        <v>0</v>
      </c>
      <c r="DH210" s="239">
        <v>0</v>
      </c>
      <c r="DI210" s="239">
        <v>0</v>
      </c>
      <c r="DJ210" s="239">
        <v>-150405</v>
      </c>
      <c r="DK210" s="239">
        <v>0</v>
      </c>
      <c r="DL210" s="239">
        <v>-150405</v>
      </c>
      <c r="DM210" s="239">
        <v>-1715</v>
      </c>
      <c r="DN210" s="239">
        <v>0</v>
      </c>
      <c r="DO210" s="239">
        <v>-1715</v>
      </c>
      <c r="DP210" s="239">
        <v>4603</v>
      </c>
      <c r="DQ210" s="239">
        <v>0</v>
      </c>
      <c r="DR210" s="239">
        <v>4603</v>
      </c>
      <c r="DS210" s="239">
        <v>-67273</v>
      </c>
      <c r="DT210" s="239">
        <v>0</v>
      </c>
      <c r="DU210" s="239">
        <v>-67273</v>
      </c>
      <c r="DV210" s="239">
        <v>-13494</v>
      </c>
      <c r="DW210" s="239">
        <v>0</v>
      </c>
      <c r="DX210" s="239">
        <v>-13494</v>
      </c>
      <c r="DY210" s="239">
        <v>0</v>
      </c>
      <c r="DZ210" s="239">
        <v>0</v>
      </c>
      <c r="EA210" s="239">
        <v>0</v>
      </c>
      <c r="EB210" s="239">
        <v>11551</v>
      </c>
      <c r="EC210" s="239">
        <v>0</v>
      </c>
      <c r="ED210" s="239">
        <v>11551</v>
      </c>
      <c r="EE210" s="239">
        <v>0</v>
      </c>
      <c r="EF210" s="239">
        <v>0</v>
      </c>
      <c r="EG210" s="239">
        <v>0</v>
      </c>
      <c r="EH210" s="239">
        <v>0</v>
      </c>
      <c r="EI210" s="239">
        <v>0</v>
      </c>
      <c r="EJ210" s="239">
        <v>0</v>
      </c>
      <c r="EK210" s="239">
        <v>-12319</v>
      </c>
      <c r="EL210" s="239">
        <v>0</v>
      </c>
      <c r="EM210" s="239">
        <v>-12319</v>
      </c>
      <c r="EN210" s="239">
        <v>-68</v>
      </c>
      <c r="EO210" s="239">
        <v>0</v>
      </c>
      <c r="EP210" s="239">
        <v>-68</v>
      </c>
      <c r="EQ210" s="239">
        <v>-78715</v>
      </c>
      <c r="ER210" s="239">
        <v>0</v>
      </c>
      <c r="ES210" s="239">
        <v>-78715</v>
      </c>
      <c r="ET210" s="239">
        <v>0</v>
      </c>
      <c r="EU210" s="239">
        <v>0</v>
      </c>
      <c r="EV210" s="239">
        <v>0</v>
      </c>
      <c r="EW210" s="239">
        <v>0</v>
      </c>
      <c r="EX210" s="239">
        <v>0</v>
      </c>
      <c r="EY210" s="239">
        <v>0</v>
      </c>
      <c r="EZ210" s="239">
        <v>0</v>
      </c>
      <c r="FA210" s="239">
        <v>0</v>
      </c>
      <c r="FB210" s="239">
        <v>0</v>
      </c>
      <c r="FC210" s="239">
        <v>65364845</v>
      </c>
      <c r="FD210" s="239">
        <v>0</v>
      </c>
      <c r="FE210" s="239">
        <v>65364845</v>
      </c>
      <c r="FF210" s="239">
        <v>70305</v>
      </c>
      <c r="FG210" s="239">
        <v>0</v>
      </c>
      <c r="FH210" s="239">
        <v>70305</v>
      </c>
      <c r="FI210" s="239">
        <v>-8055153</v>
      </c>
      <c r="FJ210" s="239">
        <v>0</v>
      </c>
      <c r="FK210" s="239">
        <v>-8055153</v>
      </c>
      <c r="FL210" s="239">
        <v>-1944144</v>
      </c>
      <c r="FM210" s="239">
        <v>0</v>
      </c>
      <c r="FN210" s="239">
        <v>-1944144</v>
      </c>
      <c r="FO210" s="239">
        <v>-150405</v>
      </c>
      <c r="FP210" s="239">
        <v>0</v>
      </c>
      <c r="FQ210" s="239">
        <v>-150405</v>
      </c>
      <c r="FR210" s="239">
        <v>-78715</v>
      </c>
      <c r="FS210" s="239">
        <v>0</v>
      </c>
      <c r="FT210" s="239">
        <v>-78715</v>
      </c>
      <c r="FU210" s="239">
        <v>0</v>
      </c>
      <c r="FV210" s="239">
        <v>0</v>
      </c>
      <c r="FW210" s="239">
        <v>0</v>
      </c>
      <c r="FX210" s="239">
        <v>-10158112</v>
      </c>
      <c r="FY210" s="239">
        <v>0</v>
      </c>
      <c r="FZ210" s="239">
        <v>-10158112</v>
      </c>
      <c r="GA210" s="239">
        <v>55206733</v>
      </c>
      <c r="GB210" s="239">
        <v>0</v>
      </c>
      <c r="GC210" s="239">
        <v>55206733</v>
      </c>
      <c r="GD210" s="214" t="s">
        <v>1191</v>
      </c>
    </row>
    <row r="211" spans="2:186" s="214" customFormat="1" x14ac:dyDescent="0.2">
      <c r="B211" s="609" t="s">
        <v>504</v>
      </c>
      <c r="C211" s="609" t="s">
        <v>503</v>
      </c>
      <c r="D211" s="239">
        <v>0</v>
      </c>
      <c r="E211" s="239">
        <v>0</v>
      </c>
      <c r="F211" s="239">
        <v>0</v>
      </c>
      <c r="G211" s="239">
        <v>-20943</v>
      </c>
      <c r="H211" s="239">
        <v>0</v>
      </c>
      <c r="I211" s="239">
        <v>-20943</v>
      </c>
      <c r="J211" s="239">
        <v>0</v>
      </c>
      <c r="K211" s="239">
        <v>0</v>
      </c>
      <c r="L211" s="239">
        <v>0</v>
      </c>
      <c r="M211" s="239">
        <v>91720</v>
      </c>
      <c r="N211" s="239">
        <v>0</v>
      </c>
      <c r="O211" s="239">
        <v>91720</v>
      </c>
      <c r="P211" s="239">
        <v>70777</v>
      </c>
      <c r="Q211" s="239">
        <v>0</v>
      </c>
      <c r="R211" s="239">
        <v>70777</v>
      </c>
      <c r="S211" s="239">
        <v>-2674008</v>
      </c>
      <c r="T211" s="239">
        <v>0</v>
      </c>
      <c r="U211" s="239">
        <v>-2674008</v>
      </c>
      <c r="V211" s="239">
        <v>0</v>
      </c>
      <c r="W211" s="239">
        <v>0</v>
      </c>
      <c r="X211" s="239">
        <v>0</v>
      </c>
      <c r="Y211" s="239">
        <v>-41975</v>
      </c>
      <c r="Z211" s="239">
        <v>0</v>
      </c>
      <c r="AA211" s="239">
        <v>-41975</v>
      </c>
      <c r="AB211" s="239">
        <v>-41975</v>
      </c>
      <c r="AC211" s="239">
        <v>0</v>
      </c>
      <c r="AD211" s="239">
        <v>-41975</v>
      </c>
      <c r="AE211" s="239">
        <v>0</v>
      </c>
      <c r="AF211" s="239">
        <v>0</v>
      </c>
      <c r="AG211" s="239">
        <v>0</v>
      </c>
      <c r="AH211" s="239">
        <v>1330748</v>
      </c>
      <c r="AI211" s="239">
        <v>0</v>
      </c>
      <c r="AJ211" s="239">
        <v>1330748</v>
      </c>
      <c r="AK211" s="239">
        <v>-19515</v>
      </c>
      <c r="AL211" s="239">
        <v>0</v>
      </c>
      <c r="AM211" s="239">
        <v>-19515</v>
      </c>
      <c r="AN211" s="239">
        <v>-2942440</v>
      </c>
      <c r="AO211" s="239">
        <v>-26872</v>
      </c>
      <c r="AP211" s="239">
        <v>-2969312</v>
      </c>
      <c r="AQ211" s="239">
        <v>-443796</v>
      </c>
      <c r="AR211" s="239">
        <v>0</v>
      </c>
      <c r="AS211" s="239">
        <v>-443796</v>
      </c>
      <c r="AT211" s="239">
        <v>-53101</v>
      </c>
      <c r="AU211" s="239">
        <v>0</v>
      </c>
      <c r="AV211" s="239">
        <v>-53101</v>
      </c>
      <c r="AW211" s="239">
        <v>0</v>
      </c>
      <c r="AX211" s="239">
        <v>0</v>
      </c>
      <c r="AY211" s="239">
        <v>0</v>
      </c>
      <c r="AZ211" s="239">
        <v>-609</v>
      </c>
      <c r="BA211" s="239">
        <v>0</v>
      </c>
      <c r="BB211" s="239">
        <v>-609</v>
      </c>
      <c r="BC211" s="239">
        <v>0</v>
      </c>
      <c r="BD211" s="239">
        <v>0</v>
      </c>
      <c r="BE211" s="239">
        <v>0</v>
      </c>
      <c r="BF211" s="239">
        <v>-4844696</v>
      </c>
      <c r="BG211" s="239">
        <v>-26872</v>
      </c>
      <c r="BH211" s="239">
        <v>-4871568</v>
      </c>
      <c r="BI211" s="239">
        <v>0</v>
      </c>
      <c r="BJ211" s="239">
        <v>0</v>
      </c>
      <c r="BK211" s="239">
        <v>0</v>
      </c>
      <c r="BL211" s="239">
        <v>32985</v>
      </c>
      <c r="BM211" s="239">
        <v>0</v>
      </c>
      <c r="BN211" s="239">
        <v>32985</v>
      </c>
      <c r="BO211" s="239">
        <v>-10819405</v>
      </c>
      <c r="BP211" s="239">
        <v>0</v>
      </c>
      <c r="BQ211" s="239">
        <v>-10819405</v>
      </c>
      <c r="BR211" s="239">
        <v>-218805</v>
      </c>
      <c r="BS211" s="239">
        <v>0</v>
      </c>
      <c r="BT211" s="239">
        <v>-218805</v>
      </c>
      <c r="BU211" s="239">
        <v>-11005225</v>
      </c>
      <c r="BV211" s="239">
        <v>0</v>
      </c>
      <c r="BW211" s="239">
        <v>-11005225</v>
      </c>
      <c r="BX211" s="239">
        <v>-34658</v>
      </c>
      <c r="BY211" s="239">
        <v>0</v>
      </c>
      <c r="BZ211" s="239">
        <v>-34658</v>
      </c>
      <c r="CA211" s="239">
        <v>-945</v>
      </c>
      <c r="CB211" s="239">
        <v>0</v>
      </c>
      <c r="CC211" s="239">
        <v>-945</v>
      </c>
      <c r="CD211" s="239">
        <v>-313457</v>
      </c>
      <c r="CE211" s="239">
        <v>0</v>
      </c>
      <c r="CF211" s="239">
        <v>-313457</v>
      </c>
      <c r="CG211" s="239">
        <v>-3377</v>
      </c>
      <c r="CH211" s="239">
        <v>0</v>
      </c>
      <c r="CI211" s="239">
        <v>-3377</v>
      </c>
      <c r="CJ211" s="239">
        <v>0</v>
      </c>
      <c r="CK211" s="239">
        <v>0</v>
      </c>
      <c r="CL211" s="239">
        <v>0</v>
      </c>
      <c r="CM211" s="239">
        <v>0</v>
      </c>
      <c r="CN211" s="239">
        <v>0</v>
      </c>
      <c r="CO211" s="239">
        <v>0</v>
      </c>
      <c r="CP211" s="239">
        <v>0</v>
      </c>
      <c r="CQ211" s="239">
        <v>0</v>
      </c>
      <c r="CR211" s="239">
        <v>0</v>
      </c>
      <c r="CS211" s="239">
        <v>0</v>
      </c>
      <c r="CT211" s="239">
        <v>0</v>
      </c>
      <c r="CU211" s="239">
        <v>0</v>
      </c>
      <c r="CV211" s="239">
        <v>-7334</v>
      </c>
      <c r="CW211" s="239">
        <v>0</v>
      </c>
      <c r="CX211" s="239">
        <v>-7334</v>
      </c>
      <c r="CY211" s="239">
        <v>0</v>
      </c>
      <c r="CZ211" s="239">
        <v>0</v>
      </c>
      <c r="DA211" s="239">
        <v>0</v>
      </c>
      <c r="DB211" s="239">
        <v>0</v>
      </c>
      <c r="DC211" s="239">
        <v>0</v>
      </c>
      <c r="DD211" s="239">
        <v>0</v>
      </c>
      <c r="DE211" s="239">
        <v>0</v>
      </c>
      <c r="DF211" s="239">
        <v>0</v>
      </c>
      <c r="DG211" s="239">
        <v>0</v>
      </c>
      <c r="DH211" s="239">
        <v>0</v>
      </c>
      <c r="DI211" s="239">
        <v>0</v>
      </c>
      <c r="DJ211" s="239">
        <v>-359771</v>
      </c>
      <c r="DK211" s="239">
        <v>0</v>
      </c>
      <c r="DL211" s="239">
        <v>-359771</v>
      </c>
      <c r="DM211" s="239">
        <v>0</v>
      </c>
      <c r="DN211" s="239">
        <v>0</v>
      </c>
      <c r="DO211" s="239">
        <v>0</v>
      </c>
      <c r="DP211" s="239">
        <v>0</v>
      </c>
      <c r="DQ211" s="239">
        <v>0</v>
      </c>
      <c r="DR211" s="239">
        <v>0</v>
      </c>
      <c r="DS211" s="239">
        <v>-12857</v>
      </c>
      <c r="DT211" s="239">
        <v>0</v>
      </c>
      <c r="DU211" s="239">
        <v>-12857</v>
      </c>
      <c r="DV211" s="239">
        <v>-5966</v>
      </c>
      <c r="DW211" s="239">
        <v>0</v>
      </c>
      <c r="DX211" s="239">
        <v>-5966</v>
      </c>
      <c r="DY211" s="239">
        <v>0</v>
      </c>
      <c r="DZ211" s="239">
        <v>0</v>
      </c>
      <c r="EA211" s="239">
        <v>0</v>
      </c>
      <c r="EB211" s="239">
        <v>-27307</v>
      </c>
      <c r="EC211" s="239">
        <v>0</v>
      </c>
      <c r="ED211" s="239">
        <v>-27307</v>
      </c>
      <c r="EE211" s="239">
        <v>0</v>
      </c>
      <c r="EF211" s="239">
        <v>0</v>
      </c>
      <c r="EG211" s="239">
        <v>0</v>
      </c>
      <c r="EH211" s="239">
        <v>0</v>
      </c>
      <c r="EI211" s="239">
        <v>0</v>
      </c>
      <c r="EJ211" s="239">
        <v>0</v>
      </c>
      <c r="EK211" s="239">
        <v>0</v>
      </c>
      <c r="EL211" s="239">
        <v>0</v>
      </c>
      <c r="EM211" s="239">
        <v>0</v>
      </c>
      <c r="EN211" s="239">
        <v>0</v>
      </c>
      <c r="EO211" s="239">
        <v>0</v>
      </c>
      <c r="EP211" s="239">
        <v>0</v>
      </c>
      <c r="EQ211" s="239">
        <v>-46130</v>
      </c>
      <c r="ER211" s="239">
        <v>0</v>
      </c>
      <c r="ES211" s="239">
        <v>-46130</v>
      </c>
      <c r="ET211" s="239">
        <v>0</v>
      </c>
      <c r="EU211" s="239">
        <v>0</v>
      </c>
      <c r="EV211" s="239">
        <v>0</v>
      </c>
      <c r="EW211" s="239">
        <v>0</v>
      </c>
      <c r="EX211" s="239">
        <v>0</v>
      </c>
      <c r="EY211" s="239">
        <v>0</v>
      </c>
      <c r="EZ211" s="239">
        <v>0</v>
      </c>
      <c r="FA211" s="239">
        <v>0</v>
      </c>
      <c r="FB211" s="239">
        <v>0</v>
      </c>
      <c r="FC211" s="239">
        <v>52391120</v>
      </c>
      <c r="FD211" s="239">
        <v>877198</v>
      </c>
      <c r="FE211" s="239">
        <v>53268318</v>
      </c>
      <c r="FF211" s="239">
        <v>70777</v>
      </c>
      <c r="FG211" s="239">
        <v>0</v>
      </c>
      <c r="FH211" s="239">
        <v>70777</v>
      </c>
      <c r="FI211" s="239">
        <v>-4844696</v>
      </c>
      <c r="FJ211" s="239">
        <v>-26872</v>
      </c>
      <c r="FK211" s="239">
        <v>-4871568</v>
      </c>
      <c r="FL211" s="239">
        <v>-11005225</v>
      </c>
      <c r="FM211" s="239">
        <v>0</v>
      </c>
      <c r="FN211" s="239">
        <v>-11005225</v>
      </c>
      <c r="FO211" s="239">
        <v>-359771</v>
      </c>
      <c r="FP211" s="239">
        <v>0</v>
      </c>
      <c r="FQ211" s="239">
        <v>-359771</v>
      </c>
      <c r="FR211" s="239">
        <v>-46130</v>
      </c>
      <c r="FS211" s="239">
        <v>0</v>
      </c>
      <c r="FT211" s="239">
        <v>-46130</v>
      </c>
      <c r="FU211" s="239">
        <v>0</v>
      </c>
      <c r="FV211" s="239">
        <v>0</v>
      </c>
      <c r="FW211" s="239">
        <v>0</v>
      </c>
      <c r="FX211" s="239">
        <v>-16185045</v>
      </c>
      <c r="FY211" s="239">
        <v>-26872</v>
      </c>
      <c r="FZ211" s="239">
        <v>-16211917</v>
      </c>
      <c r="GA211" s="239">
        <v>36206075</v>
      </c>
      <c r="GB211" s="239">
        <v>850326</v>
      </c>
      <c r="GC211" s="239">
        <v>37056401</v>
      </c>
      <c r="GD211" s="214" t="s">
        <v>747</v>
      </c>
    </row>
    <row r="212" spans="2:186" s="214" customFormat="1" x14ac:dyDescent="0.2">
      <c r="B212" s="609" t="s">
        <v>506</v>
      </c>
      <c r="C212" s="609" t="s">
        <v>505</v>
      </c>
      <c r="D212" s="239">
        <v>0</v>
      </c>
      <c r="E212" s="239">
        <v>0</v>
      </c>
      <c r="F212" s="239">
        <v>0</v>
      </c>
      <c r="G212" s="239">
        <v>17766</v>
      </c>
      <c r="H212" s="239">
        <v>0</v>
      </c>
      <c r="I212" s="239">
        <v>17766</v>
      </c>
      <c r="J212" s="239">
        <v>0</v>
      </c>
      <c r="K212" s="239">
        <v>0</v>
      </c>
      <c r="L212" s="239">
        <v>0</v>
      </c>
      <c r="M212" s="239">
        <v>16334</v>
      </c>
      <c r="N212" s="239">
        <v>0</v>
      </c>
      <c r="O212" s="239">
        <v>16334</v>
      </c>
      <c r="P212" s="239">
        <v>34100</v>
      </c>
      <c r="Q212" s="239">
        <v>0</v>
      </c>
      <c r="R212" s="239">
        <v>34100</v>
      </c>
      <c r="S212" s="239">
        <v>-1502660</v>
      </c>
      <c r="T212" s="239">
        <v>0</v>
      </c>
      <c r="U212" s="239">
        <v>-1502660</v>
      </c>
      <c r="V212" s="239">
        <v>0</v>
      </c>
      <c r="W212" s="239">
        <v>0</v>
      </c>
      <c r="X212" s="239">
        <v>0</v>
      </c>
      <c r="Y212" s="239">
        <v>-29233</v>
      </c>
      <c r="Z212" s="239">
        <v>0</v>
      </c>
      <c r="AA212" s="239">
        <v>-29233</v>
      </c>
      <c r="AB212" s="239">
        <v>0</v>
      </c>
      <c r="AC212" s="239">
        <v>0</v>
      </c>
      <c r="AD212" s="239">
        <v>0</v>
      </c>
      <c r="AE212" s="239">
        <v>0</v>
      </c>
      <c r="AF212" s="239">
        <v>0</v>
      </c>
      <c r="AG212" s="239">
        <v>0</v>
      </c>
      <c r="AH212" s="239">
        <v>968276</v>
      </c>
      <c r="AI212" s="239">
        <v>0</v>
      </c>
      <c r="AJ212" s="239">
        <v>968276</v>
      </c>
      <c r="AK212" s="239">
        <v>-17367</v>
      </c>
      <c r="AL212" s="239">
        <v>0</v>
      </c>
      <c r="AM212" s="239">
        <v>-17367</v>
      </c>
      <c r="AN212" s="239">
        <v>-1177093</v>
      </c>
      <c r="AO212" s="239">
        <v>0</v>
      </c>
      <c r="AP212" s="239">
        <v>-1177093</v>
      </c>
      <c r="AQ212" s="239">
        <v>419364</v>
      </c>
      <c r="AR212" s="239">
        <v>0</v>
      </c>
      <c r="AS212" s="239">
        <v>419364</v>
      </c>
      <c r="AT212" s="239">
        <v>-13777</v>
      </c>
      <c r="AU212" s="239">
        <v>0</v>
      </c>
      <c r="AV212" s="239">
        <v>-13777</v>
      </c>
      <c r="AW212" s="239">
        <v>0</v>
      </c>
      <c r="AX212" s="239">
        <v>0</v>
      </c>
      <c r="AY212" s="239">
        <v>0</v>
      </c>
      <c r="AZ212" s="239">
        <v>-1416</v>
      </c>
      <c r="BA212" s="239">
        <v>0</v>
      </c>
      <c r="BB212" s="239">
        <v>-1416</v>
      </c>
      <c r="BC212" s="239">
        <v>0</v>
      </c>
      <c r="BD212" s="239">
        <v>0</v>
      </c>
      <c r="BE212" s="239">
        <v>0</v>
      </c>
      <c r="BF212" s="239">
        <v>-1353906</v>
      </c>
      <c r="BG212" s="239">
        <v>0</v>
      </c>
      <c r="BH212" s="239">
        <v>-1353906</v>
      </c>
      <c r="BI212" s="239">
        <v>-50474</v>
      </c>
      <c r="BJ212" s="239">
        <v>0</v>
      </c>
      <c r="BK212" s="239">
        <v>-50474</v>
      </c>
      <c r="BL212" s="239">
        <v>-33677</v>
      </c>
      <c r="BM212" s="239">
        <v>0</v>
      </c>
      <c r="BN212" s="239">
        <v>-33677</v>
      </c>
      <c r="BO212" s="239">
        <v>-1157448</v>
      </c>
      <c r="BP212" s="239">
        <v>0</v>
      </c>
      <c r="BQ212" s="239">
        <v>-1157448</v>
      </c>
      <c r="BR212" s="239">
        <v>-192369</v>
      </c>
      <c r="BS212" s="239">
        <v>0</v>
      </c>
      <c r="BT212" s="239">
        <v>-192369</v>
      </c>
      <c r="BU212" s="239">
        <v>-1433968</v>
      </c>
      <c r="BV212" s="239">
        <v>0</v>
      </c>
      <c r="BW212" s="239">
        <v>-1433968</v>
      </c>
      <c r="BX212" s="239">
        <v>-28993</v>
      </c>
      <c r="BY212" s="239">
        <v>0</v>
      </c>
      <c r="BZ212" s="239">
        <v>-28993</v>
      </c>
      <c r="CA212" s="239">
        <v>-4322</v>
      </c>
      <c r="CB212" s="239">
        <v>0</v>
      </c>
      <c r="CC212" s="239">
        <v>-4322</v>
      </c>
      <c r="CD212" s="239">
        <v>-51303</v>
      </c>
      <c r="CE212" s="239">
        <v>0</v>
      </c>
      <c r="CF212" s="239">
        <v>-51303</v>
      </c>
      <c r="CG212" s="239">
        <v>-3043</v>
      </c>
      <c r="CH212" s="239">
        <v>0</v>
      </c>
      <c r="CI212" s="239">
        <v>-3043</v>
      </c>
      <c r="CJ212" s="239">
        <v>0</v>
      </c>
      <c r="CK212" s="239">
        <v>0</v>
      </c>
      <c r="CL212" s="239">
        <v>0</v>
      </c>
      <c r="CM212" s="239">
        <v>0</v>
      </c>
      <c r="CN212" s="239">
        <v>0</v>
      </c>
      <c r="CO212" s="239">
        <v>0</v>
      </c>
      <c r="CP212" s="239">
        <v>-1416</v>
      </c>
      <c r="CQ212" s="239">
        <v>0</v>
      </c>
      <c r="CR212" s="239">
        <v>-1416</v>
      </c>
      <c r="CS212" s="239">
        <v>0</v>
      </c>
      <c r="CT212" s="239">
        <v>0</v>
      </c>
      <c r="CU212" s="239">
        <v>0</v>
      </c>
      <c r="CV212" s="239">
        <v>0</v>
      </c>
      <c r="CW212" s="239">
        <v>0</v>
      </c>
      <c r="CX212" s="239">
        <v>0</v>
      </c>
      <c r="CY212" s="239">
        <v>0</v>
      </c>
      <c r="CZ212" s="239">
        <v>0</v>
      </c>
      <c r="DA212" s="239">
        <v>0</v>
      </c>
      <c r="DB212" s="239">
        <v>0</v>
      </c>
      <c r="DC212" s="239">
        <v>0</v>
      </c>
      <c r="DD212" s="239">
        <v>0</v>
      </c>
      <c r="DE212" s="239">
        <v>0</v>
      </c>
      <c r="DF212" s="239">
        <v>0</v>
      </c>
      <c r="DG212" s="239">
        <v>0</v>
      </c>
      <c r="DH212" s="239">
        <v>0</v>
      </c>
      <c r="DI212" s="239">
        <v>0</v>
      </c>
      <c r="DJ212" s="239">
        <v>-89077</v>
      </c>
      <c r="DK212" s="239">
        <v>0</v>
      </c>
      <c r="DL212" s="239">
        <v>-89077</v>
      </c>
      <c r="DM212" s="239">
        <v>0</v>
      </c>
      <c r="DN212" s="239">
        <v>0</v>
      </c>
      <c r="DO212" s="239">
        <v>0</v>
      </c>
      <c r="DP212" s="239">
        <v>0</v>
      </c>
      <c r="DQ212" s="239">
        <v>0</v>
      </c>
      <c r="DR212" s="239">
        <v>0</v>
      </c>
      <c r="DS212" s="239">
        <v>-32443</v>
      </c>
      <c r="DT212" s="239">
        <v>0</v>
      </c>
      <c r="DU212" s="239">
        <v>-32443</v>
      </c>
      <c r="DV212" s="239">
        <v>7133</v>
      </c>
      <c r="DW212" s="239">
        <v>0</v>
      </c>
      <c r="DX212" s="239">
        <v>7133</v>
      </c>
      <c r="DY212" s="239">
        <v>0</v>
      </c>
      <c r="DZ212" s="239">
        <v>0</v>
      </c>
      <c r="EA212" s="239">
        <v>0</v>
      </c>
      <c r="EB212" s="239">
        <v>-6696</v>
      </c>
      <c r="EC212" s="239">
        <v>0</v>
      </c>
      <c r="ED212" s="239">
        <v>-6696</v>
      </c>
      <c r="EE212" s="239">
        <v>0</v>
      </c>
      <c r="EF212" s="239">
        <v>0</v>
      </c>
      <c r="EG212" s="239">
        <v>0</v>
      </c>
      <c r="EH212" s="239">
        <v>0</v>
      </c>
      <c r="EI212" s="239">
        <v>0</v>
      </c>
      <c r="EJ212" s="239">
        <v>0</v>
      </c>
      <c r="EK212" s="239">
        <v>-2473</v>
      </c>
      <c r="EL212" s="239">
        <v>0</v>
      </c>
      <c r="EM212" s="239">
        <v>-2473</v>
      </c>
      <c r="EN212" s="239">
        <v>262</v>
      </c>
      <c r="EO212" s="239">
        <v>0</v>
      </c>
      <c r="EP212" s="239">
        <v>262</v>
      </c>
      <c r="EQ212" s="239">
        <v>-34217</v>
      </c>
      <c r="ER212" s="239">
        <v>0</v>
      </c>
      <c r="ES212" s="239">
        <v>-34217</v>
      </c>
      <c r="ET212" s="239">
        <v>0</v>
      </c>
      <c r="EU212" s="239">
        <v>0</v>
      </c>
      <c r="EV212" s="239">
        <v>0</v>
      </c>
      <c r="EW212" s="239">
        <v>0</v>
      </c>
      <c r="EX212" s="239">
        <v>0</v>
      </c>
      <c r="EY212" s="239">
        <v>0</v>
      </c>
      <c r="EZ212" s="239">
        <v>0</v>
      </c>
      <c r="FA212" s="239">
        <v>0</v>
      </c>
      <c r="FB212" s="239">
        <v>0</v>
      </c>
      <c r="FC212" s="239">
        <v>39950296</v>
      </c>
      <c r="FD212" s="239">
        <v>0</v>
      </c>
      <c r="FE212" s="239">
        <v>39950296</v>
      </c>
      <c r="FF212" s="239">
        <v>34100</v>
      </c>
      <c r="FG212" s="239">
        <v>0</v>
      </c>
      <c r="FH212" s="239">
        <v>34100</v>
      </c>
      <c r="FI212" s="239">
        <v>-1353906</v>
      </c>
      <c r="FJ212" s="239">
        <v>0</v>
      </c>
      <c r="FK212" s="239">
        <v>-1353906</v>
      </c>
      <c r="FL212" s="239">
        <v>-1433968</v>
      </c>
      <c r="FM212" s="239">
        <v>0</v>
      </c>
      <c r="FN212" s="239">
        <v>-1433968</v>
      </c>
      <c r="FO212" s="239">
        <v>-89077</v>
      </c>
      <c r="FP212" s="239">
        <v>0</v>
      </c>
      <c r="FQ212" s="239">
        <v>-89077</v>
      </c>
      <c r="FR212" s="239">
        <v>-34217</v>
      </c>
      <c r="FS212" s="239">
        <v>0</v>
      </c>
      <c r="FT212" s="239">
        <v>-34217</v>
      </c>
      <c r="FU212" s="239">
        <v>0</v>
      </c>
      <c r="FV212" s="239">
        <v>0</v>
      </c>
      <c r="FW212" s="239">
        <v>0</v>
      </c>
      <c r="FX212" s="239">
        <v>-2877068</v>
      </c>
      <c r="FY212" s="239">
        <v>0</v>
      </c>
      <c r="FZ212" s="239">
        <v>-2877068</v>
      </c>
      <c r="GA212" s="239">
        <v>37073228</v>
      </c>
      <c r="GB212" s="239">
        <v>0</v>
      </c>
      <c r="GC212" s="239">
        <v>37073228</v>
      </c>
      <c r="GD212" s="214" t="s">
        <v>1190</v>
      </c>
    </row>
    <row r="213" spans="2:186" s="214" customFormat="1" x14ac:dyDescent="0.2">
      <c r="B213" s="609" t="s">
        <v>508</v>
      </c>
      <c r="C213" s="609" t="s">
        <v>507</v>
      </c>
      <c r="D213" s="239">
        <v>0</v>
      </c>
      <c r="E213" s="239">
        <v>0</v>
      </c>
      <c r="F213" s="239">
        <v>0</v>
      </c>
      <c r="G213" s="239">
        <v>1018</v>
      </c>
      <c r="H213" s="239">
        <v>0</v>
      </c>
      <c r="I213" s="239">
        <v>1018</v>
      </c>
      <c r="J213" s="239">
        <v>0</v>
      </c>
      <c r="K213" s="239">
        <v>0</v>
      </c>
      <c r="L213" s="239">
        <v>0</v>
      </c>
      <c r="M213" s="239">
        <v>46927</v>
      </c>
      <c r="N213" s="239">
        <v>0</v>
      </c>
      <c r="O213" s="239">
        <v>46927</v>
      </c>
      <c r="P213" s="239">
        <v>47945</v>
      </c>
      <c r="Q213" s="239">
        <v>0</v>
      </c>
      <c r="R213" s="239">
        <v>47945</v>
      </c>
      <c r="S213" s="239">
        <v>-2057689</v>
      </c>
      <c r="T213" s="239">
        <v>0</v>
      </c>
      <c r="U213" s="239">
        <v>-2057689</v>
      </c>
      <c r="V213" s="239">
        <v>-6607</v>
      </c>
      <c r="W213" s="239">
        <v>0</v>
      </c>
      <c r="X213" s="239">
        <v>-6607</v>
      </c>
      <c r="Y213" s="239">
        <v>-136457</v>
      </c>
      <c r="Z213" s="239">
        <v>0</v>
      </c>
      <c r="AA213" s="239">
        <v>-136457</v>
      </c>
      <c r="AB213" s="239">
        <v>0</v>
      </c>
      <c r="AC213" s="239">
        <v>0</v>
      </c>
      <c r="AD213" s="239">
        <v>0</v>
      </c>
      <c r="AE213" s="239">
        <v>2269</v>
      </c>
      <c r="AF213" s="239">
        <v>0</v>
      </c>
      <c r="AG213" s="239">
        <v>2269</v>
      </c>
      <c r="AH213" s="239">
        <v>1361521</v>
      </c>
      <c r="AI213" s="239">
        <v>0</v>
      </c>
      <c r="AJ213" s="239">
        <v>1361521</v>
      </c>
      <c r="AK213" s="239">
        <v>1517</v>
      </c>
      <c r="AL213" s="239">
        <v>0</v>
      </c>
      <c r="AM213" s="239">
        <v>1517</v>
      </c>
      <c r="AN213" s="239">
        <v>-3433121</v>
      </c>
      <c r="AO213" s="239">
        <v>0</v>
      </c>
      <c r="AP213" s="239">
        <v>-3433121</v>
      </c>
      <c r="AQ213" s="239">
        <v>-105647</v>
      </c>
      <c r="AR213" s="239">
        <v>0</v>
      </c>
      <c r="AS213" s="239">
        <v>-105647</v>
      </c>
      <c r="AT213" s="239">
        <v>-68635</v>
      </c>
      <c r="AU213" s="239">
        <v>0</v>
      </c>
      <c r="AV213" s="239">
        <v>-68635</v>
      </c>
      <c r="AW213" s="239">
        <v>0</v>
      </c>
      <c r="AX213" s="239">
        <v>0</v>
      </c>
      <c r="AY213" s="239">
        <v>0</v>
      </c>
      <c r="AZ213" s="239">
        <v>0</v>
      </c>
      <c r="BA213" s="239">
        <v>0</v>
      </c>
      <c r="BB213" s="239">
        <v>0</v>
      </c>
      <c r="BC213" s="239">
        <v>0</v>
      </c>
      <c r="BD213" s="239">
        <v>0</v>
      </c>
      <c r="BE213" s="239">
        <v>0</v>
      </c>
      <c r="BF213" s="239">
        <v>-4438511</v>
      </c>
      <c r="BG213" s="239">
        <v>0</v>
      </c>
      <c r="BH213" s="239">
        <v>-4438511</v>
      </c>
      <c r="BI213" s="239">
        <v>-73542</v>
      </c>
      <c r="BJ213" s="239">
        <v>0</v>
      </c>
      <c r="BK213" s="239">
        <v>-73542</v>
      </c>
      <c r="BL213" s="239">
        <v>0</v>
      </c>
      <c r="BM213" s="239">
        <v>0</v>
      </c>
      <c r="BN213" s="239">
        <v>0</v>
      </c>
      <c r="BO213" s="239">
        <v>-1941313</v>
      </c>
      <c r="BP213" s="239">
        <v>0</v>
      </c>
      <c r="BQ213" s="239">
        <v>-1941313</v>
      </c>
      <c r="BR213" s="239">
        <v>32359</v>
      </c>
      <c r="BS213" s="239">
        <v>0</v>
      </c>
      <c r="BT213" s="239">
        <v>32359</v>
      </c>
      <c r="BU213" s="239">
        <v>-1982496</v>
      </c>
      <c r="BV213" s="239">
        <v>0</v>
      </c>
      <c r="BW213" s="239">
        <v>-1982496</v>
      </c>
      <c r="BX213" s="239">
        <v>-48720</v>
      </c>
      <c r="BY213" s="239">
        <v>0</v>
      </c>
      <c r="BZ213" s="239">
        <v>-48720</v>
      </c>
      <c r="CA213" s="239">
        <v>-637</v>
      </c>
      <c r="CB213" s="239">
        <v>0</v>
      </c>
      <c r="CC213" s="239">
        <v>-637</v>
      </c>
      <c r="CD213" s="239">
        <v>-61153</v>
      </c>
      <c r="CE213" s="239">
        <v>0</v>
      </c>
      <c r="CF213" s="239">
        <v>-61153</v>
      </c>
      <c r="CG213" s="239">
        <v>-34863</v>
      </c>
      <c r="CH213" s="239">
        <v>0</v>
      </c>
      <c r="CI213" s="239">
        <v>-34863</v>
      </c>
      <c r="CJ213" s="239">
        <v>-2032</v>
      </c>
      <c r="CK213" s="239">
        <v>0</v>
      </c>
      <c r="CL213" s="239">
        <v>-2032</v>
      </c>
      <c r="CM213" s="239">
        <v>-229</v>
      </c>
      <c r="CN213" s="239">
        <v>0</v>
      </c>
      <c r="CO213" s="239">
        <v>-229</v>
      </c>
      <c r="CP213" s="239">
        <v>-2635</v>
      </c>
      <c r="CQ213" s="239">
        <v>0</v>
      </c>
      <c r="CR213" s="239">
        <v>-2635</v>
      </c>
      <c r="CS213" s="239">
        <v>0</v>
      </c>
      <c r="CT213" s="239">
        <v>0</v>
      </c>
      <c r="CU213" s="239">
        <v>0</v>
      </c>
      <c r="CV213" s="239">
        <v>0</v>
      </c>
      <c r="CW213" s="239">
        <v>0</v>
      </c>
      <c r="CX213" s="239">
        <v>0</v>
      </c>
      <c r="CY213" s="239">
        <v>0</v>
      </c>
      <c r="CZ213" s="239">
        <v>0</v>
      </c>
      <c r="DA213" s="239">
        <v>0</v>
      </c>
      <c r="DB213" s="239">
        <v>0</v>
      </c>
      <c r="DC213" s="239">
        <v>0</v>
      </c>
      <c r="DD213" s="239">
        <v>0</v>
      </c>
      <c r="DE213" s="239">
        <v>0</v>
      </c>
      <c r="DF213" s="239">
        <v>0</v>
      </c>
      <c r="DG213" s="239">
        <v>0</v>
      </c>
      <c r="DH213" s="239">
        <v>0</v>
      </c>
      <c r="DI213" s="239">
        <v>0</v>
      </c>
      <c r="DJ213" s="239">
        <v>-150269</v>
      </c>
      <c r="DK213" s="239">
        <v>0</v>
      </c>
      <c r="DL213" s="239">
        <v>-150269</v>
      </c>
      <c r="DM213" s="239">
        <v>-90986</v>
      </c>
      <c r="DN213" s="239">
        <v>0</v>
      </c>
      <c r="DO213" s="239">
        <v>-90986</v>
      </c>
      <c r="DP213" s="239">
        <v>0</v>
      </c>
      <c r="DQ213" s="239">
        <v>0</v>
      </c>
      <c r="DR213" s="239">
        <v>0</v>
      </c>
      <c r="DS213" s="239">
        <v>-14532</v>
      </c>
      <c r="DT213" s="239">
        <v>0</v>
      </c>
      <c r="DU213" s="239">
        <v>-14532</v>
      </c>
      <c r="DV213" s="239">
        <v>-12646</v>
      </c>
      <c r="DW213" s="239">
        <v>0</v>
      </c>
      <c r="DX213" s="239">
        <v>-12646</v>
      </c>
      <c r="DY213" s="239">
        <v>0</v>
      </c>
      <c r="DZ213" s="239">
        <v>0</v>
      </c>
      <c r="EA213" s="239">
        <v>0</v>
      </c>
      <c r="EB213" s="239">
        <v>-15630</v>
      </c>
      <c r="EC213" s="239">
        <v>0</v>
      </c>
      <c r="ED213" s="239">
        <v>-15630</v>
      </c>
      <c r="EE213" s="239">
        <v>0</v>
      </c>
      <c r="EF213" s="239">
        <v>0</v>
      </c>
      <c r="EG213" s="239">
        <v>0</v>
      </c>
      <c r="EH213" s="239">
        <v>0</v>
      </c>
      <c r="EI213" s="239">
        <v>0</v>
      </c>
      <c r="EJ213" s="239">
        <v>0</v>
      </c>
      <c r="EK213" s="239">
        <v>-8663</v>
      </c>
      <c r="EL213" s="239">
        <v>0</v>
      </c>
      <c r="EM213" s="239">
        <v>-8663</v>
      </c>
      <c r="EN213" s="239">
        <v>0</v>
      </c>
      <c r="EO213" s="239">
        <v>0</v>
      </c>
      <c r="EP213" s="239">
        <v>0</v>
      </c>
      <c r="EQ213" s="239">
        <v>-142457</v>
      </c>
      <c r="ER213" s="239">
        <v>0</v>
      </c>
      <c r="ES213" s="239">
        <v>-142457</v>
      </c>
      <c r="ET213" s="239">
        <v>0</v>
      </c>
      <c r="EU213" s="239">
        <v>0</v>
      </c>
      <c r="EV213" s="239">
        <v>0</v>
      </c>
      <c r="EW213" s="239">
        <v>0</v>
      </c>
      <c r="EX213" s="239">
        <v>0</v>
      </c>
      <c r="EY213" s="239">
        <v>0</v>
      </c>
      <c r="EZ213" s="239">
        <v>0</v>
      </c>
      <c r="FA213" s="239">
        <v>0</v>
      </c>
      <c r="FB213" s="239">
        <v>0</v>
      </c>
      <c r="FC213" s="239">
        <v>57217489</v>
      </c>
      <c r="FD213" s="239">
        <v>0</v>
      </c>
      <c r="FE213" s="239">
        <v>57217489</v>
      </c>
      <c r="FF213" s="239">
        <v>47945</v>
      </c>
      <c r="FG213" s="239">
        <v>0</v>
      </c>
      <c r="FH213" s="239">
        <v>47945</v>
      </c>
      <c r="FI213" s="239">
        <v>-4438511</v>
      </c>
      <c r="FJ213" s="239">
        <v>0</v>
      </c>
      <c r="FK213" s="239">
        <v>-4438511</v>
      </c>
      <c r="FL213" s="239">
        <v>-1982496</v>
      </c>
      <c r="FM213" s="239">
        <v>0</v>
      </c>
      <c r="FN213" s="239">
        <v>-1982496</v>
      </c>
      <c r="FO213" s="239">
        <v>-150269</v>
      </c>
      <c r="FP213" s="239">
        <v>0</v>
      </c>
      <c r="FQ213" s="239">
        <v>-150269</v>
      </c>
      <c r="FR213" s="239">
        <v>-142457</v>
      </c>
      <c r="FS213" s="239">
        <v>0</v>
      </c>
      <c r="FT213" s="239">
        <v>-142457</v>
      </c>
      <c r="FU213" s="239">
        <v>0</v>
      </c>
      <c r="FV213" s="239">
        <v>0</v>
      </c>
      <c r="FW213" s="239">
        <v>0</v>
      </c>
      <c r="FX213" s="239">
        <v>-6665788</v>
      </c>
      <c r="FY213" s="239">
        <v>0</v>
      </c>
      <c r="FZ213" s="239">
        <v>-6665788</v>
      </c>
      <c r="GA213" s="239">
        <v>50551701</v>
      </c>
      <c r="GB213" s="239">
        <v>0</v>
      </c>
      <c r="GC213" s="239">
        <v>50551701</v>
      </c>
      <c r="GD213" s="214" t="s">
        <v>1190</v>
      </c>
    </row>
    <row r="214" spans="2:186" s="214" customFormat="1" x14ac:dyDescent="0.2">
      <c r="B214" s="609" t="s">
        <v>510</v>
      </c>
      <c r="C214" s="609" t="s">
        <v>509</v>
      </c>
      <c r="D214" s="239">
        <v>0</v>
      </c>
      <c r="E214" s="239">
        <v>0</v>
      </c>
      <c r="F214" s="239">
        <v>0</v>
      </c>
      <c r="G214" s="239">
        <v>91173</v>
      </c>
      <c r="H214" s="239">
        <v>0</v>
      </c>
      <c r="I214" s="239">
        <v>91173</v>
      </c>
      <c r="J214" s="239">
        <v>0</v>
      </c>
      <c r="K214" s="239">
        <v>0</v>
      </c>
      <c r="L214" s="239">
        <v>0</v>
      </c>
      <c r="M214" s="239">
        <v>5251</v>
      </c>
      <c r="N214" s="239">
        <v>0</v>
      </c>
      <c r="O214" s="239">
        <v>5251</v>
      </c>
      <c r="P214" s="239">
        <v>96424</v>
      </c>
      <c r="Q214" s="239">
        <v>0</v>
      </c>
      <c r="R214" s="239">
        <v>96424</v>
      </c>
      <c r="S214" s="239">
        <v>-2028878</v>
      </c>
      <c r="T214" s="239">
        <v>0</v>
      </c>
      <c r="U214" s="239">
        <v>-2028878</v>
      </c>
      <c r="V214" s="239">
        <v>-8260</v>
      </c>
      <c r="W214" s="239">
        <v>0</v>
      </c>
      <c r="X214" s="239">
        <v>-8260</v>
      </c>
      <c r="Y214" s="239">
        <v>-50697</v>
      </c>
      <c r="Z214" s="239">
        <v>0</v>
      </c>
      <c r="AA214" s="239">
        <v>-50697</v>
      </c>
      <c r="AB214" s="239">
        <v>-50697</v>
      </c>
      <c r="AC214" s="239">
        <v>0</v>
      </c>
      <c r="AD214" s="239">
        <v>-50697</v>
      </c>
      <c r="AE214" s="239">
        <v>0</v>
      </c>
      <c r="AF214" s="239">
        <v>0</v>
      </c>
      <c r="AG214" s="239">
        <v>0</v>
      </c>
      <c r="AH214" s="239">
        <v>330255</v>
      </c>
      <c r="AI214" s="239">
        <v>49790</v>
      </c>
      <c r="AJ214" s="239">
        <v>380045</v>
      </c>
      <c r="AK214" s="239">
        <v>-2807</v>
      </c>
      <c r="AL214" s="239">
        <v>0</v>
      </c>
      <c r="AM214" s="239">
        <v>-2807</v>
      </c>
      <c r="AN214" s="239">
        <v>-954433</v>
      </c>
      <c r="AO214" s="239">
        <v>0</v>
      </c>
      <c r="AP214" s="239">
        <v>-954433</v>
      </c>
      <c r="AQ214" s="239">
        <v>18663</v>
      </c>
      <c r="AR214" s="239">
        <v>0</v>
      </c>
      <c r="AS214" s="239">
        <v>18663</v>
      </c>
      <c r="AT214" s="239">
        <v>-42235</v>
      </c>
      <c r="AU214" s="239">
        <v>0</v>
      </c>
      <c r="AV214" s="239">
        <v>-42235</v>
      </c>
      <c r="AW214" s="239">
        <v>0</v>
      </c>
      <c r="AX214" s="239">
        <v>0</v>
      </c>
      <c r="AY214" s="239">
        <v>0</v>
      </c>
      <c r="AZ214" s="239">
        <v>-26858</v>
      </c>
      <c r="BA214" s="239">
        <v>0</v>
      </c>
      <c r="BB214" s="239">
        <v>-26858</v>
      </c>
      <c r="BC214" s="239">
        <v>6885</v>
      </c>
      <c r="BD214" s="239">
        <v>0</v>
      </c>
      <c r="BE214" s="239">
        <v>6885</v>
      </c>
      <c r="BF214" s="239">
        <v>-2750105</v>
      </c>
      <c r="BG214" s="239">
        <v>49790</v>
      </c>
      <c r="BH214" s="239">
        <v>-2700315</v>
      </c>
      <c r="BI214" s="239">
        <v>0</v>
      </c>
      <c r="BJ214" s="239">
        <v>0</v>
      </c>
      <c r="BK214" s="239">
        <v>0</v>
      </c>
      <c r="BL214" s="239">
        <v>0</v>
      </c>
      <c r="BM214" s="239">
        <v>0</v>
      </c>
      <c r="BN214" s="239">
        <v>0</v>
      </c>
      <c r="BO214" s="239">
        <v>-417266</v>
      </c>
      <c r="BP214" s="239">
        <v>0</v>
      </c>
      <c r="BQ214" s="239">
        <v>-417266</v>
      </c>
      <c r="BR214" s="239">
        <v>5296</v>
      </c>
      <c r="BS214" s="239">
        <v>0</v>
      </c>
      <c r="BT214" s="239">
        <v>5296</v>
      </c>
      <c r="BU214" s="239">
        <v>-411970</v>
      </c>
      <c r="BV214" s="239">
        <v>0</v>
      </c>
      <c r="BW214" s="239">
        <v>-411970</v>
      </c>
      <c r="BX214" s="239">
        <v>-30857</v>
      </c>
      <c r="BY214" s="239">
        <v>0</v>
      </c>
      <c r="BZ214" s="239">
        <v>-30857</v>
      </c>
      <c r="CA214" s="239">
        <v>0</v>
      </c>
      <c r="CB214" s="239">
        <v>0</v>
      </c>
      <c r="CC214" s="239">
        <v>0</v>
      </c>
      <c r="CD214" s="239">
        <v>-10422</v>
      </c>
      <c r="CE214" s="239">
        <v>0</v>
      </c>
      <c r="CF214" s="239">
        <v>-10422</v>
      </c>
      <c r="CG214" s="239">
        <v>0</v>
      </c>
      <c r="CH214" s="239">
        <v>0</v>
      </c>
      <c r="CI214" s="239">
        <v>0</v>
      </c>
      <c r="CJ214" s="239">
        <v>0</v>
      </c>
      <c r="CK214" s="239">
        <v>0</v>
      </c>
      <c r="CL214" s="239">
        <v>0</v>
      </c>
      <c r="CM214" s="239">
        <v>0</v>
      </c>
      <c r="CN214" s="239">
        <v>0</v>
      </c>
      <c r="CO214" s="239">
        <v>0</v>
      </c>
      <c r="CP214" s="239">
        <v>-11883</v>
      </c>
      <c r="CQ214" s="239">
        <v>0</v>
      </c>
      <c r="CR214" s="239">
        <v>-11883</v>
      </c>
      <c r="CS214" s="239">
        <v>0</v>
      </c>
      <c r="CT214" s="239">
        <v>0</v>
      </c>
      <c r="CU214" s="239">
        <v>0</v>
      </c>
      <c r="CV214" s="239">
        <v>-1634</v>
      </c>
      <c r="CW214" s="239">
        <v>0</v>
      </c>
      <c r="CX214" s="239">
        <v>-1634</v>
      </c>
      <c r="CY214" s="239">
        <v>0</v>
      </c>
      <c r="CZ214" s="239">
        <v>0</v>
      </c>
      <c r="DA214" s="239">
        <v>0</v>
      </c>
      <c r="DB214" s="239">
        <v>0</v>
      </c>
      <c r="DC214" s="239">
        <v>0</v>
      </c>
      <c r="DD214" s="239">
        <v>0</v>
      </c>
      <c r="DE214" s="239">
        <v>0</v>
      </c>
      <c r="DF214" s="239">
        <v>0</v>
      </c>
      <c r="DG214" s="239">
        <v>0</v>
      </c>
      <c r="DH214" s="239">
        <v>0</v>
      </c>
      <c r="DI214" s="239">
        <v>0</v>
      </c>
      <c r="DJ214" s="239">
        <v>-54796</v>
      </c>
      <c r="DK214" s="239">
        <v>0</v>
      </c>
      <c r="DL214" s="239">
        <v>-54796</v>
      </c>
      <c r="DM214" s="239">
        <v>0</v>
      </c>
      <c r="DN214" s="239">
        <v>0</v>
      </c>
      <c r="DO214" s="239">
        <v>0</v>
      </c>
      <c r="DP214" s="239">
        <v>0</v>
      </c>
      <c r="DQ214" s="239">
        <v>0</v>
      </c>
      <c r="DR214" s="239">
        <v>0</v>
      </c>
      <c r="DS214" s="239">
        <v>-18160</v>
      </c>
      <c r="DT214" s="239">
        <v>0</v>
      </c>
      <c r="DU214" s="239">
        <v>-18160</v>
      </c>
      <c r="DV214" s="239">
        <v>-877</v>
      </c>
      <c r="DW214" s="239">
        <v>0</v>
      </c>
      <c r="DX214" s="239">
        <v>-877</v>
      </c>
      <c r="DY214" s="239">
        <v>0</v>
      </c>
      <c r="DZ214" s="239">
        <v>0</v>
      </c>
      <c r="EA214" s="239">
        <v>0</v>
      </c>
      <c r="EB214" s="239">
        <v>1168</v>
      </c>
      <c r="EC214" s="239">
        <v>0</v>
      </c>
      <c r="ED214" s="239">
        <v>1168</v>
      </c>
      <c r="EE214" s="239">
        <v>-6375</v>
      </c>
      <c r="EF214" s="239">
        <v>0</v>
      </c>
      <c r="EG214" s="239">
        <v>-6375</v>
      </c>
      <c r="EH214" s="239">
        <v>-1595</v>
      </c>
      <c r="EI214" s="239">
        <v>0</v>
      </c>
      <c r="EJ214" s="239">
        <v>-1595</v>
      </c>
      <c r="EK214" s="239">
        <v>-11904</v>
      </c>
      <c r="EL214" s="239">
        <v>0</v>
      </c>
      <c r="EM214" s="239">
        <v>-11904</v>
      </c>
      <c r="EN214" s="239">
        <v>0</v>
      </c>
      <c r="EO214" s="239">
        <v>0</v>
      </c>
      <c r="EP214" s="239">
        <v>0</v>
      </c>
      <c r="EQ214" s="239">
        <v>-37743</v>
      </c>
      <c r="ER214" s="239">
        <v>0</v>
      </c>
      <c r="ES214" s="239">
        <v>-37743</v>
      </c>
      <c r="ET214" s="239">
        <v>0</v>
      </c>
      <c r="EU214" s="239">
        <v>0</v>
      </c>
      <c r="EV214" s="239">
        <v>0</v>
      </c>
      <c r="EW214" s="239">
        <v>0</v>
      </c>
      <c r="EX214" s="239">
        <v>0</v>
      </c>
      <c r="EY214" s="239">
        <v>0</v>
      </c>
      <c r="EZ214" s="239">
        <v>0</v>
      </c>
      <c r="FA214" s="239">
        <v>0</v>
      </c>
      <c r="FB214" s="239">
        <v>0</v>
      </c>
      <c r="FC214" s="239">
        <v>16482285</v>
      </c>
      <c r="FD214" s="239">
        <v>1853720</v>
      </c>
      <c r="FE214" s="239">
        <v>18336005</v>
      </c>
      <c r="FF214" s="239">
        <v>96424</v>
      </c>
      <c r="FG214" s="239">
        <v>0</v>
      </c>
      <c r="FH214" s="239">
        <v>96424</v>
      </c>
      <c r="FI214" s="239">
        <v>-2750105</v>
      </c>
      <c r="FJ214" s="239">
        <v>49790</v>
      </c>
      <c r="FK214" s="239">
        <v>-2700315</v>
      </c>
      <c r="FL214" s="239">
        <v>-411970</v>
      </c>
      <c r="FM214" s="239">
        <v>0</v>
      </c>
      <c r="FN214" s="239">
        <v>-411970</v>
      </c>
      <c r="FO214" s="239">
        <v>-54796</v>
      </c>
      <c r="FP214" s="239">
        <v>0</v>
      </c>
      <c r="FQ214" s="239">
        <v>-54796</v>
      </c>
      <c r="FR214" s="239">
        <v>-37743</v>
      </c>
      <c r="FS214" s="239">
        <v>0</v>
      </c>
      <c r="FT214" s="239">
        <v>-37743</v>
      </c>
      <c r="FU214" s="239">
        <v>0</v>
      </c>
      <c r="FV214" s="239">
        <v>0</v>
      </c>
      <c r="FW214" s="239">
        <v>0</v>
      </c>
      <c r="FX214" s="239">
        <v>-3158190</v>
      </c>
      <c r="FY214" s="239">
        <v>49790</v>
      </c>
      <c r="FZ214" s="239">
        <v>-3108400</v>
      </c>
      <c r="GA214" s="239">
        <v>13324095</v>
      </c>
      <c r="GB214" s="239">
        <v>1903510</v>
      </c>
      <c r="GC214" s="239">
        <v>15227605</v>
      </c>
      <c r="GD214" s="214" t="s">
        <v>1190</v>
      </c>
    </row>
    <row r="215" spans="2:186" s="214" customFormat="1" x14ac:dyDescent="0.2">
      <c r="B215" s="609" t="s">
        <v>512</v>
      </c>
      <c r="C215" s="609" t="s">
        <v>511</v>
      </c>
      <c r="D215" s="239">
        <v>0</v>
      </c>
      <c r="E215" s="239">
        <v>0</v>
      </c>
      <c r="F215" s="239">
        <v>0</v>
      </c>
      <c r="G215" s="239">
        <v>0</v>
      </c>
      <c r="H215" s="239">
        <v>0</v>
      </c>
      <c r="I215" s="239">
        <v>0</v>
      </c>
      <c r="J215" s="239">
        <v>0</v>
      </c>
      <c r="K215" s="239">
        <v>0</v>
      </c>
      <c r="L215" s="239">
        <v>0</v>
      </c>
      <c r="M215" s="239">
        <v>0</v>
      </c>
      <c r="N215" s="239">
        <v>0</v>
      </c>
      <c r="O215" s="239">
        <v>0</v>
      </c>
      <c r="P215" s="239">
        <v>0</v>
      </c>
      <c r="Q215" s="239">
        <v>0</v>
      </c>
      <c r="R215" s="239">
        <v>0</v>
      </c>
      <c r="S215" s="239">
        <v>-2367727</v>
      </c>
      <c r="T215" s="239">
        <v>0</v>
      </c>
      <c r="U215" s="239">
        <v>-2367727</v>
      </c>
      <c r="V215" s="239">
        <v>0</v>
      </c>
      <c r="W215" s="239">
        <v>0</v>
      </c>
      <c r="X215" s="239">
        <v>0</v>
      </c>
      <c r="Y215" s="239">
        <v>-89227</v>
      </c>
      <c r="Z215" s="239">
        <v>0</v>
      </c>
      <c r="AA215" s="239">
        <v>-89227</v>
      </c>
      <c r="AB215" s="239">
        <v>0</v>
      </c>
      <c r="AC215" s="239">
        <v>0</v>
      </c>
      <c r="AD215" s="239">
        <v>0</v>
      </c>
      <c r="AE215" s="239">
        <v>0</v>
      </c>
      <c r="AF215" s="239">
        <v>0</v>
      </c>
      <c r="AG215" s="239">
        <v>0</v>
      </c>
      <c r="AH215" s="239">
        <v>2113382</v>
      </c>
      <c r="AI215" s="239">
        <v>0</v>
      </c>
      <c r="AJ215" s="239">
        <v>2113382</v>
      </c>
      <c r="AK215" s="239">
        <v>-26016</v>
      </c>
      <c r="AL215" s="239">
        <v>0</v>
      </c>
      <c r="AM215" s="239">
        <v>-26016</v>
      </c>
      <c r="AN215" s="239">
        <v>-9143209</v>
      </c>
      <c r="AO215" s="239">
        <v>0</v>
      </c>
      <c r="AP215" s="239">
        <v>-9143209</v>
      </c>
      <c r="AQ215" s="239">
        <v>-183228</v>
      </c>
      <c r="AR215" s="239">
        <v>0</v>
      </c>
      <c r="AS215" s="239">
        <v>-183228</v>
      </c>
      <c r="AT215" s="239">
        <v>-67139</v>
      </c>
      <c r="AU215" s="239">
        <v>0</v>
      </c>
      <c r="AV215" s="239">
        <v>-67139</v>
      </c>
      <c r="AW215" s="239">
        <v>-4406</v>
      </c>
      <c r="AX215" s="239">
        <v>0</v>
      </c>
      <c r="AY215" s="239">
        <v>-4406</v>
      </c>
      <c r="AZ215" s="239">
        <v>0</v>
      </c>
      <c r="BA215" s="239">
        <v>0</v>
      </c>
      <c r="BB215" s="239">
        <v>0</v>
      </c>
      <c r="BC215" s="239">
        <v>0</v>
      </c>
      <c r="BD215" s="239">
        <v>0</v>
      </c>
      <c r="BE215" s="239">
        <v>0</v>
      </c>
      <c r="BF215" s="239">
        <v>-9767570</v>
      </c>
      <c r="BG215" s="239">
        <v>0</v>
      </c>
      <c r="BH215" s="239">
        <v>-9767570</v>
      </c>
      <c r="BI215" s="239">
        <v>0</v>
      </c>
      <c r="BJ215" s="239">
        <v>0</v>
      </c>
      <c r="BK215" s="239">
        <v>0</v>
      </c>
      <c r="BL215" s="239">
        <v>0</v>
      </c>
      <c r="BM215" s="239">
        <v>0</v>
      </c>
      <c r="BN215" s="239">
        <v>0</v>
      </c>
      <c r="BO215" s="239">
        <v>-2369741</v>
      </c>
      <c r="BP215" s="239">
        <v>0</v>
      </c>
      <c r="BQ215" s="239">
        <v>-2369741</v>
      </c>
      <c r="BR215" s="239">
        <v>-12499</v>
      </c>
      <c r="BS215" s="239">
        <v>0</v>
      </c>
      <c r="BT215" s="239">
        <v>-12499</v>
      </c>
      <c r="BU215" s="239">
        <v>-2382240</v>
      </c>
      <c r="BV215" s="239">
        <v>0</v>
      </c>
      <c r="BW215" s="239">
        <v>-2382240</v>
      </c>
      <c r="BX215" s="239">
        <v>-156159</v>
      </c>
      <c r="BY215" s="239">
        <v>0</v>
      </c>
      <c r="BZ215" s="239">
        <v>-156159</v>
      </c>
      <c r="CA215" s="239">
        <v>24174</v>
      </c>
      <c r="CB215" s="239">
        <v>0</v>
      </c>
      <c r="CC215" s="239">
        <v>24174</v>
      </c>
      <c r="CD215" s="239">
        <v>-164577</v>
      </c>
      <c r="CE215" s="239">
        <v>0</v>
      </c>
      <c r="CF215" s="239">
        <v>-164577</v>
      </c>
      <c r="CG215" s="239">
        <v>0</v>
      </c>
      <c r="CH215" s="239">
        <v>0</v>
      </c>
      <c r="CI215" s="239">
        <v>0</v>
      </c>
      <c r="CJ215" s="239">
        <v>-6709</v>
      </c>
      <c r="CK215" s="239">
        <v>0</v>
      </c>
      <c r="CL215" s="239">
        <v>-6709</v>
      </c>
      <c r="CM215" s="239">
        <v>0</v>
      </c>
      <c r="CN215" s="239">
        <v>0</v>
      </c>
      <c r="CO215" s="239">
        <v>0</v>
      </c>
      <c r="CP215" s="239">
        <v>0</v>
      </c>
      <c r="CQ215" s="239">
        <v>0</v>
      </c>
      <c r="CR215" s="239">
        <v>0</v>
      </c>
      <c r="CS215" s="239">
        <v>0</v>
      </c>
      <c r="CT215" s="239">
        <v>0</v>
      </c>
      <c r="CU215" s="239">
        <v>0</v>
      </c>
      <c r="CV215" s="239">
        <v>0</v>
      </c>
      <c r="CW215" s="239">
        <v>0</v>
      </c>
      <c r="CX215" s="239">
        <v>0</v>
      </c>
      <c r="CY215" s="239">
        <v>0</v>
      </c>
      <c r="CZ215" s="239">
        <v>0</v>
      </c>
      <c r="DA215" s="239">
        <v>0</v>
      </c>
      <c r="DB215" s="239">
        <v>0</v>
      </c>
      <c r="DC215" s="239">
        <v>0</v>
      </c>
      <c r="DD215" s="239">
        <v>0</v>
      </c>
      <c r="DE215" s="239">
        <v>0</v>
      </c>
      <c r="DF215" s="239">
        <v>0</v>
      </c>
      <c r="DG215" s="239">
        <v>0</v>
      </c>
      <c r="DH215" s="239">
        <v>0</v>
      </c>
      <c r="DI215" s="239">
        <v>0</v>
      </c>
      <c r="DJ215" s="239">
        <v>-303271</v>
      </c>
      <c r="DK215" s="239">
        <v>0</v>
      </c>
      <c r="DL215" s="239">
        <v>-303271</v>
      </c>
      <c r="DM215" s="239">
        <v>-38757</v>
      </c>
      <c r="DN215" s="239">
        <v>0</v>
      </c>
      <c r="DO215" s="239">
        <v>-38757</v>
      </c>
      <c r="DP215" s="239">
        <v>0</v>
      </c>
      <c r="DQ215" s="239">
        <v>0</v>
      </c>
      <c r="DR215" s="239">
        <v>0</v>
      </c>
      <c r="DS215" s="239">
        <v>-64460</v>
      </c>
      <c r="DT215" s="239">
        <v>0</v>
      </c>
      <c r="DU215" s="239">
        <v>-64460</v>
      </c>
      <c r="DV215" s="239">
        <v>3914</v>
      </c>
      <c r="DW215" s="239">
        <v>0</v>
      </c>
      <c r="DX215" s="239">
        <v>3914</v>
      </c>
      <c r="DY215" s="239">
        <v>0</v>
      </c>
      <c r="DZ215" s="239">
        <v>0</v>
      </c>
      <c r="EA215" s="239">
        <v>0</v>
      </c>
      <c r="EB215" s="239">
        <v>0</v>
      </c>
      <c r="EC215" s="239">
        <v>0</v>
      </c>
      <c r="ED215" s="239">
        <v>0</v>
      </c>
      <c r="EE215" s="239">
        <v>-525</v>
      </c>
      <c r="EF215" s="239">
        <v>0</v>
      </c>
      <c r="EG215" s="239">
        <v>-525</v>
      </c>
      <c r="EH215" s="239">
        <v>1237</v>
      </c>
      <c r="EI215" s="239">
        <v>0</v>
      </c>
      <c r="EJ215" s="239">
        <v>1237</v>
      </c>
      <c r="EK215" s="239">
        <v>-5343</v>
      </c>
      <c r="EL215" s="239">
        <v>0</v>
      </c>
      <c r="EM215" s="239">
        <v>-5343</v>
      </c>
      <c r="EN215" s="239">
        <v>0</v>
      </c>
      <c r="EO215" s="239">
        <v>0</v>
      </c>
      <c r="EP215" s="239">
        <v>0</v>
      </c>
      <c r="EQ215" s="239">
        <v>-103934</v>
      </c>
      <c r="ER215" s="239">
        <v>0</v>
      </c>
      <c r="ES215" s="239">
        <v>-103934</v>
      </c>
      <c r="ET215" s="239">
        <v>0</v>
      </c>
      <c r="EU215" s="239">
        <v>0</v>
      </c>
      <c r="EV215" s="239">
        <v>0</v>
      </c>
      <c r="EW215" s="239">
        <v>0</v>
      </c>
      <c r="EX215" s="239">
        <v>0</v>
      </c>
      <c r="EY215" s="239">
        <v>0</v>
      </c>
      <c r="EZ215" s="239">
        <v>0</v>
      </c>
      <c r="FA215" s="239">
        <v>0</v>
      </c>
      <c r="FB215" s="239">
        <v>0</v>
      </c>
      <c r="FC215" s="239">
        <v>95713735</v>
      </c>
      <c r="FD215" s="239">
        <v>0</v>
      </c>
      <c r="FE215" s="239">
        <v>95713735</v>
      </c>
      <c r="FF215" s="239">
        <v>0</v>
      </c>
      <c r="FG215" s="239">
        <v>0</v>
      </c>
      <c r="FH215" s="239">
        <v>0</v>
      </c>
      <c r="FI215" s="239">
        <v>-9767570</v>
      </c>
      <c r="FJ215" s="239">
        <v>0</v>
      </c>
      <c r="FK215" s="239">
        <v>-9767570</v>
      </c>
      <c r="FL215" s="239">
        <v>-2382240</v>
      </c>
      <c r="FM215" s="239">
        <v>0</v>
      </c>
      <c r="FN215" s="239">
        <v>-2382240</v>
      </c>
      <c r="FO215" s="239">
        <v>-303271</v>
      </c>
      <c r="FP215" s="239">
        <v>0</v>
      </c>
      <c r="FQ215" s="239">
        <v>-303271</v>
      </c>
      <c r="FR215" s="239">
        <v>-103934</v>
      </c>
      <c r="FS215" s="239">
        <v>0</v>
      </c>
      <c r="FT215" s="239">
        <v>-103934</v>
      </c>
      <c r="FU215" s="239">
        <v>0</v>
      </c>
      <c r="FV215" s="239">
        <v>0</v>
      </c>
      <c r="FW215" s="239">
        <v>0</v>
      </c>
      <c r="FX215" s="239">
        <v>-12557015</v>
      </c>
      <c r="FY215" s="239">
        <v>0</v>
      </c>
      <c r="FZ215" s="239">
        <v>-12557015</v>
      </c>
      <c r="GA215" s="239">
        <v>83156720</v>
      </c>
      <c r="GB215" s="239">
        <v>0</v>
      </c>
      <c r="GC215" s="239">
        <v>83156720</v>
      </c>
      <c r="GD215" s="214" t="s">
        <v>1191</v>
      </c>
    </row>
    <row r="216" spans="2:186" s="214" customFormat="1" x14ac:dyDescent="0.2">
      <c r="B216" s="609" t="s">
        <v>514</v>
      </c>
      <c r="C216" s="609" t="s">
        <v>513</v>
      </c>
      <c r="D216" s="239">
        <v>0</v>
      </c>
      <c r="E216" s="239">
        <v>0</v>
      </c>
      <c r="F216" s="239">
        <v>0</v>
      </c>
      <c r="G216" s="239">
        <v>143250</v>
      </c>
      <c r="H216" s="239">
        <v>0</v>
      </c>
      <c r="I216" s="239">
        <v>143250</v>
      </c>
      <c r="J216" s="239">
        <v>0</v>
      </c>
      <c r="K216" s="239">
        <v>0</v>
      </c>
      <c r="L216" s="239">
        <v>0</v>
      </c>
      <c r="M216" s="239">
        <v>-19438</v>
      </c>
      <c r="N216" s="239">
        <v>0</v>
      </c>
      <c r="O216" s="239">
        <v>-19438</v>
      </c>
      <c r="P216" s="239">
        <v>123812</v>
      </c>
      <c r="Q216" s="239">
        <v>0</v>
      </c>
      <c r="R216" s="239">
        <v>123812</v>
      </c>
      <c r="S216" s="239">
        <v>-2092252</v>
      </c>
      <c r="T216" s="239">
        <v>0</v>
      </c>
      <c r="U216" s="239">
        <v>-2092252</v>
      </c>
      <c r="V216" s="239">
        <v>0</v>
      </c>
      <c r="W216" s="239">
        <v>0</v>
      </c>
      <c r="X216" s="239">
        <v>0</v>
      </c>
      <c r="Y216" s="239">
        <v>-306438</v>
      </c>
      <c r="Z216" s="239">
        <v>0</v>
      </c>
      <c r="AA216" s="239">
        <v>-306438</v>
      </c>
      <c r="AB216" s="239">
        <v>-306438</v>
      </c>
      <c r="AC216" s="239">
        <v>0</v>
      </c>
      <c r="AD216" s="239">
        <v>-306438</v>
      </c>
      <c r="AE216" s="239">
        <v>0</v>
      </c>
      <c r="AF216" s="239">
        <v>0</v>
      </c>
      <c r="AG216" s="239">
        <v>0</v>
      </c>
      <c r="AH216" s="239">
        <v>328793</v>
      </c>
      <c r="AI216" s="239">
        <v>0</v>
      </c>
      <c r="AJ216" s="239">
        <v>328793</v>
      </c>
      <c r="AK216" s="239">
        <v>-5355</v>
      </c>
      <c r="AL216" s="239">
        <v>0</v>
      </c>
      <c r="AM216" s="239">
        <v>-5355</v>
      </c>
      <c r="AN216" s="239">
        <v>-571807</v>
      </c>
      <c r="AO216" s="239">
        <v>0</v>
      </c>
      <c r="AP216" s="239">
        <v>-571807</v>
      </c>
      <c r="AQ216" s="239">
        <v>3888</v>
      </c>
      <c r="AR216" s="239">
        <v>0</v>
      </c>
      <c r="AS216" s="239">
        <v>3888</v>
      </c>
      <c r="AT216" s="239">
        <v>-50428</v>
      </c>
      <c r="AU216" s="239">
        <v>0</v>
      </c>
      <c r="AV216" s="239">
        <v>-50428</v>
      </c>
      <c r="AW216" s="239">
        <v>0</v>
      </c>
      <c r="AX216" s="239">
        <v>0</v>
      </c>
      <c r="AY216" s="239">
        <v>0</v>
      </c>
      <c r="AZ216" s="239">
        <v>-45841</v>
      </c>
      <c r="BA216" s="239">
        <v>0</v>
      </c>
      <c r="BB216" s="239">
        <v>-45841</v>
      </c>
      <c r="BC216" s="239">
        <v>-22</v>
      </c>
      <c r="BD216" s="239">
        <v>0</v>
      </c>
      <c r="BE216" s="239">
        <v>-22</v>
      </c>
      <c r="BF216" s="239">
        <v>-2739462</v>
      </c>
      <c r="BG216" s="239">
        <v>0</v>
      </c>
      <c r="BH216" s="239">
        <v>-2739462</v>
      </c>
      <c r="BI216" s="239">
        <v>-810</v>
      </c>
      <c r="BJ216" s="239">
        <v>0</v>
      </c>
      <c r="BK216" s="239">
        <v>-810</v>
      </c>
      <c r="BL216" s="239">
        <v>11110</v>
      </c>
      <c r="BM216" s="239">
        <v>0</v>
      </c>
      <c r="BN216" s="239">
        <v>11110</v>
      </c>
      <c r="BO216" s="239">
        <v>-332701</v>
      </c>
      <c r="BP216" s="239">
        <v>0</v>
      </c>
      <c r="BQ216" s="239">
        <v>-332701</v>
      </c>
      <c r="BR216" s="239">
        <v>-15770</v>
      </c>
      <c r="BS216" s="239">
        <v>0</v>
      </c>
      <c r="BT216" s="239">
        <v>-15770</v>
      </c>
      <c r="BU216" s="239">
        <v>-338171</v>
      </c>
      <c r="BV216" s="239">
        <v>0</v>
      </c>
      <c r="BW216" s="239">
        <v>-338171</v>
      </c>
      <c r="BX216" s="239">
        <v>-32463</v>
      </c>
      <c r="BY216" s="239">
        <v>0</v>
      </c>
      <c r="BZ216" s="239">
        <v>-32463</v>
      </c>
      <c r="CA216" s="239">
        <v>-14267</v>
      </c>
      <c r="CB216" s="239">
        <v>0</v>
      </c>
      <c r="CC216" s="239">
        <v>-14267</v>
      </c>
      <c r="CD216" s="239">
        <v>-4208</v>
      </c>
      <c r="CE216" s="239">
        <v>0</v>
      </c>
      <c r="CF216" s="239">
        <v>-4208</v>
      </c>
      <c r="CG216" s="239">
        <v>-11462</v>
      </c>
      <c r="CH216" s="239">
        <v>0</v>
      </c>
      <c r="CI216" s="239">
        <v>-11462</v>
      </c>
      <c r="CJ216" s="239">
        <v>-3065</v>
      </c>
      <c r="CK216" s="239">
        <v>0</v>
      </c>
      <c r="CL216" s="239">
        <v>-3065</v>
      </c>
      <c r="CM216" s="239">
        <v>0</v>
      </c>
      <c r="CN216" s="239">
        <v>0</v>
      </c>
      <c r="CO216" s="239">
        <v>0</v>
      </c>
      <c r="CP216" s="239">
        <v>-23373</v>
      </c>
      <c r="CQ216" s="239">
        <v>0</v>
      </c>
      <c r="CR216" s="239">
        <v>-23373</v>
      </c>
      <c r="CS216" s="239">
        <v>-27</v>
      </c>
      <c r="CT216" s="239">
        <v>0</v>
      </c>
      <c r="CU216" s="239">
        <v>-27</v>
      </c>
      <c r="CV216" s="239">
        <v>0</v>
      </c>
      <c r="CW216" s="239">
        <v>0</v>
      </c>
      <c r="CX216" s="239">
        <v>0</v>
      </c>
      <c r="CY216" s="239">
        <v>0</v>
      </c>
      <c r="CZ216" s="239">
        <v>0</v>
      </c>
      <c r="DA216" s="239">
        <v>0</v>
      </c>
      <c r="DB216" s="239">
        <v>0</v>
      </c>
      <c r="DC216" s="239">
        <v>0</v>
      </c>
      <c r="DD216" s="239">
        <v>0</v>
      </c>
      <c r="DE216" s="239">
        <v>0</v>
      </c>
      <c r="DF216" s="239">
        <v>0</v>
      </c>
      <c r="DG216" s="239">
        <v>0</v>
      </c>
      <c r="DH216" s="239">
        <v>0</v>
      </c>
      <c r="DI216" s="239">
        <v>0</v>
      </c>
      <c r="DJ216" s="239">
        <v>-88865</v>
      </c>
      <c r="DK216" s="239">
        <v>0</v>
      </c>
      <c r="DL216" s="239">
        <v>-88865</v>
      </c>
      <c r="DM216" s="239">
        <v>-86401</v>
      </c>
      <c r="DN216" s="239">
        <v>0</v>
      </c>
      <c r="DO216" s="239">
        <v>-86401</v>
      </c>
      <c r="DP216" s="239">
        <v>-9615</v>
      </c>
      <c r="DQ216" s="239">
        <v>0</v>
      </c>
      <c r="DR216" s="239">
        <v>-9615</v>
      </c>
      <c r="DS216" s="239">
        <v>0</v>
      </c>
      <c r="DT216" s="239">
        <v>0</v>
      </c>
      <c r="DU216" s="239">
        <v>0</v>
      </c>
      <c r="DV216" s="239">
        <v>0</v>
      </c>
      <c r="DW216" s="239">
        <v>0</v>
      </c>
      <c r="DX216" s="239">
        <v>0</v>
      </c>
      <c r="DY216" s="239">
        <v>0</v>
      </c>
      <c r="DZ216" s="239">
        <v>0</v>
      </c>
      <c r="EA216" s="239">
        <v>0</v>
      </c>
      <c r="EB216" s="239">
        <v>-11305</v>
      </c>
      <c r="EC216" s="239">
        <v>0</v>
      </c>
      <c r="ED216" s="239">
        <v>-11305</v>
      </c>
      <c r="EE216" s="239">
        <v>0</v>
      </c>
      <c r="EF216" s="239">
        <v>0</v>
      </c>
      <c r="EG216" s="239">
        <v>0</v>
      </c>
      <c r="EH216" s="239">
        <v>0</v>
      </c>
      <c r="EI216" s="239">
        <v>0</v>
      </c>
      <c r="EJ216" s="239">
        <v>0</v>
      </c>
      <c r="EK216" s="239">
        <v>0</v>
      </c>
      <c r="EL216" s="239">
        <v>0</v>
      </c>
      <c r="EM216" s="239">
        <v>0</v>
      </c>
      <c r="EN216" s="239">
        <v>0</v>
      </c>
      <c r="EO216" s="239">
        <v>0</v>
      </c>
      <c r="EP216" s="239">
        <v>0</v>
      </c>
      <c r="EQ216" s="239">
        <v>-107321</v>
      </c>
      <c r="ER216" s="239">
        <v>0</v>
      </c>
      <c r="ES216" s="239">
        <v>-107321</v>
      </c>
      <c r="ET216" s="239">
        <v>-1491</v>
      </c>
      <c r="EU216" s="239">
        <v>0</v>
      </c>
      <c r="EV216" s="239">
        <v>-1491</v>
      </c>
      <c r="EW216" s="239">
        <v>-860</v>
      </c>
      <c r="EX216" s="239">
        <v>0</v>
      </c>
      <c r="EY216" s="239">
        <v>-860</v>
      </c>
      <c r="EZ216" s="239">
        <v>-2351</v>
      </c>
      <c r="FA216" s="239">
        <v>0</v>
      </c>
      <c r="FB216" s="239">
        <v>-2351</v>
      </c>
      <c r="FC216" s="239">
        <v>16385661</v>
      </c>
      <c r="FD216" s="239">
        <v>0</v>
      </c>
      <c r="FE216" s="239">
        <v>16385661</v>
      </c>
      <c r="FF216" s="239">
        <v>123812</v>
      </c>
      <c r="FG216" s="239">
        <v>0</v>
      </c>
      <c r="FH216" s="239">
        <v>123812</v>
      </c>
      <c r="FI216" s="239">
        <v>-2739462</v>
      </c>
      <c r="FJ216" s="239">
        <v>0</v>
      </c>
      <c r="FK216" s="239">
        <v>-2739462</v>
      </c>
      <c r="FL216" s="239">
        <v>-338171</v>
      </c>
      <c r="FM216" s="239">
        <v>0</v>
      </c>
      <c r="FN216" s="239">
        <v>-338171</v>
      </c>
      <c r="FO216" s="239">
        <v>-88865</v>
      </c>
      <c r="FP216" s="239">
        <v>0</v>
      </c>
      <c r="FQ216" s="239">
        <v>-88865</v>
      </c>
      <c r="FR216" s="239">
        <v>-107321</v>
      </c>
      <c r="FS216" s="239">
        <v>0</v>
      </c>
      <c r="FT216" s="239">
        <v>-107321</v>
      </c>
      <c r="FU216" s="239">
        <v>-2351</v>
      </c>
      <c r="FV216" s="239">
        <v>0</v>
      </c>
      <c r="FW216" s="239">
        <v>-2351</v>
      </c>
      <c r="FX216" s="239">
        <v>-3152358</v>
      </c>
      <c r="FY216" s="239">
        <v>0</v>
      </c>
      <c r="FZ216" s="239">
        <v>-3152358</v>
      </c>
      <c r="GA216" s="239">
        <v>13233303</v>
      </c>
      <c r="GB216" s="239">
        <v>0</v>
      </c>
      <c r="GC216" s="239">
        <v>13233303</v>
      </c>
      <c r="GD216" s="214" t="s">
        <v>1190</v>
      </c>
    </row>
    <row r="217" spans="2:186" s="214" customFormat="1" x14ac:dyDescent="0.2">
      <c r="B217" s="609" t="s">
        <v>516</v>
      </c>
      <c r="C217" s="609" t="s">
        <v>515</v>
      </c>
      <c r="D217" s="239">
        <v>0</v>
      </c>
      <c r="E217" s="239">
        <v>0</v>
      </c>
      <c r="F217" s="239">
        <v>0</v>
      </c>
      <c r="G217" s="239">
        <v>-61756</v>
      </c>
      <c r="H217" s="239">
        <v>0</v>
      </c>
      <c r="I217" s="239">
        <v>-61756</v>
      </c>
      <c r="J217" s="239">
        <v>0</v>
      </c>
      <c r="K217" s="239">
        <v>0</v>
      </c>
      <c r="L217" s="239">
        <v>0</v>
      </c>
      <c r="M217" s="239">
        <v>64795</v>
      </c>
      <c r="N217" s="239">
        <v>0</v>
      </c>
      <c r="O217" s="239">
        <v>64795</v>
      </c>
      <c r="P217" s="239">
        <v>3039</v>
      </c>
      <c r="Q217" s="239">
        <v>0</v>
      </c>
      <c r="R217" s="239">
        <v>3039</v>
      </c>
      <c r="S217" s="239">
        <v>-5622636</v>
      </c>
      <c r="T217" s="239">
        <v>0</v>
      </c>
      <c r="U217" s="239">
        <v>-5622636</v>
      </c>
      <c r="V217" s="239">
        <v>-4284</v>
      </c>
      <c r="W217" s="239">
        <v>0</v>
      </c>
      <c r="X217" s="239">
        <v>-4284</v>
      </c>
      <c r="Y217" s="239">
        <v>-130602</v>
      </c>
      <c r="Z217" s="239">
        <v>0</v>
      </c>
      <c r="AA217" s="239">
        <v>-130602</v>
      </c>
      <c r="AB217" s="239">
        <v>-106929</v>
      </c>
      <c r="AC217" s="239">
        <v>0</v>
      </c>
      <c r="AD217" s="239">
        <v>-106929</v>
      </c>
      <c r="AE217" s="239">
        <v>154</v>
      </c>
      <c r="AF217" s="239">
        <v>0</v>
      </c>
      <c r="AG217" s="239">
        <v>154</v>
      </c>
      <c r="AH217" s="239">
        <v>1845937</v>
      </c>
      <c r="AI217" s="239">
        <v>0</v>
      </c>
      <c r="AJ217" s="239">
        <v>1845937</v>
      </c>
      <c r="AK217" s="239">
        <v>-41032</v>
      </c>
      <c r="AL217" s="239">
        <v>0</v>
      </c>
      <c r="AM217" s="239">
        <v>-41032</v>
      </c>
      <c r="AN217" s="239">
        <v>-3636211</v>
      </c>
      <c r="AO217" s="239">
        <v>0</v>
      </c>
      <c r="AP217" s="239">
        <v>-3636211</v>
      </c>
      <c r="AQ217" s="239">
        <v>4908</v>
      </c>
      <c r="AR217" s="239">
        <v>0</v>
      </c>
      <c r="AS217" s="239">
        <v>4908</v>
      </c>
      <c r="AT217" s="239">
        <v>-83148</v>
      </c>
      <c r="AU217" s="239">
        <v>0</v>
      </c>
      <c r="AV217" s="239">
        <v>-83148</v>
      </c>
      <c r="AW217" s="239">
        <v>0</v>
      </c>
      <c r="AX217" s="239">
        <v>0</v>
      </c>
      <c r="AY217" s="239">
        <v>0</v>
      </c>
      <c r="AZ217" s="239">
        <v>0</v>
      </c>
      <c r="BA217" s="239">
        <v>0</v>
      </c>
      <c r="BB217" s="239">
        <v>0</v>
      </c>
      <c r="BC217" s="239">
        <v>0</v>
      </c>
      <c r="BD217" s="239">
        <v>0</v>
      </c>
      <c r="BE217" s="239">
        <v>0</v>
      </c>
      <c r="BF217" s="239">
        <v>-7662784</v>
      </c>
      <c r="BG217" s="239">
        <v>0</v>
      </c>
      <c r="BH217" s="239">
        <v>-7662784</v>
      </c>
      <c r="BI217" s="239">
        <v>-156482</v>
      </c>
      <c r="BJ217" s="239">
        <v>0</v>
      </c>
      <c r="BK217" s="239">
        <v>-156482</v>
      </c>
      <c r="BL217" s="239">
        <v>-2496</v>
      </c>
      <c r="BM217" s="239">
        <v>0</v>
      </c>
      <c r="BN217" s="239">
        <v>-2496</v>
      </c>
      <c r="BO217" s="239">
        <v>-4955513</v>
      </c>
      <c r="BP217" s="239">
        <v>0</v>
      </c>
      <c r="BQ217" s="239">
        <v>-4955513</v>
      </c>
      <c r="BR217" s="239">
        <v>-252628</v>
      </c>
      <c r="BS217" s="239">
        <v>0</v>
      </c>
      <c r="BT217" s="239">
        <v>-252628</v>
      </c>
      <c r="BU217" s="239">
        <v>-5367119</v>
      </c>
      <c r="BV217" s="239">
        <v>0</v>
      </c>
      <c r="BW217" s="239">
        <v>-5367119</v>
      </c>
      <c r="BX217" s="239">
        <v>-289284</v>
      </c>
      <c r="BY217" s="239">
        <v>0</v>
      </c>
      <c r="BZ217" s="239">
        <v>-289284</v>
      </c>
      <c r="CA217" s="239">
        <v>-8003</v>
      </c>
      <c r="CB217" s="239">
        <v>0</v>
      </c>
      <c r="CC217" s="239">
        <v>-8003</v>
      </c>
      <c r="CD217" s="239">
        <v>-124547</v>
      </c>
      <c r="CE217" s="239">
        <v>0</v>
      </c>
      <c r="CF217" s="239">
        <v>-124547</v>
      </c>
      <c r="CG217" s="239">
        <v>2601</v>
      </c>
      <c r="CH217" s="239">
        <v>0</v>
      </c>
      <c r="CI217" s="239">
        <v>2601</v>
      </c>
      <c r="CJ217" s="239">
        <v>-9259</v>
      </c>
      <c r="CK217" s="239">
        <v>0</v>
      </c>
      <c r="CL217" s="239">
        <v>-9259</v>
      </c>
      <c r="CM217" s="239">
        <v>0</v>
      </c>
      <c r="CN217" s="239">
        <v>0</v>
      </c>
      <c r="CO217" s="239">
        <v>0</v>
      </c>
      <c r="CP217" s="239">
        <v>0</v>
      </c>
      <c r="CQ217" s="239">
        <v>0</v>
      </c>
      <c r="CR217" s="239">
        <v>0</v>
      </c>
      <c r="CS217" s="239">
        <v>0</v>
      </c>
      <c r="CT217" s="239">
        <v>0</v>
      </c>
      <c r="CU217" s="239">
        <v>0</v>
      </c>
      <c r="CV217" s="239">
        <v>0</v>
      </c>
      <c r="CW217" s="239">
        <v>0</v>
      </c>
      <c r="CX217" s="239">
        <v>0</v>
      </c>
      <c r="CY217" s="239">
        <v>0</v>
      </c>
      <c r="CZ217" s="239">
        <v>0</v>
      </c>
      <c r="DA217" s="239">
        <v>0</v>
      </c>
      <c r="DB217" s="239">
        <v>-404963</v>
      </c>
      <c r="DC217" s="239">
        <v>0</v>
      </c>
      <c r="DD217" s="239">
        <v>-404963</v>
      </c>
      <c r="DE217" s="239">
        <v>12277</v>
      </c>
      <c r="DF217" s="239">
        <v>0</v>
      </c>
      <c r="DG217" s="239">
        <v>12277</v>
      </c>
      <c r="DH217" s="239">
        <v>0</v>
      </c>
      <c r="DI217" s="239">
        <v>0</v>
      </c>
      <c r="DJ217" s="239">
        <v>-821178</v>
      </c>
      <c r="DK217" s="239">
        <v>0</v>
      </c>
      <c r="DL217" s="239">
        <v>-821178</v>
      </c>
      <c r="DM217" s="239">
        <v>-81607</v>
      </c>
      <c r="DN217" s="239">
        <v>0</v>
      </c>
      <c r="DO217" s="239">
        <v>-81607</v>
      </c>
      <c r="DP217" s="239">
        <v>0</v>
      </c>
      <c r="DQ217" s="239">
        <v>0</v>
      </c>
      <c r="DR217" s="239">
        <v>0</v>
      </c>
      <c r="DS217" s="239">
        <v>-56876</v>
      </c>
      <c r="DT217" s="239">
        <v>0</v>
      </c>
      <c r="DU217" s="239">
        <v>-56876</v>
      </c>
      <c r="DV217" s="239">
        <v>-65449</v>
      </c>
      <c r="DW217" s="239">
        <v>0</v>
      </c>
      <c r="DX217" s="239">
        <v>-65449</v>
      </c>
      <c r="DY217" s="239">
        <v>0</v>
      </c>
      <c r="DZ217" s="239">
        <v>0</v>
      </c>
      <c r="EA217" s="239">
        <v>0</v>
      </c>
      <c r="EB217" s="239">
        <v>12453</v>
      </c>
      <c r="EC217" s="239">
        <v>0</v>
      </c>
      <c r="ED217" s="239">
        <v>12453</v>
      </c>
      <c r="EE217" s="239">
        <v>-8666</v>
      </c>
      <c r="EF217" s="239">
        <v>0</v>
      </c>
      <c r="EG217" s="239">
        <v>-8666</v>
      </c>
      <c r="EH217" s="239">
        <v>1447</v>
      </c>
      <c r="EI217" s="239">
        <v>0</v>
      </c>
      <c r="EJ217" s="239">
        <v>1447</v>
      </c>
      <c r="EK217" s="239">
        <v>-6672</v>
      </c>
      <c r="EL217" s="239">
        <v>0</v>
      </c>
      <c r="EM217" s="239">
        <v>-6672</v>
      </c>
      <c r="EN217" s="239">
        <v>4402</v>
      </c>
      <c r="EO217" s="239">
        <v>0</v>
      </c>
      <c r="EP217" s="239">
        <v>4402</v>
      </c>
      <c r="EQ217" s="239">
        <v>-200968</v>
      </c>
      <c r="ER217" s="239">
        <v>0</v>
      </c>
      <c r="ES217" s="239">
        <v>-200968</v>
      </c>
      <c r="ET217" s="239">
        <v>0</v>
      </c>
      <c r="EU217" s="239">
        <v>0</v>
      </c>
      <c r="EV217" s="239">
        <v>0</v>
      </c>
      <c r="EW217" s="239">
        <v>0</v>
      </c>
      <c r="EX217" s="239">
        <v>0</v>
      </c>
      <c r="EY217" s="239">
        <v>0</v>
      </c>
      <c r="EZ217" s="239">
        <v>0</v>
      </c>
      <c r="FA217" s="239">
        <v>0</v>
      </c>
      <c r="FB217" s="239">
        <v>0</v>
      </c>
      <c r="FC217" s="239">
        <v>79354017</v>
      </c>
      <c r="FD217" s="239">
        <v>0</v>
      </c>
      <c r="FE217" s="239">
        <v>79354017</v>
      </c>
      <c r="FF217" s="239">
        <v>3039</v>
      </c>
      <c r="FG217" s="239">
        <v>0</v>
      </c>
      <c r="FH217" s="239">
        <v>3039</v>
      </c>
      <c r="FI217" s="239">
        <v>-7662784</v>
      </c>
      <c r="FJ217" s="239">
        <v>0</v>
      </c>
      <c r="FK217" s="239">
        <v>-7662784</v>
      </c>
      <c r="FL217" s="239">
        <v>-5367119</v>
      </c>
      <c r="FM217" s="239">
        <v>0</v>
      </c>
      <c r="FN217" s="239">
        <v>-5367119</v>
      </c>
      <c r="FO217" s="239">
        <v>-821178</v>
      </c>
      <c r="FP217" s="239">
        <v>0</v>
      </c>
      <c r="FQ217" s="239">
        <v>-821178</v>
      </c>
      <c r="FR217" s="239">
        <v>-200968</v>
      </c>
      <c r="FS217" s="239">
        <v>0</v>
      </c>
      <c r="FT217" s="239">
        <v>-200968</v>
      </c>
      <c r="FU217" s="239">
        <v>0</v>
      </c>
      <c r="FV217" s="239">
        <v>0</v>
      </c>
      <c r="FW217" s="239">
        <v>0</v>
      </c>
      <c r="FX217" s="239">
        <v>-14049010</v>
      </c>
      <c r="FY217" s="239">
        <v>0</v>
      </c>
      <c r="FZ217" s="239">
        <v>-14049010</v>
      </c>
      <c r="GA217" s="239">
        <v>65305007</v>
      </c>
      <c r="GB217" s="239">
        <v>0</v>
      </c>
      <c r="GC217" s="239">
        <v>65305007</v>
      </c>
      <c r="GD217" s="214" t="s">
        <v>1192</v>
      </c>
    </row>
    <row r="218" spans="2:186" s="214" customFormat="1" x14ac:dyDescent="0.2">
      <c r="B218" s="609" t="s">
        <v>518</v>
      </c>
      <c r="C218" s="609" t="s">
        <v>517</v>
      </c>
      <c r="D218" s="239">
        <v>0</v>
      </c>
      <c r="E218" s="239">
        <v>0</v>
      </c>
      <c r="F218" s="239">
        <v>0</v>
      </c>
      <c r="G218" s="239">
        <v>2476</v>
      </c>
      <c r="H218" s="239">
        <v>0</v>
      </c>
      <c r="I218" s="239">
        <v>2476</v>
      </c>
      <c r="J218" s="239">
        <v>0</v>
      </c>
      <c r="K218" s="239">
        <v>0</v>
      </c>
      <c r="L218" s="239">
        <v>0</v>
      </c>
      <c r="M218" s="239">
        <v>105.12</v>
      </c>
      <c r="N218" s="239">
        <v>0</v>
      </c>
      <c r="O218" s="239">
        <v>105.12</v>
      </c>
      <c r="P218" s="239">
        <v>2581</v>
      </c>
      <c r="Q218" s="239">
        <v>0</v>
      </c>
      <c r="R218" s="239">
        <v>2581</v>
      </c>
      <c r="S218" s="239">
        <v>-1886743</v>
      </c>
      <c r="T218" s="239">
        <v>0</v>
      </c>
      <c r="U218" s="239">
        <v>-1886743</v>
      </c>
      <c r="V218" s="239">
        <v>-2673</v>
      </c>
      <c r="W218" s="239">
        <v>0</v>
      </c>
      <c r="X218" s="239">
        <v>-2673</v>
      </c>
      <c r="Y218" s="239">
        <v>-60640</v>
      </c>
      <c r="Z218" s="239">
        <v>0</v>
      </c>
      <c r="AA218" s="239">
        <v>-60640</v>
      </c>
      <c r="AB218" s="239">
        <v>-48089</v>
      </c>
      <c r="AC218" s="239">
        <v>0</v>
      </c>
      <c r="AD218" s="239">
        <v>-48089</v>
      </c>
      <c r="AE218" s="239">
        <v>0</v>
      </c>
      <c r="AF218" s="239">
        <v>0</v>
      </c>
      <c r="AG218" s="239">
        <v>0</v>
      </c>
      <c r="AH218" s="239">
        <v>385836</v>
      </c>
      <c r="AI218" s="239">
        <v>0</v>
      </c>
      <c r="AJ218" s="239">
        <v>385836</v>
      </c>
      <c r="AK218" s="239">
        <v>-15203</v>
      </c>
      <c r="AL218" s="239">
        <v>0</v>
      </c>
      <c r="AM218" s="239">
        <v>-15203</v>
      </c>
      <c r="AN218" s="239">
        <v>-1279620</v>
      </c>
      <c r="AO218" s="239">
        <v>0</v>
      </c>
      <c r="AP218" s="239">
        <v>-1279620</v>
      </c>
      <c r="AQ218" s="239">
        <v>-10309.459999999999</v>
      </c>
      <c r="AR218" s="239">
        <v>0</v>
      </c>
      <c r="AS218" s="239">
        <v>-10309.459999999999</v>
      </c>
      <c r="AT218" s="239">
        <v>-13627</v>
      </c>
      <c r="AU218" s="239">
        <v>0</v>
      </c>
      <c r="AV218" s="239">
        <v>-13627</v>
      </c>
      <c r="AW218" s="239">
        <v>0</v>
      </c>
      <c r="AX218" s="239">
        <v>0</v>
      </c>
      <c r="AY218" s="239">
        <v>0</v>
      </c>
      <c r="AZ218" s="239">
        <v>-87</v>
      </c>
      <c r="BA218" s="239">
        <v>0</v>
      </c>
      <c r="BB218" s="239">
        <v>-87</v>
      </c>
      <c r="BC218" s="239">
        <v>0</v>
      </c>
      <c r="BD218" s="239">
        <v>0</v>
      </c>
      <c r="BE218" s="239">
        <v>0</v>
      </c>
      <c r="BF218" s="239">
        <v>-2880393</v>
      </c>
      <c r="BG218" s="239">
        <v>0</v>
      </c>
      <c r="BH218" s="239">
        <v>-2880393</v>
      </c>
      <c r="BI218" s="239">
        <v>0</v>
      </c>
      <c r="BJ218" s="239">
        <v>0</v>
      </c>
      <c r="BK218" s="239">
        <v>0</v>
      </c>
      <c r="BL218" s="239">
        <v>0</v>
      </c>
      <c r="BM218" s="239">
        <v>0</v>
      </c>
      <c r="BN218" s="239">
        <v>0</v>
      </c>
      <c r="BO218" s="239">
        <v>-325890</v>
      </c>
      <c r="BP218" s="239">
        <v>0</v>
      </c>
      <c r="BQ218" s="239">
        <v>-325890</v>
      </c>
      <c r="BR218" s="239">
        <v>-6944</v>
      </c>
      <c r="BS218" s="239">
        <v>0</v>
      </c>
      <c r="BT218" s="239">
        <v>-6944</v>
      </c>
      <c r="BU218" s="239">
        <v>-332834</v>
      </c>
      <c r="BV218" s="239">
        <v>0</v>
      </c>
      <c r="BW218" s="239">
        <v>-332834</v>
      </c>
      <c r="BX218" s="239">
        <v>-6920</v>
      </c>
      <c r="BY218" s="239">
        <v>0</v>
      </c>
      <c r="BZ218" s="239">
        <v>-6920</v>
      </c>
      <c r="CA218" s="239">
        <v>-160</v>
      </c>
      <c r="CB218" s="239">
        <v>0</v>
      </c>
      <c r="CC218" s="239">
        <v>-160</v>
      </c>
      <c r="CD218" s="239">
        <v>0</v>
      </c>
      <c r="CE218" s="239">
        <v>0</v>
      </c>
      <c r="CF218" s="239">
        <v>0</v>
      </c>
      <c r="CG218" s="239">
        <v>0</v>
      </c>
      <c r="CH218" s="239">
        <v>0</v>
      </c>
      <c r="CI218" s="239">
        <v>0</v>
      </c>
      <c r="CJ218" s="239">
        <v>-86</v>
      </c>
      <c r="CK218" s="239">
        <v>0</v>
      </c>
      <c r="CL218" s="239">
        <v>-86</v>
      </c>
      <c r="CM218" s="239">
        <v>0</v>
      </c>
      <c r="CN218" s="239">
        <v>0</v>
      </c>
      <c r="CO218" s="239">
        <v>0</v>
      </c>
      <c r="CP218" s="239">
        <v>0</v>
      </c>
      <c r="CQ218" s="239">
        <v>0</v>
      </c>
      <c r="CR218" s="239">
        <v>0</v>
      </c>
      <c r="CS218" s="239">
        <v>0</v>
      </c>
      <c r="CT218" s="239">
        <v>0</v>
      </c>
      <c r="CU218" s="239">
        <v>0</v>
      </c>
      <c r="CV218" s="239">
        <v>0</v>
      </c>
      <c r="CW218" s="239">
        <v>0</v>
      </c>
      <c r="CX218" s="239">
        <v>0</v>
      </c>
      <c r="CY218" s="239">
        <v>0</v>
      </c>
      <c r="CZ218" s="239">
        <v>0</v>
      </c>
      <c r="DA218" s="239">
        <v>0</v>
      </c>
      <c r="DB218" s="239">
        <v>0</v>
      </c>
      <c r="DC218" s="239">
        <v>0</v>
      </c>
      <c r="DD218" s="239">
        <v>0</v>
      </c>
      <c r="DE218" s="239">
        <v>0</v>
      </c>
      <c r="DF218" s="239">
        <v>0</v>
      </c>
      <c r="DG218" s="239">
        <v>0</v>
      </c>
      <c r="DH218" s="239">
        <v>0</v>
      </c>
      <c r="DI218" s="239">
        <v>0</v>
      </c>
      <c r="DJ218" s="239">
        <v>-7166</v>
      </c>
      <c r="DK218" s="239">
        <v>0</v>
      </c>
      <c r="DL218" s="239">
        <v>-7166</v>
      </c>
      <c r="DM218" s="239">
        <v>0</v>
      </c>
      <c r="DN218" s="239">
        <v>0</v>
      </c>
      <c r="DO218" s="239">
        <v>0</v>
      </c>
      <c r="DP218" s="239">
        <v>0</v>
      </c>
      <c r="DQ218" s="239">
        <v>0</v>
      </c>
      <c r="DR218" s="239">
        <v>0</v>
      </c>
      <c r="DS218" s="239">
        <v>0</v>
      </c>
      <c r="DT218" s="239">
        <v>0</v>
      </c>
      <c r="DU218" s="239">
        <v>0</v>
      </c>
      <c r="DV218" s="239">
        <v>-7281</v>
      </c>
      <c r="DW218" s="239">
        <v>0</v>
      </c>
      <c r="DX218" s="239">
        <v>-7281</v>
      </c>
      <c r="DY218" s="239">
        <v>0</v>
      </c>
      <c r="DZ218" s="239">
        <v>0</v>
      </c>
      <c r="EA218" s="239">
        <v>0</v>
      </c>
      <c r="EB218" s="239">
        <v>-4171</v>
      </c>
      <c r="EC218" s="239">
        <v>0</v>
      </c>
      <c r="ED218" s="239">
        <v>-4171</v>
      </c>
      <c r="EE218" s="239">
        <v>0</v>
      </c>
      <c r="EF218" s="239">
        <v>0</v>
      </c>
      <c r="EG218" s="239">
        <v>0</v>
      </c>
      <c r="EH218" s="239">
        <v>0</v>
      </c>
      <c r="EI218" s="239">
        <v>0</v>
      </c>
      <c r="EJ218" s="239">
        <v>0</v>
      </c>
      <c r="EK218" s="239">
        <v>-1858</v>
      </c>
      <c r="EL218" s="239">
        <v>0</v>
      </c>
      <c r="EM218" s="239">
        <v>-1858</v>
      </c>
      <c r="EN218" s="239">
        <v>1005</v>
      </c>
      <c r="EO218" s="239">
        <v>0</v>
      </c>
      <c r="EP218" s="239">
        <v>1005</v>
      </c>
      <c r="EQ218" s="239">
        <v>-12305</v>
      </c>
      <c r="ER218" s="239">
        <v>0</v>
      </c>
      <c r="ES218" s="239">
        <v>-12305</v>
      </c>
      <c r="ET218" s="239">
        <v>0</v>
      </c>
      <c r="EU218" s="239">
        <v>0</v>
      </c>
      <c r="EV218" s="239">
        <v>0</v>
      </c>
      <c r="EW218" s="239">
        <v>0</v>
      </c>
      <c r="EX218" s="239">
        <v>0</v>
      </c>
      <c r="EY218" s="239">
        <v>0</v>
      </c>
      <c r="EZ218" s="239">
        <v>0</v>
      </c>
      <c r="FA218" s="239">
        <v>0</v>
      </c>
      <c r="FB218" s="239">
        <v>0</v>
      </c>
      <c r="FC218" s="239">
        <v>18990232</v>
      </c>
      <c r="FD218" s="239">
        <v>0</v>
      </c>
      <c r="FE218" s="239">
        <v>18990232</v>
      </c>
      <c r="FF218" s="239">
        <v>2581</v>
      </c>
      <c r="FG218" s="239">
        <v>0</v>
      </c>
      <c r="FH218" s="239">
        <v>2581</v>
      </c>
      <c r="FI218" s="239">
        <v>-2880393</v>
      </c>
      <c r="FJ218" s="239">
        <v>0</v>
      </c>
      <c r="FK218" s="239">
        <v>-2880393</v>
      </c>
      <c r="FL218" s="239">
        <v>-332834</v>
      </c>
      <c r="FM218" s="239">
        <v>0</v>
      </c>
      <c r="FN218" s="239">
        <v>-332834</v>
      </c>
      <c r="FO218" s="239">
        <v>-7166</v>
      </c>
      <c r="FP218" s="239">
        <v>0</v>
      </c>
      <c r="FQ218" s="239">
        <v>-7166</v>
      </c>
      <c r="FR218" s="239">
        <v>-12305</v>
      </c>
      <c r="FS218" s="239">
        <v>0</v>
      </c>
      <c r="FT218" s="239">
        <v>-12305</v>
      </c>
      <c r="FU218" s="239">
        <v>0</v>
      </c>
      <c r="FV218" s="239">
        <v>0</v>
      </c>
      <c r="FW218" s="239">
        <v>0</v>
      </c>
      <c r="FX218" s="239">
        <v>-3230117</v>
      </c>
      <c r="FY218" s="239">
        <v>0</v>
      </c>
      <c r="FZ218" s="239">
        <v>-3230117</v>
      </c>
      <c r="GA218" s="239">
        <v>15760115</v>
      </c>
      <c r="GB218" s="239">
        <v>0</v>
      </c>
      <c r="GC218" s="239">
        <v>15760115</v>
      </c>
      <c r="GD218" s="214" t="s">
        <v>1190</v>
      </c>
    </row>
    <row r="219" spans="2:186" s="214" customFormat="1" x14ac:dyDescent="0.2">
      <c r="B219" s="609" t="s">
        <v>520</v>
      </c>
      <c r="C219" s="609" t="s">
        <v>519</v>
      </c>
      <c r="D219" s="239">
        <v>0</v>
      </c>
      <c r="E219" s="239">
        <v>0</v>
      </c>
      <c r="F219" s="239">
        <v>0</v>
      </c>
      <c r="G219" s="239">
        <v>1592</v>
      </c>
      <c r="H219" s="239">
        <v>0</v>
      </c>
      <c r="I219" s="239">
        <v>1592</v>
      </c>
      <c r="J219" s="239">
        <v>0</v>
      </c>
      <c r="K219" s="239">
        <v>0</v>
      </c>
      <c r="L219" s="239">
        <v>0</v>
      </c>
      <c r="M219" s="239">
        <v>2657.11</v>
      </c>
      <c r="N219" s="239">
        <v>0</v>
      </c>
      <c r="O219" s="239">
        <v>2657.11</v>
      </c>
      <c r="P219" s="239">
        <v>4249</v>
      </c>
      <c r="Q219" s="239">
        <v>0</v>
      </c>
      <c r="R219" s="239">
        <v>4249</v>
      </c>
      <c r="S219" s="239">
        <v>-2193505</v>
      </c>
      <c r="T219" s="239">
        <v>0</v>
      </c>
      <c r="U219" s="239">
        <v>-2193505</v>
      </c>
      <c r="V219" s="239">
        <v>-12653</v>
      </c>
      <c r="W219" s="239">
        <v>0</v>
      </c>
      <c r="X219" s="239">
        <v>-12653</v>
      </c>
      <c r="Y219" s="239">
        <v>-121014</v>
      </c>
      <c r="Z219" s="239">
        <v>0</v>
      </c>
      <c r="AA219" s="239">
        <v>-121014</v>
      </c>
      <c r="AB219" s="239">
        <v>-122774</v>
      </c>
      <c r="AC219" s="239">
        <v>0</v>
      </c>
      <c r="AD219" s="239">
        <v>-122774</v>
      </c>
      <c r="AE219" s="239">
        <v>1760</v>
      </c>
      <c r="AF219" s="239">
        <v>0</v>
      </c>
      <c r="AG219" s="239">
        <v>1760</v>
      </c>
      <c r="AH219" s="239">
        <v>358455</v>
      </c>
      <c r="AI219" s="239">
        <v>0</v>
      </c>
      <c r="AJ219" s="239">
        <v>358455</v>
      </c>
      <c r="AK219" s="239">
        <v>12919</v>
      </c>
      <c r="AL219" s="239">
        <v>0</v>
      </c>
      <c r="AM219" s="239">
        <v>12919</v>
      </c>
      <c r="AN219" s="239">
        <v>-505506</v>
      </c>
      <c r="AO219" s="239">
        <v>0</v>
      </c>
      <c r="AP219" s="239">
        <v>-505506</v>
      </c>
      <c r="AQ219" s="239">
        <v>-18194</v>
      </c>
      <c r="AR219" s="239">
        <v>0</v>
      </c>
      <c r="AS219" s="239">
        <v>-18194</v>
      </c>
      <c r="AT219" s="239">
        <v>-49766</v>
      </c>
      <c r="AU219" s="239">
        <v>0</v>
      </c>
      <c r="AV219" s="239">
        <v>-49766</v>
      </c>
      <c r="AW219" s="239">
        <v>-4153</v>
      </c>
      <c r="AX219" s="239">
        <v>0</v>
      </c>
      <c r="AY219" s="239">
        <v>-4153</v>
      </c>
      <c r="AZ219" s="239">
        <v>0</v>
      </c>
      <c r="BA219" s="239">
        <v>0</v>
      </c>
      <c r="BB219" s="239">
        <v>0</v>
      </c>
      <c r="BC219" s="239">
        <v>0</v>
      </c>
      <c r="BD219" s="239">
        <v>0</v>
      </c>
      <c r="BE219" s="239">
        <v>0</v>
      </c>
      <c r="BF219" s="239">
        <v>-2520764</v>
      </c>
      <c r="BG219" s="239">
        <v>0</v>
      </c>
      <c r="BH219" s="239">
        <v>-2520764</v>
      </c>
      <c r="BI219" s="239">
        <v>0</v>
      </c>
      <c r="BJ219" s="239">
        <v>0</v>
      </c>
      <c r="BK219" s="239">
        <v>0</v>
      </c>
      <c r="BL219" s="239">
        <v>0</v>
      </c>
      <c r="BM219" s="239">
        <v>0</v>
      </c>
      <c r="BN219" s="239">
        <v>0</v>
      </c>
      <c r="BO219" s="239">
        <v>-741510</v>
      </c>
      <c r="BP219" s="239">
        <v>0</v>
      </c>
      <c r="BQ219" s="239">
        <v>-741510</v>
      </c>
      <c r="BR219" s="239">
        <v>-37859</v>
      </c>
      <c r="BS219" s="239">
        <v>0</v>
      </c>
      <c r="BT219" s="239">
        <v>-37859</v>
      </c>
      <c r="BU219" s="239">
        <v>-779369</v>
      </c>
      <c r="BV219" s="239">
        <v>0</v>
      </c>
      <c r="BW219" s="239">
        <v>-779369</v>
      </c>
      <c r="BX219" s="239">
        <v>-56777</v>
      </c>
      <c r="BY219" s="239">
        <v>0</v>
      </c>
      <c r="BZ219" s="239">
        <v>-56777</v>
      </c>
      <c r="CA219" s="239">
        <v>-7001</v>
      </c>
      <c r="CB219" s="239">
        <v>0</v>
      </c>
      <c r="CC219" s="239">
        <v>-7001</v>
      </c>
      <c r="CD219" s="239">
        <v>-25542</v>
      </c>
      <c r="CE219" s="239">
        <v>0</v>
      </c>
      <c r="CF219" s="239">
        <v>-25542</v>
      </c>
      <c r="CG219" s="239">
        <v>384</v>
      </c>
      <c r="CH219" s="239">
        <v>0</v>
      </c>
      <c r="CI219" s="239">
        <v>384</v>
      </c>
      <c r="CJ219" s="239">
        <v>-3084</v>
      </c>
      <c r="CK219" s="239">
        <v>0</v>
      </c>
      <c r="CL219" s="239">
        <v>-3084</v>
      </c>
      <c r="CM219" s="239">
        <v>-743</v>
      </c>
      <c r="CN219" s="239">
        <v>0</v>
      </c>
      <c r="CO219" s="239">
        <v>-743</v>
      </c>
      <c r="CP219" s="239">
        <v>0</v>
      </c>
      <c r="CQ219" s="239">
        <v>0</v>
      </c>
      <c r="CR219" s="239">
        <v>0</v>
      </c>
      <c r="CS219" s="239">
        <v>0</v>
      </c>
      <c r="CT219" s="239">
        <v>0</v>
      </c>
      <c r="CU219" s="239">
        <v>0</v>
      </c>
      <c r="CV219" s="239">
        <v>0</v>
      </c>
      <c r="CW219" s="239">
        <v>0</v>
      </c>
      <c r="CX219" s="239">
        <v>0</v>
      </c>
      <c r="CY219" s="239">
        <v>0</v>
      </c>
      <c r="CZ219" s="239">
        <v>0</v>
      </c>
      <c r="DA219" s="239">
        <v>0</v>
      </c>
      <c r="DB219" s="239">
        <v>0</v>
      </c>
      <c r="DC219" s="239">
        <v>0</v>
      </c>
      <c r="DD219" s="239">
        <v>0</v>
      </c>
      <c r="DE219" s="239">
        <v>0</v>
      </c>
      <c r="DF219" s="239">
        <v>0</v>
      </c>
      <c r="DG219" s="239">
        <v>0</v>
      </c>
      <c r="DH219" s="239">
        <v>0</v>
      </c>
      <c r="DI219" s="239">
        <v>0</v>
      </c>
      <c r="DJ219" s="239">
        <v>-92763</v>
      </c>
      <c r="DK219" s="239">
        <v>0</v>
      </c>
      <c r="DL219" s="239">
        <v>-92763</v>
      </c>
      <c r="DM219" s="239">
        <v>0</v>
      </c>
      <c r="DN219" s="239">
        <v>0</v>
      </c>
      <c r="DO219" s="239">
        <v>0</v>
      </c>
      <c r="DP219" s="239">
        <v>0</v>
      </c>
      <c r="DQ219" s="239">
        <v>0</v>
      </c>
      <c r="DR219" s="239">
        <v>0</v>
      </c>
      <c r="DS219" s="239">
        <v>0</v>
      </c>
      <c r="DT219" s="239">
        <v>0</v>
      </c>
      <c r="DU219" s="239">
        <v>0</v>
      </c>
      <c r="DV219" s="239">
        <v>0</v>
      </c>
      <c r="DW219" s="239">
        <v>0</v>
      </c>
      <c r="DX219" s="239">
        <v>0</v>
      </c>
      <c r="DY219" s="239">
        <v>0</v>
      </c>
      <c r="DZ219" s="239">
        <v>0</v>
      </c>
      <c r="EA219" s="239">
        <v>0</v>
      </c>
      <c r="EB219" s="239">
        <v>0</v>
      </c>
      <c r="EC219" s="239">
        <v>0</v>
      </c>
      <c r="ED219" s="239">
        <v>0</v>
      </c>
      <c r="EE219" s="239">
        <v>-19688</v>
      </c>
      <c r="EF219" s="239">
        <v>0</v>
      </c>
      <c r="EG219" s="239">
        <v>-19688</v>
      </c>
      <c r="EH219" s="239">
        <v>-46024</v>
      </c>
      <c r="EI219" s="239">
        <v>0</v>
      </c>
      <c r="EJ219" s="239">
        <v>-46024</v>
      </c>
      <c r="EK219" s="239">
        <v>0</v>
      </c>
      <c r="EL219" s="239">
        <v>0</v>
      </c>
      <c r="EM219" s="239">
        <v>0</v>
      </c>
      <c r="EN219" s="239">
        <v>0</v>
      </c>
      <c r="EO219" s="239">
        <v>0</v>
      </c>
      <c r="EP219" s="239">
        <v>0</v>
      </c>
      <c r="EQ219" s="239">
        <v>-65712</v>
      </c>
      <c r="ER219" s="239">
        <v>0</v>
      </c>
      <c r="ES219" s="239">
        <v>-65712</v>
      </c>
      <c r="ET219" s="239">
        <v>0</v>
      </c>
      <c r="EU219" s="239">
        <v>0</v>
      </c>
      <c r="EV219" s="239">
        <v>0</v>
      </c>
      <c r="EW219" s="239">
        <v>0</v>
      </c>
      <c r="EX219" s="239">
        <v>0</v>
      </c>
      <c r="EY219" s="239">
        <v>0</v>
      </c>
      <c r="EZ219" s="239">
        <v>0</v>
      </c>
      <c r="FA219" s="239">
        <v>0</v>
      </c>
      <c r="FB219" s="239">
        <v>0</v>
      </c>
      <c r="FC219" s="239">
        <v>18193950</v>
      </c>
      <c r="FD219" s="239">
        <v>0</v>
      </c>
      <c r="FE219" s="239">
        <v>18193950</v>
      </c>
      <c r="FF219" s="239">
        <v>4249</v>
      </c>
      <c r="FG219" s="239">
        <v>0</v>
      </c>
      <c r="FH219" s="239">
        <v>4249</v>
      </c>
      <c r="FI219" s="239">
        <v>-2520764</v>
      </c>
      <c r="FJ219" s="239">
        <v>0</v>
      </c>
      <c r="FK219" s="239">
        <v>-2520764</v>
      </c>
      <c r="FL219" s="239">
        <v>-779369</v>
      </c>
      <c r="FM219" s="239">
        <v>0</v>
      </c>
      <c r="FN219" s="239">
        <v>-779369</v>
      </c>
      <c r="FO219" s="239">
        <v>-92763</v>
      </c>
      <c r="FP219" s="239">
        <v>0</v>
      </c>
      <c r="FQ219" s="239">
        <v>-92763</v>
      </c>
      <c r="FR219" s="239">
        <v>-65712</v>
      </c>
      <c r="FS219" s="239">
        <v>0</v>
      </c>
      <c r="FT219" s="239">
        <v>-65712</v>
      </c>
      <c r="FU219" s="239">
        <v>0</v>
      </c>
      <c r="FV219" s="239">
        <v>0</v>
      </c>
      <c r="FW219" s="239">
        <v>0</v>
      </c>
      <c r="FX219" s="239">
        <v>-3454359</v>
      </c>
      <c r="FY219" s="239">
        <v>0</v>
      </c>
      <c r="FZ219" s="239">
        <v>-3454359</v>
      </c>
      <c r="GA219" s="239">
        <v>14739591</v>
      </c>
      <c r="GB219" s="239">
        <v>0</v>
      </c>
      <c r="GC219" s="239">
        <v>14739591</v>
      </c>
      <c r="GD219" s="214" t="s">
        <v>1190</v>
      </c>
    </row>
    <row r="220" spans="2:186" s="214" customFormat="1" x14ac:dyDescent="0.2">
      <c r="B220" s="609" t="s">
        <v>522</v>
      </c>
      <c r="C220" s="609" t="s">
        <v>521</v>
      </c>
      <c r="D220" s="239">
        <v>0</v>
      </c>
      <c r="E220" s="239">
        <v>0</v>
      </c>
      <c r="F220" s="239">
        <v>0</v>
      </c>
      <c r="G220" s="239">
        <v>18854.48</v>
      </c>
      <c r="H220" s="239">
        <v>0</v>
      </c>
      <c r="I220" s="239">
        <v>18854.48</v>
      </c>
      <c r="J220" s="239">
        <v>0</v>
      </c>
      <c r="K220" s="239">
        <v>0</v>
      </c>
      <c r="L220" s="239">
        <v>0</v>
      </c>
      <c r="M220" s="239">
        <v>29287.71</v>
      </c>
      <c r="N220" s="239">
        <v>0</v>
      </c>
      <c r="O220" s="239">
        <v>29287.71</v>
      </c>
      <c r="P220" s="239">
        <v>48142</v>
      </c>
      <c r="Q220" s="239">
        <v>0</v>
      </c>
      <c r="R220" s="239">
        <v>48142</v>
      </c>
      <c r="S220" s="239">
        <v>-3119269</v>
      </c>
      <c r="T220" s="239">
        <v>0</v>
      </c>
      <c r="U220" s="239">
        <v>-3119269</v>
      </c>
      <c r="V220" s="239">
        <v>-3490</v>
      </c>
      <c r="W220" s="239">
        <v>0</v>
      </c>
      <c r="X220" s="239">
        <v>-3490</v>
      </c>
      <c r="Y220" s="239">
        <v>-132669</v>
      </c>
      <c r="Z220" s="239">
        <v>0</v>
      </c>
      <c r="AA220" s="239">
        <v>-132669</v>
      </c>
      <c r="AB220" s="239">
        <v>-107180</v>
      </c>
      <c r="AC220" s="239">
        <v>0</v>
      </c>
      <c r="AD220" s="239">
        <v>-107180</v>
      </c>
      <c r="AE220" s="239">
        <v>-1322</v>
      </c>
      <c r="AF220" s="239">
        <v>0</v>
      </c>
      <c r="AG220" s="239">
        <v>-1322</v>
      </c>
      <c r="AH220" s="239">
        <v>438062</v>
      </c>
      <c r="AI220" s="239">
        <v>0</v>
      </c>
      <c r="AJ220" s="239">
        <v>438062</v>
      </c>
      <c r="AK220" s="239">
        <v>-9990</v>
      </c>
      <c r="AL220" s="239">
        <v>0</v>
      </c>
      <c r="AM220" s="239">
        <v>-9990</v>
      </c>
      <c r="AN220" s="239">
        <v>-2246303</v>
      </c>
      <c r="AO220" s="239">
        <v>0</v>
      </c>
      <c r="AP220" s="239">
        <v>-2246303</v>
      </c>
      <c r="AQ220" s="239">
        <v>13225</v>
      </c>
      <c r="AR220" s="239">
        <v>0</v>
      </c>
      <c r="AS220" s="239">
        <v>13225</v>
      </c>
      <c r="AT220" s="239">
        <v>-71558</v>
      </c>
      <c r="AU220" s="239">
        <v>0</v>
      </c>
      <c r="AV220" s="239">
        <v>-71558</v>
      </c>
      <c r="AW220" s="239">
        <v>0</v>
      </c>
      <c r="AX220" s="239">
        <v>0</v>
      </c>
      <c r="AY220" s="239">
        <v>0</v>
      </c>
      <c r="AZ220" s="239">
        <v>-35332</v>
      </c>
      <c r="BA220" s="239">
        <v>0</v>
      </c>
      <c r="BB220" s="239">
        <v>-35332</v>
      </c>
      <c r="BC220" s="239">
        <v>-368</v>
      </c>
      <c r="BD220" s="239">
        <v>0</v>
      </c>
      <c r="BE220" s="239">
        <v>-368</v>
      </c>
      <c r="BF220" s="239">
        <v>-5164202</v>
      </c>
      <c r="BG220" s="239">
        <v>0</v>
      </c>
      <c r="BH220" s="239">
        <v>-5164202</v>
      </c>
      <c r="BI220" s="239">
        <v>-1642</v>
      </c>
      <c r="BJ220" s="239">
        <v>0</v>
      </c>
      <c r="BK220" s="239">
        <v>-1642</v>
      </c>
      <c r="BL220" s="239">
        <v>-4076</v>
      </c>
      <c r="BM220" s="239">
        <v>0</v>
      </c>
      <c r="BN220" s="239">
        <v>-4076</v>
      </c>
      <c r="BO220" s="239">
        <v>-389735</v>
      </c>
      <c r="BP220" s="239">
        <v>0</v>
      </c>
      <c r="BQ220" s="239">
        <v>-389735</v>
      </c>
      <c r="BR220" s="239">
        <v>-2338</v>
      </c>
      <c r="BS220" s="239">
        <v>0</v>
      </c>
      <c r="BT220" s="239">
        <v>-2338</v>
      </c>
      <c r="BU220" s="239">
        <v>-397791</v>
      </c>
      <c r="BV220" s="239">
        <v>0</v>
      </c>
      <c r="BW220" s="239">
        <v>-397791</v>
      </c>
      <c r="BX220" s="239">
        <v>-51662</v>
      </c>
      <c r="BY220" s="239">
        <v>0</v>
      </c>
      <c r="BZ220" s="239">
        <v>-51662</v>
      </c>
      <c r="CA220" s="239">
        <v>-444</v>
      </c>
      <c r="CB220" s="239">
        <v>0</v>
      </c>
      <c r="CC220" s="239">
        <v>-444</v>
      </c>
      <c r="CD220" s="239">
        <v>0</v>
      </c>
      <c r="CE220" s="239">
        <v>0</v>
      </c>
      <c r="CF220" s="239">
        <v>0</v>
      </c>
      <c r="CG220" s="239">
        <v>0</v>
      </c>
      <c r="CH220" s="239">
        <v>0</v>
      </c>
      <c r="CI220" s="239">
        <v>0</v>
      </c>
      <c r="CJ220" s="239">
        <v>-6759</v>
      </c>
      <c r="CK220" s="239">
        <v>0</v>
      </c>
      <c r="CL220" s="239">
        <v>-6759</v>
      </c>
      <c r="CM220" s="239">
        <v>-216</v>
      </c>
      <c r="CN220" s="239">
        <v>0</v>
      </c>
      <c r="CO220" s="239">
        <v>-216</v>
      </c>
      <c r="CP220" s="239">
        <v>-17056</v>
      </c>
      <c r="CQ220" s="239">
        <v>0</v>
      </c>
      <c r="CR220" s="239">
        <v>-17056</v>
      </c>
      <c r="CS220" s="239">
        <v>-368</v>
      </c>
      <c r="CT220" s="239">
        <v>0</v>
      </c>
      <c r="CU220" s="239">
        <v>-368</v>
      </c>
      <c r="CV220" s="239">
        <v>0</v>
      </c>
      <c r="CW220" s="239">
        <v>0</v>
      </c>
      <c r="CX220" s="239">
        <v>0</v>
      </c>
      <c r="CY220" s="239">
        <v>0</v>
      </c>
      <c r="CZ220" s="239">
        <v>0</v>
      </c>
      <c r="DA220" s="239">
        <v>0</v>
      </c>
      <c r="DB220" s="239">
        <v>0</v>
      </c>
      <c r="DC220" s="239">
        <v>0</v>
      </c>
      <c r="DD220" s="239">
        <v>0</v>
      </c>
      <c r="DE220" s="239">
        <v>0</v>
      </c>
      <c r="DF220" s="239">
        <v>0</v>
      </c>
      <c r="DG220" s="239">
        <v>0</v>
      </c>
      <c r="DH220" s="239">
        <v>0</v>
      </c>
      <c r="DI220" s="239">
        <v>0</v>
      </c>
      <c r="DJ220" s="239">
        <v>-76505</v>
      </c>
      <c r="DK220" s="239">
        <v>0</v>
      </c>
      <c r="DL220" s="239">
        <v>-76505</v>
      </c>
      <c r="DM220" s="239">
        <v>0</v>
      </c>
      <c r="DN220" s="239">
        <v>0</v>
      </c>
      <c r="DO220" s="239">
        <v>0</v>
      </c>
      <c r="DP220" s="239">
        <v>0</v>
      </c>
      <c r="DQ220" s="239">
        <v>0</v>
      </c>
      <c r="DR220" s="239">
        <v>0</v>
      </c>
      <c r="DS220" s="239">
        <v>-16271</v>
      </c>
      <c r="DT220" s="239">
        <v>0</v>
      </c>
      <c r="DU220" s="239">
        <v>-16271</v>
      </c>
      <c r="DV220" s="239">
        <v>-6089</v>
      </c>
      <c r="DW220" s="239">
        <v>0</v>
      </c>
      <c r="DX220" s="239">
        <v>-6089</v>
      </c>
      <c r="DY220" s="239">
        <v>0</v>
      </c>
      <c r="DZ220" s="239">
        <v>0</v>
      </c>
      <c r="EA220" s="239">
        <v>0</v>
      </c>
      <c r="EB220" s="239">
        <v>-18568</v>
      </c>
      <c r="EC220" s="239">
        <v>0</v>
      </c>
      <c r="ED220" s="239">
        <v>-18568</v>
      </c>
      <c r="EE220" s="239">
        <v>0</v>
      </c>
      <c r="EF220" s="239">
        <v>0</v>
      </c>
      <c r="EG220" s="239">
        <v>0</v>
      </c>
      <c r="EH220" s="239">
        <v>0</v>
      </c>
      <c r="EI220" s="239">
        <v>0</v>
      </c>
      <c r="EJ220" s="239">
        <v>0</v>
      </c>
      <c r="EK220" s="239">
        <v>-8432</v>
      </c>
      <c r="EL220" s="239">
        <v>0</v>
      </c>
      <c r="EM220" s="239">
        <v>-8432</v>
      </c>
      <c r="EN220" s="239">
        <v>-676</v>
      </c>
      <c r="EO220" s="239">
        <v>0</v>
      </c>
      <c r="EP220" s="239">
        <v>-676</v>
      </c>
      <c r="EQ220" s="239">
        <v>-50036</v>
      </c>
      <c r="ER220" s="239">
        <v>0</v>
      </c>
      <c r="ES220" s="239">
        <v>-50036</v>
      </c>
      <c r="ET220" s="239">
        <v>-10561</v>
      </c>
      <c r="EU220" s="239">
        <v>0</v>
      </c>
      <c r="EV220" s="239">
        <v>-10561</v>
      </c>
      <c r="EW220" s="239">
        <v>4086</v>
      </c>
      <c r="EX220" s="239">
        <v>0</v>
      </c>
      <c r="EY220" s="239">
        <v>4086</v>
      </c>
      <c r="EZ220" s="239">
        <v>-6475</v>
      </c>
      <c r="FA220" s="239">
        <v>0</v>
      </c>
      <c r="FB220" s="239">
        <v>-6475</v>
      </c>
      <c r="FC220" s="239">
        <v>23358082</v>
      </c>
      <c r="FD220" s="239">
        <v>0</v>
      </c>
      <c r="FE220" s="239">
        <v>23358082</v>
      </c>
      <c r="FF220" s="239">
        <v>48142</v>
      </c>
      <c r="FG220" s="239">
        <v>0</v>
      </c>
      <c r="FH220" s="239">
        <v>48142</v>
      </c>
      <c r="FI220" s="239">
        <v>-5164202</v>
      </c>
      <c r="FJ220" s="239">
        <v>0</v>
      </c>
      <c r="FK220" s="239">
        <v>-5164202</v>
      </c>
      <c r="FL220" s="239">
        <v>-397791</v>
      </c>
      <c r="FM220" s="239">
        <v>0</v>
      </c>
      <c r="FN220" s="239">
        <v>-397791</v>
      </c>
      <c r="FO220" s="239">
        <v>-76505</v>
      </c>
      <c r="FP220" s="239">
        <v>0</v>
      </c>
      <c r="FQ220" s="239">
        <v>-76505</v>
      </c>
      <c r="FR220" s="239">
        <v>-50036</v>
      </c>
      <c r="FS220" s="239">
        <v>0</v>
      </c>
      <c r="FT220" s="239">
        <v>-50036</v>
      </c>
      <c r="FU220" s="239">
        <v>-6475</v>
      </c>
      <c r="FV220" s="239">
        <v>0</v>
      </c>
      <c r="FW220" s="239">
        <v>-6475</v>
      </c>
      <c r="FX220" s="239">
        <v>-5646867</v>
      </c>
      <c r="FY220" s="239">
        <v>0</v>
      </c>
      <c r="FZ220" s="239">
        <v>-5646867</v>
      </c>
      <c r="GA220" s="239">
        <v>17711215</v>
      </c>
      <c r="GB220" s="239">
        <v>0</v>
      </c>
      <c r="GC220" s="239">
        <v>17711215</v>
      </c>
      <c r="GD220" s="214" t="s">
        <v>1190</v>
      </c>
    </row>
    <row r="221" spans="2:186" s="214" customFormat="1" x14ac:dyDescent="0.2">
      <c r="B221" s="609" t="s">
        <v>524</v>
      </c>
      <c r="C221" s="609" t="s">
        <v>523</v>
      </c>
      <c r="D221" s="239">
        <v>0</v>
      </c>
      <c r="E221" s="239">
        <v>0</v>
      </c>
      <c r="F221" s="239">
        <v>0</v>
      </c>
      <c r="G221" s="239">
        <v>229050</v>
      </c>
      <c r="H221" s="239">
        <v>0</v>
      </c>
      <c r="I221" s="239">
        <v>229050</v>
      </c>
      <c r="J221" s="239">
        <v>0</v>
      </c>
      <c r="K221" s="239">
        <v>0</v>
      </c>
      <c r="L221" s="239">
        <v>0</v>
      </c>
      <c r="M221" s="239">
        <v>238671</v>
      </c>
      <c r="N221" s="239">
        <v>0</v>
      </c>
      <c r="O221" s="239">
        <v>238671</v>
      </c>
      <c r="P221" s="239">
        <v>467721</v>
      </c>
      <c r="Q221" s="239">
        <v>0</v>
      </c>
      <c r="R221" s="239">
        <v>467721</v>
      </c>
      <c r="S221" s="239">
        <v>-5423751</v>
      </c>
      <c r="T221" s="239">
        <v>-8604</v>
      </c>
      <c r="U221" s="239">
        <v>-5432355</v>
      </c>
      <c r="V221" s="239">
        <v>-18080</v>
      </c>
      <c r="W221" s="239">
        <v>0</v>
      </c>
      <c r="X221" s="239">
        <v>-18080</v>
      </c>
      <c r="Y221" s="239">
        <v>-53807</v>
      </c>
      <c r="Z221" s="239">
        <v>0</v>
      </c>
      <c r="AA221" s="239">
        <v>-53807</v>
      </c>
      <c r="AB221" s="239">
        <v>-26887</v>
      </c>
      <c r="AC221" s="239">
        <v>0</v>
      </c>
      <c r="AD221" s="239">
        <v>-26887</v>
      </c>
      <c r="AE221" s="239">
        <v>-4642</v>
      </c>
      <c r="AF221" s="239">
        <v>0</v>
      </c>
      <c r="AG221" s="239">
        <v>-4642</v>
      </c>
      <c r="AH221" s="239">
        <v>2083869</v>
      </c>
      <c r="AI221" s="239">
        <v>0</v>
      </c>
      <c r="AJ221" s="239">
        <v>2083869</v>
      </c>
      <c r="AK221" s="239">
        <v>-75501</v>
      </c>
      <c r="AL221" s="239">
        <v>0</v>
      </c>
      <c r="AM221" s="239">
        <v>-75501</v>
      </c>
      <c r="AN221" s="239">
        <v>-4714178</v>
      </c>
      <c r="AO221" s="239">
        <v>-110334</v>
      </c>
      <c r="AP221" s="239">
        <v>-4824512</v>
      </c>
      <c r="AQ221" s="239">
        <v>-36268</v>
      </c>
      <c r="AR221" s="239">
        <v>0</v>
      </c>
      <c r="AS221" s="239">
        <v>-36268</v>
      </c>
      <c r="AT221" s="239">
        <v>-14552</v>
      </c>
      <c r="AU221" s="239">
        <v>0</v>
      </c>
      <c r="AV221" s="239">
        <v>-14552</v>
      </c>
      <c r="AW221" s="239">
        <v>0</v>
      </c>
      <c r="AX221" s="239">
        <v>0</v>
      </c>
      <c r="AY221" s="239">
        <v>0</v>
      </c>
      <c r="AZ221" s="239">
        <v>-11542</v>
      </c>
      <c r="BA221" s="239">
        <v>0</v>
      </c>
      <c r="BB221" s="239">
        <v>-11542</v>
      </c>
      <c r="BC221" s="239">
        <v>0</v>
      </c>
      <c r="BD221" s="239">
        <v>0</v>
      </c>
      <c r="BE221" s="239">
        <v>0</v>
      </c>
      <c r="BF221" s="239">
        <v>-8245730</v>
      </c>
      <c r="BG221" s="239">
        <v>-118938</v>
      </c>
      <c r="BH221" s="239">
        <v>-8364668</v>
      </c>
      <c r="BI221" s="239">
        <v>0</v>
      </c>
      <c r="BJ221" s="239">
        <v>0</v>
      </c>
      <c r="BK221" s="239">
        <v>0</v>
      </c>
      <c r="BL221" s="239">
        <v>78099</v>
      </c>
      <c r="BM221" s="239">
        <v>0</v>
      </c>
      <c r="BN221" s="239">
        <v>78099</v>
      </c>
      <c r="BO221" s="239">
        <v>-2437199</v>
      </c>
      <c r="BP221" s="239">
        <v>-36274</v>
      </c>
      <c r="BQ221" s="239">
        <v>-2473473</v>
      </c>
      <c r="BR221" s="239">
        <v>-66122</v>
      </c>
      <c r="BS221" s="239">
        <v>0</v>
      </c>
      <c r="BT221" s="239">
        <v>-66122</v>
      </c>
      <c r="BU221" s="239">
        <v>-2425222</v>
      </c>
      <c r="BV221" s="239">
        <v>-36274</v>
      </c>
      <c r="BW221" s="239">
        <v>-2461496</v>
      </c>
      <c r="BX221" s="239">
        <v>-120574</v>
      </c>
      <c r="BY221" s="239">
        <v>0</v>
      </c>
      <c r="BZ221" s="239">
        <v>-120574</v>
      </c>
      <c r="CA221" s="239">
        <v>-2220</v>
      </c>
      <c r="CB221" s="239">
        <v>0</v>
      </c>
      <c r="CC221" s="239">
        <v>-2220</v>
      </c>
      <c r="CD221" s="239">
        <v>-643325</v>
      </c>
      <c r="CE221" s="239">
        <v>0</v>
      </c>
      <c r="CF221" s="239">
        <v>-643325</v>
      </c>
      <c r="CG221" s="239">
        <v>-10544</v>
      </c>
      <c r="CH221" s="239">
        <v>0</v>
      </c>
      <c r="CI221" s="239">
        <v>-10544</v>
      </c>
      <c r="CJ221" s="239">
        <v>-3638</v>
      </c>
      <c r="CK221" s="239">
        <v>0</v>
      </c>
      <c r="CL221" s="239">
        <v>-3638</v>
      </c>
      <c r="CM221" s="239">
        <v>0</v>
      </c>
      <c r="CN221" s="239">
        <v>0</v>
      </c>
      <c r="CO221" s="239">
        <v>0</v>
      </c>
      <c r="CP221" s="239">
        <v>-2743</v>
      </c>
      <c r="CQ221" s="239">
        <v>0</v>
      </c>
      <c r="CR221" s="239">
        <v>-2743</v>
      </c>
      <c r="CS221" s="239">
        <v>0</v>
      </c>
      <c r="CT221" s="239">
        <v>0</v>
      </c>
      <c r="CU221" s="239">
        <v>0</v>
      </c>
      <c r="CV221" s="239">
        <v>0</v>
      </c>
      <c r="CW221" s="239">
        <v>0</v>
      </c>
      <c r="CX221" s="239">
        <v>0</v>
      </c>
      <c r="CY221" s="239">
        <v>0</v>
      </c>
      <c r="CZ221" s="239">
        <v>0</v>
      </c>
      <c r="DA221" s="239">
        <v>0</v>
      </c>
      <c r="DB221" s="239">
        <v>0</v>
      </c>
      <c r="DC221" s="239">
        <v>-389638</v>
      </c>
      <c r="DD221" s="239">
        <v>-389638</v>
      </c>
      <c r="DE221" s="239">
        <v>0</v>
      </c>
      <c r="DF221" s="239">
        <v>-8476</v>
      </c>
      <c r="DG221" s="239">
        <v>-8476</v>
      </c>
      <c r="DH221" s="239">
        <v>-398113</v>
      </c>
      <c r="DI221" s="239">
        <v>0</v>
      </c>
      <c r="DJ221" s="239">
        <v>-783044</v>
      </c>
      <c r="DK221" s="239">
        <v>-398114</v>
      </c>
      <c r="DL221" s="239">
        <v>-1181158</v>
      </c>
      <c r="DM221" s="239">
        <v>-20915</v>
      </c>
      <c r="DN221" s="239">
        <v>0</v>
      </c>
      <c r="DO221" s="239">
        <v>-20915</v>
      </c>
      <c r="DP221" s="239">
        <v>0</v>
      </c>
      <c r="DQ221" s="239">
        <v>0</v>
      </c>
      <c r="DR221" s="239">
        <v>0</v>
      </c>
      <c r="DS221" s="239">
        <v>-24607</v>
      </c>
      <c r="DT221" s="239">
        <v>0</v>
      </c>
      <c r="DU221" s="239">
        <v>-24607</v>
      </c>
      <c r="DV221" s="239">
        <v>-2086</v>
      </c>
      <c r="DW221" s="239">
        <v>0</v>
      </c>
      <c r="DX221" s="239">
        <v>-2086</v>
      </c>
      <c r="DY221" s="239">
        <v>0</v>
      </c>
      <c r="DZ221" s="239">
        <v>0</v>
      </c>
      <c r="EA221" s="239">
        <v>0</v>
      </c>
      <c r="EB221" s="239">
        <v>-2043</v>
      </c>
      <c r="EC221" s="239">
        <v>0</v>
      </c>
      <c r="ED221" s="239">
        <v>-2043</v>
      </c>
      <c r="EE221" s="239">
        <v>0</v>
      </c>
      <c r="EF221" s="239">
        <v>0</v>
      </c>
      <c r="EG221" s="239">
        <v>0</v>
      </c>
      <c r="EH221" s="239">
        <v>0</v>
      </c>
      <c r="EI221" s="239">
        <v>0</v>
      </c>
      <c r="EJ221" s="239">
        <v>0</v>
      </c>
      <c r="EK221" s="239">
        <v>-2246</v>
      </c>
      <c r="EL221" s="239">
        <v>0</v>
      </c>
      <c r="EM221" s="239">
        <v>-2246</v>
      </c>
      <c r="EN221" s="239">
        <v>2213</v>
      </c>
      <c r="EO221" s="239">
        <v>0</v>
      </c>
      <c r="EP221" s="239">
        <v>2213</v>
      </c>
      <c r="EQ221" s="239">
        <v>-49684</v>
      </c>
      <c r="ER221" s="239">
        <v>0</v>
      </c>
      <c r="ES221" s="239">
        <v>-49684</v>
      </c>
      <c r="ET221" s="239">
        <v>0</v>
      </c>
      <c r="EU221" s="239">
        <v>0</v>
      </c>
      <c r="EV221" s="239">
        <v>0</v>
      </c>
      <c r="EW221" s="239">
        <v>0</v>
      </c>
      <c r="EX221" s="239">
        <v>0</v>
      </c>
      <c r="EY221" s="239">
        <v>0</v>
      </c>
      <c r="EZ221" s="239">
        <v>0</v>
      </c>
      <c r="FA221" s="239">
        <v>0</v>
      </c>
      <c r="FB221" s="239">
        <v>0</v>
      </c>
      <c r="FC221" s="239">
        <v>86227603</v>
      </c>
      <c r="FD221" s="239">
        <v>761682</v>
      </c>
      <c r="FE221" s="239">
        <v>86989285</v>
      </c>
      <c r="FF221" s="239">
        <v>467721</v>
      </c>
      <c r="FG221" s="239">
        <v>0</v>
      </c>
      <c r="FH221" s="239">
        <v>467721</v>
      </c>
      <c r="FI221" s="239">
        <v>-8245730</v>
      </c>
      <c r="FJ221" s="239">
        <v>-118938</v>
      </c>
      <c r="FK221" s="239">
        <v>-8364668</v>
      </c>
      <c r="FL221" s="239">
        <v>-2425222</v>
      </c>
      <c r="FM221" s="239">
        <v>-36274</v>
      </c>
      <c r="FN221" s="239">
        <v>-2461496</v>
      </c>
      <c r="FO221" s="239">
        <v>-783044</v>
      </c>
      <c r="FP221" s="239">
        <v>-398114</v>
      </c>
      <c r="FQ221" s="239">
        <v>-1181158</v>
      </c>
      <c r="FR221" s="239">
        <v>-49684</v>
      </c>
      <c r="FS221" s="239">
        <v>0</v>
      </c>
      <c r="FT221" s="239">
        <v>-49684</v>
      </c>
      <c r="FU221" s="239">
        <v>0</v>
      </c>
      <c r="FV221" s="239">
        <v>0</v>
      </c>
      <c r="FW221" s="239">
        <v>0</v>
      </c>
      <c r="FX221" s="239">
        <v>-11035959</v>
      </c>
      <c r="FY221" s="239">
        <v>-553326</v>
      </c>
      <c r="FZ221" s="239">
        <v>-11589285</v>
      </c>
      <c r="GA221" s="239">
        <v>75191644</v>
      </c>
      <c r="GB221" s="239">
        <v>208356</v>
      </c>
      <c r="GC221" s="239">
        <v>75400000</v>
      </c>
      <c r="GD221" s="214" t="s">
        <v>1192</v>
      </c>
    </row>
    <row r="222" spans="2:186" s="214" customFormat="1" x14ac:dyDescent="0.2">
      <c r="B222" s="609" t="s">
        <v>526</v>
      </c>
      <c r="C222" s="609" t="s">
        <v>525</v>
      </c>
      <c r="D222" s="239">
        <v>0</v>
      </c>
      <c r="E222" s="239">
        <v>0</v>
      </c>
      <c r="F222" s="239">
        <v>0</v>
      </c>
      <c r="G222" s="239">
        <v>4524</v>
      </c>
      <c r="H222" s="239">
        <v>0</v>
      </c>
      <c r="I222" s="239">
        <v>4524</v>
      </c>
      <c r="J222" s="239">
        <v>0</v>
      </c>
      <c r="K222" s="239">
        <v>0</v>
      </c>
      <c r="L222" s="239">
        <v>0</v>
      </c>
      <c r="M222" s="239">
        <v>-1545</v>
      </c>
      <c r="N222" s="239">
        <v>0</v>
      </c>
      <c r="O222" s="239">
        <v>-1545</v>
      </c>
      <c r="P222" s="239">
        <v>2979</v>
      </c>
      <c r="Q222" s="239">
        <v>0</v>
      </c>
      <c r="R222" s="239">
        <v>2979</v>
      </c>
      <c r="S222" s="239">
        <v>-1962193</v>
      </c>
      <c r="T222" s="239">
        <v>0</v>
      </c>
      <c r="U222" s="239">
        <v>-1962193</v>
      </c>
      <c r="V222" s="239">
        <v>0</v>
      </c>
      <c r="W222" s="239">
        <v>0</v>
      </c>
      <c r="X222" s="239">
        <v>0</v>
      </c>
      <c r="Y222" s="239">
        <v>-62829</v>
      </c>
      <c r="Z222" s="239">
        <v>0</v>
      </c>
      <c r="AA222" s="239">
        <v>-62829</v>
      </c>
      <c r="AB222" s="239">
        <v>-58076</v>
      </c>
      <c r="AC222" s="239">
        <v>0</v>
      </c>
      <c r="AD222" s="239">
        <v>-58076</v>
      </c>
      <c r="AE222" s="239">
        <v>0</v>
      </c>
      <c r="AF222" s="239">
        <v>0</v>
      </c>
      <c r="AG222" s="239">
        <v>0</v>
      </c>
      <c r="AH222" s="239">
        <v>1327024</v>
      </c>
      <c r="AI222" s="239">
        <v>0</v>
      </c>
      <c r="AJ222" s="239">
        <v>1327024</v>
      </c>
      <c r="AK222" s="239">
        <v>-14412</v>
      </c>
      <c r="AL222" s="239">
        <v>0</v>
      </c>
      <c r="AM222" s="239">
        <v>-14412</v>
      </c>
      <c r="AN222" s="239">
        <v>-3062339</v>
      </c>
      <c r="AO222" s="239">
        <v>0</v>
      </c>
      <c r="AP222" s="239">
        <v>-3062339</v>
      </c>
      <c r="AQ222" s="239">
        <v>-94392</v>
      </c>
      <c r="AR222" s="239">
        <v>0</v>
      </c>
      <c r="AS222" s="239">
        <v>-94392</v>
      </c>
      <c r="AT222" s="239">
        <v>-75966</v>
      </c>
      <c r="AU222" s="239">
        <v>0</v>
      </c>
      <c r="AV222" s="239">
        <v>-75966</v>
      </c>
      <c r="AW222" s="239">
        <v>0</v>
      </c>
      <c r="AX222" s="239">
        <v>0</v>
      </c>
      <c r="AY222" s="239">
        <v>0</v>
      </c>
      <c r="AZ222" s="239">
        <v>-11233</v>
      </c>
      <c r="BA222" s="239">
        <v>0</v>
      </c>
      <c r="BB222" s="239">
        <v>-11233</v>
      </c>
      <c r="BC222" s="239">
        <v>155</v>
      </c>
      <c r="BD222" s="239">
        <v>0</v>
      </c>
      <c r="BE222" s="239">
        <v>155</v>
      </c>
      <c r="BF222" s="239">
        <v>-3956185</v>
      </c>
      <c r="BG222" s="239">
        <v>0</v>
      </c>
      <c r="BH222" s="239">
        <v>-3956185</v>
      </c>
      <c r="BI222" s="239">
        <v>-205582</v>
      </c>
      <c r="BJ222" s="239">
        <v>0</v>
      </c>
      <c r="BK222" s="239">
        <v>-205582</v>
      </c>
      <c r="BL222" s="239">
        <v>0</v>
      </c>
      <c r="BM222" s="239">
        <v>0</v>
      </c>
      <c r="BN222" s="239">
        <v>0</v>
      </c>
      <c r="BO222" s="239">
        <v>-1094407</v>
      </c>
      <c r="BP222" s="239">
        <v>0</v>
      </c>
      <c r="BQ222" s="239">
        <v>-1094407</v>
      </c>
      <c r="BR222" s="239">
        <v>564187</v>
      </c>
      <c r="BS222" s="239">
        <v>0</v>
      </c>
      <c r="BT222" s="239">
        <v>564187</v>
      </c>
      <c r="BU222" s="239">
        <v>-735802</v>
      </c>
      <c r="BV222" s="239">
        <v>0</v>
      </c>
      <c r="BW222" s="239">
        <v>-735802</v>
      </c>
      <c r="BX222" s="239">
        <v>-99687</v>
      </c>
      <c r="BY222" s="239">
        <v>0</v>
      </c>
      <c r="BZ222" s="239">
        <v>-99687</v>
      </c>
      <c r="CA222" s="239">
        <v>-175</v>
      </c>
      <c r="CB222" s="239">
        <v>0</v>
      </c>
      <c r="CC222" s="239">
        <v>-175</v>
      </c>
      <c r="CD222" s="239">
        <v>-28261</v>
      </c>
      <c r="CE222" s="239">
        <v>0</v>
      </c>
      <c r="CF222" s="239">
        <v>-28261</v>
      </c>
      <c r="CG222" s="239">
        <v>-190</v>
      </c>
      <c r="CH222" s="239">
        <v>0</v>
      </c>
      <c r="CI222" s="239">
        <v>-190</v>
      </c>
      <c r="CJ222" s="239">
        <v>0</v>
      </c>
      <c r="CK222" s="239">
        <v>0</v>
      </c>
      <c r="CL222" s="239">
        <v>0</v>
      </c>
      <c r="CM222" s="239">
        <v>0</v>
      </c>
      <c r="CN222" s="239">
        <v>0</v>
      </c>
      <c r="CO222" s="239">
        <v>0</v>
      </c>
      <c r="CP222" s="239">
        <v>0</v>
      </c>
      <c r="CQ222" s="239">
        <v>0</v>
      </c>
      <c r="CR222" s="239">
        <v>0</v>
      </c>
      <c r="CS222" s="239">
        <v>0</v>
      </c>
      <c r="CT222" s="239">
        <v>0</v>
      </c>
      <c r="CU222" s="239">
        <v>0</v>
      </c>
      <c r="CV222" s="239">
        <v>0</v>
      </c>
      <c r="CW222" s="239">
        <v>0</v>
      </c>
      <c r="CX222" s="239">
        <v>0</v>
      </c>
      <c r="CY222" s="239">
        <v>0</v>
      </c>
      <c r="CZ222" s="239">
        <v>0</v>
      </c>
      <c r="DA222" s="239">
        <v>0</v>
      </c>
      <c r="DB222" s="239">
        <v>0</v>
      </c>
      <c r="DC222" s="239">
        <v>0</v>
      </c>
      <c r="DD222" s="239">
        <v>0</v>
      </c>
      <c r="DE222" s="239">
        <v>0</v>
      </c>
      <c r="DF222" s="239">
        <v>0</v>
      </c>
      <c r="DG222" s="239">
        <v>0</v>
      </c>
      <c r="DH222" s="239">
        <v>0</v>
      </c>
      <c r="DI222" s="239">
        <v>0</v>
      </c>
      <c r="DJ222" s="239">
        <v>-128313</v>
      </c>
      <c r="DK222" s="239">
        <v>0</v>
      </c>
      <c r="DL222" s="239">
        <v>-128313</v>
      </c>
      <c r="DM222" s="239">
        <v>-62201</v>
      </c>
      <c r="DN222" s="239">
        <v>0</v>
      </c>
      <c r="DO222" s="239">
        <v>-62201</v>
      </c>
      <c r="DP222" s="239">
        <v>-482</v>
      </c>
      <c r="DQ222" s="239">
        <v>0</v>
      </c>
      <c r="DR222" s="239">
        <v>-482</v>
      </c>
      <c r="DS222" s="239">
        <v>-42478</v>
      </c>
      <c r="DT222" s="239">
        <v>0</v>
      </c>
      <c r="DU222" s="239">
        <v>-42478</v>
      </c>
      <c r="DV222" s="239">
        <v>-4006</v>
      </c>
      <c r="DW222" s="239">
        <v>0</v>
      </c>
      <c r="DX222" s="239">
        <v>-4006</v>
      </c>
      <c r="DY222" s="239">
        <v>0</v>
      </c>
      <c r="DZ222" s="239">
        <v>0</v>
      </c>
      <c r="EA222" s="239">
        <v>0</v>
      </c>
      <c r="EB222" s="239">
        <v>2431</v>
      </c>
      <c r="EC222" s="239">
        <v>0</v>
      </c>
      <c r="ED222" s="239">
        <v>2431</v>
      </c>
      <c r="EE222" s="239">
        <v>0</v>
      </c>
      <c r="EF222" s="239">
        <v>0</v>
      </c>
      <c r="EG222" s="239">
        <v>0</v>
      </c>
      <c r="EH222" s="239">
        <v>0</v>
      </c>
      <c r="EI222" s="239">
        <v>0</v>
      </c>
      <c r="EJ222" s="239">
        <v>0</v>
      </c>
      <c r="EK222" s="239">
        <v>0</v>
      </c>
      <c r="EL222" s="239">
        <v>0</v>
      </c>
      <c r="EM222" s="239">
        <v>0</v>
      </c>
      <c r="EN222" s="239">
        <v>0</v>
      </c>
      <c r="EO222" s="239">
        <v>0</v>
      </c>
      <c r="EP222" s="239">
        <v>0</v>
      </c>
      <c r="EQ222" s="239">
        <v>-106736</v>
      </c>
      <c r="ER222" s="239">
        <v>0</v>
      </c>
      <c r="ES222" s="239">
        <v>-106736</v>
      </c>
      <c r="ET222" s="239">
        <v>0</v>
      </c>
      <c r="EU222" s="239">
        <v>0</v>
      </c>
      <c r="EV222" s="239">
        <v>0</v>
      </c>
      <c r="EW222" s="239">
        <v>0</v>
      </c>
      <c r="EX222" s="239">
        <v>0</v>
      </c>
      <c r="EY222" s="239">
        <v>0</v>
      </c>
      <c r="EZ222" s="239">
        <v>0</v>
      </c>
      <c r="FA222" s="239">
        <v>0</v>
      </c>
      <c r="FB222" s="239">
        <v>0</v>
      </c>
      <c r="FC222" s="239">
        <v>54275030</v>
      </c>
      <c r="FD222" s="239">
        <v>0</v>
      </c>
      <c r="FE222" s="239">
        <v>54275030</v>
      </c>
      <c r="FF222" s="239">
        <v>2979</v>
      </c>
      <c r="FG222" s="239">
        <v>0</v>
      </c>
      <c r="FH222" s="239">
        <v>2979</v>
      </c>
      <c r="FI222" s="239">
        <v>-3956185</v>
      </c>
      <c r="FJ222" s="239">
        <v>0</v>
      </c>
      <c r="FK222" s="239">
        <v>-3956185</v>
      </c>
      <c r="FL222" s="239">
        <v>-735802</v>
      </c>
      <c r="FM222" s="239">
        <v>0</v>
      </c>
      <c r="FN222" s="239">
        <v>-735802</v>
      </c>
      <c r="FO222" s="239">
        <v>-128313</v>
      </c>
      <c r="FP222" s="239">
        <v>0</v>
      </c>
      <c r="FQ222" s="239">
        <v>-128313</v>
      </c>
      <c r="FR222" s="239">
        <v>-106736</v>
      </c>
      <c r="FS222" s="239">
        <v>0</v>
      </c>
      <c r="FT222" s="239">
        <v>-106736</v>
      </c>
      <c r="FU222" s="239">
        <v>0</v>
      </c>
      <c r="FV222" s="239">
        <v>0</v>
      </c>
      <c r="FW222" s="239">
        <v>0</v>
      </c>
      <c r="FX222" s="239">
        <v>-4924057</v>
      </c>
      <c r="FY222" s="239">
        <v>0</v>
      </c>
      <c r="FZ222" s="239">
        <v>-4924057</v>
      </c>
      <c r="GA222" s="239">
        <v>49350973</v>
      </c>
      <c r="GB222" s="239">
        <v>0</v>
      </c>
      <c r="GC222" s="239">
        <v>49350973</v>
      </c>
      <c r="GD222" s="214" t="s">
        <v>1190</v>
      </c>
    </row>
    <row r="223" spans="2:186" s="214" customFormat="1" x14ac:dyDescent="0.2">
      <c r="B223" s="609" t="s">
        <v>528</v>
      </c>
      <c r="C223" s="609" t="s">
        <v>527</v>
      </c>
      <c r="D223" s="239">
        <v>0</v>
      </c>
      <c r="E223" s="239">
        <v>0</v>
      </c>
      <c r="F223" s="239">
        <v>0</v>
      </c>
      <c r="G223" s="239">
        <v>-11664.44</v>
      </c>
      <c r="H223" s="239">
        <v>0</v>
      </c>
      <c r="I223" s="239">
        <v>-11664.44</v>
      </c>
      <c r="J223" s="239">
        <v>0</v>
      </c>
      <c r="K223" s="239">
        <v>0</v>
      </c>
      <c r="L223" s="239">
        <v>0</v>
      </c>
      <c r="M223" s="239">
        <v>4262.4399999999996</v>
      </c>
      <c r="N223" s="239">
        <v>0</v>
      </c>
      <c r="O223" s="239">
        <v>4262.4399999999996</v>
      </c>
      <c r="P223" s="239">
        <v>-7402</v>
      </c>
      <c r="Q223" s="239">
        <v>0</v>
      </c>
      <c r="R223" s="239">
        <v>-7402</v>
      </c>
      <c r="S223" s="239">
        <v>-1341245</v>
      </c>
      <c r="T223" s="239">
        <v>0</v>
      </c>
      <c r="U223" s="239">
        <v>-1341245</v>
      </c>
      <c r="V223" s="239">
        <v>0</v>
      </c>
      <c r="W223" s="239">
        <v>0</v>
      </c>
      <c r="X223" s="239">
        <v>0</v>
      </c>
      <c r="Y223" s="239">
        <v>-107624</v>
      </c>
      <c r="Z223" s="239">
        <v>0</v>
      </c>
      <c r="AA223" s="239">
        <v>-107624</v>
      </c>
      <c r="AB223" s="239">
        <v>-107624</v>
      </c>
      <c r="AC223" s="239">
        <v>0</v>
      </c>
      <c r="AD223" s="239">
        <v>-107624</v>
      </c>
      <c r="AE223" s="239">
        <v>0</v>
      </c>
      <c r="AF223" s="239">
        <v>0</v>
      </c>
      <c r="AG223" s="239">
        <v>0</v>
      </c>
      <c r="AH223" s="239">
        <v>1269871</v>
      </c>
      <c r="AI223" s="239">
        <v>0</v>
      </c>
      <c r="AJ223" s="239">
        <v>1269871</v>
      </c>
      <c r="AK223" s="239">
        <v>-172</v>
      </c>
      <c r="AL223" s="239">
        <v>0</v>
      </c>
      <c r="AM223" s="239">
        <v>-172</v>
      </c>
      <c r="AN223" s="239">
        <v>-3236541</v>
      </c>
      <c r="AO223" s="239">
        <v>0</v>
      </c>
      <c r="AP223" s="239">
        <v>-3236541</v>
      </c>
      <c r="AQ223" s="239">
        <v>4618</v>
      </c>
      <c r="AR223" s="239">
        <v>0</v>
      </c>
      <c r="AS223" s="239">
        <v>4618</v>
      </c>
      <c r="AT223" s="239">
        <v>-37943</v>
      </c>
      <c r="AU223" s="239">
        <v>0</v>
      </c>
      <c r="AV223" s="239">
        <v>-37943</v>
      </c>
      <c r="AW223" s="239">
        <v>0</v>
      </c>
      <c r="AX223" s="239">
        <v>0</v>
      </c>
      <c r="AY223" s="239">
        <v>0</v>
      </c>
      <c r="AZ223" s="239">
        <v>-1694</v>
      </c>
      <c r="BA223" s="239">
        <v>0</v>
      </c>
      <c r="BB223" s="239">
        <v>-1694</v>
      </c>
      <c r="BC223" s="239">
        <v>0</v>
      </c>
      <c r="BD223" s="239">
        <v>0</v>
      </c>
      <c r="BE223" s="239">
        <v>0</v>
      </c>
      <c r="BF223" s="239">
        <v>-3450730</v>
      </c>
      <c r="BG223" s="239">
        <v>0</v>
      </c>
      <c r="BH223" s="239">
        <v>-3450730</v>
      </c>
      <c r="BI223" s="239">
        <v>0</v>
      </c>
      <c r="BJ223" s="239">
        <v>0</v>
      </c>
      <c r="BK223" s="239">
        <v>0</v>
      </c>
      <c r="BL223" s="239">
        <v>0</v>
      </c>
      <c r="BM223" s="239">
        <v>0</v>
      </c>
      <c r="BN223" s="239">
        <v>0</v>
      </c>
      <c r="BO223" s="239">
        <v>-1524003</v>
      </c>
      <c r="BP223" s="239">
        <v>0</v>
      </c>
      <c r="BQ223" s="239">
        <v>-1524003</v>
      </c>
      <c r="BR223" s="239">
        <v>31173</v>
      </c>
      <c r="BS223" s="239">
        <v>0</v>
      </c>
      <c r="BT223" s="239">
        <v>31173</v>
      </c>
      <c r="BU223" s="239">
        <v>-1492830</v>
      </c>
      <c r="BV223" s="239">
        <v>0</v>
      </c>
      <c r="BW223" s="239">
        <v>-1492830</v>
      </c>
      <c r="BX223" s="239">
        <v>-21853</v>
      </c>
      <c r="BY223" s="239">
        <v>0</v>
      </c>
      <c r="BZ223" s="239">
        <v>-21853</v>
      </c>
      <c r="CA223" s="239">
        <v>-926</v>
      </c>
      <c r="CB223" s="239">
        <v>0</v>
      </c>
      <c r="CC223" s="239">
        <v>-926</v>
      </c>
      <c r="CD223" s="239">
        <v>-282</v>
      </c>
      <c r="CE223" s="239">
        <v>0</v>
      </c>
      <c r="CF223" s="239">
        <v>-282</v>
      </c>
      <c r="CG223" s="239">
        <v>0</v>
      </c>
      <c r="CH223" s="239">
        <v>0</v>
      </c>
      <c r="CI223" s="239">
        <v>0</v>
      </c>
      <c r="CJ223" s="239">
        <v>0</v>
      </c>
      <c r="CK223" s="239">
        <v>0</v>
      </c>
      <c r="CL223" s="239">
        <v>0</v>
      </c>
      <c r="CM223" s="239">
        <v>0</v>
      </c>
      <c r="CN223" s="239">
        <v>0</v>
      </c>
      <c r="CO223" s="239">
        <v>0</v>
      </c>
      <c r="CP223" s="239">
        <v>0</v>
      </c>
      <c r="CQ223" s="239">
        <v>0</v>
      </c>
      <c r="CR223" s="239">
        <v>0</v>
      </c>
      <c r="CS223" s="239">
        <v>0</v>
      </c>
      <c r="CT223" s="239">
        <v>0</v>
      </c>
      <c r="CU223" s="239">
        <v>0</v>
      </c>
      <c r="CV223" s="239">
        <v>-2551</v>
      </c>
      <c r="CW223" s="239">
        <v>0</v>
      </c>
      <c r="CX223" s="239">
        <v>-2551</v>
      </c>
      <c r="CY223" s="239">
        <v>0</v>
      </c>
      <c r="CZ223" s="239">
        <v>0</v>
      </c>
      <c r="DA223" s="239">
        <v>0</v>
      </c>
      <c r="DB223" s="239">
        <v>0</v>
      </c>
      <c r="DC223" s="239">
        <v>0</v>
      </c>
      <c r="DD223" s="239">
        <v>0</v>
      </c>
      <c r="DE223" s="239">
        <v>0</v>
      </c>
      <c r="DF223" s="239">
        <v>0</v>
      </c>
      <c r="DG223" s="239">
        <v>0</v>
      </c>
      <c r="DH223" s="239">
        <v>0</v>
      </c>
      <c r="DI223" s="239">
        <v>0</v>
      </c>
      <c r="DJ223" s="239">
        <v>-25612</v>
      </c>
      <c r="DK223" s="239">
        <v>0</v>
      </c>
      <c r="DL223" s="239">
        <v>-25612</v>
      </c>
      <c r="DM223" s="239">
        <v>0</v>
      </c>
      <c r="DN223" s="239">
        <v>0</v>
      </c>
      <c r="DO223" s="239">
        <v>0</v>
      </c>
      <c r="DP223" s="239">
        <v>5811</v>
      </c>
      <c r="DQ223" s="239">
        <v>0</v>
      </c>
      <c r="DR223" s="239">
        <v>5811</v>
      </c>
      <c r="DS223" s="239">
        <v>0</v>
      </c>
      <c r="DT223" s="239">
        <v>0</v>
      </c>
      <c r="DU223" s="239">
        <v>0</v>
      </c>
      <c r="DV223" s="239">
        <v>0</v>
      </c>
      <c r="DW223" s="239">
        <v>0</v>
      </c>
      <c r="DX223" s="239">
        <v>0</v>
      </c>
      <c r="DY223" s="239">
        <v>0</v>
      </c>
      <c r="DZ223" s="239">
        <v>0</v>
      </c>
      <c r="EA223" s="239">
        <v>0</v>
      </c>
      <c r="EB223" s="239">
        <v>-9244.31</v>
      </c>
      <c r="EC223" s="239">
        <v>0</v>
      </c>
      <c r="ED223" s="239">
        <v>-9244.31</v>
      </c>
      <c r="EE223" s="239">
        <v>0</v>
      </c>
      <c r="EF223" s="239">
        <v>0</v>
      </c>
      <c r="EG223" s="239">
        <v>0</v>
      </c>
      <c r="EH223" s="239">
        <v>755</v>
      </c>
      <c r="EI223" s="239">
        <v>0</v>
      </c>
      <c r="EJ223" s="239">
        <v>755</v>
      </c>
      <c r="EK223" s="239">
        <v>0</v>
      </c>
      <c r="EL223" s="239">
        <v>0</v>
      </c>
      <c r="EM223" s="239">
        <v>0</v>
      </c>
      <c r="EN223" s="239">
        <v>0</v>
      </c>
      <c r="EO223" s="239">
        <v>0</v>
      </c>
      <c r="EP223" s="239">
        <v>0</v>
      </c>
      <c r="EQ223" s="239">
        <v>-2678</v>
      </c>
      <c r="ER223" s="239">
        <v>0</v>
      </c>
      <c r="ES223" s="239">
        <v>-2678</v>
      </c>
      <c r="ET223" s="239">
        <v>0</v>
      </c>
      <c r="EU223" s="239">
        <v>0</v>
      </c>
      <c r="EV223" s="239">
        <v>0</v>
      </c>
      <c r="EW223" s="239">
        <v>0</v>
      </c>
      <c r="EX223" s="239">
        <v>0</v>
      </c>
      <c r="EY223" s="239">
        <v>0</v>
      </c>
      <c r="EZ223" s="239">
        <v>0</v>
      </c>
      <c r="FA223" s="239">
        <v>0</v>
      </c>
      <c r="FB223" s="239">
        <v>0</v>
      </c>
      <c r="FC223" s="239">
        <v>51784971</v>
      </c>
      <c r="FD223" s="239">
        <v>0</v>
      </c>
      <c r="FE223" s="239">
        <v>51784971</v>
      </c>
      <c r="FF223" s="239">
        <v>-7402</v>
      </c>
      <c r="FG223" s="239">
        <v>0</v>
      </c>
      <c r="FH223" s="239">
        <v>-7402</v>
      </c>
      <c r="FI223" s="239">
        <v>-3450730</v>
      </c>
      <c r="FJ223" s="239">
        <v>0</v>
      </c>
      <c r="FK223" s="239">
        <v>-3450730</v>
      </c>
      <c r="FL223" s="239">
        <v>-1492830</v>
      </c>
      <c r="FM223" s="239">
        <v>0</v>
      </c>
      <c r="FN223" s="239">
        <v>-1492830</v>
      </c>
      <c r="FO223" s="239">
        <v>-25612</v>
      </c>
      <c r="FP223" s="239">
        <v>0</v>
      </c>
      <c r="FQ223" s="239">
        <v>-25612</v>
      </c>
      <c r="FR223" s="239">
        <v>-2678</v>
      </c>
      <c r="FS223" s="239">
        <v>0</v>
      </c>
      <c r="FT223" s="239">
        <v>-2678</v>
      </c>
      <c r="FU223" s="239">
        <v>0</v>
      </c>
      <c r="FV223" s="239">
        <v>0</v>
      </c>
      <c r="FW223" s="239">
        <v>0</v>
      </c>
      <c r="FX223" s="239">
        <v>-4979252</v>
      </c>
      <c r="FY223" s="239">
        <v>0</v>
      </c>
      <c r="FZ223" s="239">
        <v>-4979252</v>
      </c>
      <c r="GA223" s="239">
        <v>46805719</v>
      </c>
      <c r="GB223" s="239">
        <v>0</v>
      </c>
      <c r="GC223" s="239">
        <v>46805719</v>
      </c>
      <c r="GD223" s="214" t="s">
        <v>1190</v>
      </c>
    </row>
    <row r="224" spans="2:186" s="214" customFormat="1" x14ac:dyDescent="0.2">
      <c r="B224" s="609" t="s">
        <v>530</v>
      </c>
      <c r="C224" s="609" t="s">
        <v>529</v>
      </c>
      <c r="D224" s="239">
        <v>0</v>
      </c>
      <c r="E224" s="239">
        <v>0</v>
      </c>
      <c r="F224" s="239">
        <v>0</v>
      </c>
      <c r="G224" s="239">
        <v>29632.6</v>
      </c>
      <c r="H224" s="239">
        <v>0</v>
      </c>
      <c r="I224" s="239">
        <v>29632.6</v>
      </c>
      <c r="J224" s="239">
        <v>0</v>
      </c>
      <c r="K224" s="239">
        <v>0</v>
      </c>
      <c r="L224" s="239">
        <v>0</v>
      </c>
      <c r="M224" s="239">
        <v>40938</v>
      </c>
      <c r="N224" s="239">
        <v>0</v>
      </c>
      <c r="O224" s="239">
        <v>40938</v>
      </c>
      <c r="P224" s="239">
        <v>70571</v>
      </c>
      <c r="Q224" s="239">
        <v>0</v>
      </c>
      <c r="R224" s="239">
        <v>70571</v>
      </c>
      <c r="S224" s="239">
        <v>-2042029</v>
      </c>
      <c r="T224" s="239">
        <v>0</v>
      </c>
      <c r="U224" s="239">
        <v>-2042029</v>
      </c>
      <c r="V224" s="239">
        <v>-7481</v>
      </c>
      <c r="W224" s="239">
        <v>0</v>
      </c>
      <c r="X224" s="239">
        <v>-7481</v>
      </c>
      <c r="Y224" s="239">
        <v>-72855</v>
      </c>
      <c r="Z224" s="239">
        <v>0</v>
      </c>
      <c r="AA224" s="239">
        <v>-72855</v>
      </c>
      <c r="AB224" s="239">
        <v>-71669</v>
      </c>
      <c r="AC224" s="239">
        <v>0</v>
      </c>
      <c r="AD224" s="239">
        <v>-71669</v>
      </c>
      <c r="AE224" s="239">
        <v>-1186</v>
      </c>
      <c r="AF224" s="239">
        <v>0</v>
      </c>
      <c r="AG224" s="239">
        <v>-1186</v>
      </c>
      <c r="AH224" s="239">
        <v>769073</v>
      </c>
      <c r="AI224" s="239">
        <v>0</v>
      </c>
      <c r="AJ224" s="239">
        <v>769073</v>
      </c>
      <c r="AK224" s="239">
        <v>-10476</v>
      </c>
      <c r="AL224" s="239">
        <v>0</v>
      </c>
      <c r="AM224" s="239">
        <v>-10476</v>
      </c>
      <c r="AN224" s="239">
        <v>-2769094</v>
      </c>
      <c r="AO224" s="239">
        <v>0</v>
      </c>
      <c r="AP224" s="239">
        <v>-2769094</v>
      </c>
      <c r="AQ224" s="239">
        <v>12104</v>
      </c>
      <c r="AR224" s="239">
        <v>0</v>
      </c>
      <c r="AS224" s="239">
        <v>12104</v>
      </c>
      <c r="AT224" s="239">
        <v>-69588</v>
      </c>
      <c r="AU224" s="239">
        <v>0</v>
      </c>
      <c r="AV224" s="239">
        <v>-69588</v>
      </c>
      <c r="AW224" s="239">
        <v>-39</v>
      </c>
      <c r="AX224" s="239">
        <v>0</v>
      </c>
      <c r="AY224" s="239">
        <v>-39</v>
      </c>
      <c r="AZ224" s="239">
        <v>-7789</v>
      </c>
      <c r="BA224" s="239">
        <v>0</v>
      </c>
      <c r="BB224" s="239">
        <v>-7789</v>
      </c>
      <c r="BC224" s="239">
        <v>-836</v>
      </c>
      <c r="BD224" s="239">
        <v>0</v>
      </c>
      <c r="BE224" s="239">
        <v>-836</v>
      </c>
      <c r="BF224" s="239">
        <v>-4191529</v>
      </c>
      <c r="BG224" s="239">
        <v>0</v>
      </c>
      <c r="BH224" s="239">
        <v>-4191529</v>
      </c>
      <c r="BI224" s="239">
        <v>0</v>
      </c>
      <c r="BJ224" s="239">
        <v>0</v>
      </c>
      <c r="BK224" s="239">
        <v>0</v>
      </c>
      <c r="BL224" s="239">
        <v>0</v>
      </c>
      <c r="BM224" s="239">
        <v>0</v>
      </c>
      <c r="BN224" s="239">
        <v>0</v>
      </c>
      <c r="BO224" s="239">
        <v>-374497</v>
      </c>
      <c r="BP224" s="239">
        <v>0</v>
      </c>
      <c r="BQ224" s="239">
        <v>-374497</v>
      </c>
      <c r="BR224" s="239">
        <v>82031</v>
      </c>
      <c r="BS224" s="239">
        <v>0</v>
      </c>
      <c r="BT224" s="239">
        <v>82031</v>
      </c>
      <c r="BU224" s="239">
        <v>-292466</v>
      </c>
      <c r="BV224" s="239">
        <v>0</v>
      </c>
      <c r="BW224" s="239">
        <v>-292466</v>
      </c>
      <c r="BX224" s="239">
        <v>-15146</v>
      </c>
      <c r="BY224" s="239">
        <v>0</v>
      </c>
      <c r="BZ224" s="239">
        <v>-15146</v>
      </c>
      <c r="CA224" s="239">
        <v>1019</v>
      </c>
      <c r="CB224" s="239">
        <v>0</v>
      </c>
      <c r="CC224" s="239">
        <v>1019</v>
      </c>
      <c r="CD224" s="239">
        <v>-270891</v>
      </c>
      <c r="CE224" s="239">
        <v>0</v>
      </c>
      <c r="CF224" s="239">
        <v>-270891</v>
      </c>
      <c r="CG224" s="239">
        <v>49939</v>
      </c>
      <c r="CH224" s="239">
        <v>0</v>
      </c>
      <c r="CI224" s="239">
        <v>49939</v>
      </c>
      <c r="CJ224" s="239">
        <v>0</v>
      </c>
      <c r="CK224" s="239">
        <v>0</v>
      </c>
      <c r="CL224" s="239">
        <v>0</v>
      </c>
      <c r="CM224" s="239">
        <v>0</v>
      </c>
      <c r="CN224" s="239">
        <v>0</v>
      </c>
      <c r="CO224" s="239">
        <v>0</v>
      </c>
      <c r="CP224" s="239">
        <v>-635</v>
      </c>
      <c r="CQ224" s="239">
        <v>0</v>
      </c>
      <c r="CR224" s="239">
        <v>-635</v>
      </c>
      <c r="CS224" s="239">
        <v>0</v>
      </c>
      <c r="CT224" s="239">
        <v>0</v>
      </c>
      <c r="CU224" s="239">
        <v>0</v>
      </c>
      <c r="CV224" s="239">
        <v>-8198</v>
      </c>
      <c r="CW224" s="239">
        <v>0</v>
      </c>
      <c r="CX224" s="239">
        <v>-8198</v>
      </c>
      <c r="CY224" s="239">
        <v>-1422</v>
      </c>
      <c r="CZ224" s="239">
        <v>0</v>
      </c>
      <c r="DA224" s="239">
        <v>-1422</v>
      </c>
      <c r="DB224" s="239">
        <v>0</v>
      </c>
      <c r="DC224" s="239">
        <v>0</v>
      </c>
      <c r="DD224" s="239">
        <v>0</v>
      </c>
      <c r="DE224" s="239">
        <v>0</v>
      </c>
      <c r="DF224" s="239">
        <v>0</v>
      </c>
      <c r="DG224" s="239">
        <v>0</v>
      </c>
      <c r="DH224" s="239">
        <v>0</v>
      </c>
      <c r="DI224" s="239">
        <v>0</v>
      </c>
      <c r="DJ224" s="239">
        <v>-245334</v>
      </c>
      <c r="DK224" s="239">
        <v>0</v>
      </c>
      <c r="DL224" s="239">
        <v>-245334</v>
      </c>
      <c r="DM224" s="239">
        <v>-2512</v>
      </c>
      <c r="DN224" s="239">
        <v>0</v>
      </c>
      <c r="DO224" s="239">
        <v>-2512</v>
      </c>
      <c r="DP224" s="239">
        <v>0</v>
      </c>
      <c r="DQ224" s="239">
        <v>0</v>
      </c>
      <c r="DR224" s="239">
        <v>0</v>
      </c>
      <c r="DS224" s="239">
        <v>-1144</v>
      </c>
      <c r="DT224" s="239">
        <v>0</v>
      </c>
      <c r="DU224" s="239">
        <v>-1144</v>
      </c>
      <c r="DV224" s="239">
        <v>0</v>
      </c>
      <c r="DW224" s="239">
        <v>0</v>
      </c>
      <c r="DX224" s="239">
        <v>0</v>
      </c>
      <c r="DY224" s="239">
        <v>0</v>
      </c>
      <c r="DZ224" s="239">
        <v>0</v>
      </c>
      <c r="EA224" s="239">
        <v>0</v>
      </c>
      <c r="EB224" s="239">
        <v>-4245</v>
      </c>
      <c r="EC224" s="239">
        <v>0</v>
      </c>
      <c r="ED224" s="239">
        <v>-4245</v>
      </c>
      <c r="EE224" s="239">
        <v>0</v>
      </c>
      <c r="EF224" s="239">
        <v>0</v>
      </c>
      <c r="EG224" s="239">
        <v>0</v>
      </c>
      <c r="EH224" s="239">
        <v>0</v>
      </c>
      <c r="EI224" s="239">
        <v>0</v>
      </c>
      <c r="EJ224" s="239">
        <v>0</v>
      </c>
      <c r="EK224" s="239">
        <v>0</v>
      </c>
      <c r="EL224" s="239">
        <v>0</v>
      </c>
      <c r="EM224" s="239">
        <v>0</v>
      </c>
      <c r="EN224" s="239">
        <v>-2064</v>
      </c>
      <c r="EO224" s="239">
        <v>0</v>
      </c>
      <c r="EP224" s="239">
        <v>-2064</v>
      </c>
      <c r="EQ224" s="239">
        <v>-9965</v>
      </c>
      <c r="ER224" s="239">
        <v>0</v>
      </c>
      <c r="ES224" s="239">
        <v>-9965</v>
      </c>
      <c r="ET224" s="239">
        <v>0</v>
      </c>
      <c r="EU224" s="239">
        <v>0</v>
      </c>
      <c r="EV224" s="239">
        <v>0</v>
      </c>
      <c r="EW224" s="239">
        <v>-419</v>
      </c>
      <c r="EX224" s="239">
        <v>0</v>
      </c>
      <c r="EY224" s="239">
        <v>-419</v>
      </c>
      <c r="EZ224" s="239">
        <v>-419</v>
      </c>
      <c r="FA224" s="239">
        <v>0</v>
      </c>
      <c r="FB224" s="239">
        <v>-419</v>
      </c>
      <c r="FC224" s="239">
        <v>33545477</v>
      </c>
      <c r="FD224" s="239">
        <v>0</v>
      </c>
      <c r="FE224" s="239">
        <v>33545477</v>
      </c>
      <c r="FF224" s="239">
        <v>70571</v>
      </c>
      <c r="FG224" s="239">
        <v>0</v>
      </c>
      <c r="FH224" s="239">
        <v>70571</v>
      </c>
      <c r="FI224" s="239">
        <v>-4191529</v>
      </c>
      <c r="FJ224" s="239">
        <v>0</v>
      </c>
      <c r="FK224" s="239">
        <v>-4191529</v>
      </c>
      <c r="FL224" s="239">
        <v>-292466</v>
      </c>
      <c r="FM224" s="239">
        <v>0</v>
      </c>
      <c r="FN224" s="239">
        <v>-292466</v>
      </c>
      <c r="FO224" s="239">
        <v>-245334</v>
      </c>
      <c r="FP224" s="239">
        <v>0</v>
      </c>
      <c r="FQ224" s="239">
        <v>-245334</v>
      </c>
      <c r="FR224" s="239">
        <v>-9965</v>
      </c>
      <c r="FS224" s="239">
        <v>0</v>
      </c>
      <c r="FT224" s="239">
        <v>-9965</v>
      </c>
      <c r="FU224" s="239">
        <v>-419</v>
      </c>
      <c r="FV224" s="239">
        <v>0</v>
      </c>
      <c r="FW224" s="239">
        <v>-419</v>
      </c>
      <c r="FX224" s="239">
        <v>-4669142</v>
      </c>
      <c r="FY224" s="239">
        <v>0</v>
      </c>
      <c r="FZ224" s="239">
        <v>-4669142</v>
      </c>
      <c r="GA224" s="239">
        <v>28876335</v>
      </c>
      <c r="GB224" s="239">
        <v>0</v>
      </c>
      <c r="GC224" s="239">
        <v>28876335</v>
      </c>
      <c r="GD224" s="214" t="s">
        <v>1190</v>
      </c>
    </row>
    <row r="225" spans="2:186" s="214" customFormat="1" x14ac:dyDescent="0.2">
      <c r="B225" s="609" t="s">
        <v>532</v>
      </c>
      <c r="C225" s="609" t="s">
        <v>531</v>
      </c>
      <c r="D225" s="239">
        <v>0</v>
      </c>
      <c r="E225" s="239">
        <v>0</v>
      </c>
      <c r="F225" s="239">
        <v>0</v>
      </c>
      <c r="G225" s="239">
        <v>-142</v>
      </c>
      <c r="H225" s="239">
        <v>0</v>
      </c>
      <c r="I225" s="239">
        <v>-142</v>
      </c>
      <c r="J225" s="239">
        <v>0</v>
      </c>
      <c r="K225" s="239">
        <v>0</v>
      </c>
      <c r="L225" s="239">
        <v>0</v>
      </c>
      <c r="M225" s="239">
        <v>36978</v>
      </c>
      <c r="N225" s="239">
        <v>0</v>
      </c>
      <c r="O225" s="239">
        <v>36978</v>
      </c>
      <c r="P225" s="239">
        <v>36836</v>
      </c>
      <c r="Q225" s="239">
        <v>0</v>
      </c>
      <c r="R225" s="239">
        <v>36836</v>
      </c>
      <c r="S225" s="239">
        <v>-1278433</v>
      </c>
      <c r="T225" s="239">
        <v>0</v>
      </c>
      <c r="U225" s="239">
        <v>-1278433</v>
      </c>
      <c r="V225" s="239">
        <v>-9504</v>
      </c>
      <c r="W225" s="239">
        <v>0</v>
      </c>
      <c r="X225" s="239">
        <v>-9504</v>
      </c>
      <c r="Y225" s="239">
        <v>-72029</v>
      </c>
      <c r="Z225" s="239">
        <v>0</v>
      </c>
      <c r="AA225" s="239">
        <v>-72029</v>
      </c>
      <c r="AB225" s="239">
        <v>-54271</v>
      </c>
      <c r="AC225" s="239">
        <v>0</v>
      </c>
      <c r="AD225" s="239">
        <v>-54271</v>
      </c>
      <c r="AE225" s="239">
        <v>-3368</v>
      </c>
      <c r="AF225" s="239">
        <v>0</v>
      </c>
      <c r="AG225" s="239">
        <v>-3368</v>
      </c>
      <c r="AH225" s="239">
        <v>1294618</v>
      </c>
      <c r="AI225" s="239">
        <v>0</v>
      </c>
      <c r="AJ225" s="239">
        <v>1294618</v>
      </c>
      <c r="AK225" s="239">
        <v>-1276</v>
      </c>
      <c r="AL225" s="239">
        <v>0</v>
      </c>
      <c r="AM225" s="239">
        <v>-1276</v>
      </c>
      <c r="AN225" s="239">
        <v>-1705336</v>
      </c>
      <c r="AO225" s="239">
        <v>0</v>
      </c>
      <c r="AP225" s="239">
        <v>-1705336</v>
      </c>
      <c r="AQ225" s="239">
        <v>13889</v>
      </c>
      <c r="AR225" s="239">
        <v>0</v>
      </c>
      <c r="AS225" s="239">
        <v>13889</v>
      </c>
      <c r="AT225" s="239">
        <v>-15785</v>
      </c>
      <c r="AU225" s="239">
        <v>0</v>
      </c>
      <c r="AV225" s="239">
        <v>-15785</v>
      </c>
      <c r="AW225" s="239">
        <v>0</v>
      </c>
      <c r="AX225" s="239">
        <v>0</v>
      </c>
      <c r="AY225" s="239">
        <v>0</v>
      </c>
      <c r="AZ225" s="239">
        <v>0</v>
      </c>
      <c r="BA225" s="239">
        <v>0</v>
      </c>
      <c r="BB225" s="239">
        <v>0</v>
      </c>
      <c r="BC225" s="239">
        <v>0</v>
      </c>
      <c r="BD225" s="239">
        <v>0</v>
      </c>
      <c r="BE225" s="239">
        <v>0</v>
      </c>
      <c r="BF225" s="239">
        <v>-1764352</v>
      </c>
      <c r="BG225" s="239">
        <v>0</v>
      </c>
      <c r="BH225" s="239">
        <v>-1764352</v>
      </c>
      <c r="BI225" s="239">
        <v>-234248</v>
      </c>
      <c r="BJ225" s="239">
        <v>0</v>
      </c>
      <c r="BK225" s="239">
        <v>-234248</v>
      </c>
      <c r="BL225" s="239">
        <v>-104706</v>
      </c>
      <c r="BM225" s="239">
        <v>0</v>
      </c>
      <c r="BN225" s="239">
        <v>-104706</v>
      </c>
      <c r="BO225" s="239">
        <v>-1639283</v>
      </c>
      <c r="BP225" s="239">
        <v>0</v>
      </c>
      <c r="BQ225" s="239">
        <v>-1639283</v>
      </c>
      <c r="BR225" s="239">
        <v>8442</v>
      </c>
      <c r="BS225" s="239">
        <v>0</v>
      </c>
      <c r="BT225" s="239">
        <v>8442</v>
      </c>
      <c r="BU225" s="239">
        <v>-1969795</v>
      </c>
      <c r="BV225" s="239">
        <v>0</v>
      </c>
      <c r="BW225" s="239">
        <v>-1969795</v>
      </c>
      <c r="BX225" s="239">
        <v>-67728</v>
      </c>
      <c r="BY225" s="239">
        <v>0</v>
      </c>
      <c r="BZ225" s="239">
        <v>-67728</v>
      </c>
      <c r="CA225" s="239">
        <v>-807</v>
      </c>
      <c r="CB225" s="239">
        <v>0</v>
      </c>
      <c r="CC225" s="239">
        <v>-807</v>
      </c>
      <c r="CD225" s="239">
        <v>-316202</v>
      </c>
      <c r="CE225" s="239">
        <v>0</v>
      </c>
      <c r="CF225" s="239">
        <v>-316202</v>
      </c>
      <c r="CG225" s="239">
        <v>-7921</v>
      </c>
      <c r="CH225" s="239">
        <v>0</v>
      </c>
      <c r="CI225" s="239">
        <v>-7921</v>
      </c>
      <c r="CJ225" s="239">
        <v>-3946</v>
      </c>
      <c r="CK225" s="239">
        <v>0</v>
      </c>
      <c r="CL225" s="239">
        <v>-3946</v>
      </c>
      <c r="CM225" s="239">
        <v>0</v>
      </c>
      <c r="CN225" s="239">
        <v>0</v>
      </c>
      <c r="CO225" s="239">
        <v>0</v>
      </c>
      <c r="CP225" s="239">
        <v>0</v>
      </c>
      <c r="CQ225" s="239">
        <v>0</v>
      </c>
      <c r="CR225" s="239">
        <v>0</v>
      </c>
      <c r="CS225" s="239">
        <v>0</v>
      </c>
      <c r="CT225" s="239">
        <v>0</v>
      </c>
      <c r="CU225" s="239">
        <v>0</v>
      </c>
      <c r="CV225" s="239">
        <v>0</v>
      </c>
      <c r="CW225" s="239">
        <v>0</v>
      </c>
      <c r="CX225" s="239">
        <v>0</v>
      </c>
      <c r="CY225" s="239">
        <v>0</v>
      </c>
      <c r="CZ225" s="239">
        <v>0</v>
      </c>
      <c r="DA225" s="239">
        <v>0</v>
      </c>
      <c r="DB225" s="239">
        <v>0</v>
      </c>
      <c r="DC225" s="239">
        <v>0</v>
      </c>
      <c r="DD225" s="239">
        <v>0</v>
      </c>
      <c r="DE225" s="239">
        <v>0</v>
      </c>
      <c r="DF225" s="239">
        <v>0</v>
      </c>
      <c r="DG225" s="239">
        <v>0</v>
      </c>
      <c r="DH225" s="239">
        <v>0</v>
      </c>
      <c r="DI225" s="239">
        <v>0</v>
      </c>
      <c r="DJ225" s="239">
        <v>-396604</v>
      </c>
      <c r="DK225" s="239">
        <v>0</v>
      </c>
      <c r="DL225" s="239">
        <v>-396604</v>
      </c>
      <c r="DM225" s="239">
        <v>0</v>
      </c>
      <c r="DN225" s="239">
        <v>0</v>
      </c>
      <c r="DO225" s="239">
        <v>0</v>
      </c>
      <c r="DP225" s="239">
        <v>0</v>
      </c>
      <c r="DQ225" s="239">
        <v>0</v>
      </c>
      <c r="DR225" s="239">
        <v>0</v>
      </c>
      <c r="DS225" s="239">
        <v>-7069</v>
      </c>
      <c r="DT225" s="239">
        <v>0</v>
      </c>
      <c r="DU225" s="239">
        <v>-7069</v>
      </c>
      <c r="DV225" s="239">
        <v>105</v>
      </c>
      <c r="DW225" s="239">
        <v>0</v>
      </c>
      <c r="DX225" s="239">
        <v>105</v>
      </c>
      <c r="DY225" s="239">
        <v>0</v>
      </c>
      <c r="DZ225" s="239">
        <v>0</v>
      </c>
      <c r="EA225" s="239">
        <v>0</v>
      </c>
      <c r="EB225" s="239">
        <v>-1468</v>
      </c>
      <c r="EC225" s="239">
        <v>0</v>
      </c>
      <c r="ED225" s="239">
        <v>-1468</v>
      </c>
      <c r="EE225" s="239">
        <v>0</v>
      </c>
      <c r="EF225" s="239">
        <v>0</v>
      </c>
      <c r="EG225" s="239">
        <v>0</v>
      </c>
      <c r="EH225" s="239">
        <v>0</v>
      </c>
      <c r="EI225" s="239">
        <v>0</v>
      </c>
      <c r="EJ225" s="239">
        <v>0</v>
      </c>
      <c r="EK225" s="239">
        <v>-1672</v>
      </c>
      <c r="EL225" s="239">
        <v>0</v>
      </c>
      <c r="EM225" s="239">
        <v>-1672</v>
      </c>
      <c r="EN225" s="239">
        <v>0</v>
      </c>
      <c r="EO225" s="239">
        <v>0</v>
      </c>
      <c r="EP225" s="239">
        <v>0</v>
      </c>
      <c r="EQ225" s="239">
        <v>-10104</v>
      </c>
      <c r="ER225" s="239">
        <v>0</v>
      </c>
      <c r="ES225" s="239">
        <v>-10104</v>
      </c>
      <c r="ET225" s="239">
        <v>-6074</v>
      </c>
      <c r="EU225" s="239">
        <v>0</v>
      </c>
      <c r="EV225" s="239">
        <v>-6074</v>
      </c>
      <c r="EW225" s="239">
        <v>-185</v>
      </c>
      <c r="EX225" s="239">
        <v>0</v>
      </c>
      <c r="EY225" s="239">
        <v>-185</v>
      </c>
      <c r="EZ225" s="239">
        <v>-6259</v>
      </c>
      <c r="FA225" s="239">
        <v>0</v>
      </c>
      <c r="FB225" s="239">
        <v>-6259</v>
      </c>
      <c r="FC225" s="239">
        <v>51997265</v>
      </c>
      <c r="FD225" s="239">
        <v>0</v>
      </c>
      <c r="FE225" s="239">
        <v>51997265</v>
      </c>
      <c r="FF225" s="239">
        <v>36836</v>
      </c>
      <c r="FG225" s="239">
        <v>0</v>
      </c>
      <c r="FH225" s="239">
        <v>36836</v>
      </c>
      <c r="FI225" s="239">
        <v>-1764352</v>
      </c>
      <c r="FJ225" s="239">
        <v>0</v>
      </c>
      <c r="FK225" s="239">
        <v>-1764352</v>
      </c>
      <c r="FL225" s="239">
        <v>-1969795</v>
      </c>
      <c r="FM225" s="239">
        <v>0</v>
      </c>
      <c r="FN225" s="239">
        <v>-1969795</v>
      </c>
      <c r="FO225" s="239">
        <v>-396604</v>
      </c>
      <c r="FP225" s="239">
        <v>0</v>
      </c>
      <c r="FQ225" s="239">
        <v>-396604</v>
      </c>
      <c r="FR225" s="239">
        <v>-10104</v>
      </c>
      <c r="FS225" s="239">
        <v>0</v>
      </c>
      <c r="FT225" s="239">
        <v>-10104</v>
      </c>
      <c r="FU225" s="239">
        <v>-6259</v>
      </c>
      <c r="FV225" s="239">
        <v>0</v>
      </c>
      <c r="FW225" s="239">
        <v>-6259</v>
      </c>
      <c r="FX225" s="239">
        <v>-4110278</v>
      </c>
      <c r="FY225" s="239">
        <v>0</v>
      </c>
      <c r="FZ225" s="239">
        <v>-4110278</v>
      </c>
      <c r="GA225" s="239">
        <v>47886987</v>
      </c>
      <c r="GB225" s="239">
        <v>0</v>
      </c>
      <c r="GC225" s="239">
        <v>47886987</v>
      </c>
      <c r="GD225" s="214" t="s">
        <v>1190</v>
      </c>
    </row>
    <row r="226" spans="2:186" s="214" customFormat="1" x14ac:dyDescent="0.2">
      <c r="B226" s="609" t="s">
        <v>534</v>
      </c>
      <c r="C226" s="609" t="s">
        <v>533</v>
      </c>
      <c r="D226" s="239">
        <v>0</v>
      </c>
      <c r="E226" s="239">
        <v>0</v>
      </c>
      <c r="F226" s="239">
        <v>0</v>
      </c>
      <c r="G226" s="239">
        <v>-13798.69</v>
      </c>
      <c r="H226" s="239">
        <v>0</v>
      </c>
      <c r="I226" s="239">
        <v>-13798.69</v>
      </c>
      <c r="J226" s="239">
        <v>0</v>
      </c>
      <c r="K226" s="239">
        <v>0</v>
      </c>
      <c r="L226" s="239">
        <v>0</v>
      </c>
      <c r="M226" s="239">
        <v>0</v>
      </c>
      <c r="N226" s="239">
        <v>0</v>
      </c>
      <c r="O226" s="239">
        <v>0</v>
      </c>
      <c r="P226" s="239">
        <v>-13799</v>
      </c>
      <c r="Q226" s="239">
        <v>0</v>
      </c>
      <c r="R226" s="239">
        <v>-13799</v>
      </c>
      <c r="S226" s="239">
        <v>-1113531</v>
      </c>
      <c r="T226" s="239">
        <v>0</v>
      </c>
      <c r="U226" s="239">
        <v>-1113531</v>
      </c>
      <c r="V226" s="239">
        <v>0</v>
      </c>
      <c r="W226" s="239">
        <v>0</v>
      </c>
      <c r="X226" s="239">
        <v>0</v>
      </c>
      <c r="Y226" s="239">
        <v>-129391</v>
      </c>
      <c r="Z226" s="239">
        <v>0</v>
      </c>
      <c r="AA226" s="239">
        <v>-129391</v>
      </c>
      <c r="AB226" s="239">
        <v>0</v>
      </c>
      <c r="AC226" s="239">
        <v>0</v>
      </c>
      <c r="AD226" s="239">
        <v>0</v>
      </c>
      <c r="AE226" s="239">
        <v>0</v>
      </c>
      <c r="AF226" s="239">
        <v>0</v>
      </c>
      <c r="AG226" s="239">
        <v>0</v>
      </c>
      <c r="AH226" s="239">
        <v>278443</v>
      </c>
      <c r="AI226" s="239">
        <v>0</v>
      </c>
      <c r="AJ226" s="239">
        <v>278443</v>
      </c>
      <c r="AK226" s="239">
        <v>-438</v>
      </c>
      <c r="AL226" s="239">
        <v>0</v>
      </c>
      <c r="AM226" s="239">
        <v>-438</v>
      </c>
      <c r="AN226" s="239">
        <v>-1291060</v>
      </c>
      <c r="AO226" s="239">
        <v>0</v>
      </c>
      <c r="AP226" s="239">
        <v>-1291060</v>
      </c>
      <c r="AQ226" s="239">
        <v>12296</v>
      </c>
      <c r="AR226" s="239">
        <v>0</v>
      </c>
      <c r="AS226" s="239">
        <v>12296</v>
      </c>
      <c r="AT226" s="239">
        <v>-22478</v>
      </c>
      <c r="AU226" s="239">
        <v>0</v>
      </c>
      <c r="AV226" s="239">
        <v>-22478</v>
      </c>
      <c r="AW226" s="239">
        <v>0</v>
      </c>
      <c r="AX226" s="239">
        <v>0</v>
      </c>
      <c r="AY226" s="239">
        <v>0</v>
      </c>
      <c r="AZ226" s="239">
        <v>-11345</v>
      </c>
      <c r="BA226" s="239">
        <v>0</v>
      </c>
      <c r="BB226" s="239">
        <v>-11345</v>
      </c>
      <c r="BC226" s="239">
        <v>0</v>
      </c>
      <c r="BD226" s="239">
        <v>0</v>
      </c>
      <c r="BE226" s="239">
        <v>0</v>
      </c>
      <c r="BF226" s="239">
        <v>-2277504</v>
      </c>
      <c r="BG226" s="239">
        <v>0</v>
      </c>
      <c r="BH226" s="239">
        <v>-2277504</v>
      </c>
      <c r="BI226" s="239">
        <v>0</v>
      </c>
      <c r="BJ226" s="239">
        <v>0</v>
      </c>
      <c r="BK226" s="239">
        <v>0</v>
      </c>
      <c r="BL226" s="239">
        <v>0</v>
      </c>
      <c r="BM226" s="239">
        <v>0</v>
      </c>
      <c r="BN226" s="239">
        <v>0</v>
      </c>
      <c r="BO226" s="239">
        <v>-184423</v>
      </c>
      <c r="BP226" s="239">
        <v>0</v>
      </c>
      <c r="BQ226" s="239">
        <v>-184423</v>
      </c>
      <c r="BR226" s="239">
        <v>4122</v>
      </c>
      <c r="BS226" s="239">
        <v>0</v>
      </c>
      <c r="BT226" s="239">
        <v>4122</v>
      </c>
      <c r="BU226" s="239">
        <v>-180301</v>
      </c>
      <c r="BV226" s="239">
        <v>0</v>
      </c>
      <c r="BW226" s="239">
        <v>-180301</v>
      </c>
      <c r="BX226" s="239">
        <v>-41497</v>
      </c>
      <c r="BY226" s="239">
        <v>0</v>
      </c>
      <c r="BZ226" s="239">
        <v>-41497</v>
      </c>
      <c r="CA226" s="239">
        <v>-639</v>
      </c>
      <c r="CB226" s="239">
        <v>0</v>
      </c>
      <c r="CC226" s="239">
        <v>-639</v>
      </c>
      <c r="CD226" s="239">
        <v>-27210</v>
      </c>
      <c r="CE226" s="239">
        <v>0</v>
      </c>
      <c r="CF226" s="239">
        <v>-27210</v>
      </c>
      <c r="CG226" s="239">
        <v>24731</v>
      </c>
      <c r="CH226" s="239">
        <v>0</v>
      </c>
      <c r="CI226" s="239">
        <v>24731</v>
      </c>
      <c r="CJ226" s="239">
        <v>-3563</v>
      </c>
      <c r="CK226" s="239">
        <v>0</v>
      </c>
      <c r="CL226" s="239">
        <v>-3563</v>
      </c>
      <c r="CM226" s="239">
        <v>0</v>
      </c>
      <c r="CN226" s="239">
        <v>0</v>
      </c>
      <c r="CO226" s="239">
        <v>0</v>
      </c>
      <c r="CP226" s="239">
        <v>-11345</v>
      </c>
      <c r="CQ226" s="239">
        <v>0</v>
      </c>
      <c r="CR226" s="239">
        <v>-11345</v>
      </c>
      <c r="CS226" s="239">
        <v>0</v>
      </c>
      <c r="CT226" s="239">
        <v>0</v>
      </c>
      <c r="CU226" s="239">
        <v>0</v>
      </c>
      <c r="CV226" s="239">
        <v>-1573</v>
      </c>
      <c r="CW226" s="239">
        <v>0</v>
      </c>
      <c r="CX226" s="239">
        <v>-1573</v>
      </c>
      <c r="CY226" s="239">
        <v>0</v>
      </c>
      <c r="CZ226" s="239">
        <v>0</v>
      </c>
      <c r="DA226" s="239">
        <v>0</v>
      </c>
      <c r="DB226" s="239">
        <v>0</v>
      </c>
      <c r="DC226" s="239">
        <v>0</v>
      </c>
      <c r="DD226" s="239">
        <v>0</v>
      </c>
      <c r="DE226" s="239">
        <v>0</v>
      </c>
      <c r="DF226" s="239">
        <v>0</v>
      </c>
      <c r="DG226" s="239">
        <v>0</v>
      </c>
      <c r="DH226" s="239">
        <v>0</v>
      </c>
      <c r="DI226" s="239">
        <v>0</v>
      </c>
      <c r="DJ226" s="239">
        <v>-61096</v>
      </c>
      <c r="DK226" s="239">
        <v>0</v>
      </c>
      <c r="DL226" s="239">
        <v>-61096</v>
      </c>
      <c r="DM226" s="239">
        <v>-8670</v>
      </c>
      <c r="DN226" s="239">
        <v>0</v>
      </c>
      <c r="DO226" s="239">
        <v>-8670</v>
      </c>
      <c r="DP226" s="239">
        <v>0</v>
      </c>
      <c r="DQ226" s="239">
        <v>0</v>
      </c>
      <c r="DR226" s="239">
        <v>0</v>
      </c>
      <c r="DS226" s="239">
        <v>-8783</v>
      </c>
      <c r="DT226" s="239">
        <v>0</v>
      </c>
      <c r="DU226" s="239">
        <v>-8783</v>
      </c>
      <c r="DV226" s="239">
        <v>0</v>
      </c>
      <c r="DW226" s="239">
        <v>0</v>
      </c>
      <c r="DX226" s="239">
        <v>0</v>
      </c>
      <c r="DY226" s="239">
        <v>0</v>
      </c>
      <c r="DZ226" s="239">
        <v>0</v>
      </c>
      <c r="EA226" s="239">
        <v>0</v>
      </c>
      <c r="EB226" s="239">
        <v>8881</v>
      </c>
      <c r="EC226" s="239">
        <v>0</v>
      </c>
      <c r="ED226" s="239">
        <v>8881</v>
      </c>
      <c r="EE226" s="239">
        <v>0</v>
      </c>
      <c r="EF226" s="239">
        <v>0</v>
      </c>
      <c r="EG226" s="239">
        <v>0</v>
      </c>
      <c r="EH226" s="239">
        <v>0</v>
      </c>
      <c r="EI226" s="239">
        <v>0</v>
      </c>
      <c r="EJ226" s="239">
        <v>0</v>
      </c>
      <c r="EK226" s="239">
        <v>-12703</v>
      </c>
      <c r="EL226" s="239">
        <v>0</v>
      </c>
      <c r="EM226" s="239">
        <v>-12703</v>
      </c>
      <c r="EN226" s="239">
        <v>0</v>
      </c>
      <c r="EO226" s="239">
        <v>0</v>
      </c>
      <c r="EP226" s="239">
        <v>0</v>
      </c>
      <c r="EQ226" s="239">
        <v>-21275</v>
      </c>
      <c r="ER226" s="239">
        <v>0</v>
      </c>
      <c r="ES226" s="239">
        <v>-21275</v>
      </c>
      <c r="ET226" s="239">
        <v>0</v>
      </c>
      <c r="EU226" s="239">
        <v>0</v>
      </c>
      <c r="EV226" s="239">
        <v>0</v>
      </c>
      <c r="EW226" s="239">
        <v>0</v>
      </c>
      <c r="EX226" s="239">
        <v>0</v>
      </c>
      <c r="EY226" s="239">
        <v>0</v>
      </c>
      <c r="EZ226" s="239">
        <v>0</v>
      </c>
      <c r="FA226" s="239">
        <v>0</v>
      </c>
      <c r="FB226" s="239">
        <v>0</v>
      </c>
      <c r="FC226" s="239">
        <v>13296974</v>
      </c>
      <c r="FD226" s="239">
        <v>0</v>
      </c>
      <c r="FE226" s="239">
        <v>13296974</v>
      </c>
      <c r="FF226" s="239">
        <v>-13799</v>
      </c>
      <c r="FG226" s="239">
        <v>0</v>
      </c>
      <c r="FH226" s="239">
        <v>-13799</v>
      </c>
      <c r="FI226" s="239">
        <v>-2277504</v>
      </c>
      <c r="FJ226" s="239">
        <v>0</v>
      </c>
      <c r="FK226" s="239">
        <v>-2277504</v>
      </c>
      <c r="FL226" s="239">
        <v>-180301</v>
      </c>
      <c r="FM226" s="239">
        <v>0</v>
      </c>
      <c r="FN226" s="239">
        <v>-180301</v>
      </c>
      <c r="FO226" s="239">
        <v>-61096</v>
      </c>
      <c r="FP226" s="239">
        <v>0</v>
      </c>
      <c r="FQ226" s="239">
        <v>-61096</v>
      </c>
      <c r="FR226" s="239">
        <v>-21275</v>
      </c>
      <c r="FS226" s="239">
        <v>0</v>
      </c>
      <c r="FT226" s="239">
        <v>-21275</v>
      </c>
      <c r="FU226" s="239">
        <v>0</v>
      </c>
      <c r="FV226" s="239">
        <v>0</v>
      </c>
      <c r="FW226" s="239">
        <v>0</v>
      </c>
      <c r="FX226" s="239">
        <v>-2553975</v>
      </c>
      <c r="FY226" s="239">
        <v>0</v>
      </c>
      <c r="FZ226" s="239">
        <v>-2553975</v>
      </c>
      <c r="GA226" s="239">
        <v>10742999</v>
      </c>
      <c r="GB226" s="239">
        <v>0</v>
      </c>
      <c r="GC226" s="239">
        <v>10742999</v>
      </c>
      <c r="GD226" s="214" t="s">
        <v>747</v>
      </c>
    </row>
    <row r="227" spans="2:186" s="214" customFormat="1" x14ac:dyDescent="0.2">
      <c r="B227" s="609" t="s">
        <v>536</v>
      </c>
      <c r="C227" s="609" t="s">
        <v>535</v>
      </c>
      <c r="D227" s="239">
        <v>0</v>
      </c>
      <c r="E227" s="239">
        <v>0</v>
      </c>
      <c r="F227" s="239">
        <v>0</v>
      </c>
      <c r="G227" s="239">
        <v>136397</v>
      </c>
      <c r="H227" s="239">
        <v>0</v>
      </c>
      <c r="I227" s="239">
        <v>136397</v>
      </c>
      <c r="J227" s="239">
        <v>0</v>
      </c>
      <c r="K227" s="239">
        <v>0</v>
      </c>
      <c r="L227" s="239">
        <v>0</v>
      </c>
      <c r="M227" s="239">
        <v>5804</v>
      </c>
      <c r="N227" s="239">
        <v>0</v>
      </c>
      <c r="O227" s="239">
        <v>5804</v>
      </c>
      <c r="P227" s="239">
        <v>142201</v>
      </c>
      <c r="Q227" s="239">
        <v>0</v>
      </c>
      <c r="R227" s="239">
        <v>142201</v>
      </c>
      <c r="S227" s="239">
        <v>-2202682</v>
      </c>
      <c r="T227" s="239">
        <v>0</v>
      </c>
      <c r="U227" s="239">
        <v>-2202682</v>
      </c>
      <c r="V227" s="239">
        <v>-15458</v>
      </c>
      <c r="W227" s="239">
        <v>0</v>
      </c>
      <c r="X227" s="239">
        <v>-15458</v>
      </c>
      <c r="Y227" s="239">
        <v>-289299</v>
      </c>
      <c r="Z227" s="239">
        <v>0</v>
      </c>
      <c r="AA227" s="239">
        <v>-289299</v>
      </c>
      <c r="AB227" s="239">
        <v>-210533</v>
      </c>
      <c r="AC227" s="239">
        <v>0</v>
      </c>
      <c r="AD227" s="239">
        <v>-210533</v>
      </c>
      <c r="AE227" s="239">
        <v>-3765</v>
      </c>
      <c r="AF227" s="239">
        <v>0</v>
      </c>
      <c r="AG227" s="239">
        <v>-3765</v>
      </c>
      <c r="AH227" s="239">
        <v>399024</v>
      </c>
      <c r="AI227" s="239">
        <v>0</v>
      </c>
      <c r="AJ227" s="239">
        <v>399024</v>
      </c>
      <c r="AK227" s="239">
        <v>10761</v>
      </c>
      <c r="AL227" s="239">
        <v>0</v>
      </c>
      <c r="AM227" s="239">
        <v>10761</v>
      </c>
      <c r="AN227" s="239">
        <v>-898396</v>
      </c>
      <c r="AO227" s="239">
        <v>0</v>
      </c>
      <c r="AP227" s="239">
        <v>-898396</v>
      </c>
      <c r="AQ227" s="239">
        <v>-21775</v>
      </c>
      <c r="AR227" s="239">
        <v>0</v>
      </c>
      <c r="AS227" s="239">
        <v>-21775</v>
      </c>
      <c r="AT227" s="239">
        <v>-10208</v>
      </c>
      <c r="AU227" s="239">
        <v>0</v>
      </c>
      <c r="AV227" s="239">
        <v>-10208</v>
      </c>
      <c r="AW227" s="239">
        <v>1328</v>
      </c>
      <c r="AX227" s="239">
        <v>0</v>
      </c>
      <c r="AY227" s="239">
        <v>1328</v>
      </c>
      <c r="AZ227" s="239">
        <v>-44001</v>
      </c>
      <c r="BA227" s="239">
        <v>0</v>
      </c>
      <c r="BB227" s="239">
        <v>-44001</v>
      </c>
      <c r="BC227" s="239">
        <v>998</v>
      </c>
      <c r="BD227" s="239">
        <v>0</v>
      </c>
      <c r="BE227" s="239">
        <v>998</v>
      </c>
      <c r="BF227" s="239">
        <v>-3054250</v>
      </c>
      <c r="BG227" s="239">
        <v>0</v>
      </c>
      <c r="BH227" s="239">
        <v>-3054250</v>
      </c>
      <c r="BI227" s="239">
        <v>0</v>
      </c>
      <c r="BJ227" s="239">
        <v>0</v>
      </c>
      <c r="BK227" s="239">
        <v>0</v>
      </c>
      <c r="BL227" s="239">
        <v>0</v>
      </c>
      <c r="BM227" s="239">
        <v>0</v>
      </c>
      <c r="BN227" s="239">
        <v>0</v>
      </c>
      <c r="BO227" s="239">
        <v>-388374</v>
      </c>
      <c r="BP227" s="239">
        <v>0</v>
      </c>
      <c r="BQ227" s="239">
        <v>-388374</v>
      </c>
      <c r="BR227" s="239">
        <v>-16503</v>
      </c>
      <c r="BS227" s="239">
        <v>0</v>
      </c>
      <c r="BT227" s="239">
        <v>-16503</v>
      </c>
      <c r="BU227" s="239">
        <v>-404877</v>
      </c>
      <c r="BV227" s="239">
        <v>0</v>
      </c>
      <c r="BW227" s="239">
        <v>-404877</v>
      </c>
      <c r="BX227" s="239">
        <v>-78122</v>
      </c>
      <c r="BY227" s="239">
        <v>0</v>
      </c>
      <c r="BZ227" s="239">
        <v>-78122</v>
      </c>
      <c r="CA227" s="239">
        <v>-5572</v>
      </c>
      <c r="CB227" s="239">
        <v>0</v>
      </c>
      <c r="CC227" s="239">
        <v>-5572</v>
      </c>
      <c r="CD227" s="239">
        <v>-66313</v>
      </c>
      <c r="CE227" s="239">
        <v>0</v>
      </c>
      <c r="CF227" s="239">
        <v>-66313</v>
      </c>
      <c r="CG227" s="239">
        <v>3979</v>
      </c>
      <c r="CH227" s="239">
        <v>0</v>
      </c>
      <c r="CI227" s="239">
        <v>3979</v>
      </c>
      <c r="CJ227" s="239">
        <v>-2552</v>
      </c>
      <c r="CK227" s="239">
        <v>0</v>
      </c>
      <c r="CL227" s="239">
        <v>-2552</v>
      </c>
      <c r="CM227" s="239">
        <v>0</v>
      </c>
      <c r="CN227" s="239">
        <v>0</v>
      </c>
      <c r="CO227" s="239">
        <v>0</v>
      </c>
      <c r="CP227" s="239">
        <v>-5769</v>
      </c>
      <c r="CQ227" s="239">
        <v>0</v>
      </c>
      <c r="CR227" s="239">
        <v>-5769</v>
      </c>
      <c r="CS227" s="239">
        <v>0</v>
      </c>
      <c r="CT227" s="239">
        <v>0</v>
      </c>
      <c r="CU227" s="239">
        <v>0</v>
      </c>
      <c r="CV227" s="239">
        <v>-1480</v>
      </c>
      <c r="CW227" s="239">
        <v>0</v>
      </c>
      <c r="CX227" s="239">
        <v>-1480</v>
      </c>
      <c r="CY227" s="239">
        <v>0</v>
      </c>
      <c r="CZ227" s="239">
        <v>0</v>
      </c>
      <c r="DA227" s="239">
        <v>0</v>
      </c>
      <c r="DB227" s="239">
        <v>0</v>
      </c>
      <c r="DC227" s="239">
        <v>0</v>
      </c>
      <c r="DD227" s="239">
        <v>0</v>
      </c>
      <c r="DE227" s="239">
        <v>0</v>
      </c>
      <c r="DF227" s="239">
        <v>0</v>
      </c>
      <c r="DG227" s="239">
        <v>0</v>
      </c>
      <c r="DH227" s="239">
        <v>0</v>
      </c>
      <c r="DI227" s="239">
        <v>0</v>
      </c>
      <c r="DJ227" s="239">
        <v>-155829</v>
      </c>
      <c r="DK227" s="239">
        <v>0</v>
      </c>
      <c r="DL227" s="239">
        <v>-155829</v>
      </c>
      <c r="DM227" s="239">
        <v>0</v>
      </c>
      <c r="DN227" s="239">
        <v>0</v>
      </c>
      <c r="DO227" s="239">
        <v>0</v>
      </c>
      <c r="DP227" s="239">
        <v>0</v>
      </c>
      <c r="DQ227" s="239">
        <v>0</v>
      </c>
      <c r="DR227" s="239">
        <v>0</v>
      </c>
      <c r="DS227" s="239">
        <v>-18444</v>
      </c>
      <c r="DT227" s="239">
        <v>0</v>
      </c>
      <c r="DU227" s="239">
        <v>-18444</v>
      </c>
      <c r="DV227" s="239">
        <v>1181</v>
      </c>
      <c r="DW227" s="239">
        <v>0</v>
      </c>
      <c r="DX227" s="239">
        <v>1181</v>
      </c>
      <c r="DY227" s="239">
        <v>0</v>
      </c>
      <c r="DZ227" s="239">
        <v>0</v>
      </c>
      <c r="EA227" s="239">
        <v>0</v>
      </c>
      <c r="EB227" s="239">
        <v>-26517</v>
      </c>
      <c r="EC227" s="239">
        <v>0</v>
      </c>
      <c r="ED227" s="239">
        <v>-26517</v>
      </c>
      <c r="EE227" s="239">
        <v>0</v>
      </c>
      <c r="EF227" s="239">
        <v>0</v>
      </c>
      <c r="EG227" s="239">
        <v>0</v>
      </c>
      <c r="EH227" s="239">
        <v>0</v>
      </c>
      <c r="EI227" s="239">
        <v>0</v>
      </c>
      <c r="EJ227" s="239">
        <v>0</v>
      </c>
      <c r="EK227" s="239">
        <v>0</v>
      </c>
      <c r="EL227" s="239">
        <v>0</v>
      </c>
      <c r="EM227" s="239">
        <v>0</v>
      </c>
      <c r="EN227" s="239">
        <v>0</v>
      </c>
      <c r="EO227" s="239">
        <v>0</v>
      </c>
      <c r="EP227" s="239">
        <v>0</v>
      </c>
      <c r="EQ227" s="239">
        <v>-43780</v>
      </c>
      <c r="ER227" s="239">
        <v>0</v>
      </c>
      <c r="ES227" s="239">
        <v>-43780</v>
      </c>
      <c r="ET227" s="239">
        <v>0</v>
      </c>
      <c r="EU227" s="239">
        <v>0</v>
      </c>
      <c r="EV227" s="239">
        <v>0</v>
      </c>
      <c r="EW227" s="239">
        <v>0</v>
      </c>
      <c r="EX227" s="239">
        <v>0</v>
      </c>
      <c r="EY227" s="239">
        <v>0</v>
      </c>
      <c r="EZ227" s="239">
        <v>0</v>
      </c>
      <c r="FA227" s="239">
        <v>0</v>
      </c>
      <c r="FB227" s="239">
        <v>0</v>
      </c>
      <c r="FC227" s="239">
        <v>20389184</v>
      </c>
      <c r="FD227" s="239">
        <v>0</v>
      </c>
      <c r="FE227" s="239">
        <v>20389184</v>
      </c>
      <c r="FF227" s="239">
        <v>142201</v>
      </c>
      <c r="FG227" s="239">
        <v>0</v>
      </c>
      <c r="FH227" s="239">
        <v>142201</v>
      </c>
      <c r="FI227" s="239">
        <v>-3054250</v>
      </c>
      <c r="FJ227" s="239">
        <v>0</v>
      </c>
      <c r="FK227" s="239">
        <v>-3054250</v>
      </c>
      <c r="FL227" s="239">
        <v>-404877</v>
      </c>
      <c r="FM227" s="239">
        <v>0</v>
      </c>
      <c r="FN227" s="239">
        <v>-404877</v>
      </c>
      <c r="FO227" s="239">
        <v>-155829</v>
      </c>
      <c r="FP227" s="239">
        <v>0</v>
      </c>
      <c r="FQ227" s="239">
        <v>-155829</v>
      </c>
      <c r="FR227" s="239">
        <v>-43780</v>
      </c>
      <c r="FS227" s="239">
        <v>0</v>
      </c>
      <c r="FT227" s="239">
        <v>-43780</v>
      </c>
      <c r="FU227" s="239">
        <v>0</v>
      </c>
      <c r="FV227" s="239">
        <v>0</v>
      </c>
      <c r="FW227" s="239">
        <v>0</v>
      </c>
      <c r="FX227" s="239">
        <v>-3516535</v>
      </c>
      <c r="FY227" s="239">
        <v>0</v>
      </c>
      <c r="FZ227" s="239">
        <v>-3516535</v>
      </c>
      <c r="GA227" s="239">
        <v>16872649</v>
      </c>
      <c r="GB227" s="239">
        <v>0</v>
      </c>
      <c r="GC227" s="239">
        <v>16872649</v>
      </c>
      <c r="GD227" s="214" t="s">
        <v>1190</v>
      </c>
    </row>
    <row r="228" spans="2:186" s="214" customFormat="1" x14ac:dyDescent="0.2">
      <c r="B228" s="609" t="s">
        <v>538</v>
      </c>
      <c r="C228" s="609" t="s">
        <v>537</v>
      </c>
      <c r="D228" s="239">
        <v>0</v>
      </c>
      <c r="E228" s="239">
        <v>0</v>
      </c>
      <c r="F228" s="239">
        <v>0</v>
      </c>
      <c r="G228" s="239">
        <v>258977</v>
      </c>
      <c r="H228" s="239">
        <v>0</v>
      </c>
      <c r="I228" s="239">
        <v>258977</v>
      </c>
      <c r="J228" s="239">
        <v>0</v>
      </c>
      <c r="K228" s="239">
        <v>0</v>
      </c>
      <c r="L228" s="239">
        <v>0</v>
      </c>
      <c r="M228" s="239">
        <v>290116</v>
      </c>
      <c r="N228" s="239">
        <v>0</v>
      </c>
      <c r="O228" s="239">
        <v>290116</v>
      </c>
      <c r="P228" s="239">
        <v>549093</v>
      </c>
      <c r="Q228" s="239">
        <v>0</v>
      </c>
      <c r="R228" s="239">
        <v>549093</v>
      </c>
      <c r="S228" s="239">
        <v>-4963557</v>
      </c>
      <c r="T228" s="239">
        <v>0</v>
      </c>
      <c r="U228" s="239">
        <v>-4963557</v>
      </c>
      <c r="V228" s="239">
        <v>-7558</v>
      </c>
      <c r="W228" s="239">
        <v>0</v>
      </c>
      <c r="X228" s="239">
        <v>-7558</v>
      </c>
      <c r="Y228" s="239">
        <v>-500381</v>
      </c>
      <c r="Z228" s="239">
        <v>0</v>
      </c>
      <c r="AA228" s="239">
        <v>-500381</v>
      </c>
      <c r="AB228" s="239">
        <v>-418918</v>
      </c>
      <c r="AC228" s="239">
        <v>0</v>
      </c>
      <c r="AD228" s="239">
        <v>-418918</v>
      </c>
      <c r="AE228" s="239">
        <v>-3480</v>
      </c>
      <c r="AF228" s="239">
        <v>0</v>
      </c>
      <c r="AG228" s="239">
        <v>-3480</v>
      </c>
      <c r="AH228" s="239">
        <v>2786308</v>
      </c>
      <c r="AI228" s="239">
        <v>0</v>
      </c>
      <c r="AJ228" s="239">
        <v>2786308</v>
      </c>
      <c r="AK228" s="239">
        <v>23043</v>
      </c>
      <c r="AL228" s="239">
        <v>0</v>
      </c>
      <c r="AM228" s="239">
        <v>23043</v>
      </c>
      <c r="AN228" s="239">
        <v>-6899939</v>
      </c>
      <c r="AO228" s="239">
        <v>0</v>
      </c>
      <c r="AP228" s="239">
        <v>-6899939</v>
      </c>
      <c r="AQ228" s="239">
        <v>-359770</v>
      </c>
      <c r="AR228" s="239">
        <v>0</v>
      </c>
      <c r="AS228" s="239">
        <v>-359770</v>
      </c>
      <c r="AT228" s="239">
        <v>-121545</v>
      </c>
      <c r="AU228" s="239">
        <v>0</v>
      </c>
      <c r="AV228" s="239">
        <v>-121545</v>
      </c>
      <c r="AW228" s="239">
        <v>0</v>
      </c>
      <c r="AX228" s="239">
        <v>0</v>
      </c>
      <c r="AY228" s="239">
        <v>0</v>
      </c>
      <c r="AZ228" s="239">
        <v>0</v>
      </c>
      <c r="BA228" s="239">
        <v>0</v>
      </c>
      <c r="BB228" s="239">
        <v>0</v>
      </c>
      <c r="BC228" s="239">
        <v>0</v>
      </c>
      <c r="BD228" s="239">
        <v>0</v>
      </c>
      <c r="BE228" s="239">
        <v>0</v>
      </c>
      <c r="BF228" s="239">
        <v>-10035841</v>
      </c>
      <c r="BG228" s="239">
        <v>0</v>
      </c>
      <c r="BH228" s="239">
        <v>-10035841</v>
      </c>
      <c r="BI228" s="239">
        <v>-80864</v>
      </c>
      <c r="BJ228" s="239">
        <v>0</v>
      </c>
      <c r="BK228" s="239">
        <v>-80864</v>
      </c>
      <c r="BL228" s="239">
        <v>0</v>
      </c>
      <c r="BM228" s="239">
        <v>0</v>
      </c>
      <c r="BN228" s="239">
        <v>0</v>
      </c>
      <c r="BO228" s="239">
        <v>-6378126</v>
      </c>
      <c r="BP228" s="239">
        <v>0</v>
      </c>
      <c r="BQ228" s="239">
        <v>-6378126</v>
      </c>
      <c r="BR228" s="239">
        <v>-1281599</v>
      </c>
      <c r="BS228" s="239">
        <v>0</v>
      </c>
      <c r="BT228" s="239">
        <v>-1281599</v>
      </c>
      <c r="BU228" s="239">
        <v>-7740589</v>
      </c>
      <c r="BV228" s="239">
        <v>0</v>
      </c>
      <c r="BW228" s="239">
        <v>-7740589</v>
      </c>
      <c r="BX228" s="239">
        <v>-209405</v>
      </c>
      <c r="BY228" s="239">
        <v>0</v>
      </c>
      <c r="BZ228" s="239">
        <v>-209405</v>
      </c>
      <c r="CA228" s="239">
        <v>-237948</v>
      </c>
      <c r="CB228" s="239">
        <v>0</v>
      </c>
      <c r="CC228" s="239">
        <v>-237948</v>
      </c>
      <c r="CD228" s="239">
        <v>-93070</v>
      </c>
      <c r="CE228" s="239">
        <v>0</v>
      </c>
      <c r="CF228" s="239">
        <v>-93070</v>
      </c>
      <c r="CG228" s="239">
        <v>-3127</v>
      </c>
      <c r="CH228" s="239">
        <v>0</v>
      </c>
      <c r="CI228" s="239">
        <v>-3127</v>
      </c>
      <c r="CJ228" s="239">
        <v>-732</v>
      </c>
      <c r="CK228" s="239">
        <v>0</v>
      </c>
      <c r="CL228" s="239">
        <v>-732</v>
      </c>
      <c r="CM228" s="239">
        <v>0</v>
      </c>
      <c r="CN228" s="239">
        <v>0</v>
      </c>
      <c r="CO228" s="239">
        <v>0</v>
      </c>
      <c r="CP228" s="239">
        <v>0</v>
      </c>
      <c r="CQ228" s="239">
        <v>0</v>
      </c>
      <c r="CR228" s="239">
        <v>0</v>
      </c>
      <c r="CS228" s="239">
        <v>0</v>
      </c>
      <c r="CT228" s="239">
        <v>0</v>
      </c>
      <c r="CU228" s="239">
        <v>0</v>
      </c>
      <c r="CV228" s="239">
        <v>0</v>
      </c>
      <c r="CW228" s="239">
        <v>0</v>
      </c>
      <c r="CX228" s="239">
        <v>0</v>
      </c>
      <c r="CY228" s="239">
        <v>0</v>
      </c>
      <c r="CZ228" s="239">
        <v>0</v>
      </c>
      <c r="DA228" s="239">
        <v>0</v>
      </c>
      <c r="DB228" s="239">
        <v>0</v>
      </c>
      <c r="DC228" s="239">
        <v>0</v>
      </c>
      <c r="DD228" s="239">
        <v>0</v>
      </c>
      <c r="DE228" s="239">
        <v>0</v>
      </c>
      <c r="DF228" s="239">
        <v>0</v>
      </c>
      <c r="DG228" s="239">
        <v>0</v>
      </c>
      <c r="DH228" s="239">
        <v>0</v>
      </c>
      <c r="DI228" s="239">
        <v>0</v>
      </c>
      <c r="DJ228" s="239">
        <v>-544282</v>
      </c>
      <c r="DK228" s="239">
        <v>0</v>
      </c>
      <c r="DL228" s="239">
        <v>-544282</v>
      </c>
      <c r="DM228" s="239">
        <v>-55613</v>
      </c>
      <c r="DN228" s="239">
        <v>0</v>
      </c>
      <c r="DO228" s="239">
        <v>-55613</v>
      </c>
      <c r="DP228" s="239">
        <v>-47477</v>
      </c>
      <c r="DQ228" s="239">
        <v>0</v>
      </c>
      <c r="DR228" s="239">
        <v>-47477</v>
      </c>
      <c r="DS228" s="239">
        <v>-339</v>
      </c>
      <c r="DT228" s="239">
        <v>0</v>
      </c>
      <c r="DU228" s="239">
        <v>-339</v>
      </c>
      <c r="DV228" s="239">
        <v>735</v>
      </c>
      <c r="DW228" s="239">
        <v>0</v>
      </c>
      <c r="DX228" s="239">
        <v>735</v>
      </c>
      <c r="DY228" s="239">
        <v>0</v>
      </c>
      <c r="DZ228" s="239">
        <v>0</v>
      </c>
      <c r="EA228" s="239">
        <v>0</v>
      </c>
      <c r="EB228" s="239">
        <v>-36202</v>
      </c>
      <c r="EC228" s="239">
        <v>0</v>
      </c>
      <c r="ED228" s="239">
        <v>-36202</v>
      </c>
      <c r="EE228" s="239">
        <v>-511</v>
      </c>
      <c r="EF228" s="239">
        <v>0</v>
      </c>
      <c r="EG228" s="239">
        <v>-511</v>
      </c>
      <c r="EH228" s="239">
        <v>-123463</v>
      </c>
      <c r="EI228" s="239">
        <v>0</v>
      </c>
      <c r="EJ228" s="239">
        <v>-123463</v>
      </c>
      <c r="EK228" s="239">
        <v>-9380</v>
      </c>
      <c r="EL228" s="239">
        <v>0</v>
      </c>
      <c r="EM228" s="239">
        <v>-9380</v>
      </c>
      <c r="EN228" s="239">
        <v>395</v>
      </c>
      <c r="EO228" s="239">
        <v>0</v>
      </c>
      <c r="EP228" s="239">
        <v>395</v>
      </c>
      <c r="EQ228" s="239">
        <v>-271855</v>
      </c>
      <c r="ER228" s="239">
        <v>0</v>
      </c>
      <c r="ES228" s="239">
        <v>-271855</v>
      </c>
      <c r="ET228" s="239">
        <v>-7145</v>
      </c>
      <c r="EU228" s="239">
        <v>0</v>
      </c>
      <c r="EV228" s="239">
        <v>-7145</v>
      </c>
      <c r="EW228" s="239">
        <v>-5586</v>
      </c>
      <c r="EX228" s="239">
        <v>0</v>
      </c>
      <c r="EY228" s="239">
        <v>-5586</v>
      </c>
      <c r="EZ228" s="239">
        <v>-12731</v>
      </c>
      <c r="FA228" s="239">
        <v>0</v>
      </c>
      <c r="FB228" s="239">
        <v>-12731</v>
      </c>
      <c r="FC228" s="239">
        <v>115976277</v>
      </c>
      <c r="FD228" s="239">
        <v>0</v>
      </c>
      <c r="FE228" s="239">
        <v>115976277</v>
      </c>
      <c r="FF228" s="239">
        <v>549093</v>
      </c>
      <c r="FG228" s="239">
        <v>0</v>
      </c>
      <c r="FH228" s="239">
        <v>549093</v>
      </c>
      <c r="FI228" s="239">
        <v>-10035841</v>
      </c>
      <c r="FJ228" s="239">
        <v>0</v>
      </c>
      <c r="FK228" s="239">
        <v>-10035841</v>
      </c>
      <c r="FL228" s="239">
        <v>-7740589</v>
      </c>
      <c r="FM228" s="239">
        <v>0</v>
      </c>
      <c r="FN228" s="239">
        <v>-7740589</v>
      </c>
      <c r="FO228" s="239">
        <v>-544282</v>
      </c>
      <c r="FP228" s="239">
        <v>0</v>
      </c>
      <c r="FQ228" s="239">
        <v>-544282</v>
      </c>
      <c r="FR228" s="239">
        <v>-271855</v>
      </c>
      <c r="FS228" s="239">
        <v>0</v>
      </c>
      <c r="FT228" s="239">
        <v>-271855</v>
      </c>
      <c r="FU228" s="239">
        <v>-12731</v>
      </c>
      <c r="FV228" s="239">
        <v>0</v>
      </c>
      <c r="FW228" s="239">
        <v>-12731</v>
      </c>
      <c r="FX228" s="239">
        <v>-18056205</v>
      </c>
      <c r="FY228" s="239">
        <v>0</v>
      </c>
      <c r="FZ228" s="239">
        <v>-18056205</v>
      </c>
      <c r="GA228" s="239">
        <v>97920072</v>
      </c>
      <c r="GB228" s="239">
        <v>0</v>
      </c>
      <c r="GC228" s="239">
        <v>97920072</v>
      </c>
      <c r="GD228" s="214" t="s">
        <v>1192</v>
      </c>
    </row>
    <row r="229" spans="2:186" s="214" customFormat="1" x14ac:dyDescent="0.2">
      <c r="B229" s="609" t="s">
        <v>540</v>
      </c>
      <c r="C229" s="609" t="s">
        <v>539</v>
      </c>
      <c r="D229" s="239">
        <v>0</v>
      </c>
      <c r="E229" s="239">
        <v>0</v>
      </c>
      <c r="F229" s="239">
        <v>0</v>
      </c>
      <c r="G229" s="239">
        <v>100535</v>
      </c>
      <c r="H229" s="239">
        <v>0</v>
      </c>
      <c r="I229" s="239">
        <v>100535</v>
      </c>
      <c r="J229" s="239">
        <v>0</v>
      </c>
      <c r="K229" s="239">
        <v>0</v>
      </c>
      <c r="L229" s="239">
        <v>0</v>
      </c>
      <c r="M229" s="239">
        <v>243446</v>
      </c>
      <c r="N229" s="239">
        <v>0</v>
      </c>
      <c r="O229" s="239">
        <v>243446</v>
      </c>
      <c r="P229" s="239">
        <v>343981</v>
      </c>
      <c r="Q229" s="239">
        <v>0</v>
      </c>
      <c r="R229" s="239">
        <v>343981</v>
      </c>
      <c r="S229" s="239">
        <v>-8477470</v>
      </c>
      <c r="T229" s="239">
        <v>0</v>
      </c>
      <c r="U229" s="239">
        <v>-8477470</v>
      </c>
      <c r="V229" s="239">
        <v>-22920</v>
      </c>
      <c r="W229" s="239">
        <v>0</v>
      </c>
      <c r="X229" s="239">
        <v>-22920</v>
      </c>
      <c r="Y229" s="239">
        <v>-404795</v>
      </c>
      <c r="Z229" s="239">
        <v>0</v>
      </c>
      <c r="AA229" s="239">
        <v>-404795</v>
      </c>
      <c r="AB229" s="239">
        <v>-260609</v>
      </c>
      <c r="AC229" s="239">
        <v>0</v>
      </c>
      <c r="AD229" s="239">
        <v>-260609</v>
      </c>
      <c r="AE229" s="239">
        <v>-3922</v>
      </c>
      <c r="AF229" s="239">
        <v>0</v>
      </c>
      <c r="AG229" s="239">
        <v>-3922</v>
      </c>
      <c r="AH229" s="239">
        <v>2783078</v>
      </c>
      <c r="AI229" s="239">
        <v>0</v>
      </c>
      <c r="AJ229" s="239">
        <v>2783078</v>
      </c>
      <c r="AK229" s="239">
        <v>31703</v>
      </c>
      <c r="AL229" s="239">
        <v>0</v>
      </c>
      <c r="AM229" s="239">
        <v>31703</v>
      </c>
      <c r="AN229" s="239">
        <v>-5962327</v>
      </c>
      <c r="AO229" s="239">
        <v>0</v>
      </c>
      <c r="AP229" s="239">
        <v>-5962327</v>
      </c>
      <c r="AQ229" s="239">
        <v>-134514</v>
      </c>
      <c r="AR229" s="239">
        <v>0</v>
      </c>
      <c r="AS229" s="239">
        <v>-134514</v>
      </c>
      <c r="AT229" s="239">
        <v>-75091</v>
      </c>
      <c r="AU229" s="239">
        <v>0</v>
      </c>
      <c r="AV229" s="239">
        <v>-75091</v>
      </c>
      <c r="AW229" s="239">
        <v>0</v>
      </c>
      <c r="AX229" s="239">
        <v>0</v>
      </c>
      <c r="AY229" s="239">
        <v>0</v>
      </c>
      <c r="AZ229" s="239">
        <v>0</v>
      </c>
      <c r="BA229" s="239">
        <v>0</v>
      </c>
      <c r="BB229" s="239">
        <v>0</v>
      </c>
      <c r="BC229" s="239">
        <v>0</v>
      </c>
      <c r="BD229" s="239">
        <v>0</v>
      </c>
      <c r="BE229" s="239">
        <v>0</v>
      </c>
      <c r="BF229" s="239">
        <v>-12239416</v>
      </c>
      <c r="BG229" s="239">
        <v>0</v>
      </c>
      <c r="BH229" s="239">
        <v>-12239416</v>
      </c>
      <c r="BI229" s="239">
        <v>-268500</v>
      </c>
      <c r="BJ229" s="239">
        <v>0</v>
      </c>
      <c r="BK229" s="239">
        <v>-268500</v>
      </c>
      <c r="BL229" s="239">
        <v>9568</v>
      </c>
      <c r="BM229" s="239">
        <v>0</v>
      </c>
      <c r="BN229" s="239">
        <v>9568</v>
      </c>
      <c r="BO229" s="239">
        <v>-4082636</v>
      </c>
      <c r="BP229" s="239">
        <v>0</v>
      </c>
      <c r="BQ229" s="239">
        <v>-4082636</v>
      </c>
      <c r="BR229" s="239">
        <v>-123957</v>
      </c>
      <c r="BS229" s="239">
        <v>0</v>
      </c>
      <c r="BT229" s="239">
        <v>-123957</v>
      </c>
      <c r="BU229" s="239">
        <v>-4465525</v>
      </c>
      <c r="BV229" s="239">
        <v>0</v>
      </c>
      <c r="BW229" s="239">
        <v>-4465525</v>
      </c>
      <c r="BX229" s="239">
        <v>-503426</v>
      </c>
      <c r="BY229" s="239">
        <v>0</v>
      </c>
      <c r="BZ229" s="239">
        <v>-503426</v>
      </c>
      <c r="CA229" s="239">
        <v>-6070</v>
      </c>
      <c r="CB229" s="239">
        <v>0</v>
      </c>
      <c r="CC229" s="239">
        <v>-6070</v>
      </c>
      <c r="CD229" s="239">
        <v>-383219</v>
      </c>
      <c r="CE229" s="239">
        <v>0</v>
      </c>
      <c r="CF229" s="239">
        <v>-383219</v>
      </c>
      <c r="CG229" s="239">
        <v>-23784</v>
      </c>
      <c r="CH229" s="239">
        <v>0</v>
      </c>
      <c r="CI229" s="239">
        <v>-23784</v>
      </c>
      <c r="CJ229" s="239">
        <v>-3704</v>
      </c>
      <c r="CK229" s="239">
        <v>0</v>
      </c>
      <c r="CL229" s="239">
        <v>-3704</v>
      </c>
      <c r="CM229" s="239">
        <v>0</v>
      </c>
      <c r="CN229" s="239">
        <v>0</v>
      </c>
      <c r="CO229" s="239">
        <v>0</v>
      </c>
      <c r="CP229" s="239">
        <v>0</v>
      </c>
      <c r="CQ229" s="239">
        <v>0</v>
      </c>
      <c r="CR229" s="239">
        <v>0</v>
      </c>
      <c r="CS229" s="239">
        <v>0</v>
      </c>
      <c r="CT229" s="239">
        <v>0</v>
      </c>
      <c r="CU229" s="239">
        <v>0</v>
      </c>
      <c r="CV229" s="239">
        <v>0</v>
      </c>
      <c r="CW229" s="239">
        <v>0</v>
      </c>
      <c r="CX229" s="239">
        <v>0</v>
      </c>
      <c r="CY229" s="239">
        <v>0</v>
      </c>
      <c r="CZ229" s="239">
        <v>0</v>
      </c>
      <c r="DA229" s="239">
        <v>0</v>
      </c>
      <c r="DB229" s="239">
        <v>0</v>
      </c>
      <c r="DC229" s="239">
        <v>0</v>
      </c>
      <c r="DD229" s="239">
        <v>0</v>
      </c>
      <c r="DE229" s="239">
        <v>0</v>
      </c>
      <c r="DF229" s="239">
        <v>0</v>
      </c>
      <c r="DG229" s="239">
        <v>0</v>
      </c>
      <c r="DH229" s="239">
        <v>0</v>
      </c>
      <c r="DI229" s="239">
        <v>0</v>
      </c>
      <c r="DJ229" s="239">
        <v>-920203</v>
      </c>
      <c r="DK229" s="239">
        <v>0</v>
      </c>
      <c r="DL229" s="239">
        <v>-920203</v>
      </c>
      <c r="DM229" s="239">
        <v>0</v>
      </c>
      <c r="DN229" s="239">
        <v>0</v>
      </c>
      <c r="DO229" s="239">
        <v>0</v>
      </c>
      <c r="DP229" s="239">
        <v>0</v>
      </c>
      <c r="DQ229" s="239">
        <v>0</v>
      </c>
      <c r="DR229" s="239">
        <v>0</v>
      </c>
      <c r="DS229" s="239">
        <v>-38562</v>
      </c>
      <c r="DT229" s="239">
        <v>0</v>
      </c>
      <c r="DU229" s="239">
        <v>-38562</v>
      </c>
      <c r="DV229" s="239">
        <v>35837</v>
      </c>
      <c r="DW229" s="239">
        <v>0</v>
      </c>
      <c r="DX229" s="239">
        <v>35837</v>
      </c>
      <c r="DY229" s="239">
        <v>0</v>
      </c>
      <c r="DZ229" s="239">
        <v>0</v>
      </c>
      <c r="EA229" s="239">
        <v>0</v>
      </c>
      <c r="EB229" s="239">
        <v>17546</v>
      </c>
      <c r="EC229" s="239">
        <v>0</v>
      </c>
      <c r="ED229" s="239">
        <v>17546</v>
      </c>
      <c r="EE229" s="239">
        <v>0</v>
      </c>
      <c r="EF229" s="239">
        <v>0</v>
      </c>
      <c r="EG229" s="239">
        <v>0</v>
      </c>
      <c r="EH229" s="239">
        <v>0</v>
      </c>
      <c r="EI229" s="239">
        <v>0</v>
      </c>
      <c r="EJ229" s="239">
        <v>0</v>
      </c>
      <c r="EK229" s="239">
        <v>-4364</v>
      </c>
      <c r="EL229" s="239">
        <v>0</v>
      </c>
      <c r="EM229" s="239">
        <v>-4364</v>
      </c>
      <c r="EN229" s="239">
        <v>-224</v>
      </c>
      <c r="EO229" s="239">
        <v>0</v>
      </c>
      <c r="EP229" s="239">
        <v>-224</v>
      </c>
      <c r="EQ229" s="239">
        <v>10233</v>
      </c>
      <c r="ER229" s="239">
        <v>0</v>
      </c>
      <c r="ES229" s="239">
        <v>10233</v>
      </c>
      <c r="ET229" s="239">
        <v>-101776</v>
      </c>
      <c r="EU229" s="239">
        <v>0</v>
      </c>
      <c r="EV229" s="239">
        <v>-101776</v>
      </c>
      <c r="EW229" s="239">
        <v>1087</v>
      </c>
      <c r="EX229" s="239">
        <v>0</v>
      </c>
      <c r="EY229" s="239">
        <v>1087</v>
      </c>
      <c r="EZ229" s="239">
        <v>-100689</v>
      </c>
      <c r="FA229" s="239">
        <v>0</v>
      </c>
      <c r="FB229" s="239">
        <v>-100689</v>
      </c>
      <c r="FC229" s="239">
        <v>121713091</v>
      </c>
      <c r="FD229" s="239">
        <v>0</v>
      </c>
      <c r="FE229" s="239">
        <v>121713091</v>
      </c>
      <c r="FF229" s="239">
        <v>343981</v>
      </c>
      <c r="FG229" s="239">
        <v>0</v>
      </c>
      <c r="FH229" s="239">
        <v>343981</v>
      </c>
      <c r="FI229" s="239">
        <v>-12239416</v>
      </c>
      <c r="FJ229" s="239">
        <v>0</v>
      </c>
      <c r="FK229" s="239">
        <v>-12239416</v>
      </c>
      <c r="FL229" s="239">
        <v>-4465525</v>
      </c>
      <c r="FM229" s="239">
        <v>0</v>
      </c>
      <c r="FN229" s="239">
        <v>-4465525</v>
      </c>
      <c r="FO229" s="239">
        <v>-920203</v>
      </c>
      <c r="FP229" s="239">
        <v>0</v>
      </c>
      <c r="FQ229" s="239">
        <v>-920203</v>
      </c>
      <c r="FR229" s="239">
        <v>10233</v>
      </c>
      <c r="FS229" s="239">
        <v>0</v>
      </c>
      <c r="FT229" s="239">
        <v>10233</v>
      </c>
      <c r="FU229" s="239">
        <v>-100689</v>
      </c>
      <c r="FV229" s="239">
        <v>0</v>
      </c>
      <c r="FW229" s="239">
        <v>-100689</v>
      </c>
      <c r="FX229" s="239">
        <v>-17371619</v>
      </c>
      <c r="FY229" s="239">
        <v>0</v>
      </c>
      <c r="FZ229" s="239">
        <v>-17371619</v>
      </c>
      <c r="GA229" s="239">
        <v>104341472</v>
      </c>
      <c r="GB229" s="239">
        <v>0</v>
      </c>
      <c r="GC229" s="239">
        <v>104341472</v>
      </c>
      <c r="GD229" s="214" t="s">
        <v>1192</v>
      </c>
    </row>
    <row r="230" spans="2:186" s="214" customFormat="1" x14ac:dyDescent="0.2">
      <c r="B230" s="609" t="s">
        <v>542</v>
      </c>
      <c r="C230" s="609" t="s">
        <v>541</v>
      </c>
      <c r="D230" s="239">
        <v>0</v>
      </c>
      <c r="E230" s="239">
        <v>0</v>
      </c>
      <c r="F230" s="239">
        <v>0</v>
      </c>
      <c r="G230" s="239">
        <v>122707</v>
      </c>
      <c r="H230" s="239">
        <v>0</v>
      </c>
      <c r="I230" s="239">
        <v>122707</v>
      </c>
      <c r="J230" s="239">
        <v>0</v>
      </c>
      <c r="K230" s="239">
        <v>0</v>
      </c>
      <c r="L230" s="239">
        <v>0</v>
      </c>
      <c r="M230" s="239">
        <v>13308</v>
      </c>
      <c r="N230" s="239">
        <v>0</v>
      </c>
      <c r="O230" s="239">
        <v>13308</v>
      </c>
      <c r="P230" s="239">
        <v>136015</v>
      </c>
      <c r="Q230" s="239">
        <v>0</v>
      </c>
      <c r="R230" s="239">
        <v>136015</v>
      </c>
      <c r="S230" s="239">
        <v>-5609077</v>
      </c>
      <c r="T230" s="239">
        <v>0</v>
      </c>
      <c r="U230" s="239">
        <v>-5609077</v>
      </c>
      <c r="V230" s="239">
        <v>-14956</v>
      </c>
      <c r="W230" s="239">
        <v>0</v>
      </c>
      <c r="X230" s="239">
        <v>-14956</v>
      </c>
      <c r="Y230" s="239">
        <v>-201668</v>
      </c>
      <c r="Z230" s="239">
        <v>0</v>
      </c>
      <c r="AA230" s="239">
        <v>-201668</v>
      </c>
      <c r="AB230" s="239">
        <v>-145614</v>
      </c>
      <c r="AC230" s="239">
        <v>0</v>
      </c>
      <c r="AD230" s="239">
        <v>-145614</v>
      </c>
      <c r="AE230" s="239">
        <v>-3024</v>
      </c>
      <c r="AF230" s="239">
        <v>0</v>
      </c>
      <c r="AG230" s="239">
        <v>-3024</v>
      </c>
      <c r="AH230" s="239">
        <v>843340</v>
      </c>
      <c r="AI230" s="239">
        <v>0</v>
      </c>
      <c r="AJ230" s="239">
        <v>843340</v>
      </c>
      <c r="AK230" s="239">
        <v>-4963</v>
      </c>
      <c r="AL230" s="239">
        <v>0</v>
      </c>
      <c r="AM230" s="239">
        <v>-4963</v>
      </c>
      <c r="AN230" s="239">
        <v>-1887137</v>
      </c>
      <c r="AO230" s="239">
        <v>0</v>
      </c>
      <c r="AP230" s="239">
        <v>-1887137</v>
      </c>
      <c r="AQ230" s="239">
        <v>34493</v>
      </c>
      <c r="AR230" s="239">
        <v>0</v>
      </c>
      <c r="AS230" s="239">
        <v>34493</v>
      </c>
      <c r="AT230" s="239">
        <v>-106495</v>
      </c>
      <c r="AU230" s="239">
        <v>0</v>
      </c>
      <c r="AV230" s="239">
        <v>-106495</v>
      </c>
      <c r="AW230" s="239">
        <v>2104</v>
      </c>
      <c r="AX230" s="239">
        <v>0</v>
      </c>
      <c r="AY230" s="239">
        <v>2104</v>
      </c>
      <c r="AZ230" s="239">
        <v>-31589</v>
      </c>
      <c r="BA230" s="239">
        <v>0</v>
      </c>
      <c r="BB230" s="239">
        <v>-31589</v>
      </c>
      <c r="BC230" s="239">
        <v>-2758</v>
      </c>
      <c r="BD230" s="239">
        <v>0</v>
      </c>
      <c r="BE230" s="239">
        <v>-2758</v>
      </c>
      <c r="BF230" s="239">
        <v>-6963750</v>
      </c>
      <c r="BG230" s="239">
        <v>0</v>
      </c>
      <c r="BH230" s="239">
        <v>-6963750</v>
      </c>
      <c r="BI230" s="239">
        <v>-7516</v>
      </c>
      <c r="BJ230" s="239">
        <v>0</v>
      </c>
      <c r="BK230" s="239">
        <v>-7516</v>
      </c>
      <c r="BL230" s="239">
        <v>154</v>
      </c>
      <c r="BM230" s="239">
        <v>0</v>
      </c>
      <c r="BN230" s="239">
        <v>154</v>
      </c>
      <c r="BO230" s="239">
        <v>-579712</v>
      </c>
      <c r="BP230" s="239">
        <v>0</v>
      </c>
      <c r="BQ230" s="239">
        <v>-579712</v>
      </c>
      <c r="BR230" s="239">
        <v>-31625</v>
      </c>
      <c r="BS230" s="239">
        <v>0</v>
      </c>
      <c r="BT230" s="239">
        <v>-31625</v>
      </c>
      <c r="BU230" s="239">
        <v>-618699</v>
      </c>
      <c r="BV230" s="239">
        <v>0</v>
      </c>
      <c r="BW230" s="239">
        <v>-618699</v>
      </c>
      <c r="BX230" s="239">
        <v>-159575</v>
      </c>
      <c r="BY230" s="239">
        <v>0</v>
      </c>
      <c r="BZ230" s="239">
        <v>-159575</v>
      </c>
      <c r="CA230" s="239">
        <v>-2163</v>
      </c>
      <c r="CB230" s="239">
        <v>0</v>
      </c>
      <c r="CC230" s="239">
        <v>-2163</v>
      </c>
      <c r="CD230" s="239">
        <v>-83823</v>
      </c>
      <c r="CE230" s="239">
        <v>0</v>
      </c>
      <c r="CF230" s="239">
        <v>-83823</v>
      </c>
      <c r="CG230" s="239">
        <v>1921</v>
      </c>
      <c r="CH230" s="239">
        <v>0</v>
      </c>
      <c r="CI230" s="239">
        <v>1921</v>
      </c>
      <c r="CJ230" s="239">
        <v>0</v>
      </c>
      <c r="CK230" s="239">
        <v>0</v>
      </c>
      <c r="CL230" s="239">
        <v>0</v>
      </c>
      <c r="CM230" s="239">
        <v>0</v>
      </c>
      <c r="CN230" s="239">
        <v>0</v>
      </c>
      <c r="CO230" s="239">
        <v>0</v>
      </c>
      <c r="CP230" s="239">
        <v>-3496</v>
      </c>
      <c r="CQ230" s="239">
        <v>0</v>
      </c>
      <c r="CR230" s="239">
        <v>-3496</v>
      </c>
      <c r="CS230" s="239">
        <v>0</v>
      </c>
      <c r="CT230" s="239">
        <v>0</v>
      </c>
      <c r="CU230" s="239">
        <v>0</v>
      </c>
      <c r="CV230" s="239">
        <v>0</v>
      </c>
      <c r="CW230" s="239">
        <v>0</v>
      </c>
      <c r="CX230" s="239">
        <v>0</v>
      </c>
      <c r="CY230" s="239">
        <v>0</v>
      </c>
      <c r="CZ230" s="239">
        <v>0</v>
      </c>
      <c r="DA230" s="239">
        <v>0</v>
      </c>
      <c r="DB230" s="239">
        <v>0</v>
      </c>
      <c r="DC230" s="239">
        <v>0</v>
      </c>
      <c r="DD230" s="239">
        <v>0</v>
      </c>
      <c r="DE230" s="239">
        <v>0</v>
      </c>
      <c r="DF230" s="239">
        <v>0</v>
      </c>
      <c r="DG230" s="239">
        <v>0</v>
      </c>
      <c r="DH230" s="239">
        <v>0</v>
      </c>
      <c r="DI230" s="239">
        <v>0</v>
      </c>
      <c r="DJ230" s="239">
        <v>-247136</v>
      </c>
      <c r="DK230" s="239">
        <v>0</v>
      </c>
      <c r="DL230" s="239">
        <v>-247136</v>
      </c>
      <c r="DM230" s="239">
        <v>-75</v>
      </c>
      <c r="DN230" s="239">
        <v>0</v>
      </c>
      <c r="DO230" s="239">
        <v>-75</v>
      </c>
      <c r="DP230" s="239">
        <v>-659</v>
      </c>
      <c r="DQ230" s="239">
        <v>0</v>
      </c>
      <c r="DR230" s="239">
        <v>-659</v>
      </c>
      <c r="DS230" s="239">
        <v>-9374</v>
      </c>
      <c r="DT230" s="239">
        <v>0</v>
      </c>
      <c r="DU230" s="239">
        <v>-9374</v>
      </c>
      <c r="DV230" s="239">
        <v>822</v>
      </c>
      <c r="DW230" s="239">
        <v>0</v>
      </c>
      <c r="DX230" s="239">
        <v>822</v>
      </c>
      <c r="DY230" s="239">
        <v>0</v>
      </c>
      <c r="DZ230" s="239">
        <v>0</v>
      </c>
      <c r="EA230" s="239">
        <v>0</v>
      </c>
      <c r="EB230" s="239">
        <v>7926</v>
      </c>
      <c r="EC230" s="239">
        <v>0</v>
      </c>
      <c r="ED230" s="239">
        <v>7926</v>
      </c>
      <c r="EE230" s="239">
        <v>0</v>
      </c>
      <c r="EF230" s="239">
        <v>0</v>
      </c>
      <c r="EG230" s="239">
        <v>0</v>
      </c>
      <c r="EH230" s="239">
        <v>0</v>
      </c>
      <c r="EI230" s="239">
        <v>0</v>
      </c>
      <c r="EJ230" s="239">
        <v>0</v>
      </c>
      <c r="EK230" s="239">
        <v>-15469</v>
      </c>
      <c r="EL230" s="239">
        <v>0</v>
      </c>
      <c r="EM230" s="239">
        <v>-15469</v>
      </c>
      <c r="EN230" s="239">
        <v>334</v>
      </c>
      <c r="EO230" s="239">
        <v>0</v>
      </c>
      <c r="EP230" s="239">
        <v>334</v>
      </c>
      <c r="EQ230" s="239">
        <v>-16495</v>
      </c>
      <c r="ER230" s="239">
        <v>0</v>
      </c>
      <c r="ES230" s="239">
        <v>-16495</v>
      </c>
      <c r="ET230" s="239">
        <v>0</v>
      </c>
      <c r="EU230" s="239">
        <v>0</v>
      </c>
      <c r="EV230" s="239">
        <v>0</v>
      </c>
      <c r="EW230" s="239">
        <v>0</v>
      </c>
      <c r="EX230" s="239">
        <v>0</v>
      </c>
      <c r="EY230" s="239">
        <v>0</v>
      </c>
      <c r="EZ230" s="239">
        <v>0</v>
      </c>
      <c r="FA230" s="239">
        <v>0</v>
      </c>
      <c r="FB230" s="239">
        <v>0</v>
      </c>
      <c r="FC230" s="239">
        <v>41987263</v>
      </c>
      <c r="FD230" s="239">
        <v>0</v>
      </c>
      <c r="FE230" s="239">
        <v>41987263</v>
      </c>
      <c r="FF230" s="239">
        <v>136015</v>
      </c>
      <c r="FG230" s="239">
        <v>0</v>
      </c>
      <c r="FH230" s="239">
        <v>136015</v>
      </c>
      <c r="FI230" s="239">
        <v>-6963750</v>
      </c>
      <c r="FJ230" s="239">
        <v>0</v>
      </c>
      <c r="FK230" s="239">
        <v>-6963750</v>
      </c>
      <c r="FL230" s="239">
        <v>-618699</v>
      </c>
      <c r="FM230" s="239">
        <v>0</v>
      </c>
      <c r="FN230" s="239">
        <v>-618699</v>
      </c>
      <c r="FO230" s="239">
        <v>-247136</v>
      </c>
      <c r="FP230" s="239">
        <v>0</v>
      </c>
      <c r="FQ230" s="239">
        <v>-247136</v>
      </c>
      <c r="FR230" s="239">
        <v>-16495</v>
      </c>
      <c r="FS230" s="239">
        <v>0</v>
      </c>
      <c r="FT230" s="239">
        <v>-16495</v>
      </c>
      <c r="FU230" s="239">
        <v>0</v>
      </c>
      <c r="FV230" s="239">
        <v>0</v>
      </c>
      <c r="FW230" s="239">
        <v>0</v>
      </c>
      <c r="FX230" s="239">
        <v>-7710065</v>
      </c>
      <c r="FY230" s="239">
        <v>0</v>
      </c>
      <c r="FZ230" s="239">
        <v>-7710065</v>
      </c>
      <c r="GA230" s="239">
        <v>34277198</v>
      </c>
      <c r="GB230" s="239">
        <v>0</v>
      </c>
      <c r="GC230" s="239">
        <v>34277198</v>
      </c>
      <c r="GD230" s="214" t="s">
        <v>1190</v>
      </c>
    </row>
    <row r="231" spans="2:186" s="214" customFormat="1" x14ac:dyDescent="0.2">
      <c r="B231" s="609" t="s">
        <v>544</v>
      </c>
      <c r="C231" s="609" t="s">
        <v>543</v>
      </c>
      <c r="D231" s="239">
        <v>0</v>
      </c>
      <c r="E231" s="239">
        <v>0</v>
      </c>
      <c r="F231" s="239">
        <v>0</v>
      </c>
      <c r="G231" s="239">
        <v>126090</v>
      </c>
      <c r="H231" s="239">
        <v>0</v>
      </c>
      <c r="I231" s="239">
        <v>126090</v>
      </c>
      <c r="J231" s="239">
        <v>0</v>
      </c>
      <c r="K231" s="239">
        <v>0</v>
      </c>
      <c r="L231" s="239">
        <v>0</v>
      </c>
      <c r="M231" s="239">
        <v>31781</v>
      </c>
      <c r="N231" s="239">
        <v>0</v>
      </c>
      <c r="O231" s="239">
        <v>31781</v>
      </c>
      <c r="P231" s="239">
        <v>157871</v>
      </c>
      <c r="Q231" s="239">
        <v>0</v>
      </c>
      <c r="R231" s="239">
        <v>157871</v>
      </c>
      <c r="S231" s="239">
        <v>-2979364</v>
      </c>
      <c r="T231" s="239">
        <v>0</v>
      </c>
      <c r="U231" s="239">
        <v>-2979364</v>
      </c>
      <c r="V231" s="239">
        <v>-11455</v>
      </c>
      <c r="W231" s="239">
        <v>0</v>
      </c>
      <c r="X231" s="239">
        <v>-11455</v>
      </c>
      <c r="Y231" s="239">
        <v>-230726</v>
      </c>
      <c r="Z231" s="239">
        <v>0</v>
      </c>
      <c r="AA231" s="239">
        <v>-230726</v>
      </c>
      <c r="AB231" s="239">
        <v>-146850</v>
      </c>
      <c r="AC231" s="239">
        <v>0</v>
      </c>
      <c r="AD231" s="239">
        <v>-146850</v>
      </c>
      <c r="AE231" s="239">
        <v>0</v>
      </c>
      <c r="AF231" s="239">
        <v>0</v>
      </c>
      <c r="AG231" s="239">
        <v>0</v>
      </c>
      <c r="AH231" s="239">
        <v>1031522</v>
      </c>
      <c r="AI231" s="239">
        <v>0</v>
      </c>
      <c r="AJ231" s="239">
        <v>1031522</v>
      </c>
      <c r="AK231" s="239">
        <v>-23445</v>
      </c>
      <c r="AL231" s="239">
        <v>0</v>
      </c>
      <c r="AM231" s="239">
        <v>-23445</v>
      </c>
      <c r="AN231" s="239">
        <v>-2481893</v>
      </c>
      <c r="AO231" s="239">
        <v>0</v>
      </c>
      <c r="AP231" s="239">
        <v>-2481893</v>
      </c>
      <c r="AQ231" s="239">
        <v>-39735</v>
      </c>
      <c r="AR231" s="239">
        <v>0</v>
      </c>
      <c r="AS231" s="239">
        <v>-39735</v>
      </c>
      <c r="AT231" s="239">
        <v>-28448</v>
      </c>
      <c r="AU231" s="239">
        <v>0</v>
      </c>
      <c r="AV231" s="239">
        <v>-28448</v>
      </c>
      <c r="AW231" s="239">
        <v>0</v>
      </c>
      <c r="AX231" s="239">
        <v>0</v>
      </c>
      <c r="AY231" s="239">
        <v>0</v>
      </c>
      <c r="AZ231" s="239">
        <v>-67444</v>
      </c>
      <c r="BA231" s="239">
        <v>0</v>
      </c>
      <c r="BB231" s="239">
        <v>-67444</v>
      </c>
      <c r="BC231" s="239">
        <v>-1369</v>
      </c>
      <c r="BD231" s="239">
        <v>0</v>
      </c>
      <c r="BE231" s="239">
        <v>-1369</v>
      </c>
      <c r="BF231" s="239">
        <v>-4820902</v>
      </c>
      <c r="BG231" s="239">
        <v>0</v>
      </c>
      <c r="BH231" s="239">
        <v>-4820902</v>
      </c>
      <c r="BI231" s="239">
        <v>0</v>
      </c>
      <c r="BJ231" s="239">
        <v>0</v>
      </c>
      <c r="BK231" s="239">
        <v>0</v>
      </c>
      <c r="BL231" s="239">
        <v>0</v>
      </c>
      <c r="BM231" s="239">
        <v>0</v>
      </c>
      <c r="BN231" s="239">
        <v>0</v>
      </c>
      <c r="BO231" s="239">
        <v>-1230347</v>
      </c>
      <c r="BP231" s="239">
        <v>0</v>
      </c>
      <c r="BQ231" s="239">
        <v>-1230347</v>
      </c>
      <c r="BR231" s="239">
        <v>-28931</v>
      </c>
      <c r="BS231" s="239">
        <v>0</v>
      </c>
      <c r="BT231" s="239">
        <v>-28931</v>
      </c>
      <c r="BU231" s="239">
        <v>-1259278</v>
      </c>
      <c r="BV231" s="239">
        <v>0</v>
      </c>
      <c r="BW231" s="239">
        <v>-1259278</v>
      </c>
      <c r="BX231" s="239">
        <v>-70863</v>
      </c>
      <c r="BY231" s="239">
        <v>0</v>
      </c>
      <c r="BZ231" s="239">
        <v>-70863</v>
      </c>
      <c r="CA231" s="239">
        <v>-742</v>
      </c>
      <c r="CB231" s="239">
        <v>0</v>
      </c>
      <c r="CC231" s="239">
        <v>-742</v>
      </c>
      <c r="CD231" s="239">
        <v>-32792</v>
      </c>
      <c r="CE231" s="239">
        <v>0</v>
      </c>
      <c r="CF231" s="239">
        <v>-32792</v>
      </c>
      <c r="CG231" s="239">
        <v>-1552</v>
      </c>
      <c r="CH231" s="239">
        <v>0</v>
      </c>
      <c r="CI231" s="239">
        <v>-1552</v>
      </c>
      <c r="CJ231" s="239">
        <v>0</v>
      </c>
      <c r="CK231" s="239">
        <v>0</v>
      </c>
      <c r="CL231" s="239">
        <v>0</v>
      </c>
      <c r="CM231" s="239">
        <v>0</v>
      </c>
      <c r="CN231" s="239">
        <v>0</v>
      </c>
      <c r="CO231" s="239">
        <v>0</v>
      </c>
      <c r="CP231" s="239">
        <v>-34604</v>
      </c>
      <c r="CQ231" s="239">
        <v>0</v>
      </c>
      <c r="CR231" s="239">
        <v>-34604</v>
      </c>
      <c r="CS231" s="239">
        <v>-3180</v>
      </c>
      <c r="CT231" s="239">
        <v>0</v>
      </c>
      <c r="CU231" s="239">
        <v>-3180</v>
      </c>
      <c r="CV231" s="239">
        <v>-368</v>
      </c>
      <c r="CW231" s="239">
        <v>0</v>
      </c>
      <c r="CX231" s="239">
        <v>-368</v>
      </c>
      <c r="CY231" s="239">
        <v>0</v>
      </c>
      <c r="CZ231" s="239">
        <v>0</v>
      </c>
      <c r="DA231" s="239">
        <v>0</v>
      </c>
      <c r="DB231" s="239">
        <v>0</v>
      </c>
      <c r="DC231" s="239">
        <v>0</v>
      </c>
      <c r="DD231" s="239">
        <v>0</v>
      </c>
      <c r="DE231" s="239">
        <v>0</v>
      </c>
      <c r="DF231" s="239">
        <v>0</v>
      </c>
      <c r="DG231" s="239">
        <v>0</v>
      </c>
      <c r="DH231" s="239">
        <v>0</v>
      </c>
      <c r="DI231" s="239">
        <v>0</v>
      </c>
      <c r="DJ231" s="239">
        <v>-144101</v>
      </c>
      <c r="DK231" s="239">
        <v>0</v>
      </c>
      <c r="DL231" s="239">
        <v>-144101</v>
      </c>
      <c r="DM231" s="239">
        <v>-49831</v>
      </c>
      <c r="DN231" s="239">
        <v>0</v>
      </c>
      <c r="DO231" s="239">
        <v>-49831</v>
      </c>
      <c r="DP231" s="239">
        <v>0</v>
      </c>
      <c r="DQ231" s="239">
        <v>0</v>
      </c>
      <c r="DR231" s="239">
        <v>0</v>
      </c>
      <c r="DS231" s="239">
        <v>-8977</v>
      </c>
      <c r="DT231" s="239">
        <v>0</v>
      </c>
      <c r="DU231" s="239">
        <v>-8977</v>
      </c>
      <c r="DV231" s="239">
        <v>-2046</v>
      </c>
      <c r="DW231" s="239">
        <v>0</v>
      </c>
      <c r="DX231" s="239">
        <v>-2046</v>
      </c>
      <c r="DY231" s="239">
        <v>0</v>
      </c>
      <c r="DZ231" s="239">
        <v>0</v>
      </c>
      <c r="EA231" s="239">
        <v>0</v>
      </c>
      <c r="EB231" s="239">
        <v>-1687</v>
      </c>
      <c r="EC231" s="239">
        <v>0</v>
      </c>
      <c r="ED231" s="239">
        <v>-1687</v>
      </c>
      <c r="EE231" s="239">
        <v>0</v>
      </c>
      <c r="EF231" s="239">
        <v>0</v>
      </c>
      <c r="EG231" s="239">
        <v>0</v>
      </c>
      <c r="EH231" s="239">
        <v>-1065</v>
      </c>
      <c r="EI231" s="239">
        <v>0</v>
      </c>
      <c r="EJ231" s="239">
        <v>-1065</v>
      </c>
      <c r="EK231" s="239">
        <v>-20995</v>
      </c>
      <c r="EL231" s="239">
        <v>0</v>
      </c>
      <c r="EM231" s="239">
        <v>-20995</v>
      </c>
      <c r="EN231" s="239">
        <v>1916</v>
      </c>
      <c r="EO231" s="239">
        <v>0</v>
      </c>
      <c r="EP231" s="239">
        <v>1916</v>
      </c>
      <c r="EQ231" s="239">
        <v>-82685</v>
      </c>
      <c r="ER231" s="239">
        <v>0</v>
      </c>
      <c r="ES231" s="239">
        <v>-82685</v>
      </c>
      <c r="ET231" s="239">
        <v>-10016</v>
      </c>
      <c r="EU231" s="239">
        <v>0</v>
      </c>
      <c r="EV231" s="239">
        <v>-10016</v>
      </c>
      <c r="EW231" s="239">
        <v>-6019</v>
      </c>
      <c r="EX231" s="239">
        <v>0</v>
      </c>
      <c r="EY231" s="239">
        <v>-6019</v>
      </c>
      <c r="EZ231" s="239">
        <v>-16035</v>
      </c>
      <c r="FA231" s="239">
        <v>0</v>
      </c>
      <c r="FB231" s="239">
        <v>-16035</v>
      </c>
      <c r="FC231" s="239">
        <v>45188437</v>
      </c>
      <c r="FD231" s="239">
        <v>0</v>
      </c>
      <c r="FE231" s="239">
        <v>45188437</v>
      </c>
      <c r="FF231" s="239">
        <v>157871</v>
      </c>
      <c r="FG231" s="239">
        <v>0</v>
      </c>
      <c r="FH231" s="239">
        <v>157871</v>
      </c>
      <c r="FI231" s="239">
        <v>-4820902</v>
      </c>
      <c r="FJ231" s="239">
        <v>0</v>
      </c>
      <c r="FK231" s="239">
        <v>-4820902</v>
      </c>
      <c r="FL231" s="239">
        <v>-1259278</v>
      </c>
      <c r="FM231" s="239">
        <v>0</v>
      </c>
      <c r="FN231" s="239">
        <v>-1259278</v>
      </c>
      <c r="FO231" s="239">
        <v>-144101</v>
      </c>
      <c r="FP231" s="239">
        <v>0</v>
      </c>
      <c r="FQ231" s="239">
        <v>-144101</v>
      </c>
      <c r="FR231" s="239">
        <v>-82685</v>
      </c>
      <c r="FS231" s="239">
        <v>0</v>
      </c>
      <c r="FT231" s="239">
        <v>-82685</v>
      </c>
      <c r="FU231" s="239">
        <v>-16035</v>
      </c>
      <c r="FV231" s="239">
        <v>0</v>
      </c>
      <c r="FW231" s="239">
        <v>-16035</v>
      </c>
      <c r="FX231" s="239">
        <v>-6165130</v>
      </c>
      <c r="FY231" s="239">
        <v>0</v>
      </c>
      <c r="FZ231" s="239">
        <v>-6165130</v>
      </c>
      <c r="GA231" s="239">
        <v>39023307</v>
      </c>
      <c r="GB231" s="239">
        <v>0</v>
      </c>
      <c r="GC231" s="239">
        <v>39023307</v>
      </c>
      <c r="GD231" s="214" t="s">
        <v>1190</v>
      </c>
    </row>
    <row r="232" spans="2:186" s="214" customFormat="1" x14ac:dyDescent="0.2">
      <c r="B232" s="609" t="s">
        <v>546</v>
      </c>
      <c r="C232" s="609" t="s">
        <v>545</v>
      </c>
      <c r="D232" s="239">
        <v>0</v>
      </c>
      <c r="E232" s="239">
        <v>0</v>
      </c>
      <c r="F232" s="239">
        <v>0</v>
      </c>
      <c r="G232" s="239">
        <v>84795</v>
      </c>
      <c r="H232" s="239">
        <v>0</v>
      </c>
      <c r="I232" s="239">
        <v>84795</v>
      </c>
      <c r="J232" s="239">
        <v>0</v>
      </c>
      <c r="K232" s="239">
        <v>0</v>
      </c>
      <c r="L232" s="239">
        <v>0</v>
      </c>
      <c r="M232" s="239">
        <v>-14850</v>
      </c>
      <c r="N232" s="239">
        <v>0</v>
      </c>
      <c r="O232" s="239">
        <v>-14850</v>
      </c>
      <c r="P232" s="239">
        <v>69945</v>
      </c>
      <c r="Q232" s="239">
        <v>0</v>
      </c>
      <c r="R232" s="239">
        <v>69945</v>
      </c>
      <c r="S232" s="239">
        <v>-6109679</v>
      </c>
      <c r="T232" s="239">
        <v>0</v>
      </c>
      <c r="U232" s="239">
        <v>-6109679</v>
      </c>
      <c r="V232" s="239">
        <v>-12458</v>
      </c>
      <c r="W232" s="239">
        <v>0</v>
      </c>
      <c r="X232" s="239">
        <v>-12458</v>
      </c>
      <c r="Y232" s="239">
        <v>-51073</v>
      </c>
      <c r="Z232" s="239">
        <v>0</v>
      </c>
      <c r="AA232" s="239">
        <v>-51073</v>
      </c>
      <c r="AB232" s="239">
        <v>-20585</v>
      </c>
      <c r="AC232" s="239">
        <v>0</v>
      </c>
      <c r="AD232" s="239">
        <v>-20585</v>
      </c>
      <c r="AE232" s="239">
        <v>-295</v>
      </c>
      <c r="AF232" s="239">
        <v>0</v>
      </c>
      <c r="AG232" s="239">
        <v>-295</v>
      </c>
      <c r="AH232" s="239">
        <v>1933623</v>
      </c>
      <c r="AI232" s="239">
        <v>0</v>
      </c>
      <c r="AJ232" s="239">
        <v>1933623</v>
      </c>
      <c r="AK232" s="239">
        <v>-11021</v>
      </c>
      <c r="AL232" s="239">
        <v>0</v>
      </c>
      <c r="AM232" s="239">
        <v>-11021</v>
      </c>
      <c r="AN232" s="239">
        <v>-4447807</v>
      </c>
      <c r="AO232" s="239">
        <v>0</v>
      </c>
      <c r="AP232" s="239">
        <v>-4447807</v>
      </c>
      <c r="AQ232" s="239">
        <v>-7588</v>
      </c>
      <c r="AR232" s="239">
        <v>0</v>
      </c>
      <c r="AS232" s="239">
        <v>-7588</v>
      </c>
      <c r="AT232" s="239">
        <v>-27334</v>
      </c>
      <c r="AU232" s="239">
        <v>0</v>
      </c>
      <c r="AV232" s="239">
        <v>-27334</v>
      </c>
      <c r="AW232" s="239">
        <v>3374</v>
      </c>
      <c r="AX232" s="239">
        <v>0</v>
      </c>
      <c r="AY232" s="239">
        <v>3374</v>
      </c>
      <c r="AZ232" s="239">
        <v>-363</v>
      </c>
      <c r="BA232" s="239">
        <v>0</v>
      </c>
      <c r="BB232" s="239">
        <v>-363</v>
      </c>
      <c r="BC232" s="239">
        <v>3998</v>
      </c>
      <c r="BD232" s="239">
        <v>0</v>
      </c>
      <c r="BE232" s="239">
        <v>3998</v>
      </c>
      <c r="BF232" s="239">
        <v>-8713870</v>
      </c>
      <c r="BG232" s="239">
        <v>0</v>
      </c>
      <c r="BH232" s="239">
        <v>-8713870</v>
      </c>
      <c r="BI232" s="239">
        <v>0</v>
      </c>
      <c r="BJ232" s="239">
        <v>0</v>
      </c>
      <c r="BK232" s="239">
        <v>0</v>
      </c>
      <c r="BL232" s="239">
        <v>-14849</v>
      </c>
      <c r="BM232" s="239">
        <v>0</v>
      </c>
      <c r="BN232" s="239">
        <v>-14849</v>
      </c>
      <c r="BO232" s="239">
        <v>-3260616</v>
      </c>
      <c r="BP232" s="239">
        <v>0</v>
      </c>
      <c r="BQ232" s="239">
        <v>-3260616</v>
      </c>
      <c r="BR232" s="239">
        <v>200764</v>
      </c>
      <c r="BS232" s="239">
        <v>0</v>
      </c>
      <c r="BT232" s="239">
        <v>200764</v>
      </c>
      <c r="BU232" s="239">
        <v>-3074701</v>
      </c>
      <c r="BV232" s="239">
        <v>0</v>
      </c>
      <c r="BW232" s="239">
        <v>-3074701</v>
      </c>
      <c r="BX232" s="239">
        <v>-221337</v>
      </c>
      <c r="BY232" s="239">
        <v>0</v>
      </c>
      <c r="BZ232" s="239">
        <v>-221337</v>
      </c>
      <c r="CA232" s="239">
        <v>1951</v>
      </c>
      <c r="CB232" s="239">
        <v>0</v>
      </c>
      <c r="CC232" s="239">
        <v>1951</v>
      </c>
      <c r="CD232" s="239">
        <v>-83193</v>
      </c>
      <c r="CE232" s="239">
        <v>0</v>
      </c>
      <c r="CF232" s="239">
        <v>-83193</v>
      </c>
      <c r="CG232" s="239">
        <v>-77</v>
      </c>
      <c r="CH232" s="239">
        <v>0</v>
      </c>
      <c r="CI232" s="239">
        <v>-77</v>
      </c>
      <c r="CJ232" s="239">
        <v>0</v>
      </c>
      <c r="CK232" s="239">
        <v>0</v>
      </c>
      <c r="CL232" s="239">
        <v>0</v>
      </c>
      <c r="CM232" s="239">
        <v>0</v>
      </c>
      <c r="CN232" s="239">
        <v>0</v>
      </c>
      <c r="CO232" s="239">
        <v>0</v>
      </c>
      <c r="CP232" s="239">
        <v>0</v>
      </c>
      <c r="CQ232" s="239">
        <v>0</v>
      </c>
      <c r="CR232" s="239">
        <v>0</v>
      </c>
      <c r="CS232" s="239">
        <v>0</v>
      </c>
      <c r="CT232" s="239">
        <v>0</v>
      </c>
      <c r="CU232" s="239">
        <v>0</v>
      </c>
      <c r="CV232" s="239">
        <v>0</v>
      </c>
      <c r="CW232" s="239">
        <v>0</v>
      </c>
      <c r="CX232" s="239">
        <v>0</v>
      </c>
      <c r="CY232" s="239">
        <v>0</v>
      </c>
      <c r="CZ232" s="239">
        <v>0</v>
      </c>
      <c r="DA232" s="239">
        <v>0</v>
      </c>
      <c r="DB232" s="239">
        <v>0</v>
      </c>
      <c r="DC232" s="239">
        <v>0</v>
      </c>
      <c r="DD232" s="239">
        <v>0</v>
      </c>
      <c r="DE232" s="239">
        <v>0</v>
      </c>
      <c r="DF232" s="239">
        <v>0</v>
      </c>
      <c r="DG232" s="239">
        <v>0</v>
      </c>
      <c r="DH232" s="239">
        <v>0</v>
      </c>
      <c r="DI232" s="239">
        <v>0</v>
      </c>
      <c r="DJ232" s="239">
        <v>-302656</v>
      </c>
      <c r="DK232" s="239">
        <v>0</v>
      </c>
      <c r="DL232" s="239">
        <v>-302656</v>
      </c>
      <c r="DM232" s="239">
        <v>-60949</v>
      </c>
      <c r="DN232" s="239">
        <v>0</v>
      </c>
      <c r="DO232" s="239">
        <v>-60949</v>
      </c>
      <c r="DP232" s="239">
        <v>-4437</v>
      </c>
      <c r="DQ232" s="239">
        <v>0</v>
      </c>
      <c r="DR232" s="239">
        <v>-4437</v>
      </c>
      <c r="DS232" s="239">
        <v>-59555</v>
      </c>
      <c r="DT232" s="239">
        <v>0</v>
      </c>
      <c r="DU232" s="239">
        <v>-59555</v>
      </c>
      <c r="DV232" s="239">
        <v>-35841</v>
      </c>
      <c r="DW232" s="239">
        <v>0</v>
      </c>
      <c r="DX232" s="239">
        <v>-35841</v>
      </c>
      <c r="DY232" s="239">
        <v>0</v>
      </c>
      <c r="DZ232" s="239">
        <v>0</v>
      </c>
      <c r="EA232" s="239">
        <v>0</v>
      </c>
      <c r="EB232" s="239">
        <v>-10971</v>
      </c>
      <c r="EC232" s="239">
        <v>0</v>
      </c>
      <c r="ED232" s="239">
        <v>-10971</v>
      </c>
      <c r="EE232" s="239">
        <v>0</v>
      </c>
      <c r="EF232" s="239">
        <v>0</v>
      </c>
      <c r="EG232" s="239">
        <v>0</v>
      </c>
      <c r="EH232" s="239">
        <v>0</v>
      </c>
      <c r="EI232" s="239">
        <v>0</v>
      </c>
      <c r="EJ232" s="239">
        <v>0</v>
      </c>
      <c r="EK232" s="239">
        <v>-6435</v>
      </c>
      <c r="EL232" s="239">
        <v>0</v>
      </c>
      <c r="EM232" s="239">
        <v>-6435</v>
      </c>
      <c r="EN232" s="239">
        <v>0</v>
      </c>
      <c r="EO232" s="239">
        <v>0</v>
      </c>
      <c r="EP232" s="239">
        <v>0</v>
      </c>
      <c r="EQ232" s="239">
        <v>-178188</v>
      </c>
      <c r="ER232" s="239">
        <v>0</v>
      </c>
      <c r="ES232" s="239">
        <v>-178188</v>
      </c>
      <c r="ET232" s="239">
        <v>-1800</v>
      </c>
      <c r="EU232" s="239">
        <v>0</v>
      </c>
      <c r="EV232" s="239">
        <v>-1800</v>
      </c>
      <c r="EW232" s="239">
        <v>0</v>
      </c>
      <c r="EX232" s="239">
        <v>0</v>
      </c>
      <c r="EY232" s="239">
        <v>0</v>
      </c>
      <c r="EZ232" s="239">
        <v>-1800</v>
      </c>
      <c r="FA232" s="239">
        <v>0</v>
      </c>
      <c r="FB232" s="239">
        <v>-1800</v>
      </c>
      <c r="FC232" s="239">
        <v>84087998</v>
      </c>
      <c r="FD232" s="239">
        <v>0</v>
      </c>
      <c r="FE232" s="239">
        <v>84087998</v>
      </c>
      <c r="FF232" s="239">
        <v>69945</v>
      </c>
      <c r="FG232" s="239">
        <v>0</v>
      </c>
      <c r="FH232" s="239">
        <v>69945</v>
      </c>
      <c r="FI232" s="239">
        <v>-8713870</v>
      </c>
      <c r="FJ232" s="239">
        <v>0</v>
      </c>
      <c r="FK232" s="239">
        <v>-8713870</v>
      </c>
      <c r="FL232" s="239">
        <v>-3074701</v>
      </c>
      <c r="FM232" s="239">
        <v>0</v>
      </c>
      <c r="FN232" s="239">
        <v>-3074701</v>
      </c>
      <c r="FO232" s="239">
        <v>-302656</v>
      </c>
      <c r="FP232" s="239">
        <v>0</v>
      </c>
      <c r="FQ232" s="239">
        <v>-302656</v>
      </c>
      <c r="FR232" s="239">
        <v>-178188</v>
      </c>
      <c r="FS232" s="239">
        <v>0</v>
      </c>
      <c r="FT232" s="239">
        <v>-178188</v>
      </c>
      <c r="FU232" s="239">
        <v>-1800</v>
      </c>
      <c r="FV232" s="239">
        <v>0</v>
      </c>
      <c r="FW232" s="239">
        <v>-1800</v>
      </c>
      <c r="FX232" s="239">
        <v>-12201270</v>
      </c>
      <c r="FY232" s="239">
        <v>0</v>
      </c>
      <c r="FZ232" s="239">
        <v>-12201270</v>
      </c>
      <c r="GA232" s="239">
        <v>71886728</v>
      </c>
      <c r="GB232" s="239">
        <v>0</v>
      </c>
      <c r="GC232" s="239">
        <v>71886728</v>
      </c>
      <c r="GD232" s="214" t="s">
        <v>1192</v>
      </c>
    </row>
    <row r="233" spans="2:186" s="214" customFormat="1" x14ac:dyDescent="0.2">
      <c r="B233" s="609" t="s">
        <v>548</v>
      </c>
      <c r="C233" s="609" t="s">
        <v>547</v>
      </c>
      <c r="D233" s="239">
        <v>0</v>
      </c>
      <c r="E233" s="239">
        <v>0</v>
      </c>
      <c r="F233" s="239">
        <v>0</v>
      </c>
      <c r="G233" s="239">
        <v>76279</v>
      </c>
      <c r="H233" s="239">
        <v>0</v>
      </c>
      <c r="I233" s="239">
        <v>76279</v>
      </c>
      <c r="J233" s="239">
        <v>0</v>
      </c>
      <c r="K233" s="239">
        <v>0</v>
      </c>
      <c r="L233" s="239">
        <v>0</v>
      </c>
      <c r="M233" s="239">
        <v>30033</v>
      </c>
      <c r="N233" s="239">
        <v>0</v>
      </c>
      <c r="O233" s="239">
        <v>30033</v>
      </c>
      <c r="P233" s="239">
        <v>106312</v>
      </c>
      <c r="Q233" s="239">
        <v>0</v>
      </c>
      <c r="R233" s="239">
        <v>106312</v>
      </c>
      <c r="S233" s="239">
        <v>-1824605</v>
      </c>
      <c r="T233" s="239">
        <v>0</v>
      </c>
      <c r="U233" s="239">
        <v>-1824605</v>
      </c>
      <c r="V233" s="239">
        <v>-15985</v>
      </c>
      <c r="W233" s="239">
        <v>0</v>
      </c>
      <c r="X233" s="239">
        <v>-15985</v>
      </c>
      <c r="Y233" s="239">
        <v>-131451</v>
      </c>
      <c r="Z233" s="239">
        <v>0</v>
      </c>
      <c r="AA233" s="239">
        <v>-131451</v>
      </c>
      <c r="AB233" s="239">
        <v>-93747</v>
      </c>
      <c r="AC233" s="239">
        <v>0</v>
      </c>
      <c r="AD233" s="239">
        <v>-93747</v>
      </c>
      <c r="AE233" s="239">
        <v>0</v>
      </c>
      <c r="AF233" s="239">
        <v>0</v>
      </c>
      <c r="AG233" s="239">
        <v>0</v>
      </c>
      <c r="AH233" s="239">
        <v>1103037</v>
      </c>
      <c r="AI233" s="239">
        <v>0</v>
      </c>
      <c r="AJ233" s="239">
        <v>1103037</v>
      </c>
      <c r="AK233" s="239">
        <v>-44722</v>
      </c>
      <c r="AL233" s="239">
        <v>0</v>
      </c>
      <c r="AM233" s="239">
        <v>-44722</v>
      </c>
      <c r="AN233" s="239">
        <v>-1090313</v>
      </c>
      <c r="AO233" s="239">
        <v>0</v>
      </c>
      <c r="AP233" s="239">
        <v>-1090313</v>
      </c>
      <c r="AQ233" s="239">
        <v>-711</v>
      </c>
      <c r="AR233" s="239">
        <v>0</v>
      </c>
      <c r="AS233" s="239">
        <v>-711</v>
      </c>
      <c r="AT233" s="239">
        <v>-50371</v>
      </c>
      <c r="AU233" s="239">
        <v>0</v>
      </c>
      <c r="AV233" s="239">
        <v>-50371</v>
      </c>
      <c r="AW233" s="239">
        <v>520</v>
      </c>
      <c r="AX233" s="239">
        <v>0</v>
      </c>
      <c r="AY233" s="239">
        <v>520</v>
      </c>
      <c r="AZ233" s="239">
        <v>-20291</v>
      </c>
      <c r="BA233" s="239">
        <v>0</v>
      </c>
      <c r="BB233" s="239">
        <v>-20291</v>
      </c>
      <c r="BC233" s="239">
        <v>-3413</v>
      </c>
      <c r="BD233" s="239">
        <v>0</v>
      </c>
      <c r="BE233" s="239">
        <v>-3413</v>
      </c>
      <c r="BF233" s="239">
        <v>-2062320</v>
      </c>
      <c r="BG233" s="239">
        <v>0</v>
      </c>
      <c r="BH233" s="239">
        <v>-2062320</v>
      </c>
      <c r="BI233" s="239">
        <v>-503</v>
      </c>
      <c r="BJ233" s="239">
        <v>0</v>
      </c>
      <c r="BK233" s="239">
        <v>-503</v>
      </c>
      <c r="BL233" s="239">
        <v>3836</v>
      </c>
      <c r="BM233" s="239">
        <v>0</v>
      </c>
      <c r="BN233" s="239">
        <v>3836</v>
      </c>
      <c r="BO233" s="239">
        <v>-559067</v>
      </c>
      <c r="BP233" s="239">
        <v>0</v>
      </c>
      <c r="BQ233" s="239">
        <v>-559067</v>
      </c>
      <c r="BR233" s="239">
        <v>-22503</v>
      </c>
      <c r="BS233" s="239">
        <v>0</v>
      </c>
      <c r="BT233" s="239">
        <v>-22503</v>
      </c>
      <c r="BU233" s="239">
        <v>-578237</v>
      </c>
      <c r="BV233" s="239">
        <v>0</v>
      </c>
      <c r="BW233" s="239">
        <v>-578237</v>
      </c>
      <c r="BX233" s="239">
        <v>-101146</v>
      </c>
      <c r="BY233" s="239">
        <v>0</v>
      </c>
      <c r="BZ233" s="239">
        <v>-101146</v>
      </c>
      <c r="CA233" s="239">
        <v>-258</v>
      </c>
      <c r="CB233" s="239">
        <v>0</v>
      </c>
      <c r="CC233" s="239">
        <v>-258</v>
      </c>
      <c r="CD233" s="239">
        <v>-18455</v>
      </c>
      <c r="CE233" s="239">
        <v>0</v>
      </c>
      <c r="CF233" s="239">
        <v>-18455</v>
      </c>
      <c r="CG233" s="239">
        <v>866</v>
      </c>
      <c r="CH233" s="239">
        <v>0</v>
      </c>
      <c r="CI233" s="239">
        <v>866</v>
      </c>
      <c r="CJ233" s="239">
        <v>-1389</v>
      </c>
      <c r="CK233" s="239">
        <v>0</v>
      </c>
      <c r="CL233" s="239">
        <v>-1389</v>
      </c>
      <c r="CM233" s="239">
        <v>0</v>
      </c>
      <c r="CN233" s="239">
        <v>0</v>
      </c>
      <c r="CO233" s="239">
        <v>0</v>
      </c>
      <c r="CP233" s="239">
        <v>-12570</v>
      </c>
      <c r="CQ233" s="239">
        <v>0</v>
      </c>
      <c r="CR233" s="239">
        <v>-12570</v>
      </c>
      <c r="CS233" s="239">
        <v>0</v>
      </c>
      <c r="CT233" s="239">
        <v>0</v>
      </c>
      <c r="CU233" s="239">
        <v>0</v>
      </c>
      <c r="CV233" s="239">
        <v>-2868</v>
      </c>
      <c r="CW233" s="239">
        <v>0</v>
      </c>
      <c r="CX233" s="239">
        <v>-2868</v>
      </c>
      <c r="CY233" s="239">
        <v>0</v>
      </c>
      <c r="CZ233" s="239">
        <v>0</v>
      </c>
      <c r="DA233" s="239">
        <v>0</v>
      </c>
      <c r="DB233" s="239">
        <v>-9386</v>
      </c>
      <c r="DC233" s="239">
        <v>0</v>
      </c>
      <c r="DD233" s="239">
        <v>-9386</v>
      </c>
      <c r="DE233" s="239">
        <v>0</v>
      </c>
      <c r="DF233" s="239">
        <v>0</v>
      </c>
      <c r="DG233" s="239">
        <v>0</v>
      </c>
      <c r="DH233" s="239">
        <v>0</v>
      </c>
      <c r="DI233" s="239">
        <v>0</v>
      </c>
      <c r="DJ233" s="239">
        <v>-145206</v>
      </c>
      <c r="DK233" s="239">
        <v>0</v>
      </c>
      <c r="DL233" s="239">
        <v>-145206</v>
      </c>
      <c r="DM233" s="239">
        <v>0</v>
      </c>
      <c r="DN233" s="239">
        <v>0</v>
      </c>
      <c r="DO233" s="239">
        <v>0</v>
      </c>
      <c r="DP233" s="239">
        <v>0</v>
      </c>
      <c r="DQ233" s="239">
        <v>0</v>
      </c>
      <c r="DR233" s="239">
        <v>0</v>
      </c>
      <c r="DS233" s="239">
        <v>-14614</v>
      </c>
      <c r="DT233" s="239">
        <v>0</v>
      </c>
      <c r="DU233" s="239">
        <v>-14614</v>
      </c>
      <c r="DV233" s="239">
        <v>0</v>
      </c>
      <c r="DW233" s="239">
        <v>0</v>
      </c>
      <c r="DX233" s="239">
        <v>0</v>
      </c>
      <c r="DY233" s="239">
        <v>0</v>
      </c>
      <c r="DZ233" s="239">
        <v>0</v>
      </c>
      <c r="EA233" s="239">
        <v>0</v>
      </c>
      <c r="EB233" s="239">
        <v>-1210</v>
      </c>
      <c r="EC233" s="239">
        <v>0</v>
      </c>
      <c r="ED233" s="239">
        <v>-1210</v>
      </c>
      <c r="EE233" s="239">
        <v>-22297</v>
      </c>
      <c r="EF233" s="239">
        <v>0</v>
      </c>
      <c r="EG233" s="239">
        <v>-22297</v>
      </c>
      <c r="EH233" s="239">
        <v>4095</v>
      </c>
      <c r="EI233" s="239">
        <v>0</v>
      </c>
      <c r="EJ233" s="239">
        <v>4095</v>
      </c>
      <c r="EK233" s="239">
        <v>-8696</v>
      </c>
      <c r="EL233" s="239">
        <v>0</v>
      </c>
      <c r="EM233" s="239">
        <v>-8696</v>
      </c>
      <c r="EN233" s="239">
        <v>-4990</v>
      </c>
      <c r="EO233" s="239">
        <v>0</v>
      </c>
      <c r="EP233" s="239">
        <v>-4990</v>
      </c>
      <c r="EQ233" s="239">
        <v>-47712</v>
      </c>
      <c r="ER233" s="239">
        <v>0</v>
      </c>
      <c r="ES233" s="239">
        <v>-47712</v>
      </c>
      <c r="ET233" s="239">
        <v>0</v>
      </c>
      <c r="EU233" s="239">
        <v>0</v>
      </c>
      <c r="EV233" s="239">
        <v>0</v>
      </c>
      <c r="EW233" s="239">
        <v>0</v>
      </c>
      <c r="EX233" s="239">
        <v>0</v>
      </c>
      <c r="EY233" s="239">
        <v>0</v>
      </c>
      <c r="EZ233" s="239">
        <v>0</v>
      </c>
      <c r="FA233" s="239">
        <v>0</v>
      </c>
      <c r="FB233" s="239">
        <v>0</v>
      </c>
      <c r="FC233" s="239">
        <v>43650172</v>
      </c>
      <c r="FD233" s="239">
        <v>0</v>
      </c>
      <c r="FE233" s="239">
        <v>43650172</v>
      </c>
      <c r="FF233" s="239">
        <v>106312</v>
      </c>
      <c r="FG233" s="239">
        <v>0</v>
      </c>
      <c r="FH233" s="239">
        <v>106312</v>
      </c>
      <c r="FI233" s="239">
        <v>-2062320</v>
      </c>
      <c r="FJ233" s="239">
        <v>0</v>
      </c>
      <c r="FK233" s="239">
        <v>-2062320</v>
      </c>
      <c r="FL233" s="239">
        <v>-578237</v>
      </c>
      <c r="FM233" s="239">
        <v>0</v>
      </c>
      <c r="FN233" s="239">
        <v>-578237</v>
      </c>
      <c r="FO233" s="239">
        <v>-145206</v>
      </c>
      <c r="FP233" s="239">
        <v>0</v>
      </c>
      <c r="FQ233" s="239">
        <v>-145206</v>
      </c>
      <c r="FR233" s="239">
        <v>-47712</v>
      </c>
      <c r="FS233" s="239">
        <v>0</v>
      </c>
      <c r="FT233" s="239">
        <v>-47712</v>
      </c>
      <c r="FU233" s="239">
        <v>0</v>
      </c>
      <c r="FV233" s="239">
        <v>0</v>
      </c>
      <c r="FW233" s="239">
        <v>0</v>
      </c>
      <c r="FX233" s="239">
        <v>-2727163</v>
      </c>
      <c r="FY233" s="239">
        <v>0</v>
      </c>
      <c r="FZ233" s="239">
        <v>-2727163</v>
      </c>
      <c r="GA233" s="239">
        <v>40923009</v>
      </c>
      <c r="GB233" s="239">
        <v>0</v>
      </c>
      <c r="GC233" s="239">
        <v>40923009</v>
      </c>
      <c r="GD233" s="214" t="s">
        <v>1190</v>
      </c>
    </row>
    <row r="234" spans="2:186" s="214" customFormat="1" x14ac:dyDescent="0.2">
      <c r="B234" s="609" t="s">
        <v>550</v>
      </c>
      <c r="C234" s="609" t="s">
        <v>549</v>
      </c>
      <c r="D234" s="239">
        <v>0</v>
      </c>
      <c r="E234" s="239">
        <v>0</v>
      </c>
      <c r="F234" s="239">
        <v>0</v>
      </c>
      <c r="G234" s="239">
        <v>21030</v>
      </c>
      <c r="H234" s="239">
        <v>0</v>
      </c>
      <c r="I234" s="239">
        <v>21030</v>
      </c>
      <c r="J234" s="239">
        <v>0</v>
      </c>
      <c r="K234" s="239">
        <v>0</v>
      </c>
      <c r="L234" s="239">
        <v>0</v>
      </c>
      <c r="M234" s="239">
        <v>9824</v>
      </c>
      <c r="N234" s="239">
        <v>0</v>
      </c>
      <c r="O234" s="239">
        <v>9824</v>
      </c>
      <c r="P234" s="239">
        <v>30854</v>
      </c>
      <c r="Q234" s="239">
        <v>0</v>
      </c>
      <c r="R234" s="239">
        <v>30854</v>
      </c>
      <c r="S234" s="239">
        <v>-2532970</v>
      </c>
      <c r="T234" s="239">
        <v>0</v>
      </c>
      <c r="U234" s="239">
        <v>-2532970</v>
      </c>
      <c r="V234" s="239">
        <v>-11913</v>
      </c>
      <c r="W234" s="239">
        <v>0</v>
      </c>
      <c r="X234" s="239">
        <v>-11913</v>
      </c>
      <c r="Y234" s="239">
        <v>-258533</v>
      </c>
      <c r="Z234" s="239">
        <v>0</v>
      </c>
      <c r="AA234" s="239">
        <v>-258533</v>
      </c>
      <c r="AB234" s="239">
        <v>-207303</v>
      </c>
      <c r="AC234" s="239">
        <v>0</v>
      </c>
      <c r="AD234" s="239">
        <v>-207303</v>
      </c>
      <c r="AE234" s="239">
        <v>1911</v>
      </c>
      <c r="AF234" s="239">
        <v>0</v>
      </c>
      <c r="AG234" s="239">
        <v>1911</v>
      </c>
      <c r="AH234" s="239">
        <v>935762</v>
      </c>
      <c r="AI234" s="239">
        <v>0</v>
      </c>
      <c r="AJ234" s="239">
        <v>935762</v>
      </c>
      <c r="AK234" s="239">
        <v>-10142</v>
      </c>
      <c r="AL234" s="239">
        <v>0</v>
      </c>
      <c r="AM234" s="239">
        <v>-10142</v>
      </c>
      <c r="AN234" s="239">
        <v>-2682393</v>
      </c>
      <c r="AO234" s="239">
        <v>0</v>
      </c>
      <c r="AP234" s="239">
        <v>-2682393</v>
      </c>
      <c r="AQ234" s="239">
        <v>-57290</v>
      </c>
      <c r="AR234" s="239">
        <v>0</v>
      </c>
      <c r="AS234" s="239">
        <v>-57290</v>
      </c>
      <c r="AT234" s="239">
        <v>-88777</v>
      </c>
      <c r="AU234" s="239">
        <v>0</v>
      </c>
      <c r="AV234" s="239">
        <v>-88777</v>
      </c>
      <c r="AW234" s="239">
        <v>0</v>
      </c>
      <c r="AX234" s="239">
        <v>0</v>
      </c>
      <c r="AY234" s="239">
        <v>0</v>
      </c>
      <c r="AZ234" s="239">
        <v>-14032</v>
      </c>
      <c r="BA234" s="239">
        <v>0</v>
      </c>
      <c r="BB234" s="239">
        <v>-14032</v>
      </c>
      <c r="BC234" s="239">
        <v>253</v>
      </c>
      <c r="BD234" s="239">
        <v>0</v>
      </c>
      <c r="BE234" s="239">
        <v>253</v>
      </c>
      <c r="BF234" s="239">
        <v>-4708122</v>
      </c>
      <c r="BG234" s="239">
        <v>0</v>
      </c>
      <c r="BH234" s="239">
        <v>-4708122</v>
      </c>
      <c r="BI234" s="239">
        <v>0</v>
      </c>
      <c r="BJ234" s="239">
        <v>0</v>
      </c>
      <c r="BK234" s="239">
        <v>0</v>
      </c>
      <c r="BL234" s="239">
        <v>0</v>
      </c>
      <c r="BM234" s="239">
        <v>0</v>
      </c>
      <c r="BN234" s="239">
        <v>0</v>
      </c>
      <c r="BO234" s="239">
        <v>-1201164</v>
      </c>
      <c r="BP234" s="239">
        <v>0</v>
      </c>
      <c r="BQ234" s="239">
        <v>-1201164</v>
      </c>
      <c r="BR234" s="239">
        <v>-235471</v>
      </c>
      <c r="BS234" s="239">
        <v>0</v>
      </c>
      <c r="BT234" s="239">
        <v>-235471</v>
      </c>
      <c r="BU234" s="239">
        <v>-1436635</v>
      </c>
      <c r="BV234" s="239">
        <v>0</v>
      </c>
      <c r="BW234" s="239">
        <v>-1436635</v>
      </c>
      <c r="BX234" s="239">
        <v>-122218</v>
      </c>
      <c r="BY234" s="239">
        <v>0</v>
      </c>
      <c r="BZ234" s="239">
        <v>-122218</v>
      </c>
      <c r="CA234" s="239">
        <v>4194</v>
      </c>
      <c r="CB234" s="239">
        <v>0</v>
      </c>
      <c r="CC234" s="239">
        <v>4194</v>
      </c>
      <c r="CD234" s="239">
        <v>-42305</v>
      </c>
      <c r="CE234" s="239">
        <v>0</v>
      </c>
      <c r="CF234" s="239">
        <v>-42305</v>
      </c>
      <c r="CG234" s="239">
        <v>0</v>
      </c>
      <c r="CH234" s="239">
        <v>0</v>
      </c>
      <c r="CI234" s="239">
        <v>0</v>
      </c>
      <c r="CJ234" s="239">
        <v>0</v>
      </c>
      <c r="CK234" s="239">
        <v>0</v>
      </c>
      <c r="CL234" s="239">
        <v>0</v>
      </c>
      <c r="CM234" s="239">
        <v>0</v>
      </c>
      <c r="CN234" s="239">
        <v>0</v>
      </c>
      <c r="CO234" s="239">
        <v>0</v>
      </c>
      <c r="CP234" s="239">
        <v>-1291</v>
      </c>
      <c r="CQ234" s="239">
        <v>0</v>
      </c>
      <c r="CR234" s="239">
        <v>-1291</v>
      </c>
      <c r="CS234" s="239">
        <v>0</v>
      </c>
      <c r="CT234" s="239">
        <v>0</v>
      </c>
      <c r="CU234" s="239">
        <v>0</v>
      </c>
      <c r="CV234" s="239">
        <v>-7335</v>
      </c>
      <c r="CW234" s="239">
        <v>0</v>
      </c>
      <c r="CX234" s="239">
        <v>-7335</v>
      </c>
      <c r="CY234" s="239">
        <v>-899</v>
      </c>
      <c r="CZ234" s="239">
        <v>0</v>
      </c>
      <c r="DA234" s="239">
        <v>-899</v>
      </c>
      <c r="DB234" s="239">
        <v>0</v>
      </c>
      <c r="DC234" s="239">
        <v>0</v>
      </c>
      <c r="DD234" s="239">
        <v>0</v>
      </c>
      <c r="DE234" s="239">
        <v>0</v>
      </c>
      <c r="DF234" s="239">
        <v>0</v>
      </c>
      <c r="DG234" s="239">
        <v>0</v>
      </c>
      <c r="DH234" s="239">
        <v>0</v>
      </c>
      <c r="DI234" s="239">
        <v>0</v>
      </c>
      <c r="DJ234" s="239">
        <v>-169854</v>
      </c>
      <c r="DK234" s="239">
        <v>0</v>
      </c>
      <c r="DL234" s="239">
        <v>-169854</v>
      </c>
      <c r="DM234" s="239">
        <v>-12429</v>
      </c>
      <c r="DN234" s="239">
        <v>0</v>
      </c>
      <c r="DO234" s="239">
        <v>-12429</v>
      </c>
      <c r="DP234" s="239">
        <v>-1094</v>
      </c>
      <c r="DQ234" s="239">
        <v>0</v>
      </c>
      <c r="DR234" s="239">
        <v>-1094</v>
      </c>
      <c r="DS234" s="239">
        <v>-3751</v>
      </c>
      <c r="DT234" s="239">
        <v>0</v>
      </c>
      <c r="DU234" s="239">
        <v>-3751</v>
      </c>
      <c r="DV234" s="239">
        <v>-285</v>
      </c>
      <c r="DW234" s="239">
        <v>0</v>
      </c>
      <c r="DX234" s="239">
        <v>-285</v>
      </c>
      <c r="DY234" s="239">
        <v>0</v>
      </c>
      <c r="DZ234" s="239">
        <v>0</v>
      </c>
      <c r="EA234" s="239">
        <v>0</v>
      </c>
      <c r="EB234" s="239">
        <v>-13148</v>
      </c>
      <c r="EC234" s="239">
        <v>0</v>
      </c>
      <c r="ED234" s="239">
        <v>-13148</v>
      </c>
      <c r="EE234" s="239">
        <v>0</v>
      </c>
      <c r="EF234" s="239">
        <v>0</v>
      </c>
      <c r="EG234" s="239">
        <v>0</v>
      </c>
      <c r="EH234" s="239">
        <v>0</v>
      </c>
      <c r="EI234" s="239">
        <v>0</v>
      </c>
      <c r="EJ234" s="239">
        <v>0</v>
      </c>
      <c r="EK234" s="239">
        <v>-2329</v>
      </c>
      <c r="EL234" s="239">
        <v>0</v>
      </c>
      <c r="EM234" s="239">
        <v>-2329</v>
      </c>
      <c r="EN234" s="239">
        <v>0</v>
      </c>
      <c r="EO234" s="239">
        <v>0</v>
      </c>
      <c r="EP234" s="239">
        <v>0</v>
      </c>
      <c r="EQ234" s="239">
        <v>-33036</v>
      </c>
      <c r="ER234" s="239">
        <v>0</v>
      </c>
      <c r="ES234" s="239">
        <v>-33036</v>
      </c>
      <c r="ET234" s="239">
        <v>0</v>
      </c>
      <c r="EU234" s="239">
        <v>0</v>
      </c>
      <c r="EV234" s="239">
        <v>0</v>
      </c>
      <c r="EW234" s="239">
        <v>0</v>
      </c>
      <c r="EX234" s="239">
        <v>0</v>
      </c>
      <c r="EY234" s="239">
        <v>0</v>
      </c>
      <c r="EZ234" s="239">
        <v>0</v>
      </c>
      <c r="FA234" s="239">
        <v>0</v>
      </c>
      <c r="FB234" s="239">
        <v>0</v>
      </c>
      <c r="FC234" s="239">
        <v>42639630</v>
      </c>
      <c r="FD234" s="239">
        <v>0</v>
      </c>
      <c r="FE234" s="239">
        <v>42639630</v>
      </c>
      <c r="FF234" s="239">
        <v>30854</v>
      </c>
      <c r="FG234" s="239">
        <v>0</v>
      </c>
      <c r="FH234" s="239">
        <v>30854</v>
      </c>
      <c r="FI234" s="239">
        <v>-4708122</v>
      </c>
      <c r="FJ234" s="239">
        <v>0</v>
      </c>
      <c r="FK234" s="239">
        <v>-4708122</v>
      </c>
      <c r="FL234" s="239">
        <v>-1436635</v>
      </c>
      <c r="FM234" s="239">
        <v>0</v>
      </c>
      <c r="FN234" s="239">
        <v>-1436635</v>
      </c>
      <c r="FO234" s="239">
        <v>-169854</v>
      </c>
      <c r="FP234" s="239">
        <v>0</v>
      </c>
      <c r="FQ234" s="239">
        <v>-169854</v>
      </c>
      <c r="FR234" s="239">
        <v>-33036</v>
      </c>
      <c r="FS234" s="239">
        <v>0</v>
      </c>
      <c r="FT234" s="239">
        <v>-33036</v>
      </c>
      <c r="FU234" s="239">
        <v>0</v>
      </c>
      <c r="FV234" s="239">
        <v>0</v>
      </c>
      <c r="FW234" s="239">
        <v>0</v>
      </c>
      <c r="FX234" s="239">
        <v>-6316793</v>
      </c>
      <c r="FY234" s="239">
        <v>0</v>
      </c>
      <c r="FZ234" s="239">
        <v>-6316793</v>
      </c>
      <c r="GA234" s="239">
        <v>36322837</v>
      </c>
      <c r="GB234" s="239">
        <v>0</v>
      </c>
      <c r="GC234" s="239">
        <v>36322837</v>
      </c>
      <c r="GD234" s="214" t="s">
        <v>1190</v>
      </c>
    </row>
    <row r="235" spans="2:186" s="214" customFormat="1" x14ac:dyDescent="0.2">
      <c r="B235" s="609" t="s">
        <v>552</v>
      </c>
      <c r="C235" s="609" t="s">
        <v>551</v>
      </c>
      <c r="D235" s="239">
        <v>0</v>
      </c>
      <c r="E235" s="239">
        <v>0</v>
      </c>
      <c r="F235" s="239">
        <v>0</v>
      </c>
      <c r="G235" s="239">
        <v>108081</v>
      </c>
      <c r="H235" s="239">
        <v>0</v>
      </c>
      <c r="I235" s="239">
        <v>108081</v>
      </c>
      <c r="J235" s="239">
        <v>0</v>
      </c>
      <c r="K235" s="239">
        <v>0</v>
      </c>
      <c r="L235" s="239">
        <v>0</v>
      </c>
      <c r="M235" s="239">
        <v>399438</v>
      </c>
      <c r="N235" s="239">
        <v>-1182</v>
      </c>
      <c r="O235" s="239">
        <v>398256</v>
      </c>
      <c r="P235" s="239">
        <v>507519</v>
      </c>
      <c r="Q235" s="239">
        <v>-1182</v>
      </c>
      <c r="R235" s="239">
        <v>506337</v>
      </c>
      <c r="S235" s="239">
        <v>-11858885</v>
      </c>
      <c r="T235" s="239">
        <v>-17136</v>
      </c>
      <c r="U235" s="239">
        <v>-11876021</v>
      </c>
      <c r="V235" s="239">
        <v>0</v>
      </c>
      <c r="W235" s="239">
        <v>0</v>
      </c>
      <c r="X235" s="239">
        <v>0</v>
      </c>
      <c r="Y235" s="239">
        <v>-446825</v>
      </c>
      <c r="Z235" s="239">
        <v>390</v>
      </c>
      <c r="AA235" s="239">
        <v>-446435</v>
      </c>
      <c r="AB235" s="239">
        <v>-446825</v>
      </c>
      <c r="AC235" s="239">
        <v>390</v>
      </c>
      <c r="AD235" s="239">
        <v>-446435</v>
      </c>
      <c r="AE235" s="239">
        <v>0</v>
      </c>
      <c r="AF235" s="239">
        <v>0</v>
      </c>
      <c r="AG235" s="239">
        <v>0</v>
      </c>
      <c r="AH235" s="239">
        <v>6037961</v>
      </c>
      <c r="AI235" s="239">
        <v>110472</v>
      </c>
      <c r="AJ235" s="239">
        <v>6148433</v>
      </c>
      <c r="AK235" s="239">
        <v>-3180</v>
      </c>
      <c r="AL235" s="239">
        <v>712</v>
      </c>
      <c r="AM235" s="239">
        <v>-2468</v>
      </c>
      <c r="AN235" s="239">
        <v>-20515268</v>
      </c>
      <c r="AO235" s="239">
        <v>-178669</v>
      </c>
      <c r="AP235" s="239">
        <v>-20693937</v>
      </c>
      <c r="AQ235" s="239">
        <v>277679</v>
      </c>
      <c r="AR235" s="239">
        <v>-42950</v>
      </c>
      <c r="AS235" s="239">
        <v>234729</v>
      </c>
      <c r="AT235" s="239">
        <v>-25124</v>
      </c>
      <c r="AU235" s="239">
        <v>0</v>
      </c>
      <c r="AV235" s="239">
        <v>-25124</v>
      </c>
      <c r="AW235" s="239">
        <v>0</v>
      </c>
      <c r="AX235" s="239">
        <v>0</v>
      </c>
      <c r="AY235" s="239">
        <v>0</v>
      </c>
      <c r="AZ235" s="239">
        <v>0</v>
      </c>
      <c r="BA235" s="239">
        <v>0</v>
      </c>
      <c r="BB235" s="239">
        <v>0</v>
      </c>
      <c r="BC235" s="239">
        <v>0</v>
      </c>
      <c r="BD235" s="239">
        <v>0</v>
      </c>
      <c r="BE235" s="239">
        <v>0</v>
      </c>
      <c r="BF235" s="239">
        <v>-26533642</v>
      </c>
      <c r="BG235" s="239">
        <v>-127181</v>
      </c>
      <c r="BH235" s="239">
        <v>-26660823</v>
      </c>
      <c r="BI235" s="239">
        <v>-101158</v>
      </c>
      <c r="BJ235" s="239">
        <v>-5436</v>
      </c>
      <c r="BK235" s="239">
        <v>-106594</v>
      </c>
      <c r="BL235" s="239">
        <v>-83241</v>
      </c>
      <c r="BM235" s="239">
        <v>0</v>
      </c>
      <c r="BN235" s="239">
        <v>-83241</v>
      </c>
      <c r="BO235" s="239">
        <v>-8546681</v>
      </c>
      <c r="BP235" s="239">
        <v>-378481</v>
      </c>
      <c r="BQ235" s="239">
        <v>-8925162</v>
      </c>
      <c r="BR235" s="239">
        <v>-74179</v>
      </c>
      <c r="BS235" s="239">
        <v>-2523</v>
      </c>
      <c r="BT235" s="239">
        <v>-76702</v>
      </c>
      <c r="BU235" s="239">
        <v>-8805259</v>
      </c>
      <c r="BV235" s="239">
        <v>-386440</v>
      </c>
      <c r="BW235" s="239">
        <v>-9191699</v>
      </c>
      <c r="BX235" s="239">
        <v>0</v>
      </c>
      <c r="BY235" s="239">
        <v>0</v>
      </c>
      <c r="BZ235" s="239">
        <v>0</v>
      </c>
      <c r="CA235" s="239">
        <v>0</v>
      </c>
      <c r="CB235" s="239">
        <v>0</v>
      </c>
      <c r="CC235" s="239">
        <v>0</v>
      </c>
      <c r="CD235" s="239">
        <v>-270571</v>
      </c>
      <c r="CE235" s="239">
        <v>-9940</v>
      </c>
      <c r="CF235" s="239">
        <v>-280511</v>
      </c>
      <c r="CG235" s="239">
        <v>5033</v>
      </c>
      <c r="CH235" s="239">
        <v>-3394</v>
      </c>
      <c r="CI235" s="239">
        <v>1639</v>
      </c>
      <c r="CJ235" s="239">
        <v>0</v>
      </c>
      <c r="CK235" s="239">
        <v>0</v>
      </c>
      <c r="CL235" s="239">
        <v>0</v>
      </c>
      <c r="CM235" s="239">
        <v>0</v>
      </c>
      <c r="CN235" s="239">
        <v>0</v>
      </c>
      <c r="CO235" s="239">
        <v>0</v>
      </c>
      <c r="CP235" s="239">
        <v>0</v>
      </c>
      <c r="CQ235" s="239">
        <v>0</v>
      </c>
      <c r="CR235" s="239">
        <v>0</v>
      </c>
      <c r="CS235" s="239">
        <v>0</v>
      </c>
      <c r="CT235" s="239">
        <v>0</v>
      </c>
      <c r="CU235" s="239">
        <v>0</v>
      </c>
      <c r="CV235" s="239">
        <v>0</v>
      </c>
      <c r="CW235" s="239">
        <v>0</v>
      </c>
      <c r="CX235" s="239">
        <v>0</v>
      </c>
      <c r="CY235" s="239">
        <v>0</v>
      </c>
      <c r="CZ235" s="239">
        <v>0</v>
      </c>
      <c r="DA235" s="239">
        <v>0</v>
      </c>
      <c r="DB235" s="239">
        <v>-24022</v>
      </c>
      <c r="DC235" s="239">
        <v>-55000</v>
      </c>
      <c r="DD235" s="239">
        <v>-79022</v>
      </c>
      <c r="DE235" s="239">
        <v>-12297</v>
      </c>
      <c r="DF235" s="239">
        <v>0</v>
      </c>
      <c r="DG235" s="239">
        <v>-12297</v>
      </c>
      <c r="DH235" s="239">
        <v>-55000</v>
      </c>
      <c r="DI235" s="239">
        <v>0</v>
      </c>
      <c r="DJ235" s="239">
        <v>-301857</v>
      </c>
      <c r="DK235" s="239">
        <v>-68334</v>
      </c>
      <c r="DL235" s="239">
        <v>-370191</v>
      </c>
      <c r="DM235" s="239">
        <v>0</v>
      </c>
      <c r="DN235" s="239">
        <v>0</v>
      </c>
      <c r="DO235" s="239">
        <v>0</v>
      </c>
      <c r="DP235" s="239">
        <v>0</v>
      </c>
      <c r="DQ235" s="239">
        <v>0</v>
      </c>
      <c r="DR235" s="239">
        <v>0</v>
      </c>
      <c r="DS235" s="239">
        <v>-138350</v>
      </c>
      <c r="DT235" s="239">
        <v>0</v>
      </c>
      <c r="DU235" s="239">
        <v>-138350</v>
      </c>
      <c r="DV235" s="239">
        <v>-316</v>
      </c>
      <c r="DW235" s="239">
        <v>2494</v>
      </c>
      <c r="DX235" s="239">
        <v>2178</v>
      </c>
      <c r="DY235" s="239">
        <v>0</v>
      </c>
      <c r="DZ235" s="239">
        <v>0</v>
      </c>
      <c r="EA235" s="239">
        <v>0</v>
      </c>
      <c r="EB235" s="239">
        <v>-21831</v>
      </c>
      <c r="EC235" s="239">
        <v>0</v>
      </c>
      <c r="ED235" s="239">
        <v>-21831</v>
      </c>
      <c r="EE235" s="239">
        <v>0</v>
      </c>
      <c r="EF235" s="239">
        <v>0</v>
      </c>
      <c r="EG235" s="239">
        <v>0</v>
      </c>
      <c r="EH235" s="239">
        <v>0</v>
      </c>
      <c r="EI235" s="239">
        <v>0</v>
      </c>
      <c r="EJ235" s="239">
        <v>0</v>
      </c>
      <c r="EK235" s="239">
        <v>0</v>
      </c>
      <c r="EL235" s="239">
        <v>0</v>
      </c>
      <c r="EM235" s="239">
        <v>0</v>
      </c>
      <c r="EN235" s="239">
        <v>0</v>
      </c>
      <c r="EO235" s="239">
        <v>0</v>
      </c>
      <c r="EP235" s="239">
        <v>0</v>
      </c>
      <c r="EQ235" s="239">
        <v>-160497</v>
      </c>
      <c r="ER235" s="239">
        <v>2494</v>
      </c>
      <c r="ES235" s="239">
        <v>-158003</v>
      </c>
      <c r="ET235" s="239">
        <v>0</v>
      </c>
      <c r="EU235" s="239">
        <v>0</v>
      </c>
      <c r="EV235" s="239">
        <v>0</v>
      </c>
      <c r="EW235" s="239">
        <v>0</v>
      </c>
      <c r="EX235" s="239">
        <v>0</v>
      </c>
      <c r="EY235" s="239">
        <v>0</v>
      </c>
      <c r="EZ235" s="239">
        <v>0</v>
      </c>
      <c r="FA235" s="239">
        <v>0</v>
      </c>
      <c r="FB235" s="239">
        <v>0</v>
      </c>
      <c r="FC235" s="239">
        <v>249392074</v>
      </c>
      <c r="FD235" s="239">
        <v>4202826</v>
      </c>
      <c r="FE235" s="239">
        <v>253594900</v>
      </c>
      <c r="FF235" s="239">
        <v>507519</v>
      </c>
      <c r="FG235" s="239">
        <v>-1182</v>
      </c>
      <c r="FH235" s="239">
        <v>506337</v>
      </c>
      <c r="FI235" s="239">
        <v>-26533642</v>
      </c>
      <c r="FJ235" s="239">
        <v>-127181</v>
      </c>
      <c r="FK235" s="239">
        <v>-26660823</v>
      </c>
      <c r="FL235" s="239">
        <v>-8805259</v>
      </c>
      <c r="FM235" s="239">
        <v>-386440</v>
      </c>
      <c r="FN235" s="239">
        <v>-9191699</v>
      </c>
      <c r="FO235" s="239">
        <v>-301857</v>
      </c>
      <c r="FP235" s="239">
        <v>-68334</v>
      </c>
      <c r="FQ235" s="239">
        <v>-370191</v>
      </c>
      <c r="FR235" s="239">
        <v>-160497</v>
      </c>
      <c r="FS235" s="239">
        <v>2494</v>
      </c>
      <c r="FT235" s="239">
        <v>-158003</v>
      </c>
      <c r="FU235" s="239">
        <v>0</v>
      </c>
      <c r="FV235" s="239">
        <v>0</v>
      </c>
      <c r="FW235" s="239">
        <v>0</v>
      </c>
      <c r="FX235" s="239">
        <v>-35293736</v>
      </c>
      <c r="FY235" s="239">
        <v>-580643</v>
      </c>
      <c r="FZ235" s="239">
        <v>-35874379</v>
      </c>
      <c r="GA235" s="239">
        <v>214098338</v>
      </c>
      <c r="GB235" s="239">
        <v>3622183</v>
      </c>
      <c r="GC235" s="239">
        <v>217720521</v>
      </c>
      <c r="GD235" s="214" t="s">
        <v>1192</v>
      </c>
    </row>
    <row r="236" spans="2:186" s="214" customFormat="1" x14ac:dyDescent="0.2">
      <c r="B236" s="609" t="s">
        <v>554</v>
      </c>
      <c r="C236" s="609" t="s">
        <v>553</v>
      </c>
      <c r="D236" s="239">
        <v>0</v>
      </c>
      <c r="E236" s="239">
        <v>0</v>
      </c>
      <c r="F236" s="239">
        <v>0</v>
      </c>
      <c r="G236" s="239">
        <v>14116</v>
      </c>
      <c r="H236" s="239">
        <v>0</v>
      </c>
      <c r="I236" s="239">
        <v>14116</v>
      </c>
      <c r="J236" s="239">
        <v>0</v>
      </c>
      <c r="K236" s="239">
        <v>0</v>
      </c>
      <c r="L236" s="239">
        <v>0</v>
      </c>
      <c r="M236" s="239">
        <v>52022</v>
      </c>
      <c r="N236" s="239">
        <v>0</v>
      </c>
      <c r="O236" s="239">
        <v>52022</v>
      </c>
      <c r="P236" s="239">
        <v>66138</v>
      </c>
      <c r="Q236" s="239">
        <v>0</v>
      </c>
      <c r="R236" s="239">
        <v>66138</v>
      </c>
      <c r="S236" s="239">
        <v>-2947275</v>
      </c>
      <c r="T236" s="239">
        <v>0</v>
      </c>
      <c r="U236" s="239">
        <v>-2947275</v>
      </c>
      <c r="V236" s="239">
        <v>-11093</v>
      </c>
      <c r="W236" s="239">
        <v>0</v>
      </c>
      <c r="X236" s="239">
        <v>-11093</v>
      </c>
      <c r="Y236" s="239">
        <v>-169164</v>
      </c>
      <c r="Z236" s="239">
        <v>0</v>
      </c>
      <c r="AA236" s="239">
        <v>-169164</v>
      </c>
      <c r="AB236" s="239">
        <v>-121164</v>
      </c>
      <c r="AC236" s="239">
        <v>0</v>
      </c>
      <c r="AD236" s="239">
        <v>-121164</v>
      </c>
      <c r="AE236" s="239">
        <v>-1894</v>
      </c>
      <c r="AF236" s="239">
        <v>0</v>
      </c>
      <c r="AG236" s="239">
        <v>-1894</v>
      </c>
      <c r="AH236" s="239">
        <v>772383</v>
      </c>
      <c r="AI236" s="239">
        <v>0</v>
      </c>
      <c r="AJ236" s="239">
        <v>772383</v>
      </c>
      <c r="AK236" s="239">
        <v>-1995</v>
      </c>
      <c r="AL236" s="239">
        <v>0</v>
      </c>
      <c r="AM236" s="239">
        <v>-1995</v>
      </c>
      <c r="AN236" s="239">
        <v>-2486152</v>
      </c>
      <c r="AO236" s="239">
        <v>0</v>
      </c>
      <c r="AP236" s="239">
        <v>-2486152</v>
      </c>
      <c r="AQ236" s="239">
        <v>22494</v>
      </c>
      <c r="AR236" s="239">
        <v>0</v>
      </c>
      <c r="AS236" s="239">
        <v>22494</v>
      </c>
      <c r="AT236" s="239">
        <v>-94661</v>
      </c>
      <c r="AU236" s="239">
        <v>0</v>
      </c>
      <c r="AV236" s="239">
        <v>-94661</v>
      </c>
      <c r="AW236" s="239">
        <v>59</v>
      </c>
      <c r="AX236" s="239">
        <v>0</v>
      </c>
      <c r="AY236" s="239">
        <v>59</v>
      </c>
      <c r="AZ236" s="239">
        <v>-21056</v>
      </c>
      <c r="BA236" s="239">
        <v>0</v>
      </c>
      <c r="BB236" s="239">
        <v>-21056</v>
      </c>
      <c r="BC236" s="239">
        <v>0</v>
      </c>
      <c r="BD236" s="239">
        <v>0</v>
      </c>
      <c r="BE236" s="239">
        <v>0</v>
      </c>
      <c r="BF236" s="239">
        <v>-4925367</v>
      </c>
      <c r="BG236" s="239">
        <v>0</v>
      </c>
      <c r="BH236" s="239">
        <v>-4925367</v>
      </c>
      <c r="BI236" s="239">
        <v>-22096</v>
      </c>
      <c r="BJ236" s="239">
        <v>0</v>
      </c>
      <c r="BK236" s="239">
        <v>-22096</v>
      </c>
      <c r="BL236" s="239">
        <v>-299</v>
      </c>
      <c r="BM236" s="239">
        <v>0</v>
      </c>
      <c r="BN236" s="239">
        <v>-299</v>
      </c>
      <c r="BO236" s="239">
        <v>-862218</v>
      </c>
      <c r="BP236" s="239">
        <v>0</v>
      </c>
      <c r="BQ236" s="239">
        <v>-862218</v>
      </c>
      <c r="BR236" s="239">
        <v>43199</v>
      </c>
      <c r="BS236" s="239">
        <v>0</v>
      </c>
      <c r="BT236" s="239">
        <v>43199</v>
      </c>
      <c r="BU236" s="239">
        <v>-841414</v>
      </c>
      <c r="BV236" s="239">
        <v>0</v>
      </c>
      <c r="BW236" s="239">
        <v>-841414</v>
      </c>
      <c r="BX236" s="239">
        <v>-66167</v>
      </c>
      <c r="BY236" s="239">
        <v>0</v>
      </c>
      <c r="BZ236" s="239">
        <v>-66167</v>
      </c>
      <c r="CA236" s="239">
        <v>-1759</v>
      </c>
      <c r="CB236" s="239">
        <v>0</v>
      </c>
      <c r="CC236" s="239">
        <v>-1759</v>
      </c>
      <c r="CD236" s="239">
        <v>-3570</v>
      </c>
      <c r="CE236" s="239">
        <v>0</v>
      </c>
      <c r="CF236" s="239">
        <v>-3570</v>
      </c>
      <c r="CG236" s="239">
        <v>0</v>
      </c>
      <c r="CH236" s="239">
        <v>0</v>
      </c>
      <c r="CI236" s="239">
        <v>0</v>
      </c>
      <c r="CJ236" s="239">
        <v>-1327</v>
      </c>
      <c r="CK236" s="239">
        <v>0</v>
      </c>
      <c r="CL236" s="239">
        <v>-1327</v>
      </c>
      <c r="CM236" s="239">
        <v>0</v>
      </c>
      <c r="CN236" s="239">
        <v>0</v>
      </c>
      <c r="CO236" s="239">
        <v>0</v>
      </c>
      <c r="CP236" s="239">
        <v>0</v>
      </c>
      <c r="CQ236" s="239">
        <v>0</v>
      </c>
      <c r="CR236" s="239">
        <v>0</v>
      </c>
      <c r="CS236" s="239">
        <v>0</v>
      </c>
      <c r="CT236" s="239">
        <v>0</v>
      </c>
      <c r="CU236" s="239">
        <v>0</v>
      </c>
      <c r="CV236" s="239">
        <v>0</v>
      </c>
      <c r="CW236" s="239">
        <v>0</v>
      </c>
      <c r="CX236" s="239">
        <v>0</v>
      </c>
      <c r="CY236" s="239">
        <v>0</v>
      </c>
      <c r="CZ236" s="239">
        <v>0</v>
      </c>
      <c r="DA236" s="239">
        <v>0</v>
      </c>
      <c r="DB236" s="239">
        <v>-130520</v>
      </c>
      <c r="DC236" s="239">
        <v>0</v>
      </c>
      <c r="DD236" s="239">
        <v>-130520</v>
      </c>
      <c r="DE236" s="239">
        <v>-31879</v>
      </c>
      <c r="DF236" s="239">
        <v>0</v>
      </c>
      <c r="DG236" s="239">
        <v>-31879</v>
      </c>
      <c r="DH236" s="239">
        <v>0</v>
      </c>
      <c r="DI236" s="239">
        <v>0</v>
      </c>
      <c r="DJ236" s="239">
        <v>-235222</v>
      </c>
      <c r="DK236" s="239">
        <v>0</v>
      </c>
      <c r="DL236" s="239">
        <v>-235222</v>
      </c>
      <c r="DM236" s="239">
        <v>0</v>
      </c>
      <c r="DN236" s="239">
        <v>0</v>
      </c>
      <c r="DO236" s="239">
        <v>0</v>
      </c>
      <c r="DP236" s="239">
        <v>-2522</v>
      </c>
      <c r="DQ236" s="239">
        <v>0</v>
      </c>
      <c r="DR236" s="239">
        <v>-2522</v>
      </c>
      <c r="DS236" s="239">
        <v>-21306</v>
      </c>
      <c r="DT236" s="239">
        <v>0</v>
      </c>
      <c r="DU236" s="239">
        <v>-21306</v>
      </c>
      <c r="DV236" s="239">
        <v>-828</v>
      </c>
      <c r="DW236" s="239">
        <v>0</v>
      </c>
      <c r="DX236" s="239">
        <v>-828</v>
      </c>
      <c r="DY236" s="239">
        <v>0</v>
      </c>
      <c r="DZ236" s="239">
        <v>0</v>
      </c>
      <c r="EA236" s="239">
        <v>0</v>
      </c>
      <c r="EB236" s="239">
        <v>3801</v>
      </c>
      <c r="EC236" s="239">
        <v>0</v>
      </c>
      <c r="ED236" s="239">
        <v>3801</v>
      </c>
      <c r="EE236" s="239">
        <v>0</v>
      </c>
      <c r="EF236" s="239">
        <v>0</v>
      </c>
      <c r="EG236" s="239">
        <v>0</v>
      </c>
      <c r="EH236" s="239">
        <v>0</v>
      </c>
      <c r="EI236" s="239">
        <v>0</v>
      </c>
      <c r="EJ236" s="239">
        <v>0</v>
      </c>
      <c r="EK236" s="239">
        <v>-8861</v>
      </c>
      <c r="EL236" s="239">
        <v>0</v>
      </c>
      <c r="EM236" s="239">
        <v>-8861</v>
      </c>
      <c r="EN236" s="239">
        <v>379</v>
      </c>
      <c r="EO236" s="239">
        <v>0</v>
      </c>
      <c r="EP236" s="239">
        <v>379</v>
      </c>
      <c r="EQ236" s="239">
        <v>-29337</v>
      </c>
      <c r="ER236" s="239">
        <v>0</v>
      </c>
      <c r="ES236" s="239">
        <v>-29337</v>
      </c>
      <c r="ET236" s="239">
        <v>-5082</v>
      </c>
      <c r="EU236" s="239">
        <v>0</v>
      </c>
      <c r="EV236" s="239">
        <v>-5082</v>
      </c>
      <c r="EW236" s="239">
        <v>0</v>
      </c>
      <c r="EX236" s="239">
        <v>0</v>
      </c>
      <c r="EY236" s="239">
        <v>0</v>
      </c>
      <c r="EZ236" s="239">
        <v>-5082</v>
      </c>
      <c r="FA236" s="239">
        <v>0</v>
      </c>
      <c r="FB236" s="239">
        <v>-5082</v>
      </c>
      <c r="FC236" s="239">
        <v>34791387</v>
      </c>
      <c r="FD236" s="239">
        <v>0</v>
      </c>
      <c r="FE236" s="239">
        <v>34791387</v>
      </c>
      <c r="FF236" s="239">
        <v>66138</v>
      </c>
      <c r="FG236" s="239">
        <v>0</v>
      </c>
      <c r="FH236" s="239">
        <v>66138</v>
      </c>
      <c r="FI236" s="239">
        <v>-4925367</v>
      </c>
      <c r="FJ236" s="239">
        <v>0</v>
      </c>
      <c r="FK236" s="239">
        <v>-4925367</v>
      </c>
      <c r="FL236" s="239">
        <v>-841414</v>
      </c>
      <c r="FM236" s="239">
        <v>0</v>
      </c>
      <c r="FN236" s="239">
        <v>-841414</v>
      </c>
      <c r="FO236" s="239">
        <v>-235222</v>
      </c>
      <c r="FP236" s="239">
        <v>0</v>
      </c>
      <c r="FQ236" s="239">
        <v>-235222</v>
      </c>
      <c r="FR236" s="239">
        <v>-29337</v>
      </c>
      <c r="FS236" s="239">
        <v>0</v>
      </c>
      <c r="FT236" s="239">
        <v>-29337</v>
      </c>
      <c r="FU236" s="239">
        <v>-5082</v>
      </c>
      <c r="FV236" s="239">
        <v>0</v>
      </c>
      <c r="FW236" s="239">
        <v>-5082</v>
      </c>
      <c r="FX236" s="239">
        <v>-5970284</v>
      </c>
      <c r="FY236" s="239">
        <v>0</v>
      </c>
      <c r="FZ236" s="239">
        <v>-5970284</v>
      </c>
      <c r="GA236" s="239">
        <v>28821103</v>
      </c>
      <c r="GB236" s="239">
        <v>0</v>
      </c>
      <c r="GC236" s="239">
        <v>28821103</v>
      </c>
      <c r="GD236" s="214" t="s">
        <v>1190</v>
      </c>
    </row>
    <row r="237" spans="2:186" s="214" customFormat="1" x14ac:dyDescent="0.2">
      <c r="B237" s="609" t="s">
        <v>556</v>
      </c>
      <c r="C237" s="609" t="s">
        <v>555</v>
      </c>
      <c r="D237" s="239">
        <v>0</v>
      </c>
      <c r="E237" s="239">
        <v>0</v>
      </c>
      <c r="F237" s="239">
        <v>0</v>
      </c>
      <c r="G237" s="239">
        <v>-9366</v>
      </c>
      <c r="H237" s="239">
        <v>0</v>
      </c>
      <c r="I237" s="239">
        <v>-9366</v>
      </c>
      <c r="J237" s="239">
        <v>0</v>
      </c>
      <c r="K237" s="239">
        <v>0</v>
      </c>
      <c r="L237" s="239">
        <v>0</v>
      </c>
      <c r="M237" s="239">
        <v>35059</v>
      </c>
      <c r="N237" s="239">
        <v>0</v>
      </c>
      <c r="O237" s="239">
        <v>35059</v>
      </c>
      <c r="P237" s="239">
        <v>25693</v>
      </c>
      <c r="Q237" s="239">
        <v>0</v>
      </c>
      <c r="R237" s="239">
        <v>25693</v>
      </c>
      <c r="S237" s="239">
        <v>-8810702</v>
      </c>
      <c r="T237" s="239">
        <v>0</v>
      </c>
      <c r="U237" s="239">
        <v>-8810702</v>
      </c>
      <c r="V237" s="239">
        <v>-18676</v>
      </c>
      <c r="W237" s="239">
        <v>0</v>
      </c>
      <c r="X237" s="239">
        <v>-18676</v>
      </c>
      <c r="Y237" s="239">
        <v>-610412</v>
      </c>
      <c r="Z237" s="239">
        <v>0</v>
      </c>
      <c r="AA237" s="239">
        <v>-610412</v>
      </c>
      <c r="AB237" s="239">
        <v>-428160</v>
      </c>
      <c r="AC237" s="239">
        <v>0</v>
      </c>
      <c r="AD237" s="239">
        <v>-428160</v>
      </c>
      <c r="AE237" s="239">
        <v>-1737</v>
      </c>
      <c r="AF237" s="239">
        <v>0</v>
      </c>
      <c r="AG237" s="239">
        <v>-1737</v>
      </c>
      <c r="AH237" s="239">
        <v>2053153</v>
      </c>
      <c r="AI237" s="239">
        <v>0</v>
      </c>
      <c r="AJ237" s="239">
        <v>2053153</v>
      </c>
      <c r="AK237" s="239">
        <v>4007</v>
      </c>
      <c r="AL237" s="239">
        <v>0</v>
      </c>
      <c r="AM237" s="239">
        <v>4007</v>
      </c>
      <c r="AN237" s="239">
        <v>-6864919</v>
      </c>
      <c r="AO237" s="239">
        <v>0</v>
      </c>
      <c r="AP237" s="239">
        <v>-6864919</v>
      </c>
      <c r="AQ237" s="239">
        <v>-2400</v>
      </c>
      <c r="AR237" s="239">
        <v>0</v>
      </c>
      <c r="AS237" s="239">
        <v>-2400</v>
      </c>
      <c r="AT237" s="239">
        <v>-134602</v>
      </c>
      <c r="AU237" s="239">
        <v>0</v>
      </c>
      <c r="AV237" s="239">
        <v>-134602</v>
      </c>
      <c r="AW237" s="239">
        <v>3421</v>
      </c>
      <c r="AX237" s="239">
        <v>0</v>
      </c>
      <c r="AY237" s="239">
        <v>3421</v>
      </c>
      <c r="AZ237" s="239">
        <v>-73547</v>
      </c>
      <c r="BA237" s="239">
        <v>0</v>
      </c>
      <c r="BB237" s="239">
        <v>-73547</v>
      </c>
      <c r="BC237" s="239">
        <v>-5594</v>
      </c>
      <c r="BD237" s="239">
        <v>0</v>
      </c>
      <c r="BE237" s="239">
        <v>-5594</v>
      </c>
      <c r="BF237" s="239">
        <v>-14441595</v>
      </c>
      <c r="BG237" s="239">
        <v>0</v>
      </c>
      <c r="BH237" s="239">
        <v>-14441595</v>
      </c>
      <c r="BI237" s="239">
        <v>-1945</v>
      </c>
      <c r="BJ237" s="239">
        <v>0</v>
      </c>
      <c r="BK237" s="239">
        <v>-1945</v>
      </c>
      <c r="BL237" s="239">
        <v>0</v>
      </c>
      <c r="BM237" s="239">
        <v>0</v>
      </c>
      <c r="BN237" s="239">
        <v>0</v>
      </c>
      <c r="BO237" s="239">
        <v>-2444480</v>
      </c>
      <c r="BP237" s="239">
        <v>0</v>
      </c>
      <c r="BQ237" s="239">
        <v>-2444480</v>
      </c>
      <c r="BR237" s="239">
        <v>-126175</v>
      </c>
      <c r="BS237" s="239">
        <v>0</v>
      </c>
      <c r="BT237" s="239">
        <v>-126175</v>
      </c>
      <c r="BU237" s="239">
        <v>-2572600</v>
      </c>
      <c r="BV237" s="239">
        <v>0</v>
      </c>
      <c r="BW237" s="239">
        <v>-2572600</v>
      </c>
      <c r="BX237" s="239">
        <v>-572793</v>
      </c>
      <c r="BY237" s="239">
        <v>0</v>
      </c>
      <c r="BZ237" s="239">
        <v>-572793</v>
      </c>
      <c r="CA237" s="239">
        <v>2479</v>
      </c>
      <c r="CB237" s="239">
        <v>0</v>
      </c>
      <c r="CC237" s="239">
        <v>2479</v>
      </c>
      <c r="CD237" s="239">
        <v>-366248</v>
      </c>
      <c r="CE237" s="239">
        <v>0</v>
      </c>
      <c r="CF237" s="239">
        <v>-366248</v>
      </c>
      <c r="CG237" s="239">
        <v>-18585</v>
      </c>
      <c r="CH237" s="239">
        <v>0</v>
      </c>
      <c r="CI237" s="239">
        <v>-18585</v>
      </c>
      <c r="CJ237" s="239">
        <v>-22239</v>
      </c>
      <c r="CK237" s="239">
        <v>0</v>
      </c>
      <c r="CL237" s="239">
        <v>-22239</v>
      </c>
      <c r="CM237" s="239">
        <v>660</v>
      </c>
      <c r="CN237" s="239">
        <v>0</v>
      </c>
      <c r="CO237" s="239">
        <v>660</v>
      </c>
      <c r="CP237" s="239">
        <v>-8881</v>
      </c>
      <c r="CQ237" s="239">
        <v>0</v>
      </c>
      <c r="CR237" s="239">
        <v>-8881</v>
      </c>
      <c r="CS237" s="239">
        <v>0</v>
      </c>
      <c r="CT237" s="239">
        <v>0</v>
      </c>
      <c r="CU237" s="239">
        <v>0</v>
      </c>
      <c r="CV237" s="239">
        <v>0</v>
      </c>
      <c r="CW237" s="239">
        <v>0</v>
      </c>
      <c r="CX237" s="239">
        <v>0</v>
      </c>
      <c r="CY237" s="239">
        <v>0</v>
      </c>
      <c r="CZ237" s="239">
        <v>0</v>
      </c>
      <c r="DA237" s="239">
        <v>0</v>
      </c>
      <c r="DB237" s="239">
        <v>0</v>
      </c>
      <c r="DC237" s="239">
        <v>0</v>
      </c>
      <c r="DD237" s="239">
        <v>0</v>
      </c>
      <c r="DE237" s="239">
        <v>0</v>
      </c>
      <c r="DF237" s="239">
        <v>0</v>
      </c>
      <c r="DG237" s="239">
        <v>0</v>
      </c>
      <c r="DH237" s="239">
        <v>0</v>
      </c>
      <c r="DI237" s="239">
        <v>0</v>
      </c>
      <c r="DJ237" s="239">
        <v>-985607</v>
      </c>
      <c r="DK237" s="239">
        <v>0</v>
      </c>
      <c r="DL237" s="239">
        <v>-985607</v>
      </c>
      <c r="DM237" s="239">
        <v>-23560</v>
      </c>
      <c r="DN237" s="239">
        <v>0</v>
      </c>
      <c r="DO237" s="239">
        <v>-23560</v>
      </c>
      <c r="DP237" s="239">
        <v>60276</v>
      </c>
      <c r="DQ237" s="239">
        <v>0</v>
      </c>
      <c r="DR237" s="239">
        <v>60276</v>
      </c>
      <c r="DS237" s="239">
        <v>-25798</v>
      </c>
      <c r="DT237" s="239">
        <v>0</v>
      </c>
      <c r="DU237" s="239">
        <v>-25798</v>
      </c>
      <c r="DV237" s="239">
        <v>-439</v>
      </c>
      <c r="DW237" s="239">
        <v>0</v>
      </c>
      <c r="DX237" s="239">
        <v>-439</v>
      </c>
      <c r="DY237" s="239">
        <v>0</v>
      </c>
      <c r="DZ237" s="239">
        <v>0</v>
      </c>
      <c r="EA237" s="239">
        <v>0</v>
      </c>
      <c r="EB237" s="239">
        <v>-15216</v>
      </c>
      <c r="EC237" s="239">
        <v>0</v>
      </c>
      <c r="ED237" s="239">
        <v>-15216</v>
      </c>
      <c r="EE237" s="239">
        <v>0</v>
      </c>
      <c r="EF237" s="239">
        <v>0</v>
      </c>
      <c r="EG237" s="239">
        <v>0</v>
      </c>
      <c r="EH237" s="239">
        <v>0</v>
      </c>
      <c r="EI237" s="239">
        <v>0</v>
      </c>
      <c r="EJ237" s="239">
        <v>0</v>
      </c>
      <c r="EK237" s="239">
        <v>-17903</v>
      </c>
      <c r="EL237" s="239">
        <v>0</v>
      </c>
      <c r="EM237" s="239">
        <v>-17903</v>
      </c>
      <c r="EN237" s="239">
        <v>0</v>
      </c>
      <c r="EO237" s="239">
        <v>0</v>
      </c>
      <c r="EP237" s="239">
        <v>0</v>
      </c>
      <c r="EQ237" s="239">
        <v>-22640</v>
      </c>
      <c r="ER237" s="239">
        <v>0</v>
      </c>
      <c r="ES237" s="239">
        <v>-22640</v>
      </c>
      <c r="ET237" s="239">
        <v>0</v>
      </c>
      <c r="EU237" s="239">
        <v>0</v>
      </c>
      <c r="EV237" s="239">
        <v>0</v>
      </c>
      <c r="EW237" s="239">
        <v>0</v>
      </c>
      <c r="EX237" s="239">
        <v>0</v>
      </c>
      <c r="EY237" s="239">
        <v>0</v>
      </c>
      <c r="EZ237" s="239">
        <v>0</v>
      </c>
      <c r="FA237" s="239">
        <v>0</v>
      </c>
      <c r="FB237" s="239">
        <v>0</v>
      </c>
      <c r="FC237" s="239">
        <v>96786847</v>
      </c>
      <c r="FD237" s="239">
        <v>0</v>
      </c>
      <c r="FE237" s="239">
        <v>96786847</v>
      </c>
      <c r="FF237" s="239">
        <v>25693</v>
      </c>
      <c r="FG237" s="239">
        <v>0</v>
      </c>
      <c r="FH237" s="239">
        <v>25693</v>
      </c>
      <c r="FI237" s="239">
        <v>-14441595</v>
      </c>
      <c r="FJ237" s="239">
        <v>0</v>
      </c>
      <c r="FK237" s="239">
        <v>-14441595</v>
      </c>
      <c r="FL237" s="239">
        <v>-2572600</v>
      </c>
      <c r="FM237" s="239">
        <v>0</v>
      </c>
      <c r="FN237" s="239">
        <v>-2572600</v>
      </c>
      <c r="FO237" s="239">
        <v>-985607</v>
      </c>
      <c r="FP237" s="239">
        <v>0</v>
      </c>
      <c r="FQ237" s="239">
        <v>-985607</v>
      </c>
      <c r="FR237" s="239">
        <v>-22640</v>
      </c>
      <c r="FS237" s="239">
        <v>0</v>
      </c>
      <c r="FT237" s="239">
        <v>-22640</v>
      </c>
      <c r="FU237" s="239">
        <v>0</v>
      </c>
      <c r="FV237" s="239">
        <v>0</v>
      </c>
      <c r="FW237" s="239">
        <v>0</v>
      </c>
      <c r="FX237" s="239">
        <v>-17996749</v>
      </c>
      <c r="FY237" s="239">
        <v>0</v>
      </c>
      <c r="FZ237" s="239">
        <v>-17996749</v>
      </c>
      <c r="GA237" s="239">
        <v>78790098</v>
      </c>
      <c r="GB237" s="239">
        <v>0</v>
      </c>
      <c r="GC237" s="239">
        <v>78790098</v>
      </c>
      <c r="GD237" s="214" t="s">
        <v>747</v>
      </c>
    </row>
    <row r="238" spans="2:186" s="214" customFormat="1" x14ac:dyDescent="0.2">
      <c r="B238" s="609" t="s">
        <v>558</v>
      </c>
      <c r="C238" s="609" t="s">
        <v>557</v>
      </c>
      <c r="D238" s="239">
        <v>0</v>
      </c>
      <c r="E238" s="239">
        <v>0</v>
      </c>
      <c r="F238" s="239">
        <v>0</v>
      </c>
      <c r="G238" s="239">
        <v>-24893</v>
      </c>
      <c r="H238" s="239">
        <v>0</v>
      </c>
      <c r="I238" s="239">
        <v>-24893</v>
      </c>
      <c r="J238" s="239">
        <v>0</v>
      </c>
      <c r="K238" s="239">
        <v>0</v>
      </c>
      <c r="L238" s="239">
        <v>0</v>
      </c>
      <c r="M238" s="239">
        <v>23791</v>
      </c>
      <c r="N238" s="239">
        <v>0</v>
      </c>
      <c r="O238" s="239">
        <v>23791</v>
      </c>
      <c r="P238" s="239">
        <v>-1102</v>
      </c>
      <c r="Q238" s="239">
        <v>0</v>
      </c>
      <c r="R238" s="239">
        <v>-1102</v>
      </c>
      <c r="S238" s="239">
        <v>-1394527</v>
      </c>
      <c r="T238" s="239">
        <v>0</v>
      </c>
      <c r="U238" s="239">
        <v>-1394527</v>
      </c>
      <c r="V238" s="239">
        <v>-7295</v>
      </c>
      <c r="W238" s="239">
        <v>0</v>
      </c>
      <c r="X238" s="239">
        <v>-7295</v>
      </c>
      <c r="Y238" s="239">
        <v>-85832</v>
      </c>
      <c r="Z238" s="239">
        <v>0</v>
      </c>
      <c r="AA238" s="239">
        <v>-85832</v>
      </c>
      <c r="AB238" s="239">
        <v>-65629</v>
      </c>
      <c r="AC238" s="239">
        <v>0</v>
      </c>
      <c r="AD238" s="239">
        <v>-65629</v>
      </c>
      <c r="AE238" s="239">
        <v>0</v>
      </c>
      <c r="AF238" s="239">
        <v>0</v>
      </c>
      <c r="AG238" s="239">
        <v>0</v>
      </c>
      <c r="AH238" s="239">
        <v>2774867</v>
      </c>
      <c r="AI238" s="239">
        <v>0</v>
      </c>
      <c r="AJ238" s="239">
        <v>2774867</v>
      </c>
      <c r="AK238" s="239">
        <v>-25152</v>
      </c>
      <c r="AL238" s="239">
        <v>0</v>
      </c>
      <c r="AM238" s="239">
        <v>-25152</v>
      </c>
      <c r="AN238" s="239">
        <v>-3908294</v>
      </c>
      <c r="AO238" s="239">
        <v>0</v>
      </c>
      <c r="AP238" s="239">
        <v>-3908294</v>
      </c>
      <c r="AQ238" s="239">
        <v>-37970</v>
      </c>
      <c r="AR238" s="239">
        <v>0</v>
      </c>
      <c r="AS238" s="239">
        <v>-37970</v>
      </c>
      <c r="AT238" s="239">
        <v>0</v>
      </c>
      <c r="AU238" s="239">
        <v>0</v>
      </c>
      <c r="AV238" s="239">
        <v>0</v>
      </c>
      <c r="AW238" s="239">
        <v>0</v>
      </c>
      <c r="AX238" s="239">
        <v>0</v>
      </c>
      <c r="AY238" s="239">
        <v>0</v>
      </c>
      <c r="AZ238" s="239">
        <v>0</v>
      </c>
      <c r="BA238" s="239">
        <v>0</v>
      </c>
      <c r="BB238" s="239">
        <v>0</v>
      </c>
      <c r="BC238" s="239">
        <v>0</v>
      </c>
      <c r="BD238" s="239">
        <v>0</v>
      </c>
      <c r="BE238" s="239">
        <v>0</v>
      </c>
      <c r="BF238" s="239">
        <v>-2676908</v>
      </c>
      <c r="BG238" s="239">
        <v>0</v>
      </c>
      <c r="BH238" s="239">
        <v>-2676908</v>
      </c>
      <c r="BI238" s="239">
        <v>-49647</v>
      </c>
      <c r="BJ238" s="239">
        <v>0</v>
      </c>
      <c r="BK238" s="239">
        <v>-49647</v>
      </c>
      <c r="BL238" s="239">
        <v>-36405</v>
      </c>
      <c r="BM238" s="239">
        <v>0</v>
      </c>
      <c r="BN238" s="239">
        <v>-36405</v>
      </c>
      <c r="BO238" s="239">
        <v>-5536934</v>
      </c>
      <c r="BP238" s="239">
        <v>0</v>
      </c>
      <c r="BQ238" s="239">
        <v>-5536934</v>
      </c>
      <c r="BR238" s="239">
        <v>-200473</v>
      </c>
      <c r="BS238" s="239">
        <v>0</v>
      </c>
      <c r="BT238" s="239">
        <v>-200473</v>
      </c>
      <c r="BU238" s="239">
        <v>-5823459</v>
      </c>
      <c r="BV238" s="239">
        <v>0</v>
      </c>
      <c r="BW238" s="239">
        <v>-5823459</v>
      </c>
      <c r="BX238" s="239">
        <v>-107112</v>
      </c>
      <c r="BY238" s="239">
        <v>0</v>
      </c>
      <c r="BZ238" s="239">
        <v>-107112</v>
      </c>
      <c r="CA238" s="239">
        <v>-543</v>
      </c>
      <c r="CB238" s="239">
        <v>0</v>
      </c>
      <c r="CC238" s="239">
        <v>-543</v>
      </c>
      <c r="CD238" s="239">
        <v>-87154</v>
      </c>
      <c r="CE238" s="239">
        <v>0</v>
      </c>
      <c r="CF238" s="239">
        <v>-87154</v>
      </c>
      <c r="CG238" s="239">
        <v>0</v>
      </c>
      <c r="CH238" s="239">
        <v>0</v>
      </c>
      <c r="CI238" s="239">
        <v>0</v>
      </c>
      <c r="CJ238" s="239">
        <v>0</v>
      </c>
      <c r="CK238" s="239">
        <v>0</v>
      </c>
      <c r="CL238" s="239">
        <v>0</v>
      </c>
      <c r="CM238" s="239">
        <v>0</v>
      </c>
      <c r="CN238" s="239">
        <v>0</v>
      </c>
      <c r="CO238" s="239">
        <v>0</v>
      </c>
      <c r="CP238" s="239">
        <v>0</v>
      </c>
      <c r="CQ238" s="239">
        <v>0</v>
      </c>
      <c r="CR238" s="239">
        <v>0</v>
      </c>
      <c r="CS238" s="239">
        <v>0</v>
      </c>
      <c r="CT238" s="239">
        <v>0</v>
      </c>
      <c r="CU238" s="239">
        <v>0</v>
      </c>
      <c r="CV238" s="239">
        <v>0</v>
      </c>
      <c r="CW238" s="239">
        <v>0</v>
      </c>
      <c r="CX238" s="239">
        <v>0</v>
      </c>
      <c r="CY238" s="239">
        <v>0</v>
      </c>
      <c r="CZ238" s="239">
        <v>0</v>
      </c>
      <c r="DA238" s="239">
        <v>0</v>
      </c>
      <c r="DB238" s="239">
        <v>0</v>
      </c>
      <c r="DC238" s="239">
        <v>0</v>
      </c>
      <c r="DD238" s="239">
        <v>0</v>
      </c>
      <c r="DE238" s="239">
        <v>0</v>
      </c>
      <c r="DF238" s="239">
        <v>0</v>
      </c>
      <c r="DG238" s="239">
        <v>0</v>
      </c>
      <c r="DH238" s="239">
        <v>0</v>
      </c>
      <c r="DI238" s="239">
        <v>0</v>
      </c>
      <c r="DJ238" s="239">
        <v>-194809</v>
      </c>
      <c r="DK238" s="239">
        <v>0</v>
      </c>
      <c r="DL238" s="239">
        <v>-194809</v>
      </c>
      <c r="DM238" s="239">
        <v>-10496</v>
      </c>
      <c r="DN238" s="239">
        <v>0</v>
      </c>
      <c r="DO238" s="239">
        <v>-10496</v>
      </c>
      <c r="DP238" s="239">
        <v>0</v>
      </c>
      <c r="DQ238" s="239">
        <v>0</v>
      </c>
      <c r="DR238" s="239">
        <v>0</v>
      </c>
      <c r="DS238" s="239">
        <v>-24821</v>
      </c>
      <c r="DT238" s="239">
        <v>0</v>
      </c>
      <c r="DU238" s="239">
        <v>-24821</v>
      </c>
      <c r="DV238" s="239">
        <v>-7943</v>
      </c>
      <c r="DW238" s="239">
        <v>0</v>
      </c>
      <c r="DX238" s="239">
        <v>-7943</v>
      </c>
      <c r="DY238" s="239">
        <v>0</v>
      </c>
      <c r="DZ238" s="239">
        <v>0</v>
      </c>
      <c r="EA238" s="239">
        <v>0</v>
      </c>
      <c r="EB238" s="239">
        <v>-9797</v>
      </c>
      <c r="EC238" s="239">
        <v>0</v>
      </c>
      <c r="ED238" s="239">
        <v>-9797</v>
      </c>
      <c r="EE238" s="239">
        <v>0</v>
      </c>
      <c r="EF238" s="239">
        <v>0</v>
      </c>
      <c r="EG238" s="239">
        <v>0</v>
      </c>
      <c r="EH238" s="239">
        <v>0</v>
      </c>
      <c r="EI238" s="239">
        <v>0</v>
      </c>
      <c r="EJ238" s="239">
        <v>0</v>
      </c>
      <c r="EK238" s="239">
        <v>0</v>
      </c>
      <c r="EL238" s="239">
        <v>0</v>
      </c>
      <c r="EM238" s="239">
        <v>0</v>
      </c>
      <c r="EN238" s="239">
        <v>0</v>
      </c>
      <c r="EO238" s="239">
        <v>0</v>
      </c>
      <c r="EP238" s="239">
        <v>0</v>
      </c>
      <c r="EQ238" s="239">
        <v>-53057</v>
      </c>
      <c r="ER238" s="239">
        <v>0</v>
      </c>
      <c r="ES238" s="239">
        <v>-53057</v>
      </c>
      <c r="ET238" s="239">
        <v>-4060</v>
      </c>
      <c r="EU238" s="239">
        <v>0</v>
      </c>
      <c r="EV238" s="239">
        <v>-4060</v>
      </c>
      <c r="EW238" s="239">
        <v>-10280</v>
      </c>
      <c r="EX238" s="239">
        <v>0</v>
      </c>
      <c r="EY238" s="239">
        <v>-10280</v>
      </c>
      <c r="EZ238" s="239">
        <v>-14340</v>
      </c>
      <c r="FA238" s="239">
        <v>0</v>
      </c>
      <c r="FB238" s="239">
        <v>-14340</v>
      </c>
      <c r="FC238" s="239">
        <v>107856814</v>
      </c>
      <c r="FD238" s="239">
        <v>0</v>
      </c>
      <c r="FE238" s="239">
        <v>107856814</v>
      </c>
      <c r="FF238" s="239">
        <v>-1102</v>
      </c>
      <c r="FG238" s="239">
        <v>0</v>
      </c>
      <c r="FH238" s="239">
        <v>-1102</v>
      </c>
      <c r="FI238" s="239">
        <v>-2676908</v>
      </c>
      <c r="FJ238" s="239">
        <v>0</v>
      </c>
      <c r="FK238" s="239">
        <v>-2676908</v>
      </c>
      <c r="FL238" s="239">
        <v>-5823459</v>
      </c>
      <c r="FM238" s="239">
        <v>0</v>
      </c>
      <c r="FN238" s="239">
        <v>-5823459</v>
      </c>
      <c r="FO238" s="239">
        <v>-194809</v>
      </c>
      <c r="FP238" s="239">
        <v>0</v>
      </c>
      <c r="FQ238" s="239">
        <v>-194809</v>
      </c>
      <c r="FR238" s="239">
        <v>-53057</v>
      </c>
      <c r="FS238" s="239">
        <v>0</v>
      </c>
      <c r="FT238" s="239">
        <v>-53057</v>
      </c>
      <c r="FU238" s="239">
        <v>-14340</v>
      </c>
      <c r="FV238" s="239">
        <v>0</v>
      </c>
      <c r="FW238" s="239">
        <v>-14340</v>
      </c>
      <c r="FX238" s="239">
        <v>-8763675</v>
      </c>
      <c r="FY238" s="239">
        <v>0</v>
      </c>
      <c r="FZ238" s="239">
        <v>-8763675</v>
      </c>
      <c r="GA238" s="239">
        <v>99093139</v>
      </c>
      <c r="GB238" s="239">
        <v>0</v>
      </c>
      <c r="GC238" s="239">
        <v>99093139</v>
      </c>
      <c r="GD238" s="214" t="s">
        <v>747</v>
      </c>
    </row>
    <row r="239" spans="2:186" s="214" customFormat="1" x14ac:dyDescent="0.2">
      <c r="B239" s="609" t="s">
        <v>560</v>
      </c>
      <c r="C239" s="609" t="s">
        <v>559</v>
      </c>
      <c r="D239" s="239">
        <v>0</v>
      </c>
      <c r="E239" s="239">
        <v>0</v>
      </c>
      <c r="F239" s="239">
        <v>0</v>
      </c>
      <c r="G239" s="239">
        <v>795</v>
      </c>
      <c r="H239" s="239">
        <v>0</v>
      </c>
      <c r="I239" s="239">
        <v>795</v>
      </c>
      <c r="J239" s="239">
        <v>0</v>
      </c>
      <c r="K239" s="239">
        <v>0</v>
      </c>
      <c r="L239" s="239">
        <v>0</v>
      </c>
      <c r="M239" s="239">
        <v>1952668</v>
      </c>
      <c r="N239" s="239">
        <v>0</v>
      </c>
      <c r="O239" s="239">
        <v>1952668</v>
      </c>
      <c r="P239" s="239">
        <v>1953463</v>
      </c>
      <c r="Q239" s="239">
        <v>0</v>
      </c>
      <c r="R239" s="239">
        <v>1953463</v>
      </c>
      <c r="S239" s="239">
        <v>-2389703</v>
      </c>
      <c r="T239" s="239">
        <v>0</v>
      </c>
      <c r="U239" s="239">
        <v>-2389703</v>
      </c>
      <c r="V239" s="239">
        <v>-2326</v>
      </c>
      <c r="W239" s="239">
        <v>0</v>
      </c>
      <c r="X239" s="239">
        <v>-2326</v>
      </c>
      <c r="Y239" s="239">
        <v>-160658</v>
      </c>
      <c r="Z239" s="239">
        <v>0</v>
      </c>
      <c r="AA239" s="239">
        <v>-160658</v>
      </c>
      <c r="AB239" s="239">
        <v>-110220</v>
      </c>
      <c r="AC239" s="239">
        <v>0</v>
      </c>
      <c r="AD239" s="239">
        <v>-110220</v>
      </c>
      <c r="AE239" s="239">
        <v>0</v>
      </c>
      <c r="AF239" s="239">
        <v>0</v>
      </c>
      <c r="AG239" s="239">
        <v>0</v>
      </c>
      <c r="AH239" s="239">
        <v>3299888</v>
      </c>
      <c r="AI239" s="239">
        <v>0</v>
      </c>
      <c r="AJ239" s="239">
        <v>3299888</v>
      </c>
      <c r="AK239" s="239">
        <v>-130867</v>
      </c>
      <c r="AL239" s="239">
        <v>0</v>
      </c>
      <c r="AM239" s="239">
        <v>-130867</v>
      </c>
      <c r="AN239" s="239">
        <v>-5026763</v>
      </c>
      <c r="AO239" s="239">
        <v>0</v>
      </c>
      <c r="AP239" s="239">
        <v>-5026763</v>
      </c>
      <c r="AQ239" s="239">
        <v>52238</v>
      </c>
      <c r="AR239" s="239">
        <v>0</v>
      </c>
      <c r="AS239" s="239">
        <v>52238</v>
      </c>
      <c r="AT239" s="239">
        <v>-118060</v>
      </c>
      <c r="AU239" s="239">
        <v>0</v>
      </c>
      <c r="AV239" s="239">
        <v>-118060</v>
      </c>
      <c r="AW239" s="239">
        <v>-2631</v>
      </c>
      <c r="AX239" s="239">
        <v>0</v>
      </c>
      <c r="AY239" s="239">
        <v>-2631</v>
      </c>
      <c r="AZ239" s="239">
        <v>-994</v>
      </c>
      <c r="BA239" s="239">
        <v>0</v>
      </c>
      <c r="BB239" s="239">
        <v>-994</v>
      </c>
      <c r="BC239" s="239">
        <v>0</v>
      </c>
      <c r="BD239" s="239">
        <v>0</v>
      </c>
      <c r="BE239" s="239">
        <v>0</v>
      </c>
      <c r="BF239" s="239">
        <v>-4477550</v>
      </c>
      <c r="BG239" s="239">
        <v>0</v>
      </c>
      <c r="BH239" s="239">
        <v>-4477550</v>
      </c>
      <c r="BI239" s="239">
        <v>-50640</v>
      </c>
      <c r="BJ239" s="239">
        <v>0</v>
      </c>
      <c r="BK239" s="239">
        <v>-50640</v>
      </c>
      <c r="BL239" s="239">
        <v>-93226</v>
      </c>
      <c r="BM239" s="239">
        <v>0</v>
      </c>
      <c r="BN239" s="239">
        <v>-93226</v>
      </c>
      <c r="BO239" s="239">
        <v>-3413140</v>
      </c>
      <c r="BP239" s="239">
        <v>0</v>
      </c>
      <c r="BQ239" s="239">
        <v>-3413140</v>
      </c>
      <c r="BR239" s="239">
        <v>390429</v>
      </c>
      <c r="BS239" s="239">
        <v>0</v>
      </c>
      <c r="BT239" s="239">
        <v>390429</v>
      </c>
      <c r="BU239" s="239">
        <v>-3166577</v>
      </c>
      <c r="BV239" s="239">
        <v>0</v>
      </c>
      <c r="BW239" s="239">
        <v>-3166577</v>
      </c>
      <c r="BX239" s="239">
        <v>-33336</v>
      </c>
      <c r="BY239" s="239">
        <v>0</v>
      </c>
      <c r="BZ239" s="239">
        <v>-33336</v>
      </c>
      <c r="CA239" s="239">
        <v>-368</v>
      </c>
      <c r="CB239" s="239">
        <v>0</v>
      </c>
      <c r="CC239" s="239">
        <v>-368</v>
      </c>
      <c r="CD239" s="239">
        <v>-379805</v>
      </c>
      <c r="CE239" s="239">
        <v>0</v>
      </c>
      <c r="CF239" s="239">
        <v>-379805</v>
      </c>
      <c r="CG239" s="239">
        <v>0</v>
      </c>
      <c r="CH239" s="239">
        <v>0</v>
      </c>
      <c r="CI239" s="239">
        <v>0</v>
      </c>
      <c r="CJ239" s="239">
        <v>0</v>
      </c>
      <c r="CK239" s="239">
        <v>0</v>
      </c>
      <c r="CL239" s="239">
        <v>0</v>
      </c>
      <c r="CM239" s="239">
        <v>0</v>
      </c>
      <c r="CN239" s="239">
        <v>0</v>
      </c>
      <c r="CO239" s="239">
        <v>0</v>
      </c>
      <c r="CP239" s="239">
        <v>0</v>
      </c>
      <c r="CQ239" s="239">
        <v>0</v>
      </c>
      <c r="CR239" s="239">
        <v>0</v>
      </c>
      <c r="CS239" s="239">
        <v>0</v>
      </c>
      <c r="CT239" s="239">
        <v>0</v>
      </c>
      <c r="CU239" s="239">
        <v>0</v>
      </c>
      <c r="CV239" s="239">
        <v>0</v>
      </c>
      <c r="CW239" s="239">
        <v>0</v>
      </c>
      <c r="CX239" s="239">
        <v>0</v>
      </c>
      <c r="CY239" s="239">
        <v>0</v>
      </c>
      <c r="CZ239" s="239">
        <v>0</v>
      </c>
      <c r="DA239" s="239">
        <v>0</v>
      </c>
      <c r="DB239" s="239">
        <v>0</v>
      </c>
      <c r="DC239" s="239">
        <v>0</v>
      </c>
      <c r="DD239" s="239">
        <v>0</v>
      </c>
      <c r="DE239" s="239">
        <v>0</v>
      </c>
      <c r="DF239" s="239">
        <v>0</v>
      </c>
      <c r="DG239" s="239">
        <v>0</v>
      </c>
      <c r="DH239" s="239">
        <v>0</v>
      </c>
      <c r="DI239" s="239">
        <v>0</v>
      </c>
      <c r="DJ239" s="239">
        <v>-413509</v>
      </c>
      <c r="DK239" s="239">
        <v>0</v>
      </c>
      <c r="DL239" s="239">
        <v>-413509</v>
      </c>
      <c r="DM239" s="239">
        <v>-153069</v>
      </c>
      <c r="DN239" s="239">
        <v>0</v>
      </c>
      <c r="DO239" s="239">
        <v>-153069</v>
      </c>
      <c r="DP239" s="239">
        <v>7488</v>
      </c>
      <c r="DQ239" s="239">
        <v>0</v>
      </c>
      <c r="DR239" s="239">
        <v>7488</v>
      </c>
      <c r="DS239" s="239">
        <v>-26820</v>
      </c>
      <c r="DT239" s="239">
        <v>0</v>
      </c>
      <c r="DU239" s="239">
        <v>-26820</v>
      </c>
      <c r="DV239" s="239">
        <v>-6321</v>
      </c>
      <c r="DW239" s="239">
        <v>0</v>
      </c>
      <c r="DX239" s="239">
        <v>-6321</v>
      </c>
      <c r="DY239" s="239">
        <v>0</v>
      </c>
      <c r="DZ239" s="239">
        <v>0</v>
      </c>
      <c r="EA239" s="239">
        <v>0</v>
      </c>
      <c r="EB239" s="239">
        <v>565</v>
      </c>
      <c r="EC239" s="239">
        <v>0</v>
      </c>
      <c r="ED239" s="239">
        <v>565</v>
      </c>
      <c r="EE239" s="239">
        <v>0</v>
      </c>
      <c r="EF239" s="239">
        <v>0</v>
      </c>
      <c r="EG239" s="239">
        <v>0</v>
      </c>
      <c r="EH239" s="239">
        <v>0</v>
      </c>
      <c r="EI239" s="239">
        <v>0</v>
      </c>
      <c r="EJ239" s="239">
        <v>0</v>
      </c>
      <c r="EK239" s="239">
        <v>0</v>
      </c>
      <c r="EL239" s="239">
        <v>0</v>
      </c>
      <c r="EM239" s="239">
        <v>0</v>
      </c>
      <c r="EN239" s="239">
        <v>0</v>
      </c>
      <c r="EO239" s="239">
        <v>0</v>
      </c>
      <c r="EP239" s="239">
        <v>0</v>
      </c>
      <c r="EQ239" s="239">
        <v>-178157</v>
      </c>
      <c r="ER239" s="239">
        <v>0</v>
      </c>
      <c r="ES239" s="239">
        <v>-178157</v>
      </c>
      <c r="ET239" s="239">
        <v>0</v>
      </c>
      <c r="EU239" s="239">
        <v>0</v>
      </c>
      <c r="EV239" s="239">
        <v>0</v>
      </c>
      <c r="EW239" s="239">
        <v>0</v>
      </c>
      <c r="EX239" s="239">
        <v>0</v>
      </c>
      <c r="EY239" s="239">
        <v>0</v>
      </c>
      <c r="EZ239" s="239">
        <v>0</v>
      </c>
      <c r="FA239" s="239">
        <v>0</v>
      </c>
      <c r="FB239" s="239">
        <v>0</v>
      </c>
      <c r="FC239" s="239">
        <v>122383896</v>
      </c>
      <c r="FD239" s="239">
        <v>0</v>
      </c>
      <c r="FE239" s="239">
        <v>122383896</v>
      </c>
      <c r="FF239" s="239">
        <v>1953463</v>
      </c>
      <c r="FG239" s="239">
        <v>0</v>
      </c>
      <c r="FH239" s="239">
        <v>1953463</v>
      </c>
      <c r="FI239" s="239">
        <v>-4477550</v>
      </c>
      <c r="FJ239" s="239">
        <v>0</v>
      </c>
      <c r="FK239" s="239">
        <v>-4477550</v>
      </c>
      <c r="FL239" s="239">
        <v>-3166577</v>
      </c>
      <c r="FM239" s="239">
        <v>0</v>
      </c>
      <c r="FN239" s="239">
        <v>-3166577</v>
      </c>
      <c r="FO239" s="239">
        <v>-413509</v>
      </c>
      <c r="FP239" s="239">
        <v>0</v>
      </c>
      <c r="FQ239" s="239">
        <v>-413509</v>
      </c>
      <c r="FR239" s="239">
        <v>-178157</v>
      </c>
      <c r="FS239" s="239">
        <v>0</v>
      </c>
      <c r="FT239" s="239">
        <v>-178157</v>
      </c>
      <c r="FU239" s="239">
        <v>0</v>
      </c>
      <c r="FV239" s="239">
        <v>0</v>
      </c>
      <c r="FW239" s="239">
        <v>0</v>
      </c>
      <c r="FX239" s="239">
        <v>-6282330</v>
      </c>
      <c r="FY239" s="239">
        <v>0</v>
      </c>
      <c r="FZ239" s="239">
        <v>-6282330</v>
      </c>
      <c r="GA239" s="239">
        <v>116101566</v>
      </c>
      <c r="GB239" s="239">
        <v>0</v>
      </c>
      <c r="GC239" s="239">
        <v>116101566</v>
      </c>
      <c r="GD239" s="214" t="s">
        <v>1192</v>
      </c>
    </row>
    <row r="240" spans="2:186" s="214" customFormat="1" x14ac:dyDescent="0.2">
      <c r="B240" s="609" t="s">
        <v>562</v>
      </c>
      <c r="C240" s="609" t="s">
        <v>561</v>
      </c>
      <c r="D240" s="239">
        <v>0</v>
      </c>
      <c r="E240" s="239">
        <v>0</v>
      </c>
      <c r="F240" s="239">
        <v>0</v>
      </c>
      <c r="G240" s="239">
        <v>-42134</v>
      </c>
      <c r="H240" s="239">
        <v>0</v>
      </c>
      <c r="I240" s="239">
        <v>-42134</v>
      </c>
      <c r="J240" s="239">
        <v>0</v>
      </c>
      <c r="K240" s="239">
        <v>0</v>
      </c>
      <c r="L240" s="239">
        <v>0</v>
      </c>
      <c r="M240" s="239">
        <v>41593</v>
      </c>
      <c r="N240" s="239">
        <v>0</v>
      </c>
      <c r="O240" s="239">
        <v>41593</v>
      </c>
      <c r="P240" s="239">
        <v>-541</v>
      </c>
      <c r="Q240" s="239">
        <v>0</v>
      </c>
      <c r="R240" s="239">
        <v>-541</v>
      </c>
      <c r="S240" s="239">
        <v>-959982</v>
      </c>
      <c r="T240" s="239">
        <v>0</v>
      </c>
      <c r="U240" s="239">
        <v>-959982</v>
      </c>
      <c r="V240" s="239">
        <v>-746</v>
      </c>
      <c r="W240" s="239">
        <v>0</v>
      </c>
      <c r="X240" s="239">
        <v>-746</v>
      </c>
      <c r="Y240" s="239">
        <v>-59569</v>
      </c>
      <c r="Z240" s="239">
        <v>0</v>
      </c>
      <c r="AA240" s="239">
        <v>-59569</v>
      </c>
      <c r="AB240" s="239">
        <v>0</v>
      </c>
      <c r="AC240" s="239">
        <v>0</v>
      </c>
      <c r="AD240" s="239">
        <v>0</v>
      </c>
      <c r="AE240" s="239">
        <v>0</v>
      </c>
      <c r="AF240" s="239">
        <v>0</v>
      </c>
      <c r="AG240" s="239">
        <v>0</v>
      </c>
      <c r="AH240" s="239">
        <v>875399</v>
      </c>
      <c r="AI240" s="239">
        <v>0</v>
      </c>
      <c r="AJ240" s="239">
        <v>875399</v>
      </c>
      <c r="AK240" s="239">
        <v>-11928</v>
      </c>
      <c r="AL240" s="239">
        <v>0</v>
      </c>
      <c r="AM240" s="239">
        <v>-11928</v>
      </c>
      <c r="AN240" s="239">
        <v>-1962466</v>
      </c>
      <c r="AO240" s="239">
        <v>0</v>
      </c>
      <c r="AP240" s="239">
        <v>-1962466</v>
      </c>
      <c r="AQ240" s="239">
        <v>44995</v>
      </c>
      <c r="AR240" s="239">
        <v>0</v>
      </c>
      <c r="AS240" s="239">
        <v>44995</v>
      </c>
      <c r="AT240" s="239">
        <v>-67592</v>
      </c>
      <c r="AU240" s="239">
        <v>0</v>
      </c>
      <c r="AV240" s="239">
        <v>-67592</v>
      </c>
      <c r="AW240" s="239">
        <v>-14198</v>
      </c>
      <c r="AX240" s="239">
        <v>0</v>
      </c>
      <c r="AY240" s="239">
        <v>-14198</v>
      </c>
      <c r="AZ240" s="239">
        <v>-1168</v>
      </c>
      <c r="BA240" s="239">
        <v>0</v>
      </c>
      <c r="BB240" s="239">
        <v>-1168</v>
      </c>
      <c r="BC240" s="239">
        <v>0</v>
      </c>
      <c r="BD240" s="239">
        <v>0</v>
      </c>
      <c r="BE240" s="239">
        <v>0</v>
      </c>
      <c r="BF240" s="239">
        <v>-2156509</v>
      </c>
      <c r="BG240" s="239">
        <v>0</v>
      </c>
      <c r="BH240" s="239">
        <v>-2156509</v>
      </c>
      <c r="BI240" s="239">
        <v>-8800</v>
      </c>
      <c r="BJ240" s="239">
        <v>0</v>
      </c>
      <c r="BK240" s="239">
        <v>-8800</v>
      </c>
      <c r="BL240" s="239">
        <v>-36484</v>
      </c>
      <c r="BM240" s="239">
        <v>0</v>
      </c>
      <c r="BN240" s="239">
        <v>-36484</v>
      </c>
      <c r="BO240" s="239">
        <v>-2022384</v>
      </c>
      <c r="BP240" s="239">
        <v>0</v>
      </c>
      <c r="BQ240" s="239">
        <v>-2022384</v>
      </c>
      <c r="BR240" s="239">
        <v>-315470</v>
      </c>
      <c r="BS240" s="239">
        <v>0</v>
      </c>
      <c r="BT240" s="239">
        <v>-315470</v>
      </c>
      <c r="BU240" s="239">
        <v>-2383138</v>
      </c>
      <c r="BV240" s="239">
        <v>0</v>
      </c>
      <c r="BW240" s="239">
        <v>-2383138</v>
      </c>
      <c r="BX240" s="239">
        <v>-21409</v>
      </c>
      <c r="BY240" s="239">
        <v>0</v>
      </c>
      <c r="BZ240" s="239">
        <v>-21409</v>
      </c>
      <c r="CA240" s="239">
        <v>-601</v>
      </c>
      <c r="CB240" s="239">
        <v>0</v>
      </c>
      <c r="CC240" s="239">
        <v>-601</v>
      </c>
      <c r="CD240" s="239">
        <v>-27832</v>
      </c>
      <c r="CE240" s="239">
        <v>0</v>
      </c>
      <c r="CF240" s="239">
        <v>-27832</v>
      </c>
      <c r="CG240" s="239">
        <v>-1212</v>
      </c>
      <c r="CH240" s="239">
        <v>0</v>
      </c>
      <c r="CI240" s="239">
        <v>-1212</v>
      </c>
      <c r="CJ240" s="239">
        <v>-263</v>
      </c>
      <c r="CK240" s="239">
        <v>0</v>
      </c>
      <c r="CL240" s="239">
        <v>-263</v>
      </c>
      <c r="CM240" s="239">
        <v>0</v>
      </c>
      <c r="CN240" s="239">
        <v>0</v>
      </c>
      <c r="CO240" s="239">
        <v>0</v>
      </c>
      <c r="CP240" s="239">
        <v>0</v>
      </c>
      <c r="CQ240" s="239">
        <v>0</v>
      </c>
      <c r="CR240" s="239">
        <v>0</v>
      </c>
      <c r="CS240" s="239">
        <v>0</v>
      </c>
      <c r="CT240" s="239">
        <v>0</v>
      </c>
      <c r="CU240" s="239">
        <v>0</v>
      </c>
      <c r="CV240" s="239">
        <v>0</v>
      </c>
      <c r="CW240" s="239">
        <v>0</v>
      </c>
      <c r="CX240" s="239">
        <v>0</v>
      </c>
      <c r="CY240" s="239">
        <v>0</v>
      </c>
      <c r="CZ240" s="239">
        <v>0</v>
      </c>
      <c r="DA240" s="239">
        <v>0</v>
      </c>
      <c r="DB240" s="239">
        <v>0</v>
      </c>
      <c r="DC240" s="239">
        <v>0</v>
      </c>
      <c r="DD240" s="239">
        <v>0</v>
      </c>
      <c r="DE240" s="239">
        <v>0</v>
      </c>
      <c r="DF240" s="239">
        <v>0</v>
      </c>
      <c r="DG240" s="239">
        <v>0</v>
      </c>
      <c r="DH240" s="239">
        <v>0</v>
      </c>
      <c r="DI240" s="239">
        <v>0</v>
      </c>
      <c r="DJ240" s="239">
        <v>-51317</v>
      </c>
      <c r="DK240" s="239">
        <v>0</v>
      </c>
      <c r="DL240" s="239">
        <v>-51317</v>
      </c>
      <c r="DM240" s="239">
        <v>0</v>
      </c>
      <c r="DN240" s="239">
        <v>0</v>
      </c>
      <c r="DO240" s="239">
        <v>0</v>
      </c>
      <c r="DP240" s="239">
        <v>0</v>
      </c>
      <c r="DQ240" s="239">
        <v>0</v>
      </c>
      <c r="DR240" s="239">
        <v>0</v>
      </c>
      <c r="DS240" s="239">
        <v>0</v>
      </c>
      <c r="DT240" s="239">
        <v>0</v>
      </c>
      <c r="DU240" s="239">
        <v>0</v>
      </c>
      <c r="DV240" s="239">
        <v>0</v>
      </c>
      <c r="DW240" s="239">
        <v>0</v>
      </c>
      <c r="DX240" s="239">
        <v>0</v>
      </c>
      <c r="DY240" s="239">
        <v>0</v>
      </c>
      <c r="DZ240" s="239">
        <v>0</v>
      </c>
      <c r="EA240" s="239">
        <v>0</v>
      </c>
      <c r="EB240" s="239">
        <v>0</v>
      </c>
      <c r="EC240" s="239">
        <v>0</v>
      </c>
      <c r="ED240" s="239">
        <v>0</v>
      </c>
      <c r="EE240" s="239">
        <v>0</v>
      </c>
      <c r="EF240" s="239">
        <v>0</v>
      </c>
      <c r="EG240" s="239">
        <v>0</v>
      </c>
      <c r="EH240" s="239">
        <v>0</v>
      </c>
      <c r="EI240" s="239">
        <v>0</v>
      </c>
      <c r="EJ240" s="239">
        <v>0</v>
      </c>
      <c r="EK240" s="239">
        <v>0</v>
      </c>
      <c r="EL240" s="239">
        <v>0</v>
      </c>
      <c r="EM240" s="239">
        <v>0</v>
      </c>
      <c r="EN240" s="239">
        <v>0</v>
      </c>
      <c r="EO240" s="239">
        <v>0</v>
      </c>
      <c r="EP240" s="239">
        <v>0</v>
      </c>
      <c r="EQ240" s="239">
        <v>0</v>
      </c>
      <c r="ER240" s="239">
        <v>0</v>
      </c>
      <c r="ES240" s="239">
        <v>0</v>
      </c>
      <c r="ET240" s="239">
        <v>0</v>
      </c>
      <c r="EU240" s="239">
        <v>0</v>
      </c>
      <c r="EV240" s="239">
        <v>0</v>
      </c>
      <c r="EW240" s="239">
        <v>0</v>
      </c>
      <c r="EX240" s="239">
        <v>0</v>
      </c>
      <c r="EY240" s="239">
        <v>0</v>
      </c>
      <c r="EZ240" s="239">
        <v>0</v>
      </c>
      <c r="FA240" s="239">
        <v>0</v>
      </c>
      <c r="FB240" s="239">
        <v>0</v>
      </c>
      <c r="FC240" s="239">
        <v>36011861</v>
      </c>
      <c r="FD240" s="239">
        <v>0</v>
      </c>
      <c r="FE240" s="239">
        <v>36011861</v>
      </c>
      <c r="FF240" s="239">
        <v>-541</v>
      </c>
      <c r="FG240" s="239">
        <v>0</v>
      </c>
      <c r="FH240" s="239">
        <v>-541</v>
      </c>
      <c r="FI240" s="239">
        <v>-2156509</v>
      </c>
      <c r="FJ240" s="239">
        <v>0</v>
      </c>
      <c r="FK240" s="239">
        <v>-2156509</v>
      </c>
      <c r="FL240" s="239">
        <v>-2383138</v>
      </c>
      <c r="FM240" s="239">
        <v>0</v>
      </c>
      <c r="FN240" s="239">
        <v>-2383138</v>
      </c>
      <c r="FO240" s="239">
        <v>-51317</v>
      </c>
      <c r="FP240" s="239">
        <v>0</v>
      </c>
      <c r="FQ240" s="239">
        <v>-51317</v>
      </c>
      <c r="FR240" s="239">
        <v>0</v>
      </c>
      <c r="FS240" s="239">
        <v>0</v>
      </c>
      <c r="FT240" s="239">
        <v>0</v>
      </c>
      <c r="FU240" s="239">
        <v>0</v>
      </c>
      <c r="FV240" s="239">
        <v>0</v>
      </c>
      <c r="FW240" s="239">
        <v>0</v>
      </c>
      <c r="FX240" s="239">
        <v>-4591505</v>
      </c>
      <c r="FY240" s="239">
        <v>0</v>
      </c>
      <c r="FZ240" s="239">
        <v>-4591505</v>
      </c>
      <c r="GA240" s="239">
        <v>31420356</v>
      </c>
      <c r="GB240" s="239">
        <v>0</v>
      </c>
      <c r="GC240" s="239">
        <v>31420356</v>
      </c>
      <c r="GD240" s="214" t="s">
        <v>1190</v>
      </c>
    </row>
    <row r="241" spans="2:186" s="214" customFormat="1" x14ac:dyDescent="0.2">
      <c r="B241" s="609" t="s">
        <v>564</v>
      </c>
      <c r="C241" s="609" t="s">
        <v>563</v>
      </c>
      <c r="D241" s="239">
        <v>0</v>
      </c>
      <c r="E241" s="239">
        <v>0</v>
      </c>
      <c r="F241" s="239">
        <v>0</v>
      </c>
      <c r="G241" s="239">
        <v>286267</v>
      </c>
      <c r="H241" s="239">
        <v>0</v>
      </c>
      <c r="I241" s="239">
        <v>286267</v>
      </c>
      <c r="J241" s="239">
        <v>0</v>
      </c>
      <c r="K241" s="239">
        <v>0</v>
      </c>
      <c r="L241" s="239">
        <v>0</v>
      </c>
      <c r="M241" s="239">
        <v>76509</v>
      </c>
      <c r="N241" s="239">
        <v>0</v>
      </c>
      <c r="O241" s="239">
        <v>76509</v>
      </c>
      <c r="P241" s="239">
        <v>362776</v>
      </c>
      <c r="Q241" s="239">
        <v>0</v>
      </c>
      <c r="R241" s="239">
        <v>362776</v>
      </c>
      <c r="S241" s="239">
        <v>-2823239</v>
      </c>
      <c r="T241" s="239">
        <v>0</v>
      </c>
      <c r="U241" s="239">
        <v>-2823239</v>
      </c>
      <c r="V241" s="239">
        <v>-21272</v>
      </c>
      <c r="W241" s="239">
        <v>0</v>
      </c>
      <c r="X241" s="239">
        <v>-21272</v>
      </c>
      <c r="Y241" s="239">
        <v>-188133</v>
      </c>
      <c r="Z241" s="239">
        <v>0</v>
      </c>
      <c r="AA241" s="239">
        <v>-188133</v>
      </c>
      <c r="AB241" s="239">
        <v>-140877</v>
      </c>
      <c r="AC241" s="239">
        <v>0</v>
      </c>
      <c r="AD241" s="239">
        <v>-140877</v>
      </c>
      <c r="AE241" s="239">
        <v>-944</v>
      </c>
      <c r="AF241" s="239">
        <v>0</v>
      </c>
      <c r="AG241" s="239">
        <v>-944</v>
      </c>
      <c r="AH241" s="239">
        <v>2164076</v>
      </c>
      <c r="AI241" s="239">
        <v>13590</v>
      </c>
      <c r="AJ241" s="239">
        <v>2177666</v>
      </c>
      <c r="AK241" s="239">
        <v>28961</v>
      </c>
      <c r="AL241" s="239">
        <v>567</v>
      </c>
      <c r="AM241" s="239">
        <v>29528</v>
      </c>
      <c r="AN241" s="239">
        <v>-9436392</v>
      </c>
      <c r="AO241" s="239">
        <v>0</v>
      </c>
      <c r="AP241" s="239">
        <v>-9436392</v>
      </c>
      <c r="AQ241" s="239">
        <v>178249</v>
      </c>
      <c r="AR241" s="239">
        <v>0</v>
      </c>
      <c r="AS241" s="239">
        <v>178249</v>
      </c>
      <c r="AT241" s="239">
        <v>-29995</v>
      </c>
      <c r="AU241" s="239">
        <v>0</v>
      </c>
      <c r="AV241" s="239">
        <v>-29995</v>
      </c>
      <c r="AW241" s="239">
        <v>18707</v>
      </c>
      <c r="AX241" s="239">
        <v>0</v>
      </c>
      <c r="AY241" s="239">
        <v>18707</v>
      </c>
      <c r="AZ241" s="239">
        <v>-78559</v>
      </c>
      <c r="BA241" s="239">
        <v>0</v>
      </c>
      <c r="BB241" s="239">
        <v>-78559</v>
      </c>
      <c r="BC241" s="239">
        <v>212</v>
      </c>
      <c r="BD241" s="239">
        <v>0</v>
      </c>
      <c r="BE241" s="239">
        <v>212</v>
      </c>
      <c r="BF241" s="239">
        <v>-10166113</v>
      </c>
      <c r="BG241" s="239">
        <v>14157</v>
      </c>
      <c r="BH241" s="239">
        <v>-10151956</v>
      </c>
      <c r="BI241" s="239">
        <v>0</v>
      </c>
      <c r="BJ241" s="239">
        <v>0</v>
      </c>
      <c r="BK241" s="239">
        <v>0</v>
      </c>
      <c r="BL241" s="239">
        <v>-4434</v>
      </c>
      <c r="BM241" s="239">
        <v>0</v>
      </c>
      <c r="BN241" s="239">
        <v>-4434</v>
      </c>
      <c r="BO241" s="239">
        <v>-2090587</v>
      </c>
      <c r="BP241" s="239">
        <v>-83681</v>
      </c>
      <c r="BQ241" s="239">
        <v>-2174268</v>
      </c>
      <c r="BR241" s="239">
        <v>-182303</v>
      </c>
      <c r="BS241" s="239">
        <v>0</v>
      </c>
      <c r="BT241" s="239">
        <v>-182303</v>
      </c>
      <c r="BU241" s="239">
        <v>-2277324</v>
      </c>
      <c r="BV241" s="239">
        <v>-83681</v>
      </c>
      <c r="BW241" s="239">
        <v>-2361005</v>
      </c>
      <c r="BX241" s="239">
        <v>-100368</v>
      </c>
      <c r="BY241" s="239">
        <v>0</v>
      </c>
      <c r="BZ241" s="239">
        <v>-100368</v>
      </c>
      <c r="CA241" s="239">
        <v>-1665</v>
      </c>
      <c r="CB241" s="239">
        <v>0</v>
      </c>
      <c r="CC241" s="239">
        <v>-1665</v>
      </c>
      <c r="CD241" s="239">
        <v>-48439</v>
      </c>
      <c r="CE241" s="239">
        <v>0</v>
      </c>
      <c r="CF241" s="239">
        <v>-48439</v>
      </c>
      <c r="CG241" s="239">
        <v>0</v>
      </c>
      <c r="CH241" s="239">
        <v>0</v>
      </c>
      <c r="CI241" s="239">
        <v>0</v>
      </c>
      <c r="CJ241" s="239">
        <v>0</v>
      </c>
      <c r="CK241" s="239">
        <v>0</v>
      </c>
      <c r="CL241" s="239">
        <v>0</v>
      </c>
      <c r="CM241" s="239">
        <v>0</v>
      </c>
      <c r="CN241" s="239">
        <v>0</v>
      </c>
      <c r="CO241" s="239">
        <v>0</v>
      </c>
      <c r="CP241" s="239">
        <v>-78559</v>
      </c>
      <c r="CQ241" s="239">
        <v>0</v>
      </c>
      <c r="CR241" s="239">
        <v>-78559</v>
      </c>
      <c r="CS241" s="239">
        <v>212</v>
      </c>
      <c r="CT241" s="239">
        <v>0</v>
      </c>
      <c r="CU241" s="239">
        <v>212</v>
      </c>
      <c r="CV241" s="239">
        <v>-72798</v>
      </c>
      <c r="CW241" s="239">
        <v>0</v>
      </c>
      <c r="CX241" s="239">
        <v>-72798</v>
      </c>
      <c r="CY241" s="239">
        <v>5520</v>
      </c>
      <c r="CZ241" s="239">
        <v>0</v>
      </c>
      <c r="DA241" s="239">
        <v>5520</v>
      </c>
      <c r="DB241" s="239">
        <v>0</v>
      </c>
      <c r="DC241" s="239">
        <v>0</v>
      </c>
      <c r="DD241" s="239">
        <v>0</v>
      </c>
      <c r="DE241" s="239">
        <v>0</v>
      </c>
      <c r="DF241" s="239">
        <v>0</v>
      </c>
      <c r="DG241" s="239">
        <v>0</v>
      </c>
      <c r="DH241" s="239">
        <v>0</v>
      </c>
      <c r="DI241" s="239">
        <v>0</v>
      </c>
      <c r="DJ241" s="239">
        <v>-296097</v>
      </c>
      <c r="DK241" s="239">
        <v>0</v>
      </c>
      <c r="DL241" s="239">
        <v>-296097</v>
      </c>
      <c r="DM241" s="239">
        <v>-40073</v>
      </c>
      <c r="DN241" s="239">
        <v>-113357</v>
      </c>
      <c r="DO241" s="239">
        <v>-153430</v>
      </c>
      <c r="DP241" s="239">
        <v>4339</v>
      </c>
      <c r="DQ241" s="239">
        <v>0</v>
      </c>
      <c r="DR241" s="239">
        <v>4339</v>
      </c>
      <c r="DS241" s="239">
        <v>-4019</v>
      </c>
      <c r="DT241" s="239">
        <v>0</v>
      </c>
      <c r="DU241" s="239">
        <v>-4019</v>
      </c>
      <c r="DV241" s="239">
        <v>0</v>
      </c>
      <c r="DW241" s="239">
        <v>0</v>
      </c>
      <c r="DX241" s="239">
        <v>0</v>
      </c>
      <c r="DY241" s="239">
        <v>0</v>
      </c>
      <c r="DZ241" s="239">
        <v>0</v>
      </c>
      <c r="EA241" s="239">
        <v>0</v>
      </c>
      <c r="EB241" s="239">
        <v>4794</v>
      </c>
      <c r="EC241" s="239">
        <v>0</v>
      </c>
      <c r="ED241" s="239">
        <v>4794</v>
      </c>
      <c r="EE241" s="239">
        <v>0</v>
      </c>
      <c r="EF241" s="239">
        <v>0</v>
      </c>
      <c r="EG241" s="239">
        <v>0</v>
      </c>
      <c r="EH241" s="239">
        <v>0</v>
      </c>
      <c r="EI241" s="239">
        <v>0</v>
      </c>
      <c r="EJ241" s="239">
        <v>0</v>
      </c>
      <c r="EK241" s="239">
        <v>-14563</v>
      </c>
      <c r="EL241" s="239">
        <v>0</v>
      </c>
      <c r="EM241" s="239">
        <v>-14563</v>
      </c>
      <c r="EN241" s="239">
        <v>1833</v>
      </c>
      <c r="EO241" s="239">
        <v>0</v>
      </c>
      <c r="EP241" s="239">
        <v>1833</v>
      </c>
      <c r="EQ241" s="239">
        <v>-47689</v>
      </c>
      <c r="ER241" s="239">
        <v>-113357</v>
      </c>
      <c r="ES241" s="239">
        <v>-161046</v>
      </c>
      <c r="ET241" s="239">
        <v>0</v>
      </c>
      <c r="EU241" s="239">
        <v>0</v>
      </c>
      <c r="EV241" s="239">
        <v>0</v>
      </c>
      <c r="EW241" s="239">
        <v>0</v>
      </c>
      <c r="EX241" s="239">
        <v>0</v>
      </c>
      <c r="EY241" s="239">
        <v>0</v>
      </c>
      <c r="EZ241" s="239">
        <v>0</v>
      </c>
      <c r="FA241" s="239">
        <v>0</v>
      </c>
      <c r="FB241" s="239">
        <v>0</v>
      </c>
      <c r="FC241" s="239">
        <v>90827313</v>
      </c>
      <c r="FD241" s="239">
        <v>683038</v>
      </c>
      <c r="FE241" s="239">
        <v>91510351</v>
      </c>
      <c r="FF241" s="239">
        <v>362776</v>
      </c>
      <c r="FG241" s="239">
        <v>0</v>
      </c>
      <c r="FH241" s="239">
        <v>362776</v>
      </c>
      <c r="FI241" s="239">
        <v>-10166113</v>
      </c>
      <c r="FJ241" s="239">
        <v>14157</v>
      </c>
      <c r="FK241" s="239">
        <v>-10151956</v>
      </c>
      <c r="FL241" s="239">
        <v>-2277324</v>
      </c>
      <c r="FM241" s="239">
        <v>-83681</v>
      </c>
      <c r="FN241" s="239">
        <v>-2361005</v>
      </c>
      <c r="FO241" s="239">
        <v>-296097</v>
      </c>
      <c r="FP241" s="239">
        <v>0</v>
      </c>
      <c r="FQ241" s="239">
        <v>-296097</v>
      </c>
      <c r="FR241" s="239">
        <v>-47689</v>
      </c>
      <c r="FS241" s="239">
        <v>-113357</v>
      </c>
      <c r="FT241" s="239">
        <v>-161046</v>
      </c>
      <c r="FU241" s="239">
        <v>0</v>
      </c>
      <c r="FV241" s="239">
        <v>0</v>
      </c>
      <c r="FW241" s="239">
        <v>0</v>
      </c>
      <c r="FX241" s="239">
        <v>-12424447</v>
      </c>
      <c r="FY241" s="239">
        <v>-182881</v>
      </c>
      <c r="FZ241" s="239">
        <v>-12607328</v>
      </c>
      <c r="GA241" s="239">
        <v>78402866</v>
      </c>
      <c r="GB241" s="239">
        <v>500157</v>
      </c>
      <c r="GC241" s="239">
        <v>78903023</v>
      </c>
      <c r="GD241" s="214" t="s">
        <v>1190</v>
      </c>
    </row>
    <row r="242" spans="2:186" s="214" customFormat="1" x14ac:dyDescent="0.2">
      <c r="B242" s="609" t="s">
        <v>566</v>
      </c>
      <c r="C242" s="609" t="s">
        <v>565</v>
      </c>
      <c r="D242" s="239">
        <v>0</v>
      </c>
      <c r="E242" s="239">
        <v>0</v>
      </c>
      <c r="F242" s="239">
        <v>0</v>
      </c>
      <c r="G242" s="239">
        <v>15367</v>
      </c>
      <c r="H242" s="239">
        <v>0</v>
      </c>
      <c r="I242" s="239">
        <v>15367</v>
      </c>
      <c r="J242" s="239">
        <v>0</v>
      </c>
      <c r="K242" s="239">
        <v>0</v>
      </c>
      <c r="L242" s="239">
        <v>0</v>
      </c>
      <c r="M242" s="239">
        <v>-510</v>
      </c>
      <c r="N242" s="239">
        <v>0</v>
      </c>
      <c r="O242" s="239">
        <v>-510</v>
      </c>
      <c r="P242" s="239">
        <v>14857</v>
      </c>
      <c r="Q242" s="239">
        <v>0</v>
      </c>
      <c r="R242" s="239">
        <v>14857</v>
      </c>
      <c r="S242" s="239">
        <v>-1534250</v>
      </c>
      <c r="T242" s="239">
        <v>0</v>
      </c>
      <c r="U242" s="239">
        <v>-1534250</v>
      </c>
      <c r="V242" s="239">
        <v>-4023</v>
      </c>
      <c r="W242" s="239">
        <v>0</v>
      </c>
      <c r="X242" s="239">
        <v>-4023</v>
      </c>
      <c r="Y242" s="239">
        <v>-75722</v>
      </c>
      <c r="Z242" s="239">
        <v>0</v>
      </c>
      <c r="AA242" s="239">
        <v>-75722</v>
      </c>
      <c r="AB242" s="239">
        <v>-59907</v>
      </c>
      <c r="AC242" s="239">
        <v>0</v>
      </c>
      <c r="AD242" s="239">
        <v>-59907</v>
      </c>
      <c r="AE242" s="239">
        <v>0</v>
      </c>
      <c r="AF242" s="239">
        <v>0</v>
      </c>
      <c r="AG242" s="239">
        <v>0</v>
      </c>
      <c r="AH242" s="239">
        <v>626609</v>
      </c>
      <c r="AI242" s="239">
        <v>0</v>
      </c>
      <c r="AJ242" s="239">
        <v>626609</v>
      </c>
      <c r="AK242" s="239">
        <v>-7946</v>
      </c>
      <c r="AL242" s="239">
        <v>0</v>
      </c>
      <c r="AM242" s="239">
        <v>-7946</v>
      </c>
      <c r="AN242" s="239">
        <v>-1201723</v>
      </c>
      <c r="AO242" s="239">
        <v>0</v>
      </c>
      <c r="AP242" s="239">
        <v>-1201723</v>
      </c>
      <c r="AQ242" s="239">
        <v>2045</v>
      </c>
      <c r="AR242" s="239">
        <v>0</v>
      </c>
      <c r="AS242" s="239">
        <v>2045</v>
      </c>
      <c r="AT242" s="239">
        <v>-35078</v>
      </c>
      <c r="AU242" s="239">
        <v>0</v>
      </c>
      <c r="AV242" s="239">
        <v>-35078</v>
      </c>
      <c r="AW242" s="239">
        <v>0</v>
      </c>
      <c r="AX242" s="239">
        <v>0</v>
      </c>
      <c r="AY242" s="239">
        <v>0</v>
      </c>
      <c r="AZ242" s="239">
        <v>-22981</v>
      </c>
      <c r="BA242" s="239">
        <v>0</v>
      </c>
      <c r="BB242" s="239">
        <v>-22981</v>
      </c>
      <c r="BC242" s="239">
        <v>-402</v>
      </c>
      <c r="BD242" s="239">
        <v>0</v>
      </c>
      <c r="BE242" s="239">
        <v>-402</v>
      </c>
      <c r="BF242" s="239">
        <v>-2249448</v>
      </c>
      <c r="BG242" s="239">
        <v>0</v>
      </c>
      <c r="BH242" s="239">
        <v>-2249448</v>
      </c>
      <c r="BI242" s="239">
        <v>-491709</v>
      </c>
      <c r="BJ242" s="239">
        <v>0</v>
      </c>
      <c r="BK242" s="239">
        <v>-491709</v>
      </c>
      <c r="BL242" s="239">
        <v>-109063</v>
      </c>
      <c r="BM242" s="239">
        <v>0</v>
      </c>
      <c r="BN242" s="239">
        <v>-109063</v>
      </c>
      <c r="BO242" s="239">
        <v>-484427</v>
      </c>
      <c r="BP242" s="239">
        <v>0</v>
      </c>
      <c r="BQ242" s="239">
        <v>-484427</v>
      </c>
      <c r="BR242" s="239">
        <v>29745</v>
      </c>
      <c r="BS242" s="239">
        <v>0</v>
      </c>
      <c r="BT242" s="239">
        <v>29745</v>
      </c>
      <c r="BU242" s="239">
        <v>-1055454</v>
      </c>
      <c r="BV242" s="239">
        <v>0</v>
      </c>
      <c r="BW242" s="239">
        <v>-1055454</v>
      </c>
      <c r="BX242" s="239">
        <v>-42697</v>
      </c>
      <c r="BY242" s="239">
        <v>0</v>
      </c>
      <c r="BZ242" s="239">
        <v>-42697</v>
      </c>
      <c r="CA242" s="239">
        <v>108</v>
      </c>
      <c r="CB242" s="239">
        <v>0</v>
      </c>
      <c r="CC242" s="239">
        <v>108</v>
      </c>
      <c r="CD242" s="239">
        <v>-30521</v>
      </c>
      <c r="CE242" s="239">
        <v>0</v>
      </c>
      <c r="CF242" s="239">
        <v>-30521</v>
      </c>
      <c r="CG242" s="239">
        <v>0</v>
      </c>
      <c r="CH242" s="239">
        <v>0</v>
      </c>
      <c r="CI242" s="239">
        <v>0</v>
      </c>
      <c r="CJ242" s="239">
        <v>0</v>
      </c>
      <c r="CK242" s="239">
        <v>0</v>
      </c>
      <c r="CL242" s="239">
        <v>0</v>
      </c>
      <c r="CM242" s="239">
        <v>0</v>
      </c>
      <c r="CN242" s="239">
        <v>0</v>
      </c>
      <c r="CO242" s="239">
        <v>0</v>
      </c>
      <c r="CP242" s="239">
        <v>0</v>
      </c>
      <c r="CQ242" s="239">
        <v>0</v>
      </c>
      <c r="CR242" s="239">
        <v>0</v>
      </c>
      <c r="CS242" s="239">
        <v>0</v>
      </c>
      <c r="CT242" s="239">
        <v>0</v>
      </c>
      <c r="CU242" s="239">
        <v>0</v>
      </c>
      <c r="CV242" s="239">
        <v>-1680</v>
      </c>
      <c r="CW242" s="239">
        <v>0</v>
      </c>
      <c r="CX242" s="239">
        <v>-1680</v>
      </c>
      <c r="CY242" s="239">
        <v>0</v>
      </c>
      <c r="CZ242" s="239">
        <v>0</v>
      </c>
      <c r="DA242" s="239">
        <v>0</v>
      </c>
      <c r="DB242" s="239">
        <v>0</v>
      </c>
      <c r="DC242" s="239">
        <v>0</v>
      </c>
      <c r="DD242" s="239">
        <v>0</v>
      </c>
      <c r="DE242" s="239">
        <v>0</v>
      </c>
      <c r="DF242" s="239">
        <v>0</v>
      </c>
      <c r="DG242" s="239">
        <v>0</v>
      </c>
      <c r="DH242" s="239">
        <v>0</v>
      </c>
      <c r="DI242" s="239">
        <v>0</v>
      </c>
      <c r="DJ242" s="239">
        <v>-74790</v>
      </c>
      <c r="DK242" s="239">
        <v>0</v>
      </c>
      <c r="DL242" s="239">
        <v>-74790</v>
      </c>
      <c r="DM242" s="239">
        <v>0</v>
      </c>
      <c r="DN242" s="239">
        <v>0</v>
      </c>
      <c r="DO242" s="239">
        <v>0</v>
      </c>
      <c r="DP242" s="239">
        <v>0</v>
      </c>
      <c r="DQ242" s="239">
        <v>0</v>
      </c>
      <c r="DR242" s="239">
        <v>0</v>
      </c>
      <c r="DS242" s="239">
        <v>0</v>
      </c>
      <c r="DT242" s="239">
        <v>0</v>
      </c>
      <c r="DU242" s="239">
        <v>0</v>
      </c>
      <c r="DV242" s="239">
        <v>0</v>
      </c>
      <c r="DW242" s="239">
        <v>0</v>
      </c>
      <c r="DX242" s="239">
        <v>0</v>
      </c>
      <c r="DY242" s="239">
        <v>0</v>
      </c>
      <c r="DZ242" s="239">
        <v>0</v>
      </c>
      <c r="EA242" s="239">
        <v>0</v>
      </c>
      <c r="EB242" s="239">
        <v>-13715</v>
      </c>
      <c r="EC242" s="239">
        <v>0</v>
      </c>
      <c r="ED242" s="239">
        <v>-13715</v>
      </c>
      <c r="EE242" s="239">
        <v>0</v>
      </c>
      <c r="EF242" s="239">
        <v>0</v>
      </c>
      <c r="EG242" s="239">
        <v>0</v>
      </c>
      <c r="EH242" s="239">
        <v>0</v>
      </c>
      <c r="EI242" s="239">
        <v>0</v>
      </c>
      <c r="EJ242" s="239">
        <v>0</v>
      </c>
      <c r="EK242" s="239">
        <v>-4888</v>
      </c>
      <c r="EL242" s="239">
        <v>0</v>
      </c>
      <c r="EM242" s="239">
        <v>-4888</v>
      </c>
      <c r="EN242" s="239">
        <v>459</v>
      </c>
      <c r="EO242" s="239">
        <v>0</v>
      </c>
      <c r="EP242" s="239">
        <v>459</v>
      </c>
      <c r="EQ242" s="239">
        <v>-18144</v>
      </c>
      <c r="ER242" s="239">
        <v>0</v>
      </c>
      <c r="ES242" s="239">
        <v>-18144</v>
      </c>
      <c r="ET242" s="239">
        <v>-1481</v>
      </c>
      <c r="EU242" s="239">
        <v>0</v>
      </c>
      <c r="EV242" s="239">
        <v>-1481</v>
      </c>
      <c r="EW242" s="239">
        <v>-1600</v>
      </c>
      <c r="EX242" s="239">
        <v>0</v>
      </c>
      <c r="EY242" s="239">
        <v>-1600</v>
      </c>
      <c r="EZ242" s="239">
        <v>-3081</v>
      </c>
      <c r="FA242" s="239">
        <v>0</v>
      </c>
      <c r="FB242" s="239">
        <v>-3081</v>
      </c>
      <c r="FC242" s="239">
        <v>27172899</v>
      </c>
      <c r="FD242" s="239">
        <v>0</v>
      </c>
      <c r="FE242" s="239">
        <v>27172899</v>
      </c>
      <c r="FF242" s="239">
        <v>14857</v>
      </c>
      <c r="FG242" s="239">
        <v>0</v>
      </c>
      <c r="FH242" s="239">
        <v>14857</v>
      </c>
      <c r="FI242" s="239">
        <v>-2249448</v>
      </c>
      <c r="FJ242" s="239">
        <v>0</v>
      </c>
      <c r="FK242" s="239">
        <v>-2249448</v>
      </c>
      <c r="FL242" s="239">
        <v>-1055454</v>
      </c>
      <c r="FM242" s="239">
        <v>0</v>
      </c>
      <c r="FN242" s="239">
        <v>-1055454</v>
      </c>
      <c r="FO242" s="239">
        <v>-74790</v>
      </c>
      <c r="FP242" s="239">
        <v>0</v>
      </c>
      <c r="FQ242" s="239">
        <v>-74790</v>
      </c>
      <c r="FR242" s="239">
        <v>-18144</v>
      </c>
      <c r="FS242" s="239">
        <v>0</v>
      </c>
      <c r="FT242" s="239">
        <v>-18144</v>
      </c>
      <c r="FU242" s="239">
        <v>-3081</v>
      </c>
      <c r="FV242" s="239">
        <v>0</v>
      </c>
      <c r="FW242" s="239">
        <v>-3081</v>
      </c>
      <c r="FX242" s="239">
        <v>-3386060</v>
      </c>
      <c r="FY242" s="239">
        <v>0</v>
      </c>
      <c r="FZ242" s="239">
        <v>-3386060</v>
      </c>
      <c r="GA242" s="239">
        <v>23786839</v>
      </c>
      <c r="GB242" s="239">
        <v>0</v>
      </c>
      <c r="GC242" s="239">
        <v>23786839</v>
      </c>
      <c r="GD242" s="214" t="s">
        <v>1190</v>
      </c>
    </row>
    <row r="243" spans="2:186" s="214" customFormat="1" x14ac:dyDescent="0.2">
      <c r="B243" s="609" t="s">
        <v>568</v>
      </c>
      <c r="C243" s="609" t="s">
        <v>567</v>
      </c>
      <c r="D243" s="239">
        <v>0</v>
      </c>
      <c r="E243" s="239">
        <v>0</v>
      </c>
      <c r="F243" s="239">
        <v>0</v>
      </c>
      <c r="G243" s="239">
        <v>370376</v>
      </c>
      <c r="H243" s="239">
        <v>0</v>
      </c>
      <c r="I243" s="239">
        <v>370376</v>
      </c>
      <c r="J243" s="239">
        <v>0</v>
      </c>
      <c r="K243" s="239">
        <v>0</v>
      </c>
      <c r="L243" s="239">
        <v>0</v>
      </c>
      <c r="M243" s="239">
        <v>79990</v>
      </c>
      <c r="N243" s="239">
        <v>0</v>
      </c>
      <c r="O243" s="239">
        <v>79990</v>
      </c>
      <c r="P243" s="239">
        <v>450366</v>
      </c>
      <c r="Q243" s="239">
        <v>0</v>
      </c>
      <c r="R243" s="239">
        <v>450366</v>
      </c>
      <c r="S243" s="239">
        <v>-3962901</v>
      </c>
      <c r="T243" s="239">
        <v>0</v>
      </c>
      <c r="U243" s="239">
        <v>-3962901</v>
      </c>
      <c r="V243" s="239">
        <v>-38098</v>
      </c>
      <c r="W243" s="239">
        <v>0</v>
      </c>
      <c r="X243" s="239">
        <v>-38098</v>
      </c>
      <c r="Y243" s="239">
        <v>-498014</v>
      </c>
      <c r="Z243" s="239">
        <v>-7062</v>
      </c>
      <c r="AA243" s="239">
        <v>-505076</v>
      </c>
      <c r="AB243" s="239">
        <v>-498014</v>
      </c>
      <c r="AC243" s="239">
        <v>-7062</v>
      </c>
      <c r="AD243" s="239">
        <v>-505076</v>
      </c>
      <c r="AE243" s="239">
        <v>-10447</v>
      </c>
      <c r="AF243" s="239">
        <v>0</v>
      </c>
      <c r="AG243" s="239">
        <v>-10447</v>
      </c>
      <c r="AH243" s="239">
        <v>3737543</v>
      </c>
      <c r="AI243" s="239">
        <v>139207</v>
      </c>
      <c r="AJ243" s="239">
        <v>3876750</v>
      </c>
      <c r="AK243" s="239">
        <v>74717</v>
      </c>
      <c r="AL243" s="239">
        <v>785</v>
      </c>
      <c r="AM243" s="239">
        <v>75502</v>
      </c>
      <c r="AN243" s="239">
        <v>-8088106</v>
      </c>
      <c r="AO243" s="239">
        <v>0</v>
      </c>
      <c r="AP243" s="239">
        <v>-8088106</v>
      </c>
      <c r="AQ243" s="239">
        <v>-125578</v>
      </c>
      <c r="AR243" s="239">
        <v>0</v>
      </c>
      <c r="AS243" s="239">
        <v>-125578</v>
      </c>
      <c r="AT243" s="239">
        <v>-80514</v>
      </c>
      <c r="AU243" s="239">
        <v>0</v>
      </c>
      <c r="AV243" s="239">
        <v>-80514</v>
      </c>
      <c r="AW243" s="239">
        <v>0</v>
      </c>
      <c r="AX243" s="239">
        <v>0</v>
      </c>
      <c r="AY243" s="239">
        <v>0</v>
      </c>
      <c r="AZ243" s="239">
        <v>-29548</v>
      </c>
      <c r="BA243" s="239">
        <v>0</v>
      </c>
      <c r="BB243" s="239">
        <v>-29548</v>
      </c>
      <c r="BC243" s="239">
        <v>0</v>
      </c>
      <c r="BD243" s="239">
        <v>0</v>
      </c>
      <c r="BE243" s="239">
        <v>0</v>
      </c>
      <c r="BF243" s="239">
        <v>-8972401</v>
      </c>
      <c r="BG243" s="239">
        <v>132930</v>
      </c>
      <c r="BH243" s="239">
        <v>-8839471</v>
      </c>
      <c r="BI243" s="239">
        <v>-426909</v>
      </c>
      <c r="BJ243" s="239">
        <v>0</v>
      </c>
      <c r="BK243" s="239">
        <v>-426909</v>
      </c>
      <c r="BL243" s="239">
        <v>13648</v>
      </c>
      <c r="BM243" s="239">
        <v>0</v>
      </c>
      <c r="BN243" s="239">
        <v>13648</v>
      </c>
      <c r="BO243" s="239">
        <v>-5176522</v>
      </c>
      <c r="BP243" s="239">
        <v>-783</v>
      </c>
      <c r="BQ243" s="239">
        <v>-5177305</v>
      </c>
      <c r="BR243" s="239">
        <v>92848</v>
      </c>
      <c r="BS243" s="239">
        <v>0</v>
      </c>
      <c r="BT243" s="239">
        <v>92848</v>
      </c>
      <c r="BU243" s="239">
        <v>-5496935</v>
      </c>
      <c r="BV243" s="239">
        <v>-783</v>
      </c>
      <c r="BW243" s="239">
        <v>-5497718</v>
      </c>
      <c r="BX243" s="239">
        <v>-31152</v>
      </c>
      <c r="BY243" s="239">
        <v>0</v>
      </c>
      <c r="BZ243" s="239">
        <v>-31152</v>
      </c>
      <c r="CA243" s="239">
        <v>3120</v>
      </c>
      <c r="CB243" s="239">
        <v>0</v>
      </c>
      <c r="CC243" s="239">
        <v>3120</v>
      </c>
      <c r="CD243" s="239">
        <v>-80576</v>
      </c>
      <c r="CE243" s="239">
        <v>0</v>
      </c>
      <c r="CF243" s="239">
        <v>-80576</v>
      </c>
      <c r="CG243" s="239">
        <v>14046</v>
      </c>
      <c r="CH243" s="239">
        <v>0</v>
      </c>
      <c r="CI243" s="239">
        <v>14046</v>
      </c>
      <c r="CJ243" s="239">
        <v>0</v>
      </c>
      <c r="CK243" s="239">
        <v>0</v>
      </c>
      <c r="CL243" s="239">
        <v>0</v>
      </c>
      <c r="CM243" s="239">
        <v>0</v>
      </c>
      <c r="CN243" s="239">
        <v>0</v>
      </c>
      <c r="CO243" s="239">
        <v>0</v>
      </c>
      <c r="CP243" s="239">
        <v>-27224</v>
      </c>
      <c r="CQ243" s="239">
        <v>0</v>
      </c>
      <c r="CR243" s="239">
        <v>-27224</v>
      </c>
      <c r="CS243" s="239">
        <v>0</v>
      </c>
      <c r="CT243" s="239">
        <v>0</v>
      </c>
      <c r="CU243" s="239">
        <v>0</v>
      </c>
      <c r="CV243" s="239">
        <v>-21342</v>
      </c>
      <c r="CW243" s="239">
        <v>0</v>
      </c>
      <c r="CX243" s="239">
        <v>-21342</v>
      </c>
      <c r="CY243" s="239">
        <v>0</v>
      </c>
      <c r="CZ243" s="239">
        <v>0</v>
      </c>
      <c r="DA243" s="239">
        <v>0</v>
      </c>
      <c r="DB243" s="239">
        <v>-50888</v>
      </c>
      <c r="DC243" s="239">
        <v>0</v>
      </c>
      <c r="DD243" s="239">
        <v>-50888</v>
      </c>
      <c r="DE243" s="239">
        <v>0</v>
      </c>
      <c r="DF243" s="239">
        <v>0</v>
      </c>
      <c r="DG243" s="239">
        <v>0</v>
      </c>
      <c r="DH243" s="239">
        <v>0</v>
      </c>
      <c r="DI243" s="239">
        <v>0</v>
      </c>
      <c r="DJ243" s="239">
        <v>-194016</v>
      </c>
      <c r="DK243" s="239">
        <v>0</v>
      </c>
      <c r="DL243" s="239">
        <v>-194016</v>
      </c>
      <c r="DM243" s="239">
        <v>0</v>
      </c>
      <c r="DN243" s="239">
        <v>0</v>
      </c>
      <c r="DO243" s="239">
        <v>0</v>
      </c>
      <c r="DP243" s="239">
        <v>0</v>
      </c>
      <c r="DQ243" s="239">
        <v>0</v>
      </c>
      <c r="DR243" s="239">
        <v>0</v>
      </c>
      <c r="DS243" s="239">
        <v>-10816</v>
      </c>
      <c r="DT243" s="239">
        <v>0</v>
      </c>
      <c r="DU243" s="239">
        <v>-10816</v>
      </c>
      <c r="DV243" s="239">
        <v>-2935</v>
      </c>
      <c r="DW243" s="239">
        <v>0</v>
      </c>
      <c r="DX243" s="239">
        <v>-2935</v>
      </c>
      <c r="DY243" s="239">
        <v>0</v>
      </c>
      <c r="DZ243" s="239">
        <v>0</v>
      </c>
      <c r="EA243" s="239">
        <v>0</v>
      </c>
      <c r="EB243" s="239">
        <v>-40468</v>
      </c>
      <c r="EC243" s="239">
        <v>0</v>
      </c>
      <c r="ED243" s="239">
        <v>-40468</v>
      </c>
      <c r="EE243" s="239">
        <v>0</v>
      </c>
      <c r="EF243" s="239">
        <v>0</v>
      </c>
      <c r="EG243" s="239">
        <v>0</v>
      </c>
      <c r="EH243" s="239">
        <v>0</v>
      </c>
      <c r="EI243" s="239">
        <v>0</v>
      </c>
      <c r="EJ243" s="239">
        <v>0</v>
      </c>
      <c r="EK243" s="239">
        <v>-10625</v>
      </c>
      <c r="EL243" s="239">
        <v>0</v>
      </c>
      <c r="EM243" s="239">
        <v>-10625</v>
      </c>
      <c r="EN243" s="239">
        <v>0</v>
      </c>
      <c r="EO243" s="239">
        <v>0</v>
      </c>
      <c r="EP243" s="239">
        <v>0</v>
      </c>
      <c r="EQ243" s="239">
        <v>-64844</v>
      </c>
      <c r="ER243" s="239">
        <v>0</v>
      </c>
      <c r="ES243" s="239">
        <v>-64844</v>
      </c>
      <c r="ET243" s="239">
        <v>-20772</v>
      </c>
      <c r="EU243" s="239">
        <v>0</v>
      </c>
      <c r="EV243" s="239">
        <v>-20772</v>
      </c>
      <c r="EW243" s="239">
        <v>0</v>
      </c>
      <c r="EX243" s="239">
        <v>0</v>
      </c>
      <c r="EY243" s="239">
        <v>0</v>
      </c>
      <c r="EZ243" s="239">
        <v>-20772</v>
      </c>
      <c r="FA243" s="239">
        <v>0</v>
      </c>
      <c r="FB243" s="239">
        <v>-20772</v>
      </c>
      <c r="FC243" s="239">
        <v>147793431</v>
      </c>
      <c r="FD243" s="239">
        <v>5166747</v>
      </c>
      <c r="FE243" s="239">
        <v>152960178</v>
      </c>
      <c r="FF243" s="239">
        <v>450366</v>
      </c>
      <c r="FG243" s="239">
        <v>0</v>
      </c>
      <c r="FH243" s="239">
        <v>450366</v>
      </c>
      <c r="FI243" s="239">
        <v>-8972401</v>
      </c>
      <c r="FJ243" s="239">
        <v>132930</v>
      </c>
      <c r="FK243" s="239">
        <v>-8839471</v>
      </c>
      <c r="FL243" s="239">
        <v>-5496935</v>
      </c>
      <c r="FM243" s="239">
        <v>-783</v>
      </c>
      <c r="FN243" s="239">
        <v>-5497718</v>
      </c>
      <c r="FO243" s="239">
        <v>-194016</v>
      </c>
      <c r="FP243" s="239">
        <v>0</v>
      </c>
      <c r="FQ243" s="239">
        <v>-194016</v>
      </c>
      <c r="FR243" s="239">
        <v>-64844</v>
      </c>
      <c r="FS243" s="239">
        <v>0</v>
      </c>
      <c r="FT243" s="239">
        <v>-64844</v>
      </c>
      <c r="FU243" s="239">
        <v>-20772</v>
      </c>
      <c r="FV243" s="239">
        <v>0</v>
      </c>
      <c r="FW243" s="239">
        <v>-20772</v>
      </c>
      <c r="FX243" s="239">
        <v>-14298602</v>
      </c>
      <c r="FY243" s="239">
        <v>132147</v>
      </c>
      <c r="FZ243" s="239">
        <v>-14166455</v>
      </c>
      <c r="GA243" s="239">
        <v>133494829</v>
      </c>
      <c r="GB243" s="239">
        <v>5298894</v>
      </c>
      <c r="GC243" s="239">
        <v>138793723</v>
      </c>
      <c r="GD243" s="214" t="s">
        <v>747</v>
      </c>
    </row>
    <row r="244" spans="2:186" s="214" customFormat="1" x14ac:dyDescent="0.2">
      <c r="B244" s="609" t="s">
        <v>570</v>
      </c>
      <c r="C244" s="609" t="s">
        <v>569</v>
      </c>
      <c r="D244" s="239">
        <v>0</v>
      </c>
      <c r="E244" s="239">
        <v>0</v>
      </c>
      <c r="F244" s="239">
        <v>0</v>
      </c>
      <c r="G244" s="239">
        <v>769768</v>
      </c>
      <c r="H244" s="239">
        <v>0</v>
      </c>
      <c r="I244" s="239">
        <v>769768</v>
      </c>
      <c r="J244" s="239">
        <v>0</v>
      </c>
      <c r="K244" s="239">
        <v>0</v>
      </c>
      <c r="L244" s="239">
        <v>0</v>
      </c>
      <c r="M244" s="239">
        <v>65385</v>
      </c>
      <c r="N244" s="239">
        <v>0</v>
      </c>
      <c r="O244" s="239">
        <v>65385</v>
      </c>
      <c r="P244" s="239">
        <v>835153</v>
      </c>
      <c r="Q244" s="239">
        <v>0</v>
      </c>
      <c r="R244" s="239">
        <v>835153</v>
      </c>
      <c r="S244" s="239">
        <v>-4536645</v>
      </c>
      <c r="T244" s="239">
        <v>0</v>
      </c>
      <c r="U244" s="239">
        <v>-4536645</v>
      </c>
      <c r="V244" s="239">
        <v>0</v>
      </c>
      <c r="W244" s="239">
        <v>0</v>
      </c>
      <c r="X244" s="239">
        <v>0</v>
      </c>
      <c r="Y244" s="239">
        <v>-313012</v>
      </c>
      <c r="Z244" s="239">
        <v>0</v>
      </c>
      <c r="AA244" s="239">
        <v>-313012</v>
      </c>
      <c r="AB244" s="239">
        <v>-232422</v>
      </c>
      <c r="AC244" s="239">
        <v>0</v>
      </c>
      <c r="AD244" s="239">
        <v>-232422</v>
      </c>
      <c r="AE244" s="239">
        <v>0</v>
      </c>
      <c r="AF244" s="239">
        <v>0</v>
      </c>
      <c r="AG244" s="239">
        <v>0</v>
      </c>
      <c r="AH244" s="239">
        <v>797478</v>
      </c>
      <c r="AI244" s="239">
        <v>0</v>
      </c>
      <c r="AJ244" s="239">
        <v>797478</v>
      </c>
      <c r="AK244" s="239">
        <v>-6851</v>
      </c>
      <c r="AL244" s="239">
        <v>0</v>
      </c>
      <c r="AM244" s="239">
        <v>-6851</v>
      </c>
      <c r="AN244" s="239">
        <v>-2348105</v>
      </c>
      <c r="AO244" s="239">
        <v>0</v>
      </c>
      <c r="AP244" s="239">
        <v>-2348105</v>
      </c>
      <c r="AQ244" s="239">
        <v>-184264</v>
      </c>
      <c r="AR244" s="239">
        <v>0</v>
      </c>
      <c r="AS244" s="239">
        <v>-184264</v>
      </c>
      <c r="AT244" s="239">
        <v>-90738</v>
      </c>
      <c r="AU244" s="239">
        <v>0</v>
      </c>
      <c r="AV244" s="239">
        <v>-90738</v>
      </c>
      <c r="AW244" s="239">
        <v>160</v>
      </c>
      <c r="AX244" s="239">
        <v>0</v>
      </c>
      <c r="AY244" s="239">
        <v>160</v>
      </c>
      <c r="AZ244" s="239">
        <v>-48076</v>
      </c>
      <c r="BA244" s="239">
        <v>0</v>
      </c>
      <c r="BB244" s="239">
        <v>-48076</v>
      </c>
      <c r="BC244" s="239">
        <v>10831</v>
      </c>
      <c r="BD244" s="239">
        <v>0</v>
      </c>
      <c r="BE244" s="239">
        <v>10831</v>
      </c>
      <c r="BF244" s="239">
        <v>-6719222</v>
      </c>
      <c r="BG244" s="239">
        <v>0</v>
      </c>
      <c r="BH244" s="239">
        <v>-6719222</v>
      </c>
      <c r="BI244" s="239">
        <v>0</v>
      </c>
      <c r="BJ244" s="239">
        <v>0</v>
      </c>
      <c r="BK244" s="239">
        <v>0</v>
      </c>
      <c r="BL244" s="239">
        <v>-443862</v>
      </c>
      <c r="BM244" s="239">
        <v>0</v>
      </c>
      <c r="BN244" s="239">
        <v>-443862</v>
      </c>
      <c r="BO244" s="239">
        <v>-887073</v>
      </c>
      <c r="BP244" s="239">
        <v>0</v>
      </c>
      <c r="BQ244" s="239">
        <v>-887073</v>
      </c>
      <c r="BR244" s="239">
        <v>-139</v>
      </c>
      <c r="BS244" s="239">
        <v>0</v>
      </c>
      <c r="BT244" s="239">
        <v>-139</v>
      </c>
      <c r="BU244" s="239">
        <v>-1331074</v>
      </c>
      <c r="BV244" s="239">
        <v>0</v>
      </c>
      <c r="BW244" s="239">
        <v>-1331074</v>
      </c>
      <c r="BX244" s="239">
        <v>-162304</v>
      </c>
      <c r="BY244" s="239">
        <v>0</v>
      </c>
      <c r="BZ244" s="239">
        <v>-162304</v>
      </c>
      <c r="CA244" s="239">
        <v>-2418</v>
      </c>
      <c r="CB244" s="239">
        <v>0</v>
      </c>
      <c r="CC244" s="239">
        <v>-2418</v>
      </c>
      <c r="CD244" s="239">
        <v>-28649</v>
      </c>
      <c r="CE244" s="239">
        <v>0</v>
      </c>
      <c r="CF244" s="239">
        <v>-28649</v>
      </c>
      <c r="CG244" s="239">
        <v>-6454</v>
      </c>
      <c r="CH244" s="239">
        <v>0</v>
      </c>
      <c r="CI244" s="239">
        <v>-6454</v>
      </c>
      <c r="CJ244" s="239">
        <v>-11231</v>
      </c>
      <c r="CK244" s="239">
        <v>0</v>
      </c>
      <c r="CL244" s="239">
        <v>-11231</v>
      </c>
      <c r="CM244" s="239">
        <v>0</v>
      </c>
      <c r="CN244" s="239">
        <v>0</v>
      </c>
      <c r="CO244" s="239">
        <v>0</v>
      </c>
      <c r="CP244" s="239">
        <v>-14549</v>
      </c>
      <c r="CQ244" s="239">
        <v>0</v>
      </c>
      <c r="CR244" s="239">
        <v>-14549</v>
      </c>
      <c r="CS244" s="239">
        <v>-7975</v>
      </c>
      <c r="CT244" s="239">
        <v>0</v>
      </c>
      <c r="CU244" s="239">
        <v>-7975</v>
      </c>
      <c r="CV244" s="239">
        <v>0</v>
      </c>
      <c r="CW244" s="239">
        <v>0</v>
      </c>
      <c r="CX244" s="239">
        <v>0</v>
      </c>
      <c r="CY244" s="239">
        <v>0</v>
      </c>
      <c r="CZ244" s="239">
        <v>0</v>
      </c>
      <c r="DA244" s="239">
        <v>0</v>
      </c>
      <c r="DB244" s="239">
        <v>0</v>
      </c>
      <c r="DC244" s="239">
        <v>0</v>
      </c>
      <c r="DD244" s="239">
        <v>0</v>
      </c>
      <c r="DE244" s="239">
        <v>0</v>
      </c>
      <c r="DF244" s="239">
        <v>0</v>
      </c>
      <c r="DG244" s="239">
        <v>0</v>
      </c>
      <c r="DH244" s="239">
        <v>0</v>
      </c>
      <c r="DI244" s="239">
        <v>0</v>
      </c>
      <c r="DJ244" s="239">
        <v>-233580</v>
      </c>
      <c r="DK244" s="239">
        <v>0</v>
      </c>
      <c r="DL244" s="239">
        <v>-233580</v>
      </c>
      <c r="DM244" s="239">
        <v>-1429</v>
      </c>
      <c r="DN244" s="239">
        <v>0</v>
      </c>
      <c r="DO244" s="239">
        <v>-1429</v>
      </c>
      <c r="DP244" s="239">
        <v>-35338</v>
      </c>
      <c r="DQ244" s="239">
        <v>0</v>
      </c>
      <c r="DR244" s="239">
        <v>-35338</v>
      </c>
      <c r="DS244" s="239">
        <v>-6183</v>
      </c>
      <c r="DT244" s="239">
        <v>0</v>
      </c>
      <c r="DU244" s="239">
        <v>-6183</v>
      </c>
      <c r="DV244" s="239">
        <v>0</v>
      </c>
      <c r="DW244" s="239">
        <v>0</v>
      </c>
      <c r="DX244" s="239">
        <v>0</v>
      </c>
      <c r="DY244" s="239">
        <v>0</v>
      </c>
      <c r="DZ244" s="239">
        <v>0</v>
      </c>
      <c r="EA244" s="239">
        <v>0</v>
      </c>
      <c r="EB244" s="239">
        <v>-10919</v>
      </c>
      <c r="EC244" s="239">
        <v>0</v>
      </c>
      <c r="ED244" s="239">
        <v>-10919</v>
      </c>
      <c r="EE244" s="239">
        <v>0</v>
      </c>
      <c r="EF244" s="239">
        <v>0</v>
      </c>
      <c r="EG244" s="239">
        <v>0</v>
      </c>
      <c r="EH244" s="239">
        <v>0</v>
      </c>
      <c r="EI244" s="239">
        <v>0</v>
      </c>
      <c r="EJ244" s="239">
        <v>0</v>
      </c>
      <c r="EK244" s="239">
        <v>-28724</v>
      </c>
      <c r="EL244" s="239">
        <v>0</v>
      </c>
      <c r="EM244" s="239">
        <v>-28724</v>
      </c>
      <c r="EN244" s="239">
        <v>-44</v>
      </c>
      <c r="EO244" s="239">
        <v>0</v>
      </c>
      <c r="EP244" s="239">
        <v>-44</v>
      </c>
      <c r="EQ244" s="239">
        <v>-82637</v>
      </c>
      <c r="ER244" s="239">
        <v>0</v>
      </c>
      <c r="ES244" s="239">
        <v>-82637</v>
      </c>
      <c r="ET244" s="239">
        <v>-80842</v>
      </c>
      <c r="EU244" s="239">
        <v>0</v>
      </c>
      <c r="EV244" s="239">
        <v>-80842</v>
      </c>
      <c r="EW244" s="239">
        <v>-75744</v>
      </c>
      <c r="EX244" s="239">
        <v>0</v>
      </c>
      <c r="EY244" s="239">
        <v>-75744</v>
      </c>
      <c r="EZ244" s="239">
        <v>-156586</v>
      </c>
      <c r="FA244" s="239">
        <v>0</v>
      </c>
      <c r="FB244" s="239">
        <v>-156586</v>
      </c>
      <c r="FC244" s="239">
        <v>38543994</v>
      </c>
      <c r="FD244" s="239">
        <v>0</v>
      </c>
      <c r="FE244" s="239">
        <v>38543994</v>
      </c>
      <c r="FF244" s="239">
        <v>835153</v>
      </c>
      <c r="FG244" s="239">
        <v>0</v>
      </c>
      <c r="FH244" s="239">
        <v>835153</v>
      </c>
      <c r="FI244" s="239">
        <v>-6719222</v>
      </c>
      <c r="FJ244" s="239">
        <v>0</v>
      </c>
      <c r="FK244" s="239">
        <v>-6719222</v>
      </c>
      <c r="FL244" s="239">
        <v>-1331074</v>
      </c>
      <c r="FM244" s="239">
        <v>0</v>
      </c>
      <c r="FN244" s="239">
        <v>-1331074</v>
      </c>
      <c r="FO244" s="239">
        <v>-233580</v>
      </c>
      <c r="FP244" s="239">
        <v>0</v>
      </c>
      <c r="FQ244" s="239">
        <v>-233580</v>
      </c>
      <c r="FR244" s="239">
        <v>-82637</v>
      </c>
      <c r="FS244" s="239">
        <v>0</v>
      </c>
      <c r="FT244" s="239">
        <v>-82637</v>
      </c>
      <c r="FU244" s="239">
        <v>-156586</v>
      </c>
      <c r="FV244" s="239">
        <v>0</v>
      </c>
      <c r="FW244" s="239">
        <v>-156586</v>
      </c>
      <c r="FX244" s="239">
        <v>-7687946</v>
      </c>
      <c r="FY244" s="239">
        <v>0</v>
      </c>
      <c r="FZ244" s="239">
        <v>-7687946</v>
      </c>
      <c r="GA244" s="239">
        <v>30856048</v>
      </c>
      <c r="GB244" s="239">
        <v>0</v>
      </c>
      <c r="GC244" s="239">
        <v>30856048</v>
      </c>
      <c r="GD244" s="214" t="s">
        <v>1190</v>
      </c>
    </row>
    <row r="245" spans="2:186" s="214" customFormat="1" x14ac:dyDescent="0.2">
      <c r="B245" s="609" t="s">
        <v>572</v>
      </c>
      <c r="C245" s="609" t="s">
        <v>571</v>
      </c>
      <c r="D245" s="239">
        <v>0</v>
      </c>
      <c r="E245" s="239">
        <v>0</v>
      </c>
      <c r="F245" s="239">
        <v>0</v>
      </c>
      <c r="G245" s="239">
        <v>2053015.49</v>
      </c>
      <c r="H245" s="239">
        <v>0</v>
      </c>
      <c r="I245" s="239">
        <v>2053015.49</v>
      </c>
      <c r="J245" s="239">
        <v>0</v>
      </c>
      <c r="K245" s="239">
        <v>0</v>
      </c>
      <c r="L245" s="239">
        <v>0</v>
      </c>
      <c r="M245" s="239">
        <v>360724</v>
      </c>
      <c r="N245" s="239">
        <v>0</v>
      </c>
      <c r="O245" s="239">
        <v>360724</v>
      </c>
      <c r="P245" s="239">
        <v>2413739</v>
      </c>
      <c r="Q245" s="239">
        <v>0</v>
      </c>
      <c r="R245" s="239">
        <v>2413739</v>
      </c>
      <c r="S245" s="239">
        <v>-1843334</v>
      </c>
      <c r="T245" s="239">
        <v>0</v>
      </c>
      <c r="U245" s="239">
        <v>-1843334</v>
      </c>
      <c r="V245" s="239">
        <v>-3939</v>
      </c>
      <c r="W245" s="239">
        <v>0</v>
      </c>
      <c r="X245" s="239">
        <v>-3939</v>
      </c>
      <c r="Y245" s="239">
        <v>-106887</v>
      </c>
      <c r="Z245" s="239">
        <v>0</v>
      </c>
      <c r="AA245" s="239">
        <v>-106887</v>
      </c>
      <c r="AB245" s="239">
        <v>-104747</v>
      </c>
      <c r="AC245" s="239">
        <v>0</v>
      </c>
      <c r="AD245" s="239">
        <v>-104747</v>
      </c>
      <c r="AE245" s="239">
        <v>-2140</v>
      </c>
      <c r="AF245" s="239">
        <v>0</v>
      </c>
      <c r="AG245" s="239">
        <v>-2140</v>
      </c>
      <c r="AH245" s="239">
        <v>681268</v>
      </c>
      <c r="AI245" s="239">
        <v>0</v>
      </c>
      <c r="AJ245" s="239">
        <v>681268</v>
      </c>
      <c r="AK245" s="239">
        <v>-70158</v>
      </c>
      <c r="AL245" s="239">
        <v>0</v>
      </c>
      <c r="AM245" s="239">
        <v>-70158</v>
      </c>
      <c r="AN245" s="239">
        <v>-1208993</v>
      </c>
      <c r="AO245" s="239">
        <v>0</v>
      </c>
      <c r="AP245" s="239">
        <v>-1208993</v>
      </c>
      <c r="AQ245" s="239">
        <v>6684</v>
      </c>
      <c r="AR245" s="239">
        <v>0</v>
      </c>
      <c r="AS245" s="239">
        <v>6684</v>
      </c>
      <c r="AT245" s="239">
        <v>-50332</v>
      </c>
      <c r="AU245" s="239">
        <v>0</v>
      </c>
      <c r="AV245" s="239">
        <v>-50332</v>
      </c>
      <c r="AW245" s="239">
        <v>0</v>
      </c>
      <c r="AX245" s="239">
        <v>0</v>
      </c>
      <c r="AY245" s="239">
        <v>0</v>
      </c>
      <c r="AZ245" s="239">
        <v>-33211</v>
      </c>
      <c r="BA245" s="239">
        <v>0</v>
      </c>
      <c r="BB245" s="239">
        <v>-33211</v>
      </c>
      <c r="BC245" s="239">
        <v>2126</v>
      </c>
      <c r="BD245" s="239">
        <v>0</v>
      </c>
      <c r="BE245" s="239">
        <v>2126</v>
      </c>
      <c r="BF245" s="239">
        <v>-2622837</v>
      </c>
      <c r="BG245" s="239">
        <v>0</v>
      </c>
      <c r="BH245" s="239">
        <v>-2622837</v>
      </c>
      <c r="BI245" s="239">
        <v>0</v>
      </c>
      <c r="BJ245" s="239">
        <v>0</v>
      </c>
      <c r="BK245" s="239">
        <v>0</v>
      </c>
      <c r="BL245" s="239">
        <v>418149</v>
      </c>
      <c r="BM245" s="239">
        <v>0</v>
      </c>
      <c r="BN245" s="239">
        <v>418149</v>
      </c>
      <c r="BO245" s="239">
        <v>-313637</v>
      </c>
      <c r="BP245" s="239">
        <v>0</v>
      </c>
      <c r="BQ245" s="239">
        <v>-313637</v>
      </c>
      <c r="BR245" s="239">
        <v>52871</v>
      </c>
      <c r="BS245" s="239">
        <v>0</v>
      </c>
      <c r="BT245" s="239">
        <v>52871</v>
      </c>
      <c r="BU245" s="239">
        <v>157383</v>
      </c>
      <c r="BV245" s="239">
        <v>0</v>
      </c>
      <c r="BW245" s="239">
        <v>157383</v>
      </c>
      <c r="BX245" s="239">
        <v>-78748</v>
      </c>
      <c r="BY245" s="239">
        <v>0</v>
      </c>
      <c r="BZ245" s="239">
        <v>-78748</v>
      </c>
      <c r="CA245" s="239">
        <v>-3870</v>
      </c>
      <c r="CB245" s="239">
        <v>0</v>
      </c>
      <c r="CC245" s="239">
        <v>-3870</v>
      </c>
      <c r="CD245" s="239">
        <v>-45225</v>
      </c>
      <c r="CE245" s="239">
        <v>0</v>
      </c>
      <c r="CF245" s="239">
        <v>-45225</v>
      </c>
      <c r="CG245" s="239">
        <v>1222</v>
      </c>
      <c r="CH245" s="239">
        <v>0</v>
      </c>
      <c r="CI245" s="239">
        <v>1222</v>
      </c>
      <c r="CJ245" s="239">
        <v>-7014</v>
      </c>
      <c r="CK245" s="239">
        <v>0</v>
      </c>
      <c r="CL245" s="239">
        <v>-7014</v>
      </c>
      <c r="CM245" s="239">
        <v>0</v>
      </c>
      <c r="CN245" s="239">
        <v>0</v>
      </c>
      <c r="CO245" s="239">
        <v>0</v>
      </c>
      <c r="CP245" s="239">
        <v>-33211</v>
      </c>
      <c r="CQ245" s="239">
        <v>0</v>
      </c>
      <c r="CR245" s="239">
        <v>-33211</v>
      </c>
      <c r="CS245" s="239">
        <v>31</v>
      </c>
      <c r="CT245" s="239">
        <v>0</v>
      </c>
      <c r="CU245" s="239">
        <v>31</v>
      </c>
      <c r="CV245" s="239">
        <v>0</v>
      </c>
      <c r="CW245" s="239">
        <v>0</v>
      </c>
      <c r="CX245" s="239">
        <v>0</v>
      </c>
      <c r="CY245" s="239">
        <v>0</v>
      </c>
      <c r="CZ245" s="239">
        <v>0</v>
      </c>
      <c r="DA245" s="239">
        <v>0</v>
      </c>
      <c r="DB245" s="239">
        <v>0</v>
      </c>
      <c r="DC245" s="239">
        <v>0</v>
      </c>
      <c r="DD245" s="239">
        <v>0</v>
      </c>
      <c r="DE245" s="239">
        <v>0</v>
      </c>
      <c r="DF245" s="239">
        <v>0</v>
      </c>
      <c r="DG245" s="239">
        <v>0</v>
      </c>
      <c r="DH245" s="239">
        <v>0</v>
      </c>
      <c r="DI245" s="239">
        <v>0</v>
      </c>
      <c r="DJ245" s="239">
        <v>-166815</v>
      </c>
      <c r="DK245" s="239">
        <v>0</v>
      </c>
      <c r="DL245" s="239">
        <v>-166815</v>
      </c>
      <c r="DM245" s="239">
        <v>0</v>
      </c>
      <c r="DN245" s="239">
        <v>0</v>
      </c>
      <c r="DO245" s="239">
        <v>0</v>
      </c>
      <c r="DP245" s="239">
        <v>0</v>
      </c>
      <c r="DQ245" s="239">
        <v>0</v>
      </c>
      <c r="DR245" s="239">
        <v>0</v>
      </c>
      <c r="DS245" s="239">
        <v>-909</v>
      </c>
      <c r="DT245" s="239">
        <v>0</v>
      </c>
      <c r="DU245" s="239">
        <v>-909</v>
      </c>
      <c r="DV245" s="239">
        <v>-574</v>
      </c>
      <c r="DW245" s="239">
        <v>0</v>
      </c>
      <c r="DX245" s="239">
        <v>-574</v>
      </c>
      <c r="DY245" s="239">
        <v>0</v>
      </c>
      <c r="DZ245" s="239">
        <v>0</v>
      </c>
      <c r="EA245" s="239">
        <v>0</v>
      </c>
      <c r="EB245" s="239">
        <v>-9680</v>
      </c>
      <c r="EC245" s="239">
        <v>0</v>
      </c>
      <c r="ED245" s="239">
        <v>-9680</v>
      </c>
      <c r="EE245" s="239">
        <v>0</v>
      </c>
      <c r="EF245" s="239">
        <v>0</v>
      </c>
      <c r="EG245" s="239">
        <v>0</v>
      </c>
      <c r="EH245" s="239">
        <v>0</v>
      </c>
      <c r="EI245" s="239">
        <v>0</v>
      </c>
      <c r="EJ245" s="239">
        <v>0</v>
      </c>
      <c r="EK245" s="239">
        <v>-5154</v>
      </c>
      <c r="EL245" s="239">
        <v>0</v>
      </c>
      <c r="EM245" s="239">
        <v>-5154</v>
      </c>
      <c r="EN245" s="239">
        <v>-1439</v>
      </c>
      <c r="EO245" s="239">
        <v>0</v>
      </c>
      <c r="EP245" s="239">
        <v>-1439</v>
      </c>
      <c r="EQ245" s="239">
        <v>-17756</v>
      </c>
      <c r="ER245" s="239">
        <v>0</v>
      </c>
      <c r="ES245" s="239">
        <v>-17756</v>
      </c>
      <c r="ET245" s="239">
        <v>0</v>
      </c>
      <c r="EU245" s="239">
        <v>0</v>
      </c>
      <c r="EV245" s="239">
        <v>0</v>
      </c>
      <c r="EW245" s="239">
        <v>0</v>
      </c>
      <c r="EX245" s="239">
        <v>0</v>
      </c>
      <c r="EY245" s="239">
        <v>0</v>
      </c>
      <c r="EZ245" s="239">
        <v>0</v>
      </c>
      <c r="FA245" s="239">
        <v>0</v>
      </c>
      <c r="FB245" s="239">
        <v>0</v>
      </c>
      <c r="FC245" s="239">
        <v>26785502</v>
      </c>
      <c r="FD245" s="239">
        <v>0</v>
      </c>
      <c r="FE245" s="239">
        <v>26785502</v>
      </c>
      <c r="FF245" s="239">
        <v>2413739</v>
      </c>
      <c r="FG245" s="239">
        <v>0</v>
      </c>
      <c r="FH245" s="239">
        <v>2413739</v>
      </c>
      <c r="FI245" s="239">
        <v>-2622837</v>
      </c>
      <c r="FJ245" s="239">
        <v>0</v>
      </c>
      <c r="FK245" s="239">
        <v>-2622837</v>
      </c>
      <c r="FL245" s="239">
        <v>157383</v>
      </c>
      <c r="FM245" s="239">
        <v>0</v>
      </c>
      <c r="FN245" s="239">
        <v>157383</v>
      </c>
      <c r="FO245" s="239">
        <v>-166815</v>
      </c>
      <c r="FP245" s="239">
        <v>0</v>
      </c>
      <c r="FQ245" s="239">
        <v>-166815</v>
      </c>
      <c r="FR245" s="239">
        <v>-17756</v>
      </c>
      <c r="FS245" s="239">
        <v>0</v>
      </c>
      <c r="FT245" s="239">
        <v>-17756</v>
      </c>
      <c r="FU245" s="239">
        <v>0</v>
      </c>
      <c r="FV245" s="239">
        <v>0</v>
      </c>
      <c r="FW245" s="239">
        <v>0</v>
      </c>
      <c r="FX245" s="239">
        <v>-236286</v>
      </c>
      <c r="FY245" s="239">
        <v>0</v>
      </c>
      <c r="FZ245" s="239">
        <v>-236286</v>
      </c>
      <c r="GA245" s="239">
        <v>26549216</v>
      </c>
      <c r="GB245" s="239">
        <v>0</v>
      </c>
      <c r="GC245" s="239">
        <v>26549216</v>
      </c>
      <c r="GD245" s="214" t="s">
        <v>1190</v>
      </c>
    </row>
    <row r="246" spans="2:186" s="214" customFormat="1" x14ac:dyDescent="0.2">
      <c r="B246" s="609" t="s">
        <v>574</v>
      </c>
      <c r="C246" s="609" t="s">
        <v>573</v>
      </c>
      <c r="D246" s="239">
        <v>0</v>
      </c>
      <c r="E246" s="239">
        <v>0</v>
      </c>
      <c r="F246" s="239">
        <v>0</v>
      </c>
      <c r="G246" s="239">
        <v>-51715</v>
      </c>
      <c r="H246" s="239">
        <v>0</v>
      </c>
      <c r="I246" s="239">
        <v>-51715</v>
      </c>
      <c r="J246" s="239">
        <v>0</v>
      </c>
      <c r="K246" s="239">
        <v>0</v>
      </c>
      <c r="L246" s="239">
        <v>0</v>
      </c>
      <c r="M246" s="239">
        <v>-7658</v>
      </c>
      <c r="N246" s="239">
        <v>0</v>
      </c>
      <c r="O246" s="239">
        <v>-7658</v>
      </c>
      <c r="P246" s="239">
        <v>-59373</v>
      </c>
      <c r="Q246" s="239">
        <v>0</v>
      </c>
      <c r="R246" s="239">
        <v>-59373</v>
      </c>
      <c r="S246" s="239">
        <v>-2932728</v>
      </c>
      <c r="T246" s="239">
        <v>0</v>
      </c>
      <c r="U246" s="239">
        <v>-2932728</v>
      </c>
      <c r="V246" s="239">
        <v>0</v>
      </c>
      <c r="W246" s="239">
        <v>0</v>
      </c>
      <c r="X246" s="239">
        <v>0</v>
      </c>
      <c r="Y246" s="239">
        <v>-167460</v>
      </c>
      <c r="Z246" s="239">
        <v>0</v>
      </c>
      <c r="AA246" s="239">
        <v>-167460</v>
      </c>
      <c r="AB246" s="239">
        <v>-105435</v>
      </c>
      <c r="AC246" s="239">
        <v>0</v>
      </c>
      <c r="AD246" s="239">
        <v>-105435</v>
      </c>
      <c r="AE246" s="239">
        <v>0</v>
      </c>
      <c r="AF246" s="239">
        <v>0</v>
      </c>
      <c r="AG246" s="239">
        <v>0</v>
      </c>
      <c r="AH246" s="239">
        <v>1085155</v>
      </c>
      <c r="AI246" s="239">
        <v>0</v>
      </c>
      <c r="AJ246" s="239">
        <v>1085155</v>
      </c>
      <c r="AK246" s="239">
        <v>20241</v>
      </c>
      <c r="AL246" s="239">
        <v>0</v>
      </c>
      <c r="AM246" s="239">
        <v>20241</v>
      </c>
      <c r="AN246" s="239">
        <v>-3384507</v>
      </c>
      <c r="AO246" s="239">
        <v>0</v>
      </c>
      <c r="AP246" s="239">
        <v>-3384507</v>
      </c>
      <c r="AQ246" s="239">
        <v>-50764</v>
      </c>
      <c r="AR246" s="239">
        <v>0</v>
      </c>
      <c r="AS246" s="239">
        <v>-50764</v>
      </c>
      <c r="AT246" s="239">
        <v>-102668</v>
      </c>
      <c r="AU246" s="239">
        <v>0</v>
      </c>
      <c r="AV246" s="239">
        <v>-102668</v>
      </c>
      <c r="AW246" s="239">
        <v>2094</v>
      </c>
      <c r="AX246" s="239">
        <v>0</v>
      </c>
      <c r="AY246" s="239">
        <v>2094</v>
      </c>
      <c r="AZ246" s="239">
        <v>-43413</v>
      </c>
      <c r="BA246" s="239">
        <v>0</v>
      </c>
      <c r="BB246" s="239">
        <v>-43413</v>
      </c>
      <c r="BC246" s="239">
        <v>6324</v>
      </c>
      <c r="BD246" s="239">
        <v>0</v>
      </c>
      <c r="BE246" s="239">
        <v>6324</v>
      </c>
      <c r="BF246" s="239">
        <v>-5567726</v>
      </c>
      <c r="BG246" s="239">
        <v>0</v>
      </c>
      <c r="BH246" s="239">
        <v>-5567726</v>
      </c>
      <c r="BI246" s="239">
        <v>0</v>
      </c>
      <c r="BJ246" s="239">
        <v>0</v>
      </c>
      <c r="BK246" s="239">
        <v>0</v>
      </c>
      <c r="BL246" s="239">
        <v>0</v>
      </c>
      <c r="BM246" s="239">
        <v>0</v>
      </c>
      <c r="BN246" s="239">
        <v>0</v>
      </c>
      <c r="BO246" s="239">
        <v>-1351699</v>
      </c>
      <c r="BP246" s="239">
        <v>0</v>
      </c>
      <c r="BQ246" s="239">
        <v>-1351699</v>
      </c>
      <c r="BR246" s="239">
        <v>-6795</v>
      </c>
      <c r="BS246" s="239">
        <v>0</v>
      </c>
      <c r="BT246" s="239">
        <v>-6795</v>
      </c>
      <c r="BU246" s="239">
        <v>-1358494</v>
      </c>
      <c r="BV246" s="239">
        <v>0</v>
      </c>
      <c r="BW246" s="239">
        <v>-1358494</v>
      </c>
      <c r="BX246" s="239">
        <v>-15543</v>
      </c>
      <c r="BY246" s="239">
        <v>0</v>
      </c>
      <c r="BZ246" s="239">
        <v>-15543</v>
      </c>
      <c r="CA246" s="239">
        <v>2303</v>
      </c>
      <c r="CB246" s="239">
        <v>0</v>
      </c>
      <c r="CC246" s="239">
        <v>2303</v>
      </c>
      <c r="CD246" s="239">
        <v>-2985</v>
      </c>
      <c r="CE246" s="239">
        <v>0</v>
      </c>
      <c r="CF246" s="239">
        <v>-2985</v>
      </c>
      <c r="CG246" s="239">
        <v>-4500</v>
      </c>
      <c r="CH246" s="239">
        <v>0</v>
      </c>
      <c r="CI246" s="239">
        <v>-4500</v>
      </c>
      <c r="CJ246" s="239">
        <v>0</v>
      </c>
      <c r="CK246" s="239">
        <v>0</v>
      </c>
      <c r="CL246" s="239">
        <v>0</v>
      </c>
      <c r="CM246" s="239">
        <v>0</v>
      </c>
      <c r="CN246" s="239">
        <v>0</v>
      </c>
      <c r="CO246" s="239">
        <v>0</v>
      </c>
      <c r="CP246" s="239">
        <v>-20483</v>
      </c>
      <c r="CQ246" s="239">
        <v>0</v>
      </c>
      <c r="CR246" s="239">
        <v>-20483</v>
      </c>
      <c r="CS246" s="239">
        <v>9385</v>
      </c>
      <c r="CT246" s="239">
        <v>0</v>
      </c>
      <c r="CU246" s="239">
        <v>9385</v>
      </c>
      <c r="CV246" s="239">
        <v>-60820</v>
      </c>
      <c r="CW246" s="239">
        <v>0</v>
      </c>
      <c r="CX246" s="239">
        <v>-60820</v>
      </c>
      <c r="CY246" s="239">
        <v>-22291</v>
      </c>
      <c r="CZ246" s="239">
        <v>0</v>
      </c>
      <c r="DA246" s="239">
        <v>-22291</v>
      </c>
      <c r="DB246" s="239">
        <v>0</v>
      </c>
      <c r="DC246" s="239">
        <v>0</v>
      </c>
      <c r="DD246" s="239">
        <v>0</v>
      </c>
      <c r="DE246" s="239">
        <v>0</v>
      </c>
      <c r="DF246" s="239">
        <v>0</v>
      </c>
      <c r="DG246" s="239">
        <v>0</v>
      </c>
      <c r="DH246" s="239">
        <v>0</v>
      </c>
      <c r="DI246" s="239">
        <v>0</v>
      </c>
      <c r="DJ246" s="239">
        <v>-114934</v>
      </c>
      <c r="DK246" s="239">
        <v>0</v>
      </c>
      <c r="DL246" s="239">
        <v>-114934</v>
      </c>
      <c r="DM246" s="239">
        <v>-12179</v>
      </c>
      <c r="DN246" s="239">
        <v>0</v>
      </c>
      <c r="DO246" s="239">
        <v>-12179</v>
      </c>
      <c r="DP246" s="239">
        <v>18087</v>
      </c>
      <c r="DQ246" s="239">
        <v>0</v>
      </c>
      <c r="DR246" s="239">
        <v>18087</v>
      </c>
      <c r="DS246" s="239">
        <v>-51827</v>
      </c>
      <c r="DT246" s="239">
        <v>0</v>
      </c>
      <c r="DU246" s="239">
        <v>-51827</v>
      </c>
      <c r="DV246" s="239">
        <v>2871</v>
      </c>
      <c r="DW246" s="239">
        <v>0</v>
      </c>
      <c r="DX246" s="239">
        <v>2871</v>
      </c>
      <c r="DY246" s="239">
        <v>0</v>
      </c>
      <c r="DZ246" s="239">
        <v>0</v>
      </c>
      <c r="EA246" s="239">
        <v>0</v>
      </c>
      <c r="EB246" s="239">
        <v>5538</v>
      </c>
      <c r="EC246" s="239">
        <v>0</v>
      </c>
      <c r="ED246" s="239">
        <v>5538</v>
      </c>
      <c r="EE246" s="239">
        <v>0</v>
      </c>
      <c r="EF246" s="239">
        <v>0</v>
      </c>
      <c r="EG246" s="239">
        <v>0</v>
      </c>
      <c r="EH246" s="239">
        <v>0</v>
      </c>
      <c r="EI246" s="239">
        <v>0</v>
      </c>
      <c r="EJ246" s="239">
        <v>0</v>
      </c>
      <c r="EK246" s="239">
        <v>-3112</v>
      </c>
      <c r="EL246" s="239">
        <v>0</v>
      </c>
      <c r="EM246" s="239">
        <v>-3112</v>
      </c>
      <c r="EN246" s="239">
        <v>0</v>
      </c>
      <c r="EO246" s="239">
        <v>0</v>
      </c>
      <c r="EP246" s="239">
        <v>0</v>
      </c>
      <c r="EQ246" s="239">
        <v>-40622</v>
      </c>
      <c r="ER246" s="239">
        <v>0</v>
      </c>
      <c r="ES246" s="239">
        <v>-40622</v>
      </c>
      <c r="ET246" s="239">
        <v>0</v>
      </c>
      <c r="EU246" s="239">
        <v>0</v>
      </c>
      <c r="EV246" s="239">
        <v>0</v>
      </c>
      <c r="EW246" s="239">
        <v>0</v>
      </c>
      <c r="EX246" s="239">
        <v>0</v>
      </c>
      <c r="EY246" s="239">
        <v>0</v>
      </c>
      <c r="EZ246" s="239">
        <v>0</v>
      </c>
      <c r="FA246" s="239">
        <v>0</v>
      </c>
      <c r="FB246" s="239">
        <v>0</v>
      </c>
      <c r="FC246" s="239">
        <v>49367792</v>
      </c>
      <c r="FD246" s="239">
        <v>0</v>
      </c>
      <c r="FE246" s="239">
        <v>49367792</v>
      </c>
      <c r="FF246" s="239">
        <v>-59373</v>
      </c>
      <c r="FG246" s="239">
        <v>0</v>
      </c>
      <c r="FH246" s="239">
        <v>-59373</v>
      </c>
      <c r="FI246" s="239">
        <v>-5567726</v>
      </c>
      <c r="FJ246" s="239">
        <v>0</v>
      </c>
      <c r="FK246" s="239">
        <v>-5567726</v>
      </c>
      <c r="FL246" s="239">
        <v>-1358494</v>
      </c>
      <c r="FM246" s="239">
        <v>0</v>
      </c>
      <c r="FN246" s="239">
        <v>-1358494</v>
      </c>
      <c r="FO246" s="239">
        <v>-114934</v>
      </c>
      <c r="FP246" s="239">
        <v>0</v>
      </c>
      <c r="FQ246" s="239">
        <v>-114934</v>
      </c>
      <c r="FR246" s="239">
        <v>-40622</v>
      </c>
      <c r="FS246" s="239">
        <v>0</v>
      </c>
      <c r="FT246" s="239">
        <v>-40622</v>
      </c>
      <c r="FU246" s="239">
        <v>0</v>
      </c>
      <c r="FV246" s="239">
        <v>0</v>
      </c>
      <c r="FW246" s="239">
        <v>0</v>
      </c>
      <c r="FX246" s="239">
        <v>-7141149</v>
      </c>
      <c r="FY246" s="239">
        <v>0</v>
      </c>
      <c r="FZ246" s="239">
        <v>-7141149</v>
      </c>
      <c r="GA246" s="239">
        <v>42226643</v>
      </c>
      <c r="GB246" s="239">
        <v>0</v>
      </c>
      <c r="GC246" s="239">
        <v>42226643</v>
      </c>
      <c r="GD246" s="214" t="s">
        <v>1190</v>
      </c>
    </row>
    <row r="247" spans="2:186" s="214" customFormat="1" x14ac:dyDescent="0.2">
      <c r="B247" s="609" t="s">
        <v>576</v>
      </c>
      <c r="C247" s="609" t="s">
        <v>575</v>
      </c>
      <c r="D247" s="239">
        <v>0</v>
      </c>
      <c r="E247" s="239">
        <v>0</v>
      </c>
      <c r="F247" s="239">
        <v>0</v>
      </c>
      <c r="G247" s="239">
        <v>6597</v>
      </c>
      <c r="H247" s="239">
        <v>0</v>
      </c>
      <c r="I247" s="239">
        <v>6597</v>
      </c>
      <c r="J247" s="239">
        <v>0</v>
      </c>
      <c r="K247" s="239">
        <v>0</v>
      </c>
      <c r="L247" s="239">
        <v>0</v>
      </c>
      <c r="M247" s="239">
        <v>19074</v>
      </c>
      <c r="N247" s="239">
        <v>0</v>
      </c>
      <c r="O247" s="239">
        <v>19074</v>
      </c>
      <c r="P247" s="239">
        <v>25671</v>
      </c>
      <c r="Q247" s="239">
        <v>0</v>
      </c>
      <c r="R247" s="239">
        <v>25671</v>
      </c>
      <c r="S247" s="239">
        <v>-6436832</v>
      </c>
      <c r="T247" s="239">
        <v>0</v>
      </c>
      <c r="U247" s="239">
        <v>-6436832</v>
      </c>
      <c r="V247" s="239">
        <v>-12676</v>
      </c>
      <c r="W247" s="239">
        <v>0</v>
      </c>
      <c r="X247" s="239">
        <v>-12676</v>
      </c>
      <c r="Y247" s="239">
        <v>-398839</v>
      </c>
      <c r="Z247" s="239">
        <v>0</v>
      </c>
      <c r="AA247" s="239">
        <v>-398839</v>
      </c>
      <c r="AB247" s="239">
        <v>-398839</v>
      </c>
      <c r="AC247" s="239">
        <v>0</v>
      </c>
      <c r="AD247" s="239">
        <v>-398839</v>
      </c>
      <c r="AE247" s="239">
        <v>0</v>
      </c>
      <c r="AF247" s="239">
        <v>0</v>
      </c>
      <c r="AG247" s="239">
        <v>0</v>
      </c>
      <c r="AH247" s="239">
        <v>996718</v>
      </c>
      <c r="AI247" s="239">
        <v>0</v>
      </c>
      <c r="AJ247" s="239">
        <v>996718</v>
      </c>
      <c r="AK247" s="239">
        <v>-24159</v>
      </c>
      <c r="AL247" s="239">
        <v>0</v>
      </c>
      <c r="AM247" s="239">
        <v>-24159</v>
      </c>
      <c r="AN247" s="239">
        <v>-3014527</v>
      </c>
      <c r="AO247" s="239">
        <v>0</v>
      </c>
      <c r="AP247" s="239">
        <v>-3014527</v>
      </c>
      <c r="AQ247" s="239">
        <v>-12292</v>
      </c>
      <c r="AR247" s="239">
        <v>0</v>
      </c>
      <c r="AS247" s="239">
        <v>-12292</v>
      </c>
      <c r="AT247" s="239">
        <v>-112747</v>
      </c>
      <c r="AU247" s="239">
        <v>0</v>
      </c>
      <c r="AV247" s="239">
        <v>-112747</v>
      </c>
      <c r="AW247" s="239">
        <v>-8576</v>
      </c>
      <c r="AX247" s="239">
        <v>0</v>
      </c>
      <c r="AY247" s="239">
        <v>-8576</v>
      </c>
      <c r="AZ247" s="239">
        <v>-25844</v>
      </c>
      <c r="BA247" s="239">
        <v>0</v>
      </c>
      <c r="BB247" s="239">
        <v>-25844</v>
      </c>
      <c r="BC247" s="239">
        <v>-5377</v>
      </c>
      <c r="BD247" s="239">
        <v>0</v>
      </c>
      <c r="BE247" s="239">
        <v>-5377</v>
      </c>
      <c r="BF247" s="239">
        <v>-9042475</v>
      </c>
      <c r="BG247" s="239">
        <v>0</v>
      </c>
      <c r="BH247" s="239">
        <v>-9042475</v>
      </c>
      <c r="BI247" s="239">
        <v>-10988</v>
      </c>
      <c r="BJ247" s="239">
        <v>0</v>
      </c>
      <c r="BK247" s="239">
        <v>-10988</v>
      </c>
      <c r="BL247" s="239">
        <v>-318</v>
      </c>
      <c r="BM247" s="239">
        <v>0</v>
      </c>
      <c r="BN247" s="239">
        <v>-318</v>
      </c>
      <c r="BO247" s="239">
        <v>-813080</v>
      </c>
      <c r="BP247" s="239">
        <v>0</v>
      </c>
      <c r="BQ247" s="239">
        <v>-813080</v>
      </c>
      <c r="BR247" s="239">
        <v>-104204</v>
      </c>
      <c r="BS247" s="239">
        <v>0</v>
      </c>
      <c r="BT247" s="239">
        <v>-104204</v>
      </c>
      <c r="BU247" s="239">
        <v>-928590</v>
      </c>
      <c r="BV247" s="239">
        <v>0</v>
      </c>
      <c r="BW247" s="239">
        <v>-928590</v>
      </c>
      <c r="BX247" s="239">
        <v>-102080</v>
      </c>
      <c r="BY247" s="239">
        <v>0</v>
      </c>
      <c r="BZ247" s="239">
        <v>-102080</v>
      </c>
      <c r="CA247" s="239">
        <v>-429</v>
      </c>
      <c r="CB247" s="239">
        <v>0</v>
      </c>
      <c r="CC247" s="239">
        <v>-429</v>
      </c>
      <c r="CD247" s="239">
        <v>-2118</v>
      </c>
      <c r="CE247" s="239">
        <v>0</v>
      </c>
      <c r="CF247" s="239">
        <v>-2118</v>
      </c>
      <c r="CG247" s="239">
        <v>0</v>
      </c>
      <c r="CH247" s="239">
        <v>0</v>
      </c>
      <c r="CI247" s="239">
        <v>0</v>
      </c>
      <c r="CJ247" s="239">
        <v>-11349</v>
      </c>
      <c r="CK247" s="239">
        <v>0</v>
      </c>
      <c r="CL247" s="239">
        <v>-11349</v>
      </c>
      <c r="CM247" s="239">
        <v>0</v>
      </c>
      <c r="CN247" s="239">
        <v>0</v>
      </c>
      <c r="CO247" s="239">
        <v>0</v>
      </c>
      <c r="CP247" s="239">
        <v>-17174</v>
      </c>
      <c r="CQ247" s="239">
        <v>0</v>
      </c>
      <c r="CR247" s="239">
        <v>-17174</v>
      </c>
      <c r="CS247" s="239">
        <v>0</v>
      </c>
      <c r="CT247" s="239">
        <v>0</v>
      </c>
      <c r="CU247" s="239">
        <v>0</v>
      </c>
      <c r="CV247" s="239">
        <v>-8915</v>
      </c>
      <c r="CW247" s="239">
        <v>0</v>
      </c>
      <c r="CX247" s="239">
        <v>-8915</v>
      </c>
      <c r="CY247" s="239">
        <v>0</v>
      </c>
      <c r="CZ247" s="239">
        <v>0</v>
      </c>
      <c r="DA247" s="239">
        <v>0</v>
      </c>
      <c r="DB247" s="239">
        <v>-12516</v>
      </c>
      <c r="DC247" s="239">
        <v>0</v>
      </c>
      <c r="DD247" s="239">
        <v>-12516</v>
      </c>
      <c r="DE247" s="239">
        <v>0</v>
      </c>
      <c r="DF247" s="239">
        <v>0</v>
      </c>
      <c r="DG247" s="239">
        <v>0</v>
      </c>
      <c r="DH247" s="239">
        <v>0</v>
      </c>
      <c r="DI247" s="239">
        <v>0</v>
      </c>
      <c r="DJ247" s="239">
        <v>-154581</v>
      </c>
      <c r="DK247" s="239">
        <v>0</v>
      </c>
      <c r="DL247" s="239">
        <v>-154581</v>
      </c>
      <c r="DM247" s="239">
        <v>-14653</v>
      </c>
      <c r="DN247" s="239">
        <v>0</v>
      </c>
      <c r="DO247" s="239">
        <v>-14653</v>
      </c>
      <c r="DP247" s="239">
        <v>-912</v>
      </c>
      <c r="DQ247" s="239">
        <v>0</v>
      </c>
      <c r="DR247" s="239">
        <v>-912</v>
      </c>
      <c r="DS247" s="239">
        <v>-30764</v>
      </c>
      <c r="DT247" s="239">
        <v>0</v>
      </c>
      <c r="DU247" s="239">
        <v>-30764</v>
      </c>
      <c r="DV247" s="239">
        <v>-9097</v>
      </c>
      <c r="DW247" s="239">
        <v>0</v>
      </c>
      <c r="DX247" s="239">
        <v>-9097</v>
      </c>
      <c r="DY247" s="239">
        <v>0</v>
      </c>
      <c r="DZ247" s="239">
        <v>0</v>
      </c>
      <c r="EA247" s="239">
        <v>0</v>
      </c>
      <c r="EB247" s="239">
        <v>4217</v>
      </c>
      <c r="EC247" s="239">
        <v>0</v>
      </c>
      <c r="ED247" s="239">
        <v>4217</v>
      </c>
      <c r="EE247" s="239">
        <v>-237882</v>
      </c>
      <c r="EF247" s="239">
        <v>0</v>
      </c>
      <c r="EG247" s="239">
        <v>-237882</v>
      </c>
      <c r="EH247" s="239">
        <v>-111245</v>
      </c>
      <c r="EI247" s="239">
        <v>0</v>
      </c>
      <c r="EJ247" s="239">
        <v>-111245</v>
      </c>
      <c r="EK247" s="239">
        <v>-5685</v>
      </c>
      <c r="EL247" s="239">
        <v>0</v>
      </c>
      <c r="EM247" s="239">
        <v>-5685</v>
      </c>
      <c r="EN247" s="239">
        <v>2078</v>
      </c>
      <c r="EO247" s="239">
        <v>0</v>
      </c>
      <c r="EP247" s="239">
        <v>2078</v>
      </c>
      <c r="EQ247" s="239">
        <v>-403943</v>
      </c>
      <c r="ER247" s="239">
        <v>0</v>
      </c>
      <c r="ES247" s="239">
        <v>-403943</v>
      </c>
      <c r="ET247" s="239">
        <v>0</v>
      </c>
      <c r="EU247" s="239">
        <v>0</v>
      </c>
      <c r="EV247" s="239">
        <v>0</v>
      </c>
      <c r="EW247" s="239">
        <v>0</v>
      </c>
      <c r="EX247" s="239">
        <v>0</v>
      </c>
      <c r="EY247" s="239">
        <v>0</v>
      </c>
      <c r="EZ247" s="239">
        <v>0</v>
      </c>
      <c r="FA247" s="239">
        <v>0</v>
      </c>
      <c r="FB247" s="239">
        <v>0</v>
      </c>
      <c r="FC247" s="239">
        <v>51149431</v>
      </c>
      <c r="FD247" s="239">
        <v>0</v>
      </c>
      <c r="FE247" s="239">
        <v>51149431</v>
      </c>
      <c r="FF247" s="239">
        <v>25671</v>
      </c>
      <c r="FG247" s="239">
        <v>0</v>
      </c>
      <c r="FH247" s="239">
        <v>25671</v>
      </c>
      <c r="FI247" s="239">
        <v>-9042475</v>
      </c>
      <c r="FJ247" s="239">
        <v>0</v>
      </c>
      <c r="FK247" s="239">
        <v>-9042475</v>
      </c>
      <c r="FL247" s="239">
        <v>-928590</v>
      </c>
      <c r="FM247" s="239">
        <v>0</v>
      </c>
      <c r="FN247" s="239">
        <v>-928590</v>
      </c>
      <c r="FO247" s="239">
        <v>-154581</v>
      </c>
      <c r="FP247" s="239">
        <v>0</v>
      </c>
      <c r="FQ247" s="239">
        <v>-154581</v>
      </c>
      <c r="FR247" s="239">
        <v>-403943</v>
      </c>
      <c r="FS247" s="239">
        <v>0</v>
      </c>
      <c r="FT247" s="239">
        <v>-403943</v>
      </c>
      <c r="FU247" s="239">
        <v>0</v>
      </c>
      <c r="FV247" s="239">
        <v>0</v>
      </c>
      <c r="FW247" s="239">
        <v>0</v>
      </c>
      <c r="FX247" s="239">
        <v>-10503918</v>
      </c>
      <c r="FY247" s="239">
        <v>0</v>
      </c>
      <c r="FZ247" s="239">
        <v>-10503918</v>
      </c>
      <c r="GA247" s="239">
        <v>40645513</v>
      </c>
      <c r="GB247" s="239">
        <v>0</v>
      </c>
      <c r="GC247" s="239">
        <v>40645513</v>
      </c>
      <c r="GD247" s="214" t="s">
        <v>1190</v>
      </c>
    </row>
    <row r="248" spans="2:186" s="214" customFormat="1" x14ac:dyDescent="0.2">
      <c r="B248" s="609" t="s">
        <v>578</v>
      </c>
      <c r="C248" s="609" t="s">
        <v>577</v>
      </c>
      <c r="D248" s="239">
        <v>0</v>
      </c>
      <c r="E248" s="239">
        <v>0</v>
      </c>
      <c r="F248" s="239">
        <v>0</v>
      </c>
      <c r="G248" s="239">
        <v>249</v>
      </c>
      <c r="H248" s="239">
        <v>0</v>
      </c>
      <c r="I248" s="239">
        <v>249</v>
      </c>
      <c r="J248" s="239">
        <v>0</v>
      </c>
      <c r="K248" s="239">
        <v>0</v>
      </c>
      <c r="L248" s="239">
        <v>0</v>
      </c>
      <c r="M248" s="239">
        <v>-2967</v>
      </c>
      <c r="N248" s="239">
        <v>0</v>
      </c>
      <c r="O248" s="239">
        <v>-2967</v>
      </c>
      <c r="P248" s="239">
        <v>-2718</v>
      </c>
      <c r="Q248" s="239">
        <v>0</v>
      </c>
      <c r="R248" s="239">
        <v>-2718</v>
      </c>
      <c r="S248" s="239">
        <v>-2853266</v>
      </c>
      <c r="T248" s="239">
        <v>-7066</v>
      </c>
      <c r="U248" s="239">
        <v>-2860332</v>
      </c>
      <c r="V248" s="239">
        <v>0</v>
      </c>
      <c r="W248" s="239">
        <v>0</v>
      </c>
      <c r="X248" s="239">
        <v>0</v>
      </c>
      <c r="Y248" s="239">
        <v>-85911</v>
      </c>
      <c r="Z248" s="239">
        <v>0</v>
      </c>
      <c r="AA248" s="239">
        <v>-85911</v>
      </c>
      <c r="AB248" s="239">
        <v>-63033</v>
      </c>
      <c r="AC248" s="239">
        <v>0</v>
      </c>
      <c r="AD248" s="239">
        <v>-63033</v>
      </c>
      <c r="AE248" s="239">
        <v>0</v>
      </c>
      <c r="AF248" s="239">
        <v>0</v>
      </c>
      <c r="AG248" s="239">
        <v>0</v>
      </c>
      <c r="AH248" s="239">
        <v>837345</v>
      </c>
      <c r="AI248" s="239">
        <v>13260</v>
      </c>
      <c r="AJ248" s="239">
        <v>850605</v>
      </c>
      <c r="AK248" s="239">
        <v>-13175</v>
      </c>
      <c r="AL248" s="239">
        <v>0</v>
      </c>
      <c r="AM248" s="239">
        <v>-13175</v>
      </c>
      <c r="AN248" s="239">
        <v>-3551737</v>
      </c>
      <c r="AO248" s="239">
        <v>-316589</v>
      </c>
      <c r="AP248" s="239">
        <v>-3868326</v>
      </c>
      <c r="AQ248" s="239">
        <v>-15307</v>
      </c>
      <c r="AR248" s="239">
        <v>-96444</v>
      </c>
      <c r="AS248" s="239">
        <v>-111751</v>
      </c>
      <c r="AT248" s="239">
        <v>-70063</v>
      </c>
      <c r="AU248" s="239">
        <v>0</v>
      </c>
      <c r="AV248" s="239">
        <v>-70063</v>
      </c>
      <c r="AW248" s="239">
        <v>0</v>
      </c>
      <c r="AX248" s="239">
        <v>0</v>
      </c>
      <c r="AY248" s="239">
        <v>0</v>
      </c>
      <c r="AZ248" s="239">
        <v>-93881</v>
      </c>
      <c r="BA248" s="239">
        <v>0</v>
      </c>
      <c r="BB248" s="239">
        <v>-93881</v>
      </c>
      <c r="BC248" s="239">
        <v>1107</v>
      </c>
      <c r="BD248" s="239">
        <v>0</v>
      </c>
      <c r="BE248" s="239">
        <v>1107</v>
      </c>
      <c r="BF248" s="239">
        <v>-5844888</v>
      </c>
      <c r="BG248" s="239">
        <v>-406839</v>
      </c>
      <c r="BH248" s="239">
        <v>-6251727</v>
      </c>
      <c r="BI248" s="239">
        <v>-6907</v>
      </c>
      <c r="BJ248" s="239">
        <v>0</v>
      </c>
      <c r="BK248" s="239">
        <v>-6907</v>
      </c>
      <c r="BL248" s="239">
        <v>63219</v>
      </c>
      <c r="BM248" s="239">
        <v>0</v>
      </c>
      <c r="BN248" s="239">
        <v>63219</v>
      </c>
      <c r="BO248" s="239">
        <v>-670814</v>
      </c>
      <c r="BP248" s="239">
        <v>-19978</v>
      </c>
      <c r="BQ248" s="239">
        <v>-690792</v>
      </c>
      <c r="BR248" s="239">
        <v>-59797</v>
      </c>
      <c r="BS248" s="239">
        <v>-4971</v>
      </c>
      <c r="BT248" s="239">
        <v>-64768</v>
      </c>
      <c r="BU248" s="239">
        <v>-674299</v>
      </c>
      <c r="BV248" s="239">
        <v>-24949</v>
      </c>
      <c r="BW248" s="239">
        <v>-699248</v>
      </c>
      <c r="BX248" s="239">
        <v>-127745</v>
      </c>
      <c r="BY248" s="239">
        <v>-422</v>
      </c>
      <c r="BZ248" s="239">
        <v>-128167</v>
      </c>
      <c r="CA248" s="239">
        <v>-1852</v>
      </c>
      <c r="CB248" s="239">
        <v>0</v>
      </c>
      <c r="CC248" s="239">
        <v>-1852</v>
      </c>
      <c r="CD248" s="239">
        <v>-129054</v>
      </c>
      <c r="CE248" s="239">
        <v>0</v>
      </c>
      <c r="CF248" s="239">
        <v>-129054</v>
      </c>
      <c r="CG248" s="239">
        <v>-8808</v>
      </c>
      <c r="CH248" s="239">
        <v>0</v>
      </c>
      <c r="CI248" s="239">
        <v>-8808</v>
      </c>
      <c r="CJ248" s="239">
        <v>-5086</v>
      </c>
      <c r="CK248" s="239">
        <v>0</v>
      </c>
      <c r="CL248" s="239">
        <v>-5086</v>
      </c>
      <c r="CM248" s="239">
        <v>0</v>
      </c>
      <c r="CN248" s="239">
        <v>0</v>
      </c>
      <c r="CO248" s="239">
        <v>0</v>
      </c>
      <c r="CP248" s="239">
        <v>-40362</v>
      </c>
      <c r="CQ248" s="239">
        <v>0</v>
      </c>
      <c r="CR248" s="239">
        <v>-40362</v>
      </c>
      <c r="CS248" s="239">
        <v>2981</v>
      </c>
      <c r="CT248" s="239">
        <v>0</v>
      </c>
      <c r="CU248" s="239">
        <v>2981</v>
      </c>
      <c r="CV248" s="239">
        <v>-26938</v>
      </c>
      <c r="CW248" s="239">
        <v>0</v>
      </c>
      <c r="CX248" s="239">
        <v>-26938</v>
      </c>
      <c r="CY248" s="239">
        <v>9512</v>
      </c>
      <c r="CZ248" s="239">
        <v>0</v>
      </c>
      <c r="DA248" s="239">
        <v>9512</v>
      </c>
      <c r="DB248" s="239">
        <v>-25406</v>
      </c>
      <c r="DC248" s="239">
        <v>-119904</v>
      </c>
      <c r="DD248" s="239">
        <v>-145310</v>
      </c>
      <c r="DE248" s="239">
        <v>-7739</v>
      </c>
      <c r="DF248" s="239">
        <v>0</v>
      </c>
      <c r="DG248" s="239">
        <v>-7739</v>
      </c>
      <c r="DH248" s="239">
        <v>-119904</v>
      </c>
      <c r="DI248" s="239">
        <v>0</v>
      </c>
      <c r="DJ248" s="239">
        <v>-360497</v>
      </c>
      <c r="DK248" s="239">
        <v>-120326</v>
      </c>
      <c r="DL248" s="239">
        <v>-480823</v>
      </c>
      <c r="DM248" s="239">
        <v>-21387</v>
      </c>
      <c r="DN248" s="239">
        <v>0</v>
      </c>
      <c r="DO248" s="239">
        <v>-21387</v>
      </c>
      <c r="DP248" s="239">
        <v>-209288</v>
      </c>
      <c r="DQ248" s="239">
        <v>0</v>
      </c>
      <c r="DR248" s="239">
        <v>-209288</v>
      </c>
      <c r="DS248" s="239">
        <v>-8171</v>
      </c>
      <c r="DT248" s="239">
        <v>0</v>
      </c>
      <c r="DU248" s="239">
        <v>-8171</v>
      </c>
      <c r="DV248" s="239">
        <v>-409</v>
      </c>
      <c r="DW248" s="239">
        <v>0</v>
      </c>
      <c r="DX248" s="239">
        <v>-409</v>
      </c>
      <c r="DY248" s="239">
        <v>0</v>
      </c>
      <c r="DZ248" s="239">
        <v>0</v>
      </c>
      <c r="EA248" s="239">
        <v>0</v>
      </c>
      <c r="EB248" s="239">
        <v>-2872</v>
      </c>
      <c r="EC248" s="239">
        <v>0</v>
      </c>
      <c r="ED248" s="239">
        <v>-2872</v>
      </c>
      <c r="EE248" s="239">
        <v>0</v>
      </c>
      <c r="EF248" s="239">
        <v>0</v>
      </c>
      <c r="EG248" s="239">
        <v>0</v>
      </c>
      <c r="EH248" s="239">
        <v>0</v>
      </c>
      <c r="EI248" s="239">
        <v>0</v>
      </c>
      <c r="EJ248" s="239">
        <v>0</v>
      </c>
      <c r="EK248" s="239">
        <v>-7750</v>
      </c>
      <c r="EL248" s="239">
        <v>0</v>
      </c>
      <c r="EM248" s="239">
        <v>-7750</v>
      </c>
      <c r="EN248" s="239">
        <v>0</v>
      </c>
      <c r="EO248" s="239">
        <v>0</v>
      </c>
      <c r="EP248" s="239">
        <v>0</v>
      </c>
      <c r="EQ248" s="239">
        <v>-249877</v>
      </c>
      <c r="ER248" s="239">
        <v>0</v>
      </c>
      <c r="ES248" s="239">
        <v>-249877</v>
      </c>
      <c r="ET248" s="239">
        <v>-6157</v>
      </c>
      <c r="EU248" s="239">
        <v>0</v>
      </c>
      <c r="EV248" s="239">
        <v>-6157</v>
      </c>
      <c r="EW248" s="239">
        <v>0</v>
      </c>
      <c r="EX248" s="239">
        <v>0</v>
      </c>
      <c r="EY248" s="239">
        <v>0</v>
      </c>
      <c r="EZ248" s="239">
        <v>-6157</v>
      </c>
      <c r="FA248" s="239">
        <v>0</v>
      </c>
      <c r="FB248" s="239">
        <v>-6157</v>
      </c>
      <c r="FC248" s="239">
        <v>38374870</v>
      </c>
      <c r="FD248" s="239">
        <v>503208</v>
      </c>
      <c r="FE248" s="239">
        <v>38878078</v>
      </c>
      <c r="FF248" s="239">
        <v>-2718</v>
      </c>
      <c r="FG248" s="239">
        <v>0</v>
      </c>
      <c r="FH248" s="239">
        <v>-2718</v>
      </c>
      <c r="FI248" s="239">
        <v>-5844888</v>
      </c>
      <c r="FJ248" s="239">
        <v>-406839</v>
      </c>
      <c r="FK248" s="239">
        <v>-6251727</v>
      </c>
      <c r="FL248" s="239">
        <v>-674299</v>
      </c>
      <c r="FM248" s="239">
        <v>-24949</v>
      </c>
      <c r="FN248" s="239">
        <v>-699248</v>
      </c>
      <c r="FO248" s="239">
        <v>-360497</v>
      </c>
      <c r="FP248" s="239">
        <v>-120326</v>
      </c>
      <c r="FQ248" s="239">
        <v>-480823</v>
      </c>
      <c r="FR248" s="239">
        <v>-249877</v>
      </c>
      <c r="FS248" s="239">
        <v>0</v>
      </c>
      <c r="FT248" s="239">
        <v>-249877</v>
      </c>
      <c r="FU248" s="239">
        <v>-6157</v>
      </c>
      <c r="FV248" s="239">
        <v>0</v>
      </c>
      <c r="FW248" s="239">
        <v>-6157</v>
      </c>
      <c r="FX248" s="239">
        <v>-7138436</v>
      </c>
      <c r="FY248" s="239">
        <v>-552114</v>
      </c>
      <c r="FZ248" s="239">
        <v>-7690550</v>
      </c>
      <c r="GA248" s="239">
        <v>31236434</v>
      </c>
      <c r="GB248" s="239">
        <v>-48906</v>
      </c>
      <c r="GC248" s="239">
        <v>31187528</v>
      </c>
      <c r="GD248" s="214" t="s">
        <v>1190</v>
      </c>
    </row>
    <row r="249" spans="2:186" s="214" customFormat="1" x14ac:dyDescent="0.2">
      <c r="B249" s="609" t="s">
        <v>580</v>
      </c>
      <c r="C249" s="609" t="s">
        <v>579</v>
      </c>
      <c r="D249" s="239">
        <v>0</v>
      </c>
      <c r="E249" s="239">
        <v>0</v>
      </c>
      <c r="F249" s="239">
        <v>0</v>
      </c>
      <c r="G249" s="239">
        <v>-25644</v>
      </c>
      <c r="H249" s="239">
        <v>0</v>
      </c>
      <c r="I249" s="239">
        <v>-25644</v>
      </c>
      <c r="J249" s="239">
        <v>0</v>
      </c>
      <c r="K249" s="239">
        <v>0</v>
      </c>
      <c r="L249" s="239">
        <v>0</v>
      </c>
      <c r="M249" s="239">
        <v>-16341</v>
      </c>
      <c r="N249" s="239">
        <v>0</v>
      </c>
      <c r="O249" s="239">
        <v>-16341</v>
      </c>
      <c r="P249" s="239">
        <v>-41985</v>
      </c>
      <c r="Q249" s="239">
        <v>0</v>
      </c>
      <c r="R249" s="239">
        <v>-41985</v>
      </c>
      <c r="S249" s="239">
        <v>-2009065</v>
      </c>
      <c r="T249" s="239">
        <v>0</v>
      </c>
      <c r="U249" s="239">
        <v>-2009065</v>
      </c>
      <c r="V249" s="239">
        <v>-2326</v>
      </c>
      <c r="W249" s="239">
        <v>0</v>
      </c>
      <c r="X249" s="239">
        <v>-2326</v>
      </c>
      <c r="Y249" s="239">
        <v>-177976</v>
      </c>
      <c r="Z249" s="239">
        <v>0</v>
      </c>
      <c r="AA249" s="239">
        <v>-177976</v>
      </c>
      <c r="AB249" s="239">
        <v>-113007</v>
      </c>
      <c r="AC249" s="239">
        <v>0</v>
      </c>
      <c r="AD249" s="239">
        <v>-113007</v>
      </c>
      <c r="AE249" s="239">
        <v>0</v>
      </c>
      <c r="AF249" s="239">
        <v>0</v>
      </c>
      <c r="AG249" s="239">
        <v>0</v>
      </c>
      <c r="AH249" s="239">
        <v>593272</v>
      </c>
      <c r="AI249" s="239">
        <v>0</v>
      </c>
      <c r="AJ249" s="239">
        <v>593272</v>
      </c>
      <c r="AK249" s="239">
        <v>-17292</v>
      </c>
      <c r="AL249" s="239">
        <v>0</v>
      </c>
      <c r="AM249" s="239">
        <v>-17292</v>
      </c>
      <c r="AN249" s="239">
        <v>-1664428</v>
      </c>
      <c r="AO249" s="239">
        <v>0</v>
      </c>
      <c r="AP249" s="239">
        <v>-1664428</v>
      </c>
      <c r="AQ249" s="239">
        <v>70158</v>
      </c>
      <c r="AR249" s="239">
        <v>0</v>
      </c>
      <c r="AS249" s="239">
        <v>70158</v>
      </c>
      <c r="AT249" s="239">
        <v>-6381</v>
      </c>
      <c r="AU249" s="239">
        <v>0</v>
      </c>
      <c r="AV249" s="239">
        <v>-6381</v>
      </c>
      <c r="AW249" s="239">
        <v>0</v>
      </c>
      <c r="AX249" s="239">
        <v>0</v>
      </c>
      <c r="AY249" s="239">
        <v>0</v>
      </c>
      <c r="AZ249" s="239">
        <v>-57444</v>
      </c>
      <c r="BA249" s="239">
        <v>0</v>
      </c>
      <c r="BB249" s="239">
        <v>-57444</v>
      </c>
      <c r="BC249" s="239">
        <v>-4221</v>
      </c>
      <c r="BD249" s="239">
        <v>0</v>
      </c>
      <c r="BE249" s="239">
        <v>-4221</v>
      </c>
      <c r="BF249" s="239">
        <v>-3273377</v>
      </c>
      <c r="BG249" s="239">
        <v>0</v>
      </c>
      <c r="BH249" s="239">
        <v>-3273377</v>
      </c>
      <c r="BI249" s="239">
        <v>0</v>
      </c>
      <c r="BJ249" s="239">
        <v>0</v>
      </c>
      <c r="BK249" s="239">
        <v>0</v>
      </c>
      <c r="BL249" s="239">
        <v>0</v>
      </c>
      <c r="BM249" s="239">
        <v>0</v>
      </c>
      <c r="BN249" s="239">
        <v>0</v>
      </c>
      <c r="BO249" s="239">
        <v>-669911</v>
      </c>
      <c r="BP249" s="239">
        <v>0</v>
      </c>
      <c r="BQ249" s="239">
        <v>-669911</v>
      </c>
      <c r="BR249" s="239">
        <v>-21005</v>
      </c>
      <c r="BS249" s="239">
        <v>0</v>
      </c>
      <c r="BT249" s="239">
        <v>-21005</v>
      </c>
      <c r="BU249" s="239">
        <v>-690916</v>
      </c>
      <c r="BV249" s="239">
        <v>0</v>
      </c>
      <c r="BW249" s="239">
        <v>-690916</v>
      </c>
      <c r="BX249" s="239">
        <v>-112917</v>
      </c>
      <c r="BY249" s="239">
        <v>0</v>
      </c>
      <c r="BZ249" s="239">
        <v>-112917</v>
      </c>
      <c r="CA249" s="239">
        <v>1628</v>
      </c>
      <c r="CB249" s="239">
        <v>0</v>
      </c>
      <c r="CC249" s="239">
        <v>1628</v>
      </c>
      <c r="CD249" s="239">
        <v>-127030</v>
      </c>
      <c r="CE249" s="239">
        <v>0</v>
      </c>
      <c r="CF249" s="239">
        <v>-127030</v>
      </c>
      <c r="CG249" s="239">
        <v>22089</v>
      </c>
      <c r="CH249" s="239">
        <v>0</v>
      </c>
      <c r="CI249" s="239">
        <v>22089</v>
      </c>
      <c r="CJ249" s="239">
        <v>-1595</v>
      </c>
      <c r="CK249" s="239">
        <v>0</v>
      </c>
      <c r="CL249" s="239">
        <v>-1595</v>
      </c>
      <c r="CM249" s="239">
        <v>0</v>
      </c>
      <c r="CN249" s="239">
        <v>0</v>
      </c>
      <c r="CO249" s="239">
        <v>0</v>
      </c>
      <c r="CP249" s="239">
        <v>-18460</v>
      </c>
      <c r="CQ249" s="239">
        <v>0</v>
      </c>
      <c r="CR249" s="239">
        <v>-18460</v>
      </c>
      <c r="CS249" s="239">
        <v>-307</v>
      </c>
      <c r="CT249" s="239">
        <v>0</v>
      </c>
      <c r="CU249" s="239">
        <v>-307</v>
      </c>
      <c r="CV249" s="239">
        <v>-11568</v>
      </c>
      <c r="CW249" s="239">
        <v>0</v>
      </c>
      <c r="CX249" s="239">
        <v>-11568</v>
      </c>
      <c r="CY249" s="239">
        <v>0</v>
      </c>
      <c r="CZ249" s="239">
        <v>0</v>
      </c>
      <c r="DA249" s="239">
        <v>0</v>
      </c>
      <c r="DB249" s="239">
        <v>0</v>
      </c>
      <c r="DC249" s="239">
        <v>0</v>
      </c>
      <c r="DD249" s="239">
        <v>0</v>
      </c>
      <c r="DE249" s="239">
        <v>0</v>
      </c>
      <c r="DF249" s="239">
        <v>0</v>
      </c>
      <c r="DG249" s="239">
        <v>0</v>
      </c>
      <c r="DH249" s="239">
        <v>0</v>
      </c>
      <c r="DI249" s="239">
        <v>0</v>
      </c>
      <c r="DJ249" s="239">
        <v>-248160</v>
      </c>
      <c r="DK249" s="239">
        <v>0</v>
      </c>
      <c r="DL249" s="239">
        <v>-248160</v>
      </c>
      <c r="DM249" s="239">
        <v>0</v>
      </c>
      <c r="DN249" s="239">
        <v>0</v>
      </c>
      <c r="DO249" s="239">
        <v>0</v>
      </c>
      <c r="DP249" s="239">
        <v>0</v>
      </c>
      <c r="DQ249" s="239">
        <v>0</v>
      </c>
      <c r="DR249" s="239">
        <v>0</v>
      </c>
      <c r="DS249" s="239">
        <v>-210</v>
      </c>
      <c r="DT249" s="239">
        <v>0</v>
      </c>
      <c r="DU249" s="239">
        <v>-210</v>
      </c>
      <c r="DV249" s="239">
        <v>96</v>
      </c>
      <c r="DW249" s="239">
        <v>0</v>
      </c>
      <c r="DX249" s="239">
        <v>96</v>
      </c>
      <c r="DY249" s="239">
        <v>0</v>
      </c>
      <c r="DZ249" s="239">
        <v>0</v>
      </c>
      <c r="EA249" s="239">
        <v>0</v>
      </c>
      <c r="EB249" s="239">
        <v>10299</v>
      </c>
      <c r="EC249" s="239">
        <v>0</v>
      </c>
      <c r="ED249" s="239">
        <v>10299</v>
      </c>
      <c r="EE249" s="239">
        <v>0</v>
      </c>
      <c r="EF249" s="239">
        <v>0</v>
      </c>
      <c r="EG249" s="239">
        <v>0</v>
      </c>
      <c r="EH249" s="239">
        <v>0</v>
      </c>
      <c r="EI249" s="239">
        <v>0</v>
      </c>
      <c r="EJ249" s="239">
        <v>0</v>
      </c>
      <c r="EK249" s="239">
        <v>-331</v>
      </c>
      <c r="EL249" s="239">
        <v>0</v>
      </c>
      <c r="EM249" s="239">
        <v>-331</v>
      </c>
      <c r="EN249" s="239">
        <v>264</v>
      </c>
      <c r="EO249" s="239">
        <v>0</v>
      </c>
      <c r="EP249" s="239">
        <v>264</v>
      </c>
      <c r="EQ249" s="239">
        <v>10118</v>
      </c>
      <c r="ER249" s="239">
        <v>0</v>
      </c>
      <c r="ES249" s="239">
        <v>10118</v>
      </c>
      <c r="ET249" s="239">
        <v>-2704</v>
      </c>
      <c r="EU249" s="239">
        <v>0</v>
      </c>
      <c r="EV249" s="239">
        <v>-2704</v>
      </c>
      <c r="EW249" s="239">
        <v>0</v>
      </c>
      <c r="EX249" s="239">
        <v>0</v>
      </c>
      <c r="EY249" s="239">
        <v>0</v>
      </c>
      <c r="EZ249" s="239">
        <v>-2704</v>
      </c>
      <c r="FA249" s="239">
        <v>0</v>
      </c>
      <c r="FB249" s="239">
        <v>-2704</v>
      </c>
      <c r="FC249" s="239">
        <v>27316257</v>
      </c>
      <c r="FD249" s="239">
        <v>0</v>
      </c>
      <c r="FE249" s="239">
        <v>27316257</v>
      </c>
      <c r="FF249" s="239">
        <v>-41985</v>
      </c>
      <c r="FG249" s="239">
        <v>0</v>
      </c>
      <c r="FH249" s="239">
        <v>-41985</v>
      </c>
      <c r="FI249" s="239">
        <v>-3273377</v>
      </c>
      <c r="FJ249" s="239">
        <v>0</v>
      </c>
      <c r="FK249" s="239">
        <v>-3273377</v>
      </c>
      <c r="FL249" s="239">
        <v>-690916</v>
      </c>
      <c r="FM249" s="239">
        <v>0</v>
      </c>
      <c r="FN249" s="239">
        <v>-690916</v>
      </c>
      <c r="FO249" s="239">
        <v>-248160</v>
      </c>
      <c r="FP249" s="239">
        <v>0</v>
      </c>
      <c r="FQ249" s="239">
        <v>-248160</v>
      </c>
      <c r="FR249" s="239">
        <v>10118</v>
      </c>
      <c r="FS249" s="239">
        <v>0</v>
      </c>
      <c r="FT249" s="239">
        <v>10118</v>
      </c>
      <c r="FU249" s="239">
        <v>-2704</v>
      </c>
      <c r="FV249" s="239">
        <v>0</v>
      </c>
      <c r="FW249" s="239">
        <v>-2704</v>
      </c>
      <c r="FX249" s="239">
        <v>-4247024</v>
      </c>
      <c r="FY249" s="239">
        <v>0</v>
      </c>
      <c r="FZ249" s="239">
        <v>-4247024</v>
      </c>
      <c r="GA249" s="239">
        <v>23069233</v>
      </c>
      <c r="GB249" s="239">
        <v>0</v>
      </c>
      <c r="GC249" s="239">
        <v>23069233</v>
      </c>
      <c r="GD249" s="214" t="s">
        <v>1190</v>
      </c>
    </row>
    <row r="250" spans="2:186" s="214" customFormat="1" x14ac:dyDescent="0.2">
      <c r="B250" s="609" t="s">
        <v>582</v>
      </c>
      <c r="C250" s="609" t="s">
        <v>581</v>
      </c>
      <c r="D250" s="239">
        <v>0</v>
      </c>
      <c r="E250" s="239">
        <v>0</v>
      </c>
      <c r="F250" s="239">
        <v>0</v>
      </c>
      <c r="G250" s="239">
        <v>-1044</v>
      </c>
      <c r="H250" s="239">
        <v>0</v>
      </c>
      <c r="I250" s="239">
        <v>-1044</v>
      </c>
      <c r="J250" s="239">
        <v>0</v>
      </c>
      <c r="K250" s="239">
        <v>0</v>
      </c>
      <c r="L250" s="239">
        <v>0</v>
      </c>
      <c r="M250" s="239">
        <v>-131081</v>
      </c>
      <c r="N250" s="239">
        <v>0</v>
      </c>
      <c r="O250" s="239">
        <v>-131081</v>
      </c>
      <c r="P250" s="239">
        <v>-132125</v>
      </c>
      <c r="Q250" s="239">
        <v>0</v>
      </c>
      <c r="R250" s="239">
        <v>-132125</v>
      </c>
      <c r="S250" s="239">
        <v>-2626507</v>
      </c>
      <c r="T250" s="239">
        <v>0</v>
      </c>
      <c r="U250" s="239">
        <v>-2626507</v>
      </c>
      <c r="V250" s="239">
        <v>0</v>
      </c>
      <c r="W250" s="239">
        <v>0</v>
      </c>
      <c r="X250" s="239">
        <v>0</v>
      </c>
      <c r="Y250" s="239">
        <v>-220380</v>
      </c>
      <c r="Z250" s="239">
        <v>0</v>
      </c>
      <c r="AA250" s="239">
        <v>-220380</v>
      </c>
      <c r="AB250" s="239">
        <v>-144258</v>
      </c>
      <c r="AC250" s="239">
        <v>0</v>
      </c>
      <c r="AD250" s="239">
        <v>-144258</v>
      </c>
      <c r="AE250" s="239">
        <v>0</v>
      </c>
      <c r="AF250" s="239">
        <v>0</v>
      </c>
      <c r="AG250" s="239">
        <v>0</v>
      </c>
      <c r="AH250" s="239">
        <v>1150738</v>
      </c>
      <c r="AI250" s="239">
        <v>6175</v>
      </c>
      <c r="AJ250" s="239">
        <v>1156913</v>
      </c>
      <c r="AK250" s="239">
        <v>-24832</v>
      </c>
      <c r="AL250" s="239">
        <v>0</v>
      </c>
      <c r="AM250" s="239">
        <v>-24832</v>
      </c>
      <c r="AN250" s="239">
        <v>-4286269</v>
      </c>
      <c r="AO250" s="239">
        <v>0</v>
      </c>
      <c r="AP250" s="239">
        <v>-4286269</v>
      </c>
      <c r="AQ250" s="239">
        <v>-40901</v>
      </c>
      <c r="AR250" s="239">
        <v>0</v>
      </c>
      <c r="AS250" s="239">
        <v>-40901</v>
      </c>
      <c r="AT250" s="239">
        <v>-106398</v>
      </c>
      <c r="AU250" s="239">
        <v>0</v>
      </c>
      <c r="AV250" s="239">
        <v>-106398</v>
      </c>
      <c r="AW250" s="239">
        <v>0</v>
      </c>
      <c r="AX250" s="239">
        <v>0</v>
      </c>
      <c r="AY250" s="239">
        <v>0</v>
      </c>
      <c r="AZ250" s="239">
        <v>-42933</v>
      </c>
      <c r="BA250" s="239">
        <v>0</v>
      </c>
      <c r="BB250" s="239">
        <v>-42933</v>
      </c>
      <c r="BC250" s="239">
        <v>21</v>
      </c>
      <c r="BD250" s="239">
        <v>0</v>
      </c>
      <c r="BE250" s="239">
        <v>21</v>
      </c>
      <c r="BF250" s="239">
        <v>-6197461</v>
      </c>
      <c r="BG250" s="239">
        <v>6175</v>
      </c>
      <c r="BH250" s="239">
        <v>-6191286</v>
      </c>
      <c r="BI250" s="239">
        <v>0</v>
      </c>
      <c r="BJ250" s="239">
        <v>0</v>
      </c>
      <c r="BK250" s="239">
        <v>0</v>
      </c>
      <c r="BL250" s="239">
        <v>0</v>
      </c>
      <c r="BM250" s="239">
        <v>0</v>
      </c>
      <c r="BN250" s="239">
        <v>0</v>
      </c>
      <c r="BO250" s="239">
        <v>-1224631</v>
      </c>
      <c r="BP250" s="239">
        <v>0</v>
      </c>
      <c r="BQ250" s="239">
        <v>-1224631</v>
      </c>
      <c r="BR250" s="239">
        <v>-312197</v>
      </c>
      <c r="BS250" s="239">
        <v>0</v>
      </c>
      <c r="BT250" s="239">
        <v>-312197</v>
      </c>
      <c r="BU250" s="239">
        <v>-1536828</v>
      </c>
      <c r="BV250" s="239">
        <v>0</v>
      </c>
      <c r="BW250" s="239">
        <v>-1536828</v>
      </c>
      <c r="BX250" s="239">
        <v>-200985</v>
      </c>
      <c r="BY250" s="239">
        <v>0</v>
      </c>
      <c r="BZ250" s="239">
        <v>-200985</v>
      </c>
      <c r="CA250" s="239">
        <v>1124</v>
      </c>
      <c r="CB250" s="239">
        <v>0</v>
      </c>
      <c r="CC250" s="239">
        <v>1124</v>
      </c>
      <c r="CD250" s="239">
        <v>-17230</v>
      </c>
      <c r="CE250" s="239">
        <v>0</v>
      </c>
      <c r="CF250" s="239">
        <v>-17230</v>
      </c>
      <c r="CG250" s="239">
        <v>0</v>
      </c>
      <c r="CH250" s="239">
        <v>0</v>
      </c>
      <c r="CI250" s="239">
        <v>0</v>
      </c>
      <c r="CJ250" s="239">
        <v>-17176</v>
      </c>
      <c r="CK250" s="239">
        <v>0</v>
      </c>
      <c r="CL250" s="239">
        <v>-17176</v>
      </c>
      <c r="CM250" s="239">
        <v>0</v>
      </c>
      <c r="CN250" s="239">
        <v>0</v>
      </c>
      <c r="CO250" s="239">
        <v>0</v>
      </c>
      <c r="CP250" s="239">
        <v>-21187</v>
      </c>
      <c r="CQ250" s="239">
        <v>0</v>
      </c>
      <c r="CR250" s="239">
        <v>-21187</v>
      </c>
      <c r="CS250" s="239">
        <v>0</v>
      </c>
      <c r="CT250" s="239">
        <v>0</v>
      </c>
      <c r="CU250" s="239">
        <v>0</v>
      </c>
      <c r="CV250" s="239">
        <v>0</v>
      </c>
      <c r="CW250" s="239">
        <v>0</v>
      </c>
      <c r="CX250" s="239">
        <v>0</v>
      </c>
      <c r="CY250" s="239">
        <v>0</v>
      </c>
      <c r="CZ250" s="239">
        <v>0</v>
      </c>
      <c r="DA250" s="239">
        <v>0</v>
      </c>
      <c r="DB250" s="239">
        <v>0</v>
      </c>
      <c r="DC250" s="239">
        <v>0</v>
      </c>
      <c r="DD250" s="239">
        <v>0</v>
      </c>
      <c r="DE250" s="239">
        <v>0</v>
      </c>
      <c r="DF250" s="239">
        <v>0</v>
      </c>
      <c r="DG250" s="239">
        <v>0</v>
      </c>
      <c r="DH250" s="239">
        <v>0</v>
      </c>
      <c r="DI250" s="239">
        <v>0</v>
      </c>
      <c r="DJ250" s="239">
        <v>-255454</v>
      </c>
      <c r="DK250" s="239">
        <v>0</v>
      </c>
      <c r="DL250" s="239">
        <v>-255454</v>
      </c>
      <c r="DM250" s="239">
        <v>0</v>
      </c>
      <c r="DN250" s="239">
        <v>0</v>
      </c>
      <c r="DO250" s="239">
        <v>0</v>
      </c>
      <c r="DP250" s="239">
        <v>0</v>
      </c>
      <c r="DQ250" s="239">
        <v>0</v>
      </c>
      <c r="DR250" s="239">
        <v>0</v>
      </c>
      <c r="DS250" s="239">
        <v>-7006</v>
      </c>
      <c r="DT250" s="239">
        <v>0</v>
      </c>
      <c r="DU250" s="239">
        <v>-7006</v>
      </c>
      <c r="DV250" s="239">
        <v>845</v>
      </c>
      <c r="DW250" s="239">
        <v>0</v>
      </c>
      <c r="DX250" s="239">
        <v>845</v>
      </c>
      <c r="DY250" s="239">
        <v>0</v>
      </c>
      <c r="DZ250" s="239">
        <v>0</v>
      </c>
      <c r="EA250" s="239">
        <v>0</v>
      </c>
      <c r="EB250" s="239">
        <v>-3625</v>
      </c>
      <c r="EC250" s="239">
        <v>0</v>
      </c>
      <c r="ED250" s="239">
        <v>-3625</v>
      </c>
      <c r="EE250" s="239">
        <v>0</v>
      </c>
      <c r="EF250" s="239">
        <v>0</v>
      </c>
      <c r="EG250" s="239">
        <v>0</v>
      </c>
      <c r="EH250" s="239">
        <v>0</v>
      </c>
      <c r="EI250" s="239">
        <v>0</v>
      </c>
      <c r="EJ250" s="239">
        <v>0</v>
      </c>
      <c r="EK250" s="239">
        <v>-1004</v>
      </c>
      <c r="EL250" s="239">
        <v>0</v>
      </c>
      <c r="EM250" s="239">
        <v>-1004</v>
      </c>
      <c r="EN250" s="239">
        <v>0</v>
      </c>
      <c r="EO250" s="239">
        <v>0</v>
      </c>
      <c r="EP250" s="239">
        <v>0</v>
      </c>
      <c r="EQ250" s="239">
        <v>-10790</v>
      </c>
      <c r="ER250" s="239">
        <v>0</v>
      </c>
      <c r="ES250" s="239">
        <v>-10790</v>
      </c>
      <c r="ET250" s="239">
        <v>0</v>
      </c>
      <c r="EU250" s="239">
        <v>0</v>
      </c>
      <c r="EV250" s="239">
        <v>0</v>
      </c>
      <c r="EW250" s="239">
        <v>0</v>
      </c>
      <c r="EX250" s="239">
        <v>0</v>
      </c>
      <c r="EY250" s="239">
        <v>0</v>
      </c>
      <c r="EZ250" s="239">
        <v>0</v>
      </c>
      <c r="FA250" s="239">
        <v>0</v>
      </c>
      <c r="FB250" s="239">
        <v>0</v>
      </c>
      <c r="FC250" s="239">
        <v>50398339</v>
      </c>
      <c r="FD250" s="239">
        <v>229900</v>
      </c>
      <c r="FE250" s="239">
        <v>50628239</v>
      </c>
      <c r="FF250" s="239">
        <v>-132125</v>
      </c>
      <c r="FG250" s="239">
        <v>0</v>
      </c>
      <c r="FH250" s="239">
        <v>-132125</v>
      </c>
      <c r="FI250" s="239">
        <v>-6197461</v>
      </c>
      <c r="FJ250" s="239">
        <v>6175</v>
      </c>
      <c r="FK250" s="239">
        <v>-6191286</v>
      </c>
      <c r="FL250" s="239">
        <v>-1536828</v>
      </c>
      <c r="FM250" s="239">
        <v>0</v>
      </c>
      <c r="FN250" s="239">
        <v>-1536828</v>
      </c>
      <c r="FO250" s="239">
        <v>-255454</v>
      </c>
      <c r="FP250" s="239">
        <v>0</v>
      </c>
      <c r="FQ250" s="239">
        <v>-255454</v>
      </c>
      <c r="FR250" s="239">
        <v>-10790</v>
      </c>
      <c r="FS250" s="239">
        <v>0</v>
      </c>
      <c r="FT250" s="239">
        <v>-10790</v>
      </c>
      <c r="FU250" s="239">
        <v>0</v>
      </c>
      <c r="FV250" s="239">
        <v>0</v>
      </c>
      <c r="FW250" s="239">
        <v>0</v>
      </c>
      <c r="FX250" s="239">
        <v>-8132658</v>
      </c>
      <c r="FY250" s="239">
        <v>6175</v>
      </c>
      <c r="FZ250" s="239">
        <v>-8126483</v>
      </c>
      <c r="GA250" s="239">
        <v>42265681</v>
      </c>
      <c r="GB250" s="239">
        <v>236075</v>
      </c>
      <c r="GC250" s="239">
        <v>42501756</v>
      </c>
      <c r="GD250" s="214" t="s">
        <v>1190</v>
      </c>
    </row>
    <row r="251" spans="2:186" s="214" customFormat="1" x14ac:dyDescent="0.2">
      <c r="B251" s="609" t="s">
        <v>584</v>
      </c>
      <c r="C251" s="609" t="s">
        <v>583</v>
      </c>
      <c r="D251" s="239">
        <v>0</v>
      </c>
      <c r="E251" s="239">
        <v>0</v>
      </c>
      <c r="F251" s="239">
        <v>0</v>
      </c>
      <c r="G251" s="239">
        <v>-20554</v>
      </c>
      <c r="H251" s="239">
        <v>0</v>
      </c>
      <c r="I251" s="239">
        <v>-20554</v>
      </c>
      <c r="J251" s="239">
        <v>0</v>
      </c>
      <c r="K251" s="239">
        <v>0</v>
      </c>
      <c r="L251" s="239">
        <v>0</v>
      </c>
      <c r="M251" s="239">
        <v>-5223</v>
      </c>
      <c r="N251" s="239">
        <v>0</v>
      </c>
      <c r="O251" s="239">
        <v>-5223</v>
      </c>
      <c r="P251" s="239">
        <v>-25777</v>
      </c>
      <c r="Q251" s="239">
        <v>0</v>
      </c>
      <c r="R251" s="239">
        <v>-25777</v>
      </c>
      <c r="S251" s="239">
        <v>-2343575</v>
      </c>
      <c r="T251" s="239">
        <v>0</v>
      </c>
      <c r="U251" s="239">
        <v>-2343575</v>
      </c>
      <c r="V251" s="239">
        <v>-4875</v>
      </c>
      <c r="W251" s="239">
        <v>0</v>
      </c>
      <c r="X251" s="239">
        <v>-4875</v>
      </c>
      <c r="Y251" s="239">
        <v>-129884</v>
      </c>
      <c r="Z251" s="239">
        <v>0</v>
      </c>
      <c r="AA251" s="239">
        <v>-129884</v>
      </c>
      <c r="AB251" s="239">
        <v>-94230</v>
      </c>
      <c r="AC251" s="239">
        <v>0</v>
      </c>
      <c r="AD251" s="239">
        <v>-94230</v>
      </c>
      <c r="AE251" s="239">
        <v>-1137</v>
      </c>
      <c r="AF251" s="239">
        <v>0</v>
      </c>
      <c r="AG251" s="239">
        <v>-1137</v>
      </c>
      <c r="AH251" s="239">
        <v>1024286</v>
      </c>
      <c r="AI251" s="239">
        <v>0</v>
      </c>
      <c r="AJ251" s="239">
        <v>1024286</v>
      </c>
      <c r="AK251" s="239">
        <v>-3856</v>
      </c>
      <c r="AL251" s="239">
        <v>0</v>
      </c>
      <c r="AM251" s="239">
        <v>-3856</v>
      </c>
      <c r="AN251" s="239">
        <v>-1944843</v>
      </c>
      <c r="AO251" s="239">
        <v>0</v>
      </c>
      <c r="AP251" s="239">
        <v>-1944843</v>
      </c>
      <c r="AQ251" s="239">
        <v>-105153</v>
      </c>
      <c r="AR251" s="239">
        <v>0</v>
      </c>
      <c r="AS251" s="239">
        <v>-105153</v>
      </c>
      <c r="AT251" s="239">
        <v>-18369</v>
      </c>
      <c r="AU251" s="239">
        <v>0</v>
      </c>
      <c r="AV251" s="239">
        <v>-18369</v>
      </c>
      <c r="AW251" s="239">
        <v>743</v>
      </c>
      <c r="AX251" s="239">
        <v>0</v>
      </c>
      <c r="AY251" s="239">
        <v>743</v>
      </c>
      <c r="AZ251" s="239">
        <v>-3926</v>
      </c>
      <c r="BA251" s="239">
        <v>0</v>
      </c>
      <c r="BB251" s="239">
        <v>-3926</v>
      </c>
      <c r="BC251" s="239">
        <v>0</v>
      </c>
      <c r="BD251" s="239">
        <v>0</v>
      </c>
      <c r="BE251" s="239">
        <v>0</v>
      </c>
      <c r="BF251" s="239">
        <v>-3524577</v>
      </c>
      <c r="BG251" s="239">
        <v>0</v>
      </c>
      <c r="BH251" s="239">
        <v>-3524577</v>
      </c>
      <c r="BI251" s="239">
        <v>-4342</v>
      </c>
      <c r="BJ251" s="239">
        <v>0</v>
      </c>
      <c r="BK251" s="239">
        <v>-4342</v>
      </c>
      <c r="BL251" s="239">
        <v>21</v>
      </c>
      <c r="BM251" s="239">
        <v>0</v>
      </c>
      <c r="BN251" s="239">
        <v>21</v>
      </c>
      <c r="BO251" s="239">
        <v>-874220</v>
      </c>
      <c r="BP251" s="239">
        <v>0</v>
      </c>
      <c r="BQ251" s="239">
        <v>-874220</v>
      </c>
      <c r="BR251" s="239">
        <v>-6272</v>
      </c>
      <c r="BS251" s="239">
        <v>0</v>
      </c>
      <c r="BT251" s="239">
        <v>-6272</v>
      </c>
      <c r="BU251" s="239">
        <v>-884813</v>
      </c>
      <c r="BV251" s="239">
        <v>0</v>
      </c>
      <c r="BW251" s="239">
        <v>-884813</v>
      </c>
      <c r="BX251" s="239">
        <v>-113833</v>
      </c>
      <c r="BY251" s="239">
        <v>0</v>
      </c>
      <c r="BZ251" s="239">
        <v>-113833</v>
      </c>
      <c r="CA251" s="239">
        <v>-1292</v>
      </c>
      <c r="CB251" s="239">
        <v>0</v>
      </c>
      <c r="CC251" s="239">
        <v>-1292</v>
      </c>
      <c r="CD251" s="239">
        <v>-25493</v>
      </c>
      <c r="CE251" s="239">
        <v>0</v>
      </c>
      <c r="CF251" s="239">
        <v>-25493</v>
      </c>
      <c r="CG251" s="239">
        <v>2841</v>
      </c>
      <c r="CH251" s="239">
        <v>0</v>
      </c>
      <c r="CI251" s="239">
        <v>2841</v>
      </c>
      <c r="CJ251" s="239">
        <v>-825</v>
      </c>
      <c r="CK251" s="239">
        <v>0</v>
      </c>
      <c r="CL251" s="239">
        <v>-825</v>
      </c>
      <c r="CM251" s="239">
        <v>0</v>
      </c>
      <c r="CN251" s="239">
        <v>0</v>
      </c>
      <c r="CO251" s="239">
        <v>0</v>
      </c>
      <c r="CP251" s="239">
        <v>-3926</v>
      </c>
      <c r="CQ251" s="239">
        <v>0</v>
      </c>
      <c r="CR251" s="239">
        <v>-3926</v>
      </c>
      <c r="CS251" s="239">
        <v>0</v>
      </c>
      <c r="CT251" s="239">
        <v>0</v>
      </c>
      <c r="CU251" s="239">
        <v>0</v>
      </c>
      <c r="CV251" s="239">
        <v>0</v>
      </c>
      <c r="CW251" s="239">
        <v>0</v>
      </c>
      <c r="CX251" s="239">
        <v>0</v>
      </c>
      <c r="CY251" s="239">
        <v>0</v>
      </c>
      <c r="CZ251" s="239">
        <v>0</v>
      </c>
      <c r="DA251" s="239">
        <v>0</v>
      </c>
      <c r="DB251" s="239">
        <v>0</v>
      </c>
      <c r="DC251" s="239">
        <v>0</v>
      </c>
      <c r="DD251" s="239">
        <v>0</v>
      </c>
      <c r="DE251" s="239">
        <v>0</v>
      </c>
      <c r="DF251" s="239">
        <v>0</v>
      </c>
      <c r="DG251" s="239">
        <v>0</v>
      </c>
      <c r="DH251" s="239">
        <v>0</v>
      </c>
      <c r="DI251" s="239">
        <v>0</v>
      </c>
      <c r="DJ251" s="239">
        <v>-142528</v>
      </c>
      <c r="DK251" s="239">
        <v>0</v>
      </c>
      <c r="DL251" s="239">
        <v>-142528</v>
      </c>
      <c r="DM251" s="239">
        <v>-2966</v>
      </c>
      <c r="DN251" s="239">
        <v>0</v>
      </c>
      <c r="DO251" s="239">
        <v>-2966</v>
      </c>
      <c r="DP251" s="239">
        <v>0</v>
      </c>
      <c r="DQ251" s="239">
        <v>0</v>
      </c>
      <c r="DR251" s="239">
        <v>0</v>
      </c>
      <c r="DS251" s="239">
        <v>-5575</v>
      </c>
      <c r="DT251" s="239">
        <v>0</v>
      </c>
      <c r="DU251" s="239">
        <v>-5575</v>
      </c>
      <c r="DV251" s="239">
        <v>-6303</v>
      </c>
      <c r="DW251" s="239">
        <v>0</v>
      </c>
      <c r="DX251" s="239">
        <v>-6303</v>
      </c>
      <c r="DY251" s="239">
        <v>0</v>
      </c>
      <c r="DZ251" s="239">
        <v>0</v>
      </c>
      <c r="EA251" s="239">
        <v>0</v>
      </c>
      <c r="EB251" s="239">
        <v>-5578</v>
      </c>
      <c r="EC251" s="239">
        <v>0</v>
      </c>
      <c r="ED251" s="239">
        <v>-5578</v>
      </c>
      <c r="EE251" s="239">
        <v>0</v>
      </c>
      <c r="EF251" s="239">
        <v>0</v>
      </c>
      <c r="EG251" s="239">
        <v>0</v>
      </c>
      <c r="EH251" s="239">
        <v>-736</v>
      </c>
      <c r="EI251" s="239">
        <v>0</v>
      </c>
      <c r="EJ251" s="239">
        <v>-736</v>
      </c>
      <c r="EK251" s="239">
        <v>-2019</v>
      </c>
      <c r="EL251" s="239">
        <v>0</v>
      </c>
      <c r="EM251" s="239">
        <v>-2019</v>
      </c>
      <c r="EN251" s="239">
        <v>6</v>
      </c>
      <c r="EO251" s="239">
        <v>0</v>
      </c>
      <c r="EP251" s="239">
        <v>6</v>
      </c>
      <c r="EQ251" s="239">
        <v>-23171</v>
      </c>
      <c r="ER251" s="239">
        <v>0</v>
      </c>
      <c r="ES251" s="239">
        <v>-23171</v>
      </c>
      <c r="ET251" s="239">
        <v>0</v>
      </c>
      <c r="EU251" s="239">
        <v>0</v>
      </c>
      <c r="EV251" s="239">
        <v>0</v>
      </c>
      <c r="EW251" s="239">
        <v>0</v>
      </c>
      <c r="EX251" s="239">
        <v>0</v>
      </c>
      <c r="EY251" s="239">
        <v>0</v>
      </c>
      <c r="EZ251" s="239">
        <v>0</v>
      </c>
      <c r="FA251" s="239">
        <v>0</v>
      </c>
      <c r="FB251" s="239">
        <v>0</v>
      </c>
      <c r="FC251" s="239">
        <v>44108917</v>
      </c>
      <c r="FD251" s="239">
        <v>0</v>
      </c>
      <c r="FE251" s="239">
        <v>44108917</v>
      </c>
      <c r="FF251" s="239">
        <v>-25777</v>
      </c>
      <c r="FG251" s="239">
        <v>0</v>
      </c>
      <c r="FH251" s="239">
        <v>-25777</v>
      </c>
      <c r="FI251" s="239">
        <v>-3524577</v>
      </c>
      <c r="FJ251" s="239">
        <v>0</v>
      </c>
      <c r="FK251" s="239">
        <v>-3524577</v>
      </c>
      <c r="FL251" s="239">
        <v>-884813</v>
      </c>
      <c r="FM251" s="239">
        <v>0</v>
      </c>
      <c r="FN251" s="239">
        <v>-884813</v>
      </c>
      <c r="FO251" s="239">
        <v>-142528</v>
      </c>
      <c r="FP251" s="239">
        <v>0</v>
      </c>
      <c r="FQ251" s="239">
        <v>-142528</v>
      </c>
      <c r="FR251" s="239">
        <v>-23171</v>
      </c>
      <c r="FS251" s="239">
        <v>0</v>
      </c>
      <c r="FT251" s="239">
        <v>-23171</v>
      </c>
      <c r="FU251" s="239">
        <v>0</v>
      </c>
      <c r="FV251" s="239">
        <v>0</v>
      </c>
      <c r="FW251" s="239">
        <v>0</v>
      </c>
      <c r="FX251" s="239">
        <v>-4600866</v>
      </c>
      <c r="FY251" s="239">
        <v>0</v>
      </c>
      <c r="FZ251" s="239">
        <v>-4600866</v>
      </c>
      <c r="GA251" s="239">
        <v>39508051</v>
      </c>
      <c r="GB251" s="239">
        <v>0</v>
      </c>
      <c r="GC251" s="239">
        <v>39508051</v>
      </c>
      <c r="GD251" s="214" t="s">
        <v>1190</v>
      </c>
    </row>
    <row r="252" spans="2:186" s="214" customFormat="1" x14ac:dyDescent="0.2">
      <c r="B252" s="609" t="s">
        <v>586</v>
      </c>
      <c r="C252" s="609" t="s">
        <v>585</v>
      </c>
      <c r="D252" s="239">
        <v>0</v>
      </c>
      <c r="E252" s="239">
        <v>0</v>
      </c>
      <c r="F252" s="239">
        <v>0</v>
      </c>
      <c r="G252" s="239">
        <v>72852</v>
      </c>
      <c r="H252" s="239">
        <v>0</v>
      </c>
      <c r="I252" s="239">
        <v>72852</v>
      </c>
      <c r="J252" s="239">
        <v>0</v>
      </c>
      <c r="K252" s="239">
        <v>0</v>
      </c>
      <c r="L252" s="239">
        <v>0</v>
      </c>
      <c r="M252" s="239">
        <v>29086</v>
      </c>
      <c r="N252" s="239">
        <v>0</v>
      </c>
      <c r="O252" s="239">
        <v>29086</v>
      </c>
      <c r="P252" s="239">
        <v>101938</v>
      </c>
      <c r="Q252" s="239">
        <v>0</v>
      </c>
      <c r="R252" s="239">
        <v>101938</v>
      </c>
      <c r="S252" s="239">
        <v>-4130308</v>
      </c>
      <c r="T252" s="239">
        <v>0</v>
      </c>
      <c r="U252" s="239">
        <v>-4130308</v>
      </c>
      <c r="V252" s="239">
        <v>-21589</v>
      </c>
      <c r="W252" s="239">
        <v>0</v>
      </c>
      <c r="X252" s="239">
        <v>-21589</v>
      </c>
      <c r="Y252" s="239">
        <v>-413761</v>
      </c>
      <c r="Z252" s="239">
        <v>0</v>
      </c>
      <c r="AA252" s="239">
        <v>-413761</v>
      </c>
      <c r="AB252" s="239">
        <v>-312346</v>
      </c>
      <c r="AC252" s="239">
        <v>0</v>
      </c>
      <c r="AD252" s="239">
        <v>-312346</v>
      </c>
      <c r="AE252" s="239">
        <v>-4706</v>
      </c>
      <c r="AF252" s="239">
        <v>0</v>
      </c>
      <c r="AG252" s="239">
        <v>-4706</v>
      </c>
      <c r="AH252" s="239">
        <v>1173009</v>
      </c>
      <c r="AI252" s="239">
        <v>0</v>
      </c>
      <c r="AJ252" s="239">
        <v>1173009</v>
      </c>
      <c r="AK252" s="239">
        <v>5515</v>
      </c>
      <c r="AL252" s="239">
        <v>0</v>
      </c>
      <c r="AM252" s="239">
        <v>5515</v>
      </c>
      <c r="AN252" s="239">
        <v>-3457780</v>
      </c>
      <c r="AO252" s="239">
        <v>0</v>
      </c>
      <c r="AP252" s="239">
        <v>-3457780</v>
      </c>
      <c r="AQ252" s="239">
        <v>-22488</v>
      </c>
      <c r="AR252" s="239">
        <v>0</v>
      </c>
      <c r="AS252" s="239">
        <v>-22488</v>
      </c>
      <c r="AT252" s="239">
        <v>-40178</v>
      </c>
      <c r="AU252" s="239">
        <v>0</v>
      </c>
      <c r="AV252" s="239">
        <v>-40178</v>
      </c>
      <c r="AW252" s="239">
        <v>-3686</v>
      </c>
      <c r="AX252" s="239">
        <v>0</v>
      </c>
      <c r="AY252" s="239">
        <v>-3686</v>
      </c>
      <c r="AZ252" s="239">
        <v>-94483</v>
      </c>
      <c r="BA252" s="239">
        <v>0</v>
      </c>
      <c r="BB252" s="239">
        <v>-94483</v>
      </c>
      <c r="BC252" s="239">
        <v>364</v>
      </c>
      <c r="BD252" s="239">
        <v>0</v>
      </c>
      <c r="BE252" s="239">
        <v>364</v>
      </c>
      <c r="BF252" s="239">
        <v>-6983796</v>
      </c>
      <c r="BG252" s="239">
        <v>0</v>
      </c>
      <c r="BH252" s="239">
        <v>-6983796</v>
      </c>
      <c r="BI252" s="239">
        <v>-51414</v>
      </c>
      <c r="BJ252" s="239">
        <v>0</v>
      </c>
      <c r="BK252" s="239">
        <v>-51414</v>
      </c>
      <c r="BL252" s="239">
        <v>-3524</v>
      </c>
      <c r="BM252" s="239">
        <v>0</v>
      </c>
      <c r="BN252" s="239">
        <v>-3524</v>
      </c>
      <c r="BO252" s="239">
        <v>-1514982</v>
      </c>
      <c r="BP252" s="239">
        <v>0</v>
      </c>
      <c r="BQ252" s="239">
        <v>-1514982</v>
      </c>
      <c r="BR252" s="239">
        <v>-97033</v>
      </c>
      <c r="BS252" s="239">
        <v>0</v>
      </c>
      <c r="BT252" s="239">
        <v>-97033</v>
      </c>
      <c r="BU252" s="239">
        <v>-1666953</v>
      </c>
      <c r="BV252" s="239">
        <v>0</v>
      </c>
      <c r="BW252" s="239">
        <v>-1666953</v>
      </c>
      <c r="BX252" s="239">
        <v>-150073</v>
      </c>
      <c r="BY252" s="239">
        <v>0</v>
      </c>
      <c r="BZ252" s="239">
        <v>-150073</v>
      </c>
      <c r="CA252" s="239">
        <v>2476</v>
      </c>
      <c r="CB252" s="239">
        <v>0</v>
      </c>
      <c r="CC252" s="239">
        <v>2476</v>
      </c>
      <c r="CD252" s="239">
        <v>-53009</v>
      </c>
      <c r="CE252" s="239">
        <v>0</v>
      </c>
      <c r="CF252" s="239">
        <v>-53009</v>
      </c>
      <c r="CG252" s="239">
        <v>-2687</v>
      </c>
      <c r="CH252" s="239">
        <v>0</v>
      </c>
      <c r="CI252" s="239">
        <v>-2687</v>
      </c>
      <c r="CJ252" s="239">
        <v>-4125</v>
      </c>
      <c r="CK252" s="239">
        <v>0</v>
      </c>
      <c r="CL252" s="239">
        <v>-4125</v>
      </c>
      <c r="CM252" s="239">
        <v>0</v>
      </c>
      <c r="CN252" s="239">
        <v>0</v>
      </c>
      <c r="CO252" s="239">
        <v>0</v>
      </c>
      <c r="CP252" s="239">
        <v>-25861</v>
      </c>
      <c r="CQ252" s="239">
        <v>0</v>
      </c>
      <c r="CR252" s="239">
        <v>-25861</v>
      </c>
      <c r="CS252" s="239">
        <v>415</v>
      </c>
      <c r="CT252" s="239">
        <v>0</v>
      </c>
      <c r="CU252" s="239">
        <v>415</v>
      </c>
      <c r="CV252" s="239">
        <v>-9982</v>
      </c>
      <c r="CW252" s="239">
        <v>0</v>
      </c>
      <c r="CX252" s="239">
        <v>-9982</v>
      </c>
      <c r="CY252" s="239">
        <v>-747</v>
      </c>
      <c r="CZ252" s="239">
        <v>0</v>
      </c>
      <c r="DA252" s="239">
        <v>-747</v>
      </c>
      <c r="DB252" s="239">
        <v>-7766</v>
      </c>
      <c r="DC252" s="239">
        <v>0</v>
      </c>
      <c r="DD252" s="239">
        <v>-7766</v>
      </c>
      <c r="DE252" s="239">
        <v>0</v>
      </c>
      <c r="DF252" s="239">
        <v>0</v>
      </c>
      <c r="DG252" s="239">
        <v>0</v>
      </c>
      <c r="DH252" s="239">
        <v>0</v>
      </c>
      <c r="DI252" s="239">
        <v>0</v>
      </c>
      <c r="DJ252" s="239">
        <v>-251359</v>
      </c>
      <c r="DK252" s="239">
        <v>0</v>
      </c>
      <c r="DL252" s="239">
        <v>-251359</v>
      </c>
      <c r="DM252" s="239">
        <v>0</v>
      </c>
      <c r="DN252" s="239">
        <v>0</v>
      </c>
      <c r="DO252" s="239">
        <v>0</v>
      </c>
      <c r="DP252" s="239">
        <v>0</v>
      </c>
      <c r="DQ252" s="239">
        <v>0</v>
      </c>
      <c r="DR252" s="239">
        <v>0</v>
      </c>
      <c r="DS252" s="239">
        <v>-22124</v>
      </c>
      <c r="DT252" s="239">
        <v>0</v>
      </c>
      <c r="DU252" s="239">
        <v>-22124</v>
      </c>
      <c r="DV252" s="239">
        <v>-98</v>
      </c>
      <c r="DW252" s="239">
        <v>0</v>
      </c>
      <c r="DX252" s="239">
        <v>-98</v>
      </c>
      <c r="DY252" s="239">
        <v>0</v>
      </c>
      <c r="DZ252" s="239">
        <v>0</v>
      </c>
      <c r="EA252" s="239">
        <v>0</v>
      </c>
      <c r="EB252" s="239">
        <v>-14985</v>
      </c>
      <c r="EC252" s="239">
        <v>0</v>
      </c>
      <c r="ED252" s="239">
        <v>-14985</v>
      </c>
      <c r="EE252" s="239">
        <v>0</v>
      </c>
      <c r="EF252" s="239">
        <v>0</v>
      </c>
      <c r="EG252" s="239">
        <v>0</v>
      </c>
      <c r="EH252" s="239">
        <v>341</v>
      </c>
      <c r="EI252" s="239">
        <v>0</v>
      </c>
      <c r="EJ252" s="239">
        <v>341</v>
      </c>
      <c r="EK252" s="239">
        <v>-6850</v>
      </c>
      <c r="EL252" s="239">
        <v>0</v>
      </c>
      <c r="EM252" s="239">
        <v>-6850</v>
      </c>
      <c r="EN252" s="239">
        <v>151</v>
      </c>
      <c r="EO252" s="239">
        <v>0</v>
      </c>
      <c r="EP252" s="239">
        <v>151</v>
      </c>
      <c r="EQ252" s="239">
        <v>-43565</v>
      </c>
      <c r="ER252" s="239">
        <v>0</v>
      </c>
      <c r="ES252" s="239">
        <v>-43565</v>
      </c>
      <c r="ET252" s="239">
        <v>-4792</v>
      </c>
      <c r="EU252" s="239">
        <v>0</v>
      </c>
      <c r="EV252" s="239">
        <v>-4792</v>
      </c>
      <c r="EW252" s="239">
        <v>0</v>
      </c>
      <c r="EX252" s="239">
        <v>0</v>
      </c>
      <c r="EY252" s="239">
        <v>0</v>
      </c>
      <c r="EZ252" s="239">
        <v>-4792</v>
      </c>
      <c r="FA252" s="239">
        <v>0</v>
      </c>
      <c r="FB252" s="239">
        <v>-4792</v>
      </c>
      <c r="FC252" s="239">
        <v>54465799</v>
      </c>
      <c r="FD252" s="239">
        <v>0</v>
      </c>
      <c r="FE252" s="239">
        <v>54465799</v>
      </c>
      <c r="FF252" s="239">
        <v>101938</v>
      </c>
      <c r="FG252" s="239">
        <v>0</v>
      </c>
      <c r="FH252" s="239">
        <v>101938</v>
      </c>
      <c r="FI252" s="239">
        <v>-6983796</v>
      </c>
      <c r="FJ252" s="239">
        <v>0</v>
      </c>
      <c r="FK252" s="239">
        <v>-6983796</v>
      </c>
      <c r="FL252" s="239">
        <v>-1666953</v>
      </c>
      <c r="FM252" s="239">
        <v>0</v>
      </c>
      <c r="FN252" s="239">
        <v>-1666953</v>
      </c>
      <c r="FO252" s="239">
        <v>-251359</v>
      </c>
      <c r="FP252" s="239">
        <v>0</v>
      </c>
      <c r="FQ252" s="239">
        <v>-251359</v>
      </c>
      <c r="FR252" s="239">
        <v>-43565</v>
      </c>
      <c r="FS252" s="239">
        <v>0</v>
      </c>
      <c r="FT252" s="239">
        <v>-43565</v>
      </c>
      <c r="FU252" s="239">
        <v>-4792</v>
      </c>
      <c r="FV252" s="239">
        <v>0</v>
      </c>
      <c r="FW252" s="239">
        <v>-4792</v>
      </c>
      <c r="FX252" s="239">
        <v>-8848527</v>
      </c>
      <c r="FY252" s="239">
        <v>0</v>
      </c>
      <c r="FZ252" s="239">
        <v>-8848527</v>
      </c>
      <c r="GA252" s="239">
        <v>45617272</v>
      </c>
      <c r="GB252" s="239">
        <v>0</v>
      </c>
      <c r="GC252" s="239">
        <v>45617272</v>
      </c>
      <c r="GD252" s="214" t="s">
        <v>1190</v>
      </c>
    </row>
    <row r="253" spans="2:186" s="214" customFormat="1" x14ac:dyDescent="0.2">
      <c r="B253" s="609" t="s">
        <v>588</v>
      </c>
      <c r="C253" s="609" t="s">
        <v>587</v>
      </c>
      <c r="D253" s="239">
        <v>0</v>
      </c>
      <c r="E253" s="239">
        <v>0</v>
      </c>
      <c r="F253" s="239">
        <v>0</v>
      </c>
      <c r="G253" s="239">
        <v>16343</v>
      </c>
      <c r="H253" s="239">
        <v>0</v>
      </c>
      <c r="I253" s="239">
        <v>16343</v>
      </c>
      <c r="J253" s="239">
        <v>0</v>
      </c>
      <c r="K253" s="239">
        <v>0</v>
      </c>
      <c r="L253" s="239">
        <v>0</v>
      </c>
      <c r="M253" s="239">
        <v>19838</v>
      </c>
      <c r="N253" s="239">
        <v>0</v>
      </c>
      <c r="O253" s="239">
        <v>19838</v>
      </c>
      <c r="P253" s="239">
        <v>36181</v>
      </c>
      <c r="Q253" s="239">
        <v>0</v>
      </c>
      <c r="R253" s="239">
        <v>36181</v>
      </c>
      <c r="S253" s="239">
        <v>-2203612</v>
      </c>
      <c r="T253" s="239">
        <v>0</v>
      </c>
      <c r="U253" s="239">
        <v>-2203612</v>
      </c>
      <c r="V253" s="239">
        <v>-2511</v>
      </c>
      <c r="W253" s="239">
        <v>0</v>
      </c>
      <c r="X253" s="239">
        <v>-2511</v>
      </c>
      <c r="Y253" s="239">
        <v>-125805</v>
      </c>
      <c r="Z253" s="239">
        <v>0</v>
      </c>
      <c r="AA253" s="239">
        <v>-125805</v>
      </c>
      <c r="AB253" s="239">
        <v>-96623</v>
      </c>
      <c r="AC253" s="239">
        <v>0</v>
      </c>
      <c r="AD253" s="239">
        <v>-96623</v>
      </c>
      <c r="AE253" s="239">
        <v>-144</v>
      </c>
      <c r="AF253" s="239">
        <v>0</v>
      </c>
      <c r="AG253" s="239">
        <v>-144</v>
      </c>
      <c r="AH253" s="239">
        <v>556100</v>
      </c>
      <c r="AI253" s="239">
        <v>73938</v>
      </c>
      <c r="AJ253" s="239">
        <v>630038</v>
      </c>
      <c r="AK253" s="239">
        <v>-14241</v>
      </c>
      <c r="AL253" s="239">
        <v>-1872</v>
      </c>
      <c r="AM253" s="239">
        <v>-16113</v>
      </c>
      <c r="AN253" s="239">
        <v>-765416</v>
      </c>
      <c r="AO253" s="239">
        <v>0</v>
      </c>
      <c r="AP253" s="239">
        <v>-765416</v>
      </c>
      <c r="AQ253" s="239">
        <v>9239</v>
      </c>
      <c r="AR253" s="239">
        <v>0</v>
      </c>
      <c r="AS253" s="239">
        <v>9239</v>
      </c>
      <c r="AT253" s="239">
        <v>-21351</v>
      </c>
      <c r="AU253" s="239">
        <v>0</v>
      </c>
      <c r="AV253" s="239">
        <v>-21351</v>
      </c>
      <c r="AW253" s="239">
        <v>0</v>
      </c>
      <c r="AX253" s="239">
        <v>0</v>
      </c>
      <c r="AY253" s="239">
        <v>0</v>
      </c>
      <c r="AZ253" s="239">
        <v>-8671</v>
      </c>
      <c r="BA253" s="239">
        <v>0</v>
      </c>
      <c r="BB253" s="239">
        <v>-8671</v>
      </c>
      <c r="BC253" s="239">
        <v>0</v>
      </c>
      <c r="BD253" s="239">
        <v>0</v>
      </c>
      <c r="BE253" s="239">
        <v>0</v>
      </c>
      <c r="BF253" s="239">
        <v>-2573757</v>
      </c>
      <c r="BG253" s="239">
        <v>72066</v>
      </c>
      <c r="BH253" s="239">
        <v>-2501691</v>
      </c>
      <c r="BI253" s="239">
        <v>0</v>
      </c>
      <c r="BJ253" s="239">
        <v>0</v>
      </c>
      <c r="BK253" s="239">
        <v>0</v>
      </c>
      <c r="BL253" s="239">
        <v>16249</v>
      </c>
      <c r="BM253" s="239">
        <v>0</v>
      </c>
      <c r="BN253" s="239">
        <v>16249</v>
      </c>
      <c r="BO253" s="239">
        <v>-408476</v>
      </c>
      <c r="BP253" s="239">
        <v>0</v>
      </c>
      <c r="BQ253" s="239">
        <v>-408476</v>
      </c>
      <c r="BR253" s="239">
        <v>-204418</v>
      </c>
      <c r="BS253" s="239">
        <v>0</v>
      </c>
      <c r="BT253" s="239">
        <v>-204418</v>
      </c>
      <c r="BU253" s="239">
        <v>-596645</v>
      </c>
      <c r="BV253" s="239">
        <v>0</v>
      </c>
      <c r="BW253" s="239">
        <v>-596645</v>
      </c>
      <c r="BX253" s="239">
        <v>-46939</v>
      </c>
      <c r="BY253" s="239">
        <v>0</v>
      </c>
      <c r="BZ253" s="239">
        <v>-46939</v>
      </c>
      <c r="CA253" s="239">
        <v>-119</v>
      </c>
      <c r="CB253" s="239">
        <v>0</v>
      </c>
      <c r="CC253" s="239">
        <v>-119</v>
      </c>
      <c r="CD253" s="239">
        <v>-243936</v>
      </c>
      <c r="CE253" s="239">
        <v>0</v>
      </c>
      <c r="CF253" s="239">
        <v>-243936</v>
      </c>
      <c r="CG253" s="239">
        <v>-7404</v>
      </c>
      <c r="CH253" s="239">
        <v>0</v>
      </c>
      <c r="CI253" s="239">
        <v>-7404</v>
      </c>
      <c r="CJ253" s="239">
        <v>-4244</v>
      </c>
      <c r="CK253" s="239">
        <v>0</v>
      </c>
      <c r="CL253" s="239">
        <v>-4244</v>
      </c>
      <c r="CM253" s="239">
        <v>0</v>
      </c>
      <c r="CN253" s="239">
        <v>0</v>
      </c>
      <c r="CO253" s="239">
        <v>0</v>
      </c>
      <c r="CP253" s="239">
        <v>-3602</v>
      </c>
      <c r="CQ253" s="239">
        <v>0</v>
      </c>
      <c r="CR253" s="239">
        <v>-3602</v>
      </c>
      <c r="CS253" s="239">
        <v>0</v>
      </c>
      <c r="CT253" s="239">
        <v>0</v>
      </c>
      <c r="CU253" s="239">
        <v>0</v>
      </c>
      <c r="CV253" s="239">
        <v>0</v>
      </c>
      <c r="CW253" s="239">
        <v>0</v>
      </c>
      <c r="CX253" s="239">
        <v>0</v>
      </c>
      <c r="CY253" s="239">
        <v>-293</v>
      </c>
      <c r="CZ253" s="239">
        <v>0</v>
      </c>
      <c r="DA253" s="239">
        <v>-293</v>
      </c>
      <c r="DB253" s="239">
        <v>0</v>
      </c>
      <c r="DC253" s="239">
        <v>-106422</v>
      </c>
      <c r="DD253" s="239">
        <v>-106422</v>
      </c>
      <c r="DE253" s="239">
        <v>0</v>
      </c>
      <c r="DF253" s="239">
        <v>0</v>
      </c>
      <c r="DG253" s="239">
        <v>0</v>
      </c>
      <c r="DH253" s="239">
        <v>-106422</v>
      </c>
      <c r="DI253" s="239">
        <v>0</v>
      </c>
      <c r="DJ253" s="239">
        <v>-306537</v>
      </c>
      <c r="DK253" s="239">
        <v>-106422</v>
      </c>
      <c r="DL253" s="239">
        <v>-412959</v>
      </c>
      <c r="DM253" s="239">
        <v>0</v>
      </c>
      <c r="DN253" s="239">
        <v>0</v>
      </c>
      <c r="DO253" s="239">
        <v>0</v>
      </c>
      <c r="DP253" s="239">
        <v>0</v>
      </c>
      <c r="DQ253" s="239">
        <v>0</v>
      </c>
      <c r="DR253" s="239">
        <v>0</v>
      </c>
      <c r="DS253" s="239">
        <v>0</v>
      </c>
      <c r="DT253" s="239">
        <v>0</v>
      </c>
      <c r="DU253" s="239">
        <v>0</v>
      </c>
      <c r="DV253" s="239">
        <v>0</v>
      </c>
      <c r="DW253" s="239">
        <v>0</v>
      </c>
      <c r="DX253" s="239">
        <v>0</v>
      </c>
      <c r="DY253" s="239">
        <v>0</v>
      </c>
      <c r="DZ253" s="239">
        <v>0</v>
      </c>
      <c r="EA253" s="239">
        <v>0</v>
      </c>
      <c r="EB253" s="239">
        <v>11102</v>
      </c>
      <c r="EC253" s="239">
        <v>0</v>
      </c>
      <c r="ED253" s="239">
        <v>11102</v>
      </c>
      <c r="EE253" s="239">
        <v>0</v>
      </c>
      <c r="EF253" s="239">
        <v>0</v>
      </c>
      <c r="EG253" s="239">
        <v>0</v>
      </c>
      <c r="EH253" s="239">
        <v>0</v>
      </c>
      <c r="EI253" s="239">
        <v>0</v>
      </c>
      <c r="EJ253" s="239">
        <v>0</v>
      </c>
      <c r="EK253" s="239">
        <v>-1693</v>
      </c>
      <c r="EL253" s="239">
        <v>0</v>
      </c>
      <c r="EM253" s="239">
        <v>-1693</v>
      </c>
      <c r="EN253" s="239">
        <v>0</v>
      </c>
      <c r="EO253" s="239">
        <v>0</v>
      </c>
      <c r="EP253" s="239">
        <v>0</v>
      </c>
      <c r="EQ253" s="239">
        <v>9409</v>
      </c>
      <c r="ER253" s="239">
        <v>0</v>
      </c>
      <c r="ES253" s="239">
        <v>9409</v>
      </c>
      <c r="ET253" s="239">
        <v>0</v>
      </c>
      <c r="EU253" s="239">
        <v>0</v>
      </c>
      <c r="EV253" s="239">
        <v>0</v>
      </c>
      <c r="EW253" s="239">
        <v>0</v>
      </c>
      <c r="EX253" s="239">
        <v>0</v>
      </c>
      <c r="EY253" s="239">
        <v>0</v>
      </c>
      <c r="EZ253" s="239">
        <v>0</v>
      </c>
      <c r="FA253" s="239">
        <v>0</v>
      </c>
      <c r="FB253" s="239">
        <v>0</v>
      </c>
      <c r="FC253" s="239">
        <v>25631755</v>
      </c>
      <c r="FD253" s="239">
        <v>2667291</v>
      </c>
      <c r="FE253" s="239">
        <v>28299046</v>
      </c>
      <c r="FF253" s="239">
        <v>36181</v>
      </c>
      <c r="FG253" s="239">
        <v>0</v>
      </c>
      <c r="FH253" s="239">
        <v>36181</v>
      </c>
      <c r="FI253" s="239">
        <v>-2573757</v>
      </c>
      <c r="FJ253" s="239">
        <v>72066</v>
      </c>
      <c r="FK253" s="239">
        <v>-2501691</v>
      </c>
      <c r="FL253" s="239">
        <v>-596645</v>
      </c>
      <c r="FM253" s="239">
        <v>0</v>
      </c>
      <c r="FN253" s="239">
        <v>-596645</v>
      </c>
      <c r="FO253" s="239">
        <v>-306537</v>
      </c>
      <c r="FP253" s="239">
        <v>-106422</v>
      </c>
      <c r="FQ253" s="239">
        <v>-412959</v>
      </c>
      <c r="FR253" s="239">
        <v>9409</v>
      </c>
      <c r="FS253" s="239">
        <v>0</v>
      </c>
      <c r="FT253" s="239">
        <v>9409</v>
      </c>
      <c r="FU253" s="239">
        <v>0</v>
      </c>
      <c r="FV253" s="239">
        <v>0</v>
      </c>
      <c r="FW253" s="239">
        <v>0</v>
      </c>
      <c r="FX253" s="239">
        <v>-3431349</v>
      </c>
      <c r="FY253" s="239">
        <v>-34356</v>
      </c>
      <c r="FZ253" s="239">
        <v>-3465705</v>
      </c>
      <c r="GA253" s="239">
        <v>22200406</v>
      </c>
      <c r="GB253" s="239">
        <v>2632935</v>
      </c>
      <c r="GC253" s="239">
        <v>24833341</v>
      </c>
      <c r="GD253" s="214" t="s">
        <v>1190</v>
      </c>
    </row>
    <row r="254" spans="2:186" s="214" customFormat="1" x14ac:dyDescent="0.2">
      <c r="B254" s="609" t="s">
        <v>590</v>
      </c>
      <c r="C254" s="609" t="s">
        <v>589</v>
      </c>
      <c r="D254" s="239">
        <v>0</v>
      </c>
      <c r="E254" s="239">
        <v>0</v>
      </c>
      <c r="F254" s="239">
        <v>0</v>
      </c>
      <c r="G254" s="239">
        <v>35890</v>
      </c>
      <c r="H254" s="239">
        <v>0</v>
      </c>
      <c r="I254" s="239">
        <v>35890</v>
      </c>
      <c r="J254" s="239">
        <v>0</v>
      </c>
      <c r="K254" s="239">
        <v>0</v>
      </c>
      <c r="L254" s="239">
        <v>0</v>
      </c>
      <c r="M254" s="239">
        <v>-1676</v>
      </c>
      <c r="N254" s="239">
        <v>0</v>
      </c>
      <c r="O254" s="239">
        <v>-1676</v>
      </c>
      <c r="P254" s="239">
        <v>34214</v>
      </c>
      <c r="Q254" s="239">
        <v>0</v>
      </c>
      <c r="R254" s="239">
        <v>34214</v>
      </c>
      <c r="S254" s="239">
        <v>-2835536</v>
      </c>
      <c r="T254" s="239">
        <v>0</v>
      </c>
      <c r="U254" s="239">
        <v>-2835536</v>
      </c>
      <c r="V254" s="239">
        <v>-12236</v>
      </c>
      <c r="W254" s="239">
        <v>0</v>
      </c>
      <c r="X254" s="239">
        <v>-12236</v>
      </c>
      <c r="Y254" s="239">
        <v>-27695</v>
      </c>
      <c r="Z254" s="239">
        <v>0</v>
      </c>
      <c r="AA254" s="239">
        <v>-27695</v>
      </c>
      <c r="AB254" s="239">
        <v>-27695</v>
      </c>
      <c r="AC254" s="239">
        <v>0</v>
      </c>
      <c r="AD254" s="239">
        <v>-27695</v>
      </c>
      <c r="AE254" s="239">
        <v>0</v>
      </c>
      <c r="AF254" s="239">
        <v>0</v>
      </c>
      <c r="AG254" s="239">
        <v>0</v>
      </c>
      <c r="AH254" s="239">
        <v>859125</v>
      </c>
      <c r="AI254" s="239">
        <v>0</v>
      </c>
      <c r="AJ254" s="239">
        <v>859125</v>
      </c>
      <c r="AK254" s="239">
        <v>-9333</v>
      </c>
      <c r="AL254" s="239">
        <v>0</v>
      </c>
      <c r="AM254" s="239">
        <v>-9333</v>
      </c>
      <c r="AN254" s="239">
        <v>-1910352</v>
      </c>
      <c r="AO254" s="239">
        <v>0</v>
      </c>
      <c r="AP254" s="239">
        <v>-1910352</v>
      </c>
      <c r="AQ254" s="239">
        <v>7572</v>
      </c>
      <c r="AR254" s="239">
        <v>0</v>
      </c>
      <c r="AS254" s="239">
        <v>7572</v>
      </c>
      <c r="AT254" s="239">
        <v>-60572</v>
      </c>
      <c r="AU254" s="239">
        <v>0</v>
      </c>
      <c r="AV254" s="239">
        <v>-60572</v>
      </c>
      <c r="AW254" s="239">
        <v>-3708</v>
      </c>
      <c r="AX254" s="239">
        <v>0</v>
      </c>
      <c r="AY254" s="239">
        <v>-3708</v>
      </c>
      <c r="AZ254" s="239">
        <v>0</v>
      </c>
      <c r="BA254" s="239">
        <v>0</v>
      </c>
      <c r="BB254" s="239">
        <v>0</v>
      </c>
      <c r="BC254" s="239">
        <v>0</v>
      </c>
      <c r="BD254" s="239">
        <v>0</v>
      </c>
      <c r="BE254" s="239">
        <v>0</v>
      </c>
      <c r="BF254" s="239">
        <v>-3980499</v>
      </c>
      <c r="BG254" s="239">
        <v>0</v>
      </c>
      <c r="BH254" s="239">
        <v>-3980499</v>
      </c>
      <c r="BI254" s="239">
        <v>-15848</v>
      </c>
      <c r="BJ254" s="239">
        <v>0</v>
      </c>
      <c r="BK254" s="239">
        <v>-15848</v>
      </c>
      <c r="BL254" s="239">
        <v>758</v>
      </c>
      <c r="BM254" s="239">
        <v>0</v>
      </c>
      <c r="BN254" s="239">
        <v>758</v>
      </c>
      <c r="BO254" s="239">
        <v>-1819578</v>
      </c>
      <c r="BP254" s="239">
        <v>0</v>
      </c>
      <c r="BQ254" s="239">
        <v>-1819578</v>
      </c>
      <c r="BR254" s="239">
        <v>-117309</v>
      </c>
      <c r="BS254" s="239">
        <v>0</v>
      </c>
      <c r="BT254" s="239">
        <v>-117309</v>
      </c>
      <c r="BU254" s="239">
        <v>-1951977</v>
      </c>
      <c r="BV254" s="239">
        <v>0</v>
      </c>
      <c r="BW254" s="239">
        <v>-1951977</v>
      </c>
      <c r="BX254" s="239">
        <v>-3738</v>
      </c>
      <c r="BY254" s="239">
        <v>0</v>
      </c>
      <c r="BZ254" s="239">
        <v>-3738</v>
      </c>
      <c r="CA254" s="239">
        <v>1191</v>
      </c>
      <c r="CB254" s="239">
        <v>0</v>
      </c>
      <c r="CC254" s="239">
        <v>1191</v>
      </c>
      <c r="CD254" s="239">
        <v>-77557</v>
      </c>
      <c r="CE254" s="239">
        <v>0</v>
      </c>
      <c r="CF254" s="239">
        <v>-77557</v>
      </c>
      <c r="CG254" s="239">
        <v>7848</v>
      </c>
      <c r="CH254" s="239">
        <v>0</v>
      </c>
      <c r="CI254" s="239">
        <v>7848</v>
      </c>
      <c r="CJ254" s="239">
        <v>0</v>
      </c>
      <c r="CK254" s="239">
        <v>0</v>
      </c>
      <c r="CL254" s="239">
        <v>0</v>
      </c>
      <c r="CM254" s="239">
        <v>-309</v>
      </c>
      <c r="CN254" s="239">
        <v>0</v>
      </c>
      <c r="CO254" s="239">
        <v>-309</v>
      </c>
      <c r="CP254" s="239">
        <v>0</v>
      </c>
      <c r="CQ254" s="239">
        <v>0</v>
      </c>
      <c r="CR254" s="239">
        <v>0</v>
      </c>
      <c r="CS254" s="239">
        <v>0</v>
      </c>
      <c r="CT254" s="239">
        <v>0</v>
      </c>
      <c r="CU254" s="239">
        <v>0</v>
      </c>
      <c r="CV254" s="239">
        <v>0</v>
      </c>
      <c r="CW254" s="239">
        <v>0</v>
      </c>
      <c r="CX254" s="239">
        <v>0</v>
      </c>
      <c r="CY254" s="239">
        <v>0</v>
      </c>
      <c r="CZ254" s="239">
        <v>0</v>
      </c>
      <c r="DA254" s="239">
        <v>0</v>
      </c>
      <c r="DB254" s="239">
        <v>0</v>
      </c>
      <c r="DC254" s="239">
        <v>0</v>
      </c>
      <c r="DD254" s="239">
        <v>0</v>
      </c>
      <c r="DE254" s="239">
        <v>0</v>
      </c>
      <c r="DF254" s="239">
        <v>0</v>
      </c>
      <c r="DG254" s="239">
        <v>0</v>
      </c>
      <c r="DH254" s="239">
        <v>0</v>
      </c>
      <c r="DI254" s="239">
        <v>0</v>
      </c>
      <c r="DJ254" s="239">
        <v>-72565</v>
      </c>
      <c r="DK254" s="239">
        <v>0</v>
      </c>
      <c r="DL254" s="239">
        <v>-72565</v>
      </c>
      <c r="DM254" s="239">
        <v>0</v>
      </c>
      <c r="DN254" s="239">
        <v>0</v>
      </c>
      <c r="DO254" s="239">
        <v>0</v>
      </c>
      <c r="DP254" s="239">
        <v>0</v>
      </c>
      <c r="DQ254" s="239">
        <v>0</v>
      </c>
      <c r="DR254" s="239">
        <v>0</v>
      </c>
      <c r="DS254" s="239">
        <v>-17698</v>
      </c>
      <c r="DT254" s="239">
        <v>0</v>
      </c>
      <c r="DU254" s="239">
        <v>-17698</v>
      </c>
      <c r="DV254" s="239">
        <v>-10771</v>
      </c>
      <c r="DW254" s="239">
        <v>0</v>
      </c>
      <c r="DX254" s="239">
        <v>-10771</v>
      </c>
      <c r="DY254" s="239">
        <v>0</v>
      </c>
      <c r="DZ254" s="239">
        <v>0</v>
      </c>
      <c r="EA254" s="239">
        <v>0</v>
      </c>
      <c r="EB254" s="239">
        <v>-4554</v>
      </c>
      <c r="EC254" s="239">
        <v>0</v>
      </c>
      <c r="ED254" s="239">
        <v>-4554</v>
      </c>
      <c r="EE254" s="239">
        <v>0</v>
      </c>
      <c r="EF254" s="239">
        <v>0</v>
      </c>
      <c r="EG254" s="239">
        <v>0</v>
      </c>
      <c r="EH254" s="239">
        <v>0</v>
      </c>
      <c r="EI254" s="239">
        <v>0</v>
      </c>
      <c r="EJ254" s="239">
        <v>0</v>
      </c>
      <c r="EK254" s="239">
        <v>0</v>
      </c>
      <c r="EL254" s="239">
        <v>0</v>
      </c>
      <c r="EM254" s="239">
        <v>0</v>
      </c>
      <c r="EN254" s="239">
        <v>0</v>
      </c>
      <c r="EO254" s="239">
        <v>0</v>
      </c>
      <c r="EP254" s="239">
        <v>0</v>
      </c>
      <c r="EQ254" s="239">
        <v>-33023</v>
      </c>
      <c r="ER254" s="239">
        <v>0</v>
      </c>
      <c r="ES254" s="239">
        <v>-33023</v>
      </c>
      <c r="ET254" s="239">
        <v>0</v>
      </c>
      <c r="EU254" s="239">
        <v>0</v>
      </c>
      <c r="EV254" s="239">
        <v>0</v>
      </c>
      <c r="EW254" s="239">
        <v>0</v>
      </c>
      <c r="EX254" s="239">
        <v>0</v>
      </c>
      <c r="EY254" s="239">
        <v>0</v>
      </c>
      <c r="EZ254" s="239">
        <v>0</v>
      </c>
      <c r="FA254" s="239">
        <v>0</v>
      </c>
      <c r="FB254" s="239">
        <v>0</v>
      </c>
      <c r="FC254" s="239">
        <v>37583580</v>
      </c>
      <c r="FD254" s="239">
        <v>0</v>
      </c>
      <c r="FE254" s="239">
        <v>37583580</v>
      </c>
      <c r="FF254" s="239">
        <v>34214</v>
      </c>
      <c r="FG254" s="239">
        <v>0</v>
      </c>
      <c r="FH254" s="239">
        <v>34214</v>
      </c>
      <c r="FI254" s="239">
        <v>-3980499</v>
      </c>
      <c r="FJ254" s="239">
        <v>0</v>
      </c>
      <c r="FK254" s="239">
        <v>-3980499</v>
      </c>
      <c r="FL254" s="239">
        <v>-1951977</v>
      </c>
      <c r="FM254" s="239">
        <v>0</v>
      </c>
      <c r="FN254" s="239">
        <v>-1951977</v>
      </c>
      <c r="FO254" s="239">
        <v>-72565</v>
      </c>
      <c r="FP254" s="239">
        <v>0</v>
      </c>
      <c r="FQ254" s="239">
        <v>-72565</v>
      </c>
      <c r="FR254" s="239">
        <v>-33023</v>
      </c>
      <c r="FS254" s="239">
        <v>0</v>
      </c>
      <c r="FT254" s="239">
        <v>-33023</v>
      </c>
      <c r="FU254" s="239">
        <v>0</v>
      </c>
      <c r="FV254" s="239">
        <v>0</v>
      </c>
      <c r="FW254" s="239">
        <v>0</v>
      </c>
      <c r="FX254" s="239">
        <v>-6003850</v>
      </c>
      <c r="FY254" s="239">
        <v>0</v>
      </c>
      <c r="FZ254" s="239">
        <v>-6003850</v>
      </c>
      <c r="GA254" s="239">
        <v>31579730</v>
      </c>
      <c r="GB254" s="239">
        <v>0</v>
      </c>
      <c r="GC254" s="239">
        <v>31579730</v>
      </c>
      <c r="GD254" s="214" t="s">
        <v>1192</v>
      </c>
    </row>
    <row r="255" spans="2:186" s="214" customFormat="1" x14ac:dyDescent="0.2">
      <c r="B255" s="609" t="s">
        <v>592</v>
      </c>
      <c r="C255" s="609" t="s">
        <v>591</v>
      </c>
      <c r="D255" s="239">
        <v>0</v>
      </c>
      <c r="E255" s="239">
        <v>0</v>
      </c>
      <c r="F255" s="239">
        <v>0</v>
      </c>
      <c r="G255" s="239">
        <v>183954</v>
      </c>
      <c r="H255" s="239">
        <v>0</v>
      </c>
      <c r="I255" s="239">
        <v>183954</v>
      </c>
      <c r="J255" s="239">
        <v>0</v>
      </c>
      <c r="K255" s="239">
        <v>0</v>
      </c>
      <c r="L255" s="239">
        <v>0</v>
      </c>
      <c r="M255" s="239">
        <v>-402041</v>
      </c>
      <c r="N255" s="239">
        <v>0</v>
      </c>
      <c r="O255" s="239">
        <v>-402041</v>
      </c>
      <c r="P255" s="239">
        <v>-218087</v>
      </c>
      <c r="Q255" s="239">
        <v>0</v>
      </c>
      <c r="R255" s="239">
        <v>-218087</v>
      </c>
      <c r="S255" s="239">
        <v>-3633635</v>
      </c>
      <c r="T255" s="239">
        <v>0</v>
      </c>
      <c r="U255" s="239">
        <v>-3633635</v>
      </c>
      <c r="V255" s="239">
        <v>-18387</v>
      </c>
      <c r="W255" s="239">
        <v>0</v>
      </c>
      <c r="X255" s="239">
        <v>-18387</v>
      </c>
      <c r="Y255" s="239">
        <v>-94948</v>
      </c>
      <c r="Z255" s="239">
        <v>0</v>
      </c>
      <c r="AA255" s="239">
        <v>-94948</v>
      </c>
      <c r="AB255" s="239">
        <v>-74763</v>
      </c>
      <c r="AC255" s="239">
        <v>0</v>
      </c>
      <c r="AD255" s="239">
        <v>-74763</v>
      </c>
      <c r="AE255" s="239">
        <v>8328</v>
      </c>
      <c r="AF255" s="239">
        <v>0</v>
      </c>
      <c r="AG255" s="239">
        <v>8328</v>
      </c>
      <c r="AH255" s="239">
        <v>2938720</v>
      </c>
      <c r="AI255" s="239">
        <v>0</v>
      </c>
      <c r="AJ255" s="239">
        <v>2938720</v>
      </c>
      <c r="AK255" s="239">
        <v>-55419</v>
      </c>
      <c r="AL255" s="239">
        <v>0</v>
      </c>
      <c r="AM255" s="239">
        <v>-55419</v>
      </c>
      <c r="AN255" s="239">
        <v>-9377492</v>
      </c>
      <c r="AO255" s="239">
        <v>0</v>
      </c>
      <c r="AP255" s="239">
        <v>-9377492</v>
      </c>
      <c r="AQ255" s="239">
        <v>51572</v>
      </c>
      <c r="AR255" s="239">
        <v>0</v>
      </c>
      <c r="AS255" s="239">
        <v>51572</v>
      </c>
      <c r="AT255" s="239">
        <v>-52676</v>
      </c>
      <c r="AU255" s="239">
        <v>0</v>
      </c>
      <c r="AV255" s="239">
        <v>-52676</v>
      </c>
      <c r="AW255" s="239">
        <v>0</v>
      </c>
      <c r="AX255" s="239">
        <v>0</v>
      </c>
      <c r="AY255" s="239">
        <v>0</v>
      </c>
      <c r="AZ255" s="239">
        <v>0</v>
      </c>
      <c r="BA255" s="239">
        <v>0</v>
      </c>
      <c r="BB255" s="239">
        <v>0</v>
      </c>
      <c r="BC255" s="239">
        <v>0</v>
      </c>
      <c r="BD255" s="239">
        <v>0</v>
      </c>
      <c r="BE255" s="239">
        <v>0</v>
      </c>
      <c r="BF255" s="239">
        <v>-10223878</v>
      </c>
      <c r="BG255" s="239">
        <v>0</v>
      </c>
      <c r="BH255" s="239">
        <v>-10223878</v>
      </c>
      <c r="BI255" s="239">
        <v>-23086</v>
      </c>
      <c r="BJ255" s="239">
        <v>0</v>
      </c>
      <c r="BK255" s="239">
        <v>-23086</v>
      </c>
      <c r="BL255" s="239">
        <v>43499</v>
      </c>
      <c r="BM255" s="239">
        <v>0</v>
      </c>
      <c r="BN255" s="239">
        <v>43499</v>
      </c>
      <c r="BO255" s="239">
        <v>-3186236</v>
      </c>
      <c r="BP255" s="239">
        <v>0</v>
      </c>
      <c r="BQ255" s="239">
        <v>-3186236</v>
      </c>
      <c r="BR255" s="239">
        <v>106944</v>
      </c>
      <c r="BS255" s="239">
        <v>0</v>
      </c>
      <c r="BT255" s="239">
        <v>106944</v>
      </c>
      <c r="BU255" s="239">
        <v>-3058879</v>
      </c>
      <c r="BV255" s="239">
        <v>0</v>
      </c>
      <c r="BW255" s="239">
        <v>-3058879</v>
      </c>
      <c r="BX255" s="239">
        <v>-1174</v>
      </c>
      <c r="BY255" s="239">
        <v>0</v>
      </c>
      <c r="BZ255" s="239">
        <v>-1174</v>
      </c>
      <c r="CA255" s="239">
        <v>0</v>
      </c>
      <c r="CB255" s="239">
        <v>0</v>
      </c>
      <c r="CC255" s="239">
        <v>0</v>
      </c>
      <c r="CD255" s="239">
        <v>-115712</v>
      </c>
      <c r="CE255" s="239">
        <v>0</v>
      </c>
      <c r="CF255" s="239">
        <v>-115712</v>
      </c>
      <c r="CG255" s="239">
        <v>302</v>
      </c>
      <c r="CH255" s="239">
        <v>0</v>
      </c>
      <c r="CI255" s="239">
        <v>302</v>
      </c>
      <c r="CJ255" s="239">
        <v>0</v>
      </c>
      <c r="CK255" s="239">
        <v>0</v>
      </c>
      <c r="CL255" s="239">
        <v>0</v>
      </c>
      <c r="CM255" s="239">
        <v>0</v>
      </c>
      <c r="CN255" s="239">
        <v>0</v>
      </c>
      <c r="CO255" s="239">
        <v>0</v>
      </c>
      <c r="CP255" s="239">
        <v>0</v>
      </c>
      <c r="CQ255" s="239">
        <v>0</v>
      </c>
      <c r="CR255" s="239">
        <v>0</v>
      </c>
      <c r="CS255" s="239">
        <v>0</v>
      </c>
      <c r="CT255" s="239">
        <v>0</v>
      </c>
      <c r="CU255" s="239">
        <v>0</v>
      </c>
      <c r="CV255" s="239">
        <v>0</v>
      </c>
      <c r="CW255" s="239">
        <v>0</v>
      </c>
      <c r="CX255" s="239">
        <v>0</v>
      </c>
      <c r="CY255" s="239">
        <v>0</v>
      </c>
      <c r="CZ255" s="239">
        <v>0</v>
      </c>
      <c r="DA255" s="239">
        <v>0</v>
      </c>
      <c r="DB255" s="239">
        <v>0</v>
      </c>
      <c r="DC255" s="239">
        <v>0</v>
      </c>
      <c r="DD255" s="239">
        <v>0</v>
      </c>
      <c r="DE255" s="239">
        <v>0</v>
      </c>
      <c r="DF255" s="239">
        <v>0</v>
      </c>
      <c r="DG255" s="239">
        <v>0</v>
      </c>
      <c r="DH255" s="239">
        <v>0</v>
      </c>
      <c r="DI255" s="239">
        <v>0</v>
      </c>
      <c r="DJ255" s="239">
        <v>-116584</v>
      </c>
      <c r="DK255" s="239">
        <v>0</v>
      </c>
      <c r="DL255" s="239">
        <v>-116584</v>
      </c>
      <c r="DM255" s="239">
        <v>-17881</v>
      </c>
      <c r="DN255" s="239">
        <v>0</v>
      </c>
      <c r="DO255" s="239">
        <v>-17881</v>
      </c>
      <c r="DP255" s="239">
        <v>0</v>
      </c>
      <c r="DQ255" s="239">
        <v>0</v>
      </c>
      <c r="DR255" s="239">
        <v>0</v>
      </c>
      <c r="DS255" s="239">
        <v>-58783</v>
      </c>
      <c r="DT255" s="239">
        <v>0</v>
      </c>
      <c r="DU255" s="239">
        <v>-58783</v>
      </c>
      <c r="DV255" s="239">
        <v>-13187</v>
      </c>
      <c r="DW255" s="239">
        <v>0</v>
      </c>
      <c r="DX255" s="239">
        <v>-13187</v>
      </c>
      <c r="DY255" s="239">
        <v>0</v>
      </c>
      <c r="DZ255" s="239">
        <v>0</v>
      </c>
      <c r="EA255" s="239">
        <v>0</v>
      </c>
      <c r="EB255" s="239">
        <v>11710</v>
      </c>
      <c r="EC255" s="239">
        <v>0</v>
      </c>
      <c r="ED255" s="239">
        <v>11710</v>
      </c>
      <c r="EE255" s="239">
        <v>0</v>
      </c>
      <c r="EF255" s="239">
        <v>0</v>
      </c>
      <c r="EG255" s="239">
        <v>0</v>
      </c>
      <c r="EH255" s="239">
        <v>0</v>
      </c>
      <c r="EI255" s="239">
        <v>0</v>
      </c>
      <c r="EJ255" s="239">
        <v>0</v>
      </c>
      <c r="EK255" s="239">
        <v>-8605</v>
      </c>
      <c r="EL255" s="239">
        <v>0</v>
      </c>
      <c r="EM255" s="239">
        <v>-8605</v>
      </c>
      <c r="EN255" s="239">
        <v>366</v>
      </c>
      <c r="EO255" s="239">
        <v>0</v>
      </c>
      <c r="EP255" s="239">
        <v>366</v>
      </c>
      <c r="EQ255" s="239">
        <v>-86380</v>
      </c>
      <c r="ER255" s="239">
        <v>0</v>
      </c>
      <c r="ES255" s="239">
        <v>-86380</v>
      </c>
      <c r="ET255" s="239">
        <v>0</v>
      </c>
      <c r="EU255" s="239">
        <v>0</v>
      </c>
      <c r="EV255" s="239">
        <v>0</v>
      </c>
      <c r="EW255" s="239">
        <v>0</v>
      </c>
      <c r="EX255" s="239">
        <v>0</v>
      </c>
      <c r="EY255" s="239">
        <v>0</v>
      </c>
      <c r="EZ255" s="239">
        <v>0</v>
      </c>
      <c r="FA255" s="239">
        <v>0</v>
      </c>
      <c r="FB255" s="239">
        <v>0</v>
      </c>
      <c r="FC255" s="239">
        <v>119396513</v>
      </c>
      <c r="FD255" s="239">
        <v>0</v>
      </c>
      <c r="FE255" s="239">
        <v>119396513</v>
      </c>
      <c r="FF255" s="239">
        <v>-218087</v>
      </c>
      <c r="FG255" s="239">
        <v>0</v>
      </c>
      <c r="FH255" s="239">
        <v>-218087</v>
      </c>
      <c r="FI255" s="239">
        <v>-10223878</v>
      </c>
      <c r="FJ255" s="239">
        <v>0</v>
      </c>
      <c r="FK255" s="239">
        <v>-10223878</v>
      </c>
      <c r="FL255" s="239">
        <v>-3058879</v>
      </c>
      <c r="FM255" s="239">
        <v>0</v>
      </c>
      <c r="FN255" s="239">
        <v>-3058879</v>
      </c>
      <c r="FO255" s="239">
        <v>-116584</v>
      </c>
      <c r="FP255" s="239">
        <v>0</v>
      </c>
      <c r="FQ255" s="239">
        <v>-116584</v>
      </c>
      <c r="FR255" s="239">
        <v>-86380</v>
      </c>
      <c r="FS255" s="239">
        <v>0</v>
      </c>
      <c r="FT255" s="239">
        <v>-86380</v>
      </c>
      <c r="FU255" s="239">
        <v>0</v>
      </c>
      <c r="FV255" s="239">
        <v>0</v>
      </c>
      <c r="FW255" s="239">
        <v>0</v>
      </c>
      <c r="FX255" s="239">
        <v>-13703808</v>
      </c>
      <c r="FY255" s="239">
        <v>0</v>
      </c>
      <c r="FZ255" s="239">
        <v>-13703808</v>
      </c>
      <c r="GA255" s="239">
        <v>105692705</v>
      </c>
      <c r="GB255" s="239">
        <v>0</v>
      </c>
      <c r="GC255" s="239">
        <v>105692705</v>
      </c>
      <c r="GD255" s="214" t="s">
        <v>747</v>
      </c>
    </row>
    <row r="256" spans="2:186" s="214" customFormat="1" x14ac:dyDescent="0.2">
      <c r="B256" s="609" t="s">
        <v>594</v>
      </c>
      <c r="C256" s="609" t="s">
        <v>593</v>
      </c>
      <c r="D256" s="239">
        <v>0</v>
      </c>
      <c r="E256" s="239">
        <v>0</v>
      </c>
      <c r="F256" s="239">
        <v>0</v>
      </c>
      <c r="G256" s="239">
        <v>14393</v>
      </c>
      <c r="H256" s="239">
        <v>0</v>
      </c>
      <c r="I256" s="239">
        <v>14393</v>
      </c>
      <c r="J256" s="239">
        <v>0</v>
      </c>
      <c r="K256" s="239">
        <v>0</v>
      </c>
      <c r="L256" s="239">
        <v>0</v>
      </c>
      <c r="M256" s="239">
        <v>54541</v>
      </c>
      <c r="N256" s="239">
        <v>0</v>
      </c>
      <c r="O256" s="239">
        <v>54541</v>
      </c>
      <c r="P256" s="239">
        <v>68934</v>
      </c>
      <c r="Q256" s="239">
        <v>0</v>
      </c>
      <c r="R256" s="239">
        <v>68934</v>
      </c>
      <c r="S256" s="239">
        <v>-4963352</v>
      </c>
      <c r="T256" s="239">
        <v>0</v>
      </c>
      <c r="U256" s="239">
        <v>-4963352</v>
      </c>
      <c r="V256" s="239">
        <v>-26721</v>
      </c>
      <c r="W256" s="239">
        <v>0</v>
      </c>
      <c r="X256" s="239">
        <v>-26721</v>
      </c>
      <c r="Y256" s="239">
        <v>36893</v>
      </c>
      <c r="Z256" s="239">
        <v>0</v>
      </c>
      <c r="AA256" s="239">
        <v>36893</v>
      </c>
      <c r="AB256" s="239">
        <v>29782</v>
      </c>
      <c r="AC256" s="239">
        <v>0</v>
      </c>
      <c r="AD256" s="239">
        <v>29782</v>
      </c>
      <c r="AE256" s="239">
        <v>-5594</v>
      </c>
      <c r="AF256" s="239">
        <v>0</v>
      </c>
      <c r="AG256" s="239">
        <v>-5594</v>
      </c>
      <c r="AH256" s="239">
        <v>1246916</v>
      </c>
      <c r="AI256" s="239">
        <v>0</v>
      </c>
      <c r="AJ256" s="239">
        <v>1246916</v>
      </c>
      <c r="AK256" s="239">
        <v>12863</v>
      </c>
      <c r="AL256" s="239">
        <v>0</v>
      </c>
      <c r="AM256" s="239">
        <v>12863</v>
      </c>
      <c r="AN256" s="239">
        <v>-4345751</v>
      </c>
      <c r="AO256" s="239">
        <v>0</v>
      </c>
      <c r="AP256" s="239">
        <v>-4345751</v>
      </c>
      <c r="AQ256" s="239">
        <v>-17213</v>
      </c>
      <c r="AR256" s="239">
        <v>0</v>
      </c>
      <c r="AS256" s="239">
        <v>-17213</v>
      </c>
      <c r="AT256" s="239">
        <v>-53744</v>
      </c>
      <c r="AU256" s="239">
        <v>0</v>
      </c>
      <c r="AV256" s="239">
        <v>-53744</v>
      </c>
      <c r="AW256" s="239">
        <v>0</v>
      </c>
      <c r="AX256" s="239">
        <v>0</v>
      </c>
      <c r="AY256" s="239">
        <v>0</v>
      </c>
      <c r="AZ256" s="239">
        <v>0</v>
      </c>
      <c r="BA256" s="239">
        <v>0</v>
      </c>
      <c r="BB256" s="239">
        <v>0</v>
      </c>
      <c r="BC256" s="239">
        <v>0</v>
      </c>
      <c r="BD256" s="239">
        <v>0</v>
      </c>
      <c r="BE256" s="239">
        <v>0</v>
      </c>
      <c r="BF256" s="239">
        <v>-8083388</v>
      </c>
      <c r="BG256" s="239">
        <v>0</v>
      </c>
      <c r="BH256" s="239">
        <v>-8083388</v>
      </c>
      <c r="BI256" s="239">
        <v>-13343</v>
      </c>
      <c r="BJ256" s="239">
        <v>0</v>
      </c>
      <c r="BK256" s="239">
        <v>-13343</v>
      </c>
      <c r="BL256" s="239">
        <v>12211</v>
      </c>
      <c r="BM256" s="239">
        <v>0</v>
      </c>
      <c r="BN256" s="239">
        <v>12211</v>
      </c>
      <c r="BO256" s="239">
        <v>-1740435</v>
      </c>
      <c r="BP256" s="239">
        <v>0</v>
      </c>
      <c r="BQ256" s="239">
        <v>-1740435</v>
      </c>
      <c r="BR256" s="239">
        <v>87469</v>
      </c>
      <c r="BS256" s="239">
        <v>0</v>
      </c>
      <c r="BT256" s="239">
        <v>87469</v>
      </c>
      <c r="BU256" s="239">
        <v>-1654098</v>
      </c>
      <c r="BV256" s="239">
        <v>0</v>
      </c>
      <c r="BW256" s="239">
        <v>-1654098</v>
      </c>
      <c r="BX256" s="239">
        <v>-72706</v>
      </c>
      <c r="BY256" s="239">
        <v>0</v>
      </c>
      <c r="BZ256" s="239">
        <v>-72706</v>
      </c>
      <c r="CA256" s="239">
        <v>-19</v>
      </c>
      <c r="CB256" s="239">
        <v>0</v>
      </c>
      <c r="CC256" s="239">
        <v>-19</v>
      </c>
      <c r="CD256" s="239">
        <v>-35468</v>
      </c>
      <c r="CE256" s="239">
        <v>0</v>
      </c>
      <c r="CF256" s="239">
        <v>-35468</v>
      </c>
      <c r="CG256" s="239">
        <v>-18610</v>
      </c>
      <c r="CH256" s="239">
        <v>0</v>
      </c>
      <c r="CI256" s="239">
        <v>-18610</v>
      </c>
      <c r="CJ256" s="239">
        <v>-3827</v>
      </c>
      <c r="CK256" s="239">
        <v>0</v>
      </c>
      <c r="CL256" s="239">
        <v>-3827</v>
      </c>
      <c r="CM256" s="239">
        <v>0</v>
      </c>
      <c r="CN256" s="239">
        <v>0</v>
      </c>
      <c r="CO256" s="239">
        <v>0</v>
      </c>
      <c r="CP256" s="239">
        <v>0</v>
      </c>
      <c r="CQ256" s="239">
        <v>0</v>
      </c>
      <c r="CR256" s="239">
        <v>0</v>
      </c>
      <c r="CS256" s="239">
        <v>0</v>
      </c>
      <c r="CT256" s="239">
        <v>0</v>
      </c>
      <c r="CU256" s="239">
        <v>0</v>
      </c>
      <c r="CV256" s="239">
        <v>0</v>
      </c>
      <c r="CW256" s="239">
        <v>0</v>
      </c>
      <c r="CX256" s="239">
        <v>0</v>
      </c>
      <c r="CY256" s="239">
        <v>0</v>
      </c>
      <c r="CZ256" s="239">
        <v>0</v>
      </c>
      <c r="DA256" s="239">
        <v>0</v>
      </c>
      <c r="DB256" s="239">
        <v>0</v>
      </c>
      <c r="DC256" s="239">
        <v>0</v>
      </c>
      <c r="DD256" s="239">
        <v>0</v>
      </c>
      <c r="DE256" s="239">
        <v>0</v>
      </c>
      <c r="DF256" s="239">
        <v>0</v>
      </c>
      <c r="DG256" s="239">
        <v>0</v>
      </c>
      <c r="DH256" s="239">
        <v>0</v>
      </c>
      <c r="DI256" s="239">
        <v>0</v>
      </c>
      <c r="DJ256" s="239">
        <v>-130630</v>
      </c>
      <c r="DK256" s="239">
        <v>0</v>
      </c>
      <c r="DL256" s="239">
        <v>-130630</v>
      </c>
      <c r="DM256" s="239">
        <v>-18016</v>
      </c>
      <c r="DN256" s="239">
        <v>0</v>
      </c>
      <c r="DO256" s="239">
        <v>-18016</v>
      </c>
      <c r="DP256" s="239">
        <v>15246</v>
      </c>
      <c r="DQ256" s="239">
        <v>0</v>
      </c>
      <c r="DR256" s="239">
        <v>15246</v>
      </c>
      <c r="DS256" s="239">
        <v>-35080</v>
      </c>
      <c r="DT256" s="239">
        <v>0</v>
      </c>
      <c r="DU256" s="239">
        <v>-35080</v>
      </c>
      <c r="DV256" s="239">
        <v>-7319</v>
      </c>
      <c r="DW256" s="239">
        <v>0</v>
      </c>
      <c r="DX256" s="239">
        <v>-7319</v>
      </c>
      <c r="DY256" s="239">
        <v>0</v>
      </c>
      <c r="DZ256" s="239">
        <v>0</v>
      </c>
      <c r="EA256" s="239">
        <v>0</v>
      </c>
      <c r="EB256" s="239">
        <v>-12027</v>
      </c>
      <c r="EC256" s="239">
        <v>0</v>
      </c>
      <c r="ED256" s="239">
        <v>-12027</v>
      </c>
      <c r="EE256" s="239">
        <v>0</v>
      </c>
      <c r="EF256" s="239">
        <v>0</v>
      </c>
      <c r="EG256" s="239">
        <v>0</v>
      </c>
      <c r="EH256" s="239">
        <v>0</v>
      </c>
      <c r="EI256" s="239">
        <v>0</v>
      </c>
      <c r="EJ256" s="239">
        <v>0</v>
      </c>
      <c r="EK256" s="239">
        <v>-3513</v>
      </c>
      <c r="EL256" s="239">
        <v>0</v>
      </c>
      <c r="EM256" s="239">
        <v>-3513</v>
      </c>
      <c r="EN256" s="239">
        <v>0</v>
      </c>
      <c r="EO256" s="239">
        <v>0</v>
      </c>
      <c r="EP256" s="239">
        <v>0</v>
      </c>
      <c r="EQ256" s="239">
        <v>-60709</v>
      </c>
      <c r="ER256" s="239">
        <v>0</v>
      </c>
      <c r="ES256" s="239">
        <v>-60709</v>
      </c>
      <c r="ET256" s="239">
        <v>0</v>
      </c>
      <c r="EU256" s="239">
        <v>0</v>
      </c>
      <c r="EV256" s="239">
        <v>0</v>
      </c>
      <c r="EW256" s="239">
        <v>0</v>
      </c>
      <c r="EX256" s="239">
        <v>0</v>
      </c>
      <c r="EY256" s="239">
        <v>0</v>
      </c>
      <c r="EZ256" s="239">
        <v>0</v>
      </c>
      <c r="FA256" s="239">
        <v>0</v>
      </c>
      <c r="FB256" s="239">
        <v>0</v>
      </c>
      <c r="FC256" s="239">
        <v>58051824</v>
      </c>
      <c r="FD256" s="239">
        <v>0</v>
      </c>
      <c r="FE256" s="239">
        <v>58051824</v>
      </c>
      <c r="FF256" s="239">
        <v>68934</v>
      </c>
      <c r="FG256" s="239">
        <v>0</v>
      </c>
      <c r="FH256" s="239">
        <v>68934</v>
      </c>
      <c r="FI256" s="239">
        <v>-8083388</v>
      </c>
      <c r="FJ256" s="239">
        <v>0</v>
      </c>
      <c r="FK256" s="239">
        <v>-8083388</v>
      </c>
      <c r="FL256" s="239">
        <v>-1654098</v>
      </c>
      <c r="FM256" s="239">
        <v>0</v>
      </c>
      <c r="FN256" s="239">
        <v>-1654098</v>
      </c>
      <c r="FO256" s="239">
        <v>-130630</v>
      </c>
      <c r="FP256" s="239">
        <v>0</v>
      </c>
      <c r="FQ256" s="239">
        <v>-130630</v>
      </c>
      <c r="FR256" s="239">
        <v>-60709</v>
      </c>
      <c r="FS256" s="239">
        <v>0</v>
      </c>
      <c r="FT256" s="239">
        <v>-60709</v>
      </c>
      <c r="FU256" s="239">
        <v>0</v>
      </c>
      <c r="FV256" s="239">
        <v>0</v>
      </c>
      <c r="FW256" s="239">
        <v>0</v>
      </c>
      <c r="FX256" s="239">
        <v>-9859891</v>
      </c>
      <c r="FY256" s="239">
        <v>0</v>
      </c>
      <c r="FZ256" s="239">
        <v>-9859891</v>
      </c>
      <c r="GA256" s="239">
        <v>48191933</v>
      </c>
      <c r="GB256" s="239">
        <v>0</v>
      </c>
      <c r="GC256" s="239">
        <v>48191933</v>
      </c>
      <c r="GD256" s="214" t="s">
        <v>747</v>
      </c>
    </row>
    <row r="257" spans="2:186" s="214" customFormat="1" x14ac:dyDescent="0.2">
      <c r="B257" s="609" t="s">
        <v>596</v>
      </c>
      <c r="C257" s="609" t="s">
        <v>595</v>
      </c>
      <c r="D257" s="239">
        <v>0</v>
      </c>
      <c r="E257" s="239">
        <v>0</v>
      </c>
      <c r="F257" s="239">
        <v>0</v>
      </c>
      <c r="G257" s="239">
        <v>420285</v>
      </c>
      <c r="H257" s="239">
        <v>0</v>
      </c>
      <c r="I257" s="239">
        <v>420285</v>
      </c>
      <c r="J257" s="239">
        <v>0</v>
      </c>
      <c r="K257" s="239">
        <v>0</v>
      </c>
      <c r="L257" s="239">
        <v>0</v>
      </c>
      <c r="M257" s="239">
        <v>26061</v>
      </c>
      <c r="N257" s="239">
        <v>0</v>
      </c>
      <c r="O257" s="239">
        <v>26061</v>
      </c>
      <c r="P257" s="239">
        <v>446346</v>
      </c>
      <c r="Q257" s="239">
        <v>0</v>
      </c>
      <c r="R257" s="239">
        <v>446346</v>
      </c>
      <c r="S257" s="239">
        <v>-5889937</v>
      </c>
      <c r="T257" s="239">
        <v>0</v>
      </c>
      <c r="U257" s="239">
        <v>-5889937</v>
      </c>
      <c r="V257" s="239">
        <v>-7680</v>
      </c>
      <c r="W257" s="239">
        <v>0</v>
      </c>
      <c r="X257" s="239">
        <v>-7680</v>
      </c>
      <c r="Y257" s="239">
        <v>-324554</v>
      </c>
      <c r="Z257" s="239">
        <v>0</v>
      </c>
      <c r="AA257" s="239">
        <v>-324554</v>
      </c>
      <c r="AB257" s="239">
        <v>-261241</v>
      </c>
      <c r="AC257" s="239">
        <v>0</v>
      </c>
      <c r="AD257" s="239">
        <v>-261241</v>
      </c>
      <c r="AE257" s="239">
        <v>3171</v>
      </c>
      <c r="AF257" s="239">
        <v>0</v>
      </c>
      <c r="AG257" s="239">
        <v>3171</v>
      </c>
      <c r="AH257" s="239">
        <v>8172214</v>
      </c>
      <c r="AI257" s="239">
        <v>0</v>
      </c>
      <c r="AJ257" s="239">
        <v>8172214</v>
      </c>
      <c r="AK257" s="239">
        <v>17766</v>
      </c>
      <c r="AL257" s="239">
        <v>0</v>
      </c>
      <c r="AM257" s="239">
        <v>17766</v>
      </c>
      <c r="AN257" s="239">
        <v>-25222293</v>
      </c>
      <c r="AO257" s="239">
        <v>0</v>
      </c>
      <c r="AP257" s="239">
        <v>-25222293</v>
      </c>
      <c r="AQ257" s="239">
        <v>-1683834</v>
      </c>
      <c r="AR257" s="239">
        <v>0</v>
      </c>
      <c r="AS257" s="239">
        <v>-1683834</v>
      </c>
      <c r="AT257" s="239">
        <v>-45268</v>
      </c>
      <c r="AU257" s="239">
        <v>0</v>
      </c>
      <c r="AV257" s="239">
        <v>-45268</v>
      </c>
      <c r="AW257" s="239">
        <v>0</v>
      </c>
      <c r="AX257" s="239">
        <v>0</v>
      </c>
      <c r="AY257" s="239">
        <v>0</v>
      </c>
      <c r="AZ257" s="239">
        <v>0</v>
      </c>
      <c r="BA257" s="239">
        <v>0</v>
      </c>
      <c r="BB257" s="239">
        <v>0</v>
      </c>
      <c r="BC257" s="239">
        <v>0</v>
      </c>
      <c r="BD257" s="239">
        <v>0</v>
      </c>
      <c r="BE257" s="239">
        <v>0</v>
      </c>
      <c r="BF257" s="239">
        <v>-24975906</v>
      </c>
      <c r="BG257" s="239">
        <v>0</v>
      </c>
      <c r="BH257" s="239">
        <v>-24975906</v>
      </c>
      <c r="BI257" s="239">
        <v>-21441</v>
      </c>
      <c r="BJ257" s="239">
        <v>0</v>
      </c>
      <c r="BK257" s="239">
        <v>-21441</v>
      </c>
      <c r="BL257" s="239">
        <v>464963</v>
      </c>
      <c r="BM257" s="239">
        <v>0</v>
      </c>
      <c r="BN257" s="239">
        <v>464963</v>
      </c>
      <c r="BO257" s="239">
        <v>-5920609</v>
      </c>
      <c r="BP257" s="239">
        <v>0</v>
      </c>
      <c r="BQ257" s="239">
        <v>-5920609</v>
      </c>
      <c r="BR257" s="239">
        <v>-903053</v>
      </c>
      <c r="BS257" s="239">
        <v>0</v>
      </c>
      <c r="BT257" s="239">
        <v>-903053</v>
      </c>
      <c r="BU257" s="239">
        <v>-6380140</v>
      </c>
      <c r="BV257" s="239">
        <v>0</v>
      </c>
      <c r="BW257" s="239">
        <v>-6380140</v>
      </c>
      <c r="BX257" s="239">
        <v>-225501</v>
      </c>
      <c r="BY257" s="239">
        <v>0</v>
      </c>
      <c r="BZ257" s="239">
        <v>-225501</v>
      </c>
      <c r="CA257" s="239">
        <v>-18469</v>
      </c>
      <c r="CB257" s="239">
        <v>0</v>
      </c>
      <c r="CC257" s="239">
        <v>-18469</v>
      </c>
      <c r="CD257" s="239">
        <v>-61426</v>
      </c>
      <c r="CE257" s="239">
        <v>0</v>
      </c>
      <c r="CF257" s="239">
        <v>-61426</v>
      </c>
      <c r="CG257" s="239">
        <v>-25055</v>
      </c>
      <c r="CH257" s="239">
        <v>0</v>
      </c>
      <c r="CI257" s="239">
        <v>-25055</v>
      </c>
      <c r="CJ257" s="239">
        <v>0</v>
      </c>
      <c r="CK257" s="239">
        <v>0</v>
      </c>
      <c r="CL257" s="239">
        <v>0</v>
      </c>
      <c r="CM257" s="239">
        <v>0</v>
      </c>
      <c r="CN257" s="239">
        <v>0</v>
      </c>
      <c r="CO257" s="239">
        <v>0</v>
      </c>
      <c r="CP257" s="239">
        <v>0</v>
      </c>
      <c r="CQ257" s="239">
        <v>0</v>
      </c>
      <c r="CR257" s="239">
        <v>0</v>
      </c>
      <c r="CS257" s="239">
        <v>0</v>
      </c>
      <c r="CT257" s="239">
        <v>0</v>
      </c>
      <c r="CU257" s="239">
        <v>0</v>
      </c>
      <c r="CV257" s="239">
        <v>0</v>
      </c>
      <c r="CW257" s="239">
        <v>0</v>
      </c>
      <c r="CX257" s="239">
        <v>0</v>
      </c>
      <c r="CY257" s="239">
        <v>0</v>
      </c>
      <c r="CZ257" s="239">
        <v>0</v>
      </c>
      <c r="DA257" s="239">
        <v>0</v>
      </c>
      <c r="DB257" s="239">
        <v>0</v>
      </c>
      <c r="DC257" s="239">
        <v>0</v>
      </c>
      <c r="DD257" s="239">
        <v>0</v>
      </c>
      <c r="DE257" s="239">
        <v>0</v>
      </c>
      <c r="DF257" s="239">
        <v>0</v>
      </c>
      <c r="DG257" s="239">
        <v>0</v>
      </c>
      <c r="DH257" s="239">
        <v>0</v>
      </c>
      <c r="DI257" s="239">
        <v>0</v>
      </c>
      <c r="DJ257" s="239">
        <v>-330451</v>
      </c>
      <c r="DK257" s="239">
        <v>0</v>
      </c>
      <c r="DL257" s="239">
        <v>-330451</v>
      </c>
      <c r="DM257" s="239">
        <v>0</v>
      </c>
      <c r="DN257" s="239">
        <v>0</v>
      </c>
      <c r="DO257" s="239">
        <v>0</v>
      </c>
      <c r="DP257" s="239">
        <v>0</v>
      </c>
      <c r="DQ257" s="239">
        <v>0</v>
      </c>
      <c r="DR257" s="239">
        <v>0</v>
      </c>
      <c r="DS257" s="239">
        <v>-7520</v>
      </c>
      <c r="DT257" s="239">
        <v>0</v>
      </c>
      <c r="DU257" s="239">
        <v>-7520</v>
      </c>
      <c r="DV257" s="239">
        <v>-2580</v>
      </c>
      <c r="DW257" s="239">
        <v>0</v>
      </c>
      <c r="DX257" s="239">
        <v>-2580</v>
      </c>
      <c r="DY257" s="239">
        <v>0</v>
      </c>
      <c r="DZ257" s="239">
        <v>0</v>
      </c>
      <c r="EA257" s="239">
        <v>0</v>
      </c>
      <c r="EB257" s="239">
        <v>1727</v>
      </c>
      <c r="EC257" s="239">
        <v>0</v>
      </c>
      <c r="ED257" s="239">
        <v>1727</v>
      </c>
      <c r="EE257" s="239">
        <v>0</v>
      </c>
      <c r="EF257" s="239">
        <v>0</v>
      </c>
      <c r="EG257" s="239">
        <v>0</v>
      </c>
      <c r="EH257" s="239">
        <v>0</v>
      </c>
      <c r="EI257" s="239">
        <v>0</v>
      </c>
      <c r="EJ257" s="239">
        <v>0</v>
      </c>
      <c r="EK257" s="239">
        <v>0</v>
      </c>
      <c r="EL257" s="239">
        <v>0</v>
      </c>
      <c r="EM257" s="239">
        <v>0</v>
      </c>
      <c r="EN257" s="239">
        <v>0</v>
      </c>
      <c r="EO257" s="239">
        <v>0</v>
      </c>
      <c r="EP257" s="239">
        <v>0</v>
      </c>
      <c r="EQ257" s="239">
        <v>-8373</v>
      </c>
      <c r="ER257" s="239">
        <v>0</v>
      </c>
      <c r="ES257" s="239">
        <v>-8373</v>
      </c>
      <c r="ET257" s="239">
        <v>0</v>
      </c>
      <c r="EU257" s="239">
        <v>0</v>
      </c>
      <c r="EV257" s="239">
        <v>0</v>
      </c>
      <c r="EW257" s="239">
        <v>0</v>
      </c>
      <c r="EX257" s="239">
        <v>0</v>
      </c>
      <c r="EY257" s="239">
        <v>0</v>
      </c>
      <c r="EZ257" s="239">
        <v>0</v>
      </c>
      <c r="FA257" s="239">
        <v>0</v>
      </c>
      <c r="FB257" s="239">
        <v>0</v>
      </c>
      <c r="FC257" s="239">
        <v>287993711</v>
      </c>
      <c r="FD257" s="239">
        <v>0</v>
      </c>
      <c r="FE257" s="239">
        <v>287993711</v>
      </c>
      <c r="FF257" s="239">
        <v>446346</v>
      </c>
      <c r="FG257" s="239">
        <v>0</v>
      </c>
      <c r="FH257" s="239">
        <v>446346</v>
      </c>
      <c r="FI257" s="239">
        <v>-24975906</v>
      </c>
      <c r="FJ257" s="239">
        <v>0</v>
      </c>
      <c r="FK257" s="239">
        <v>-24975906</v>
      </c>
      <c r="FL257" s="239">
        <v>-6380140</v>
      </c>
      <c r="FM257" s="239">
        <v>0</v>
      </c>
      <c r="FN257" s="239">
        <v>-6380140</v>
      </c>
      <c r="FO257" s="239">
        <v>-330451</v>
      </c>
      <c r="FP257" s="239">
        <v>0</v>
      </c>
      <c r="FQ257" s="239">
        <v>-330451</v>
      </c>
      <c r="FR257" s="239">
        <v>-8373</v>
      </c>
      <c r="FS257" s="239">
        <v>0</v>
      </c>
      <c r="FT257" s="239">
        <v>-8373</v>
      </c>
      <c r="FU257" s="239">
        <v>0</v>
      </c>
      <c r="FV257" s="239">
        <v>0</v>
      </c>
      <c r="FW257" s="239">
        <v>0</v>
      </c>
      <c r="FX257" s="239">
        <v>-31248524</v>
      </c>
      <c r="FY257" s="239">
        <v>0</v>
      </c>
      <c r="FZ257" s="239">
        <v>-31248524</v>
      </c>
      <c r="GA257" s="239">
        <v>256745187</v>
      </c>
      <c r="GB257" s="239">
        <v>0</v>
      </c>
      <c r="GC257" s="239">
        <v>256745187</v>
      </c>
      <c r="GD257" s="214" t="s">
        <v>1193</v>
      </c>
    </row>
    <row r="258" spans="2:186" s="214" customFormat="1" x14ac:dyDescent="0.2">
      <c r="B258" s="609" t="s">
        <v>598</v>
      </c>
      <c r="C258" s="609" t="s">
        <v>597</v>
      </c>
      <c r="D258" s="239">
        <v>0</v>
      </c>
      <c r="E258" s="239">
        <v>0</v>
      </c>
      <c r="F258" s="239">
        <v>0</v>
      </c>
      <c r="G258" s="239">
        <v>-1810</v>
      </c>
      <c r="H258" s="239">
        <v>0</v>
      </c>
      <c r="I258" s="239">
        <v>-1810</v>
      </c>
      <c r="J258" s="239">
        <v>0</v>
      </c>
      <c r="K258" s="239">
        <v>0</v>
      </c>
      <c r="L258" s="239">
        <v>0</v>
      </c>
      <c r="M258" s="239">
        <v>-11990</v>
      </c>
      <c r="N258" s="239">
        <v>0</v>
      </c>
      <c r="O258" s="239">
        <v>-11990</v>
      </c>
      <c r="P258" s="239">
        <v>-13800</v>
      </c>
      <c r="Q258" s="239">
        <v>0</v>
      </c>
      <c r="R258" s="239">
        <v>-13800</v>
      </c>
      <c r="S258" s="239">
        <v>-1357800</v>
      </c>
      <c r="T258" s="239">
        <v>0</v>
      </c>
      <c r="U258" s="239">
        <v>-1357800</v>
      </c>
      <c r="V258" s="239">
        <v>0</v>
      </c>
      <c r="W258" s="239">
        <v>0</v>
      </c>
      <c r="X258" s="239">
        <v>0</v>
      </c>
      <c r="Y258" s="239">
        <v>-86444</v>
      </c>
      <c r="Z258" s="239">
        <v>0</v>
      </c>
      <c r="AA258" s="239">
        <v>-86444</v>
      </c>
      <c r="AB258" s="239">
        <v>-61742</v>
      </c>
      <c r="AC258" s="239">
        <v>0</v>
      </c>
      <c r="AD258" s="239">
        <v>-61742</v>
      </c>
      <c r="AE258" s="239">
        <v>0</v>
      </c>
      <c r="AF258" s="239">
        <v>0</v>
      </c>
      <c r="AG258" s="239">
        <v>0</v>
      </c>
      <c r="AH258" s="239">
        <v>1220269</v>
      </c>
      <c r="AI258" s="239">
        <v>0</v>
      </c>
      <c r="AJ258" s="239">
        <v>1220269</v>
      </c>
      <c r="AK258" s="239">
        <v>6688.28</v>
      </c>
      <c r="AL258" s="239">
        <v>0</v>
      </c>
      <c r="AM258" s="239">
        <v>6688.28</v>
      </c>
      <c r="AN258" s="239">
        <v>-2172590</v>
      </c>
      <c r="AO258" s="239">
        <v>0</v>
      </c>
      <c r="AP258" s="239">
        <v>-2172590</v>
      </c>
      <c r="AQ258" s="239">
        <v>-29794.2</v>
      </c>
      <c r="AR258" s="239">
        <v>0</v>
      </c>
      <c r="AS258" s="239">
        <v>-29794.2</v>
      </c>
      <c r="AT258" s="239">
        <v>-29820</v>
      </c>
      <c r="AU258" s="239">
        <v>0</v>
      </c>
      <c r="AV258" s="239">
        <v>-29820</v>
      </c>
      <c r="AW258" s="239">
        <v>0</v>
      </c>
      <c r="AX258" s="239">
        <v>0</v>
      </c>
      <c r="AY258" s="239">
        <v>0</v>
      </c>
      <c r="AZ258" s="239">
        <v>0</v>
      </c>
      <c r="BA258" s="239">
        <v>0</v>
      </c>
      <c r="BB258" s="239">
        <v>0</v>
      </c>
      <c r="BC258" s="239">
        <v>0</v>
      </c>
      <c r="BD258" s="239">
        <v>0</v>
      </c>
      <c r="BE258" s="239">
        <v>0</v>
      </c>
      <c r="BF258" s="239">
        <v>-2449491</v>
      </c>
      <c r="BG258" s="239">
        <v>0</v>
      </c>
      <c r="BH258" s="239">
        <v>-2449491</v>
      </c>
      <c r="BI258" s="239">
        <v>-8628</v>
      </c>
      <c r="BJ258" s="239">
        <v>0</v>
      </c>
      <c r="BK258" s="239">
        <v>-8628</v>
      </c>
      <c r="BL258" s="239">
        <v>79</v>
      </c>
      <c r="BM258" s="239">
        <v>0</v>
      </c>
      <c r="BN258" s="239">
        <v>79</v>
      </c>
      <c r="BO258" s="239">
        <v>-937364</v>
      </c>
      <c r="BP258" s="239">
        <v>0</v>
      </c>
      <c r="BQ258" s="239">
        <v>-937364</v>
      </c>
      <c r="BR258" s="239">
        <v>-13301</v>
      </c>
      <c r="BS258" s="239">
        <v>0</v>
      </c>
      <c r="BT258" s="239">
        <v>-13301</v>
      </c>
      <c r="BU258" s="239">
        <v>-959214</v>
      </c>
      <c r="BV258" s="239">
        <v>0</v>
      </c>
      <c r="BW258" s="239">
        <v>-959214</v>
      </c>
      <c r="BX258" s="239">
        <v>-52359</v>
      </c>
      <c r="BY258" s="239">
        <v>0</v>
      </c>
      <c r="BZ258" s="239">
        <v>-52359</v>
      </c>
      <c r="CA258" s="239">
        <v>-4896</v>
      </c>
      <c r="CB258" s="239">
        <v>0</v>
      </c>
      <c r="CC258" s="239">
        <v>-4896</v>
      </c>
      <c r="CD258" s="239">
        <v>-47779</v>
      </c>
      <c r="CE258" s="239">
        <v>0</v>
      </c>
      <c r="CF258" s="239">
        <v>-47779</v>
      </c>
      <c r="CG258" s="239">
        <v>0</v>
      </c>
      <c r="CH258" s="239">
        <v>0</v>
      </c>
      <c r="CI258" s="239">
        <v>0</v>
      </c>
      <c r="CJ258" s="239">
        <v>-6809</v>
      </c>
      <c r="CK258" s="239">
        <v>0</v>
      </c>
      <c r="CL258" s="239">
        <v>-6809</v>
      </c>
      <c r="CM258" s="239">
        <v>0</v>
      </c>
      <c r="CN258" s="239">
        <v>0</v>
      </c>
      <c r="CO258" s="239">
        <v>0</v>
      </c>
      <c r="CP258" s="239">
        <v>0</v>
      </c>
      <c r="CQ258" s="239">
        <v>0</v>
      </c>
      <c r="CR258" s="239">
        <v>0</v>
      </c>
      <c r="CS258" s="239">
        <v>0</v>
      </c>
      <c r="CT258" s="239">
        <v>0</v>
      </c>
      <c r="CU258" s="239">
        <v>0</v>
      </c>
      <c r="CV258" s="239">
        <v>0</v>
      </c>
      <c r="CW258" s="239">
        <v>0</v>
      </c>
      <c r="CX258" s="239">
        <v>0</v>
      </c>
      <c r="CY258" s="239">
        <v>0</v>
      </c>
      <c r="CZ258" s="239">
        <v>0</v>
      </c>
      <c r="DA258" s="239">
        <v>0</v>
      </c>
      <c r="DB258" s="239">
        <v>0</v>
      </c>
      <c r="DC258" s="239">
        <v>0</v>
      </c>
      <c r="DD258" s="239">
        <v>0</v>
      </c>
      <c r="DE258" s="239">
        <v>0</v>
      </c>
      <c r="DF258" s="239">
        <v>0</v>
      </c>
      <c r="DG258" s="239">
        <v>0</v>
      </c>
      <c r="DH258" s="239">
        <v>0</v>
      </c>
      <c r="DI258" s="239">
        <v>0</v>
      </c>
      <c r="DJ258" s="239">
        <v>-111843</v>
      </c>
      <c r="DK258" s="239">
        <v>0</v>
      </c>
      <c r="DL258" s="239">
        <v>-111843</v>
      </c>
      <c r="DM258" s="239">
        <v>0</v>
      </c>
      <c r="DN258" s="239">
        <v>0</v>
      </c>
      <c r="DO258" s="239">
        <v>0</v>
      </c>
      <c r="DP258" s="239">
        <v>0</v>
      </c>
      <c r="DQ258" s="239">
        <v>0</v>
      </c>
      <c r="DR258" s="239">
        <v>0</v>
      </c>
      <c r="DS258" s="239">
        <v>-3993</v>
      </c>
      <c r="DT258" s="239">
        <v>0</v>
      </c>
      <c r="DU258" s="239">
        <v>-3993</v>
      </c>
      <c r="DV258" s="239">
        <v>0</v>
      </c>
      <c r="DW258" s="239">
        <v>0</v>
      </c>
      <c r="DX258" s="239">
        <v>0</v>
      </c>
      <c r="DY258" s="239">
        <v>0</v>
      </c>
      <c r="DZ258" s="239">
        <v>0</v>
      </c>
      <c r="EA258" s="239">
        <v>0</v>
      </c>
      <c r="EB258" s="239">
        <v>-8594</v>
      </c>
      <c r="EC258" s="239">
        <v>0</v>
      </c>
      <c r="ED258" s="239">
        <v>-8594</v>
      </c>
      <c r="EE258" s="239">
        <v>0</v>
      </c>
      <c r="EF258" s="239">
        <v>0</v>
      </c>
      <c r="EG258" s="239">
        <v>0</v>
      </c>
      <c r="EH258" s="239">
        <v>0</v>
      </c>
      <c r="EI258" s="239">
        <v>0</v>
      </c>
      <c r="EJ258" s="239">
        <v>0</v>
      </c>
      <c r="EK258" s="239">
        <v>0</v>
      </c>
      <c r="EL258" s="239">
        <v>0</v>
      </c>
      <c r="EM258" s="239">
        <v>0</v>
      </c>
      <c r="EN258" s="239">
        <v>0</v>
      </c>
      <c r="EO258" s="239">
        <v>0</v>
      </c>
      <c r="EP258" s="239">
        <v>0</v>
      </c>
      <c r="EQ258" s="239">
        <v>-12587</v>
      </c>
      <c r="ER258" s="239">
        <v>0</v>
      </c>
      <c r="ES258" s="239">
        <v>-12587</v>
      </c>
      <c r="ET258" s="239">
        <v>0</v>
      </c>
      <c r="EU258" s="239">
        <v>0</v>
      </c>
      <c r="EV258" s="239">
        <v>0</v>
      </c>
      <c r="EW258" s="239">
        <v>0</v>
      </c>
      <c r="EX258" s="239">
        <v>0</v>
      </c>
      <c r="EY258" s="239">
        <v>0</v>
      </c>
      <c r="EZ258" s="239">
        <v>0</v>
      </c>
      <c r="FA258" s="239">
        <v>0</v>
      </c>
      <c r="FB258" s="239">
        <v>0</v>
      </c>
      <c r="FC258" s="239">
        <v>45720106</v>
      </c>
      <c r="FD258" s="239">
        <v>0</v>
      </c>
      <c r="FE258" s="239">
        <v>45720106</v>
      </c>
      <c r="FF258" s="239">
        <v>-13800</v>
      </c>
      <c r="FG258" s="239">
        <v>0</v>
      </c>
      <c r="FH258" s="239">
        <v>-13800</v>
      </c>
      <c r="FI258" s="239">
        <v>-2449491</v>
      </c>
      <c r="FJ258" s="239">
        <v>0</v>
      </c>
      <c r="FK258" s="239">
        <v>-2449491</v>
      </c>
      <c r="FL258" s="239">
        <v>-959214</v>
      </c>
      <c r="FM258" s="239">
        <v>0</v>
      </c>
      <c r="FN258" s="239">
        <v>-959214</v>
      </c>
      <c r="FO258" s="239">
        <v>-111843</v>
      </c>
      <c r="FP258" s="239">
        <v>0</v>
      </c>
      <c r="FQ258" s="239">
        <v>-111843</v>
      </c>
      <c r="FR258" s="239">
        <v>-12587</v>
      </c>
      <c r="FS258" s="239">
        <v>0</v>
      </c>
      <c r="FT258" s="239">
        <v>-12587</v>
      </c>
      <c r="FU258" s="239">
        <v>0</v>
      </c>
      <c r="FV258" s="239">
        <v>0</v>
      </c>
      <c r="FW258" s="239">
        <v>0</v>
      </c>
      <c r="FX258" s="239">
        <v>-3546935</v>
      </c>
      <c r="FY258" s="239">
        <v>0</v>
      </c>
      <c r="FZ258" s="239">
        <v>-3546935</v>
      </c>
      <c r="GA258" s="239">
        <v>42173171</v>
      </c>
      <c r="GB258" s="239">
        <v>0</v>
      </c>
      <c r="GC258" s="239">
        <v>42173171</v>
      </c>
      <c r="GD258" s="214" t="s">
        <v>1190</v>
      </c>
    </row>
    <row r="259" spans="2:186" s="214" customFormat="1" x14ac:dyDescent="0.2">
      <c r="B259" s="609" t="s">
        <v>600</v>
      </c>
      <c r="C259" s="609" t="s">
        <v>599</v>
      </c>
      <c r="D259" s="239">
        <v>0</v>
      </c>
      <c r="E259" s="239">
        <v>0</v>
      </c>
      <c r="F259" s="239">
        <v>0</v>
      </c>
      <c r="G259" s="239">
        <v>-37927</v>
      </c>
      <c r="H259" s="239">
        <v>0</v>
      </c>
      <c r="I259" s="239">
        <v>-37927</v>
      </c>
      <c r="J259" s="239">
        <v>0</v>
      </c>
      <c r="K259" s="239">
        <v>0</v>
      </c>
      <c r="L259" s="239">
        <v>0</v>
      </c>
      <c r="M259" s="239">
        <v>519180</v>
      </c>
      <c r="N259" s="239">
        <v>0</v>
      </c>
      <c r="O259" s="239">
        <v>519180</v>
      </c>
      <c r="P259" s="239">
        <v>481253</v>
      </c>
      <c r="Q259" s="239">
        <v>0</v>
      </c>
      <c r="R259" s="239">
        <v>481253</v>
      </c>
      <c r="S259" s="239">
        <v>-1733034</v>
      </c>
      <c r="T259" s="239">
        <v>0</v>
      </c>
      <c r="U259" s="239">
        <v>-1733034</v>
      </c>
      <c r="V259" s="239">
        <v>0</v>
      </c>
      <c r="W259" s="239">
        <v>0</v>
      </c>
      <c r="X259" s="239">
        <v>0</v>
      </c>
      <c r="Y259" s="239">
        <v>-108630</v>
      </c>
      <c r="Z259" s="239">
        <v>0</v>
      </c>
      <c r="AA259" s="239">
        <v>-108630</v>
      </c>
      <c r="AB259" s="239">
        <v>-92352</v>
      </c>
      <c r="AC259" s="239">
        <v>0</v>
      </c>
      <c r="AD259" s="239">
        <v>-92352</v>
      </c>
      <c r="AE259" s="239">
        <v>0</v>
      </c>
      <c r="AF259" s="239">
        <v>0</v>
      </c>
      <c r="AG259" s="239">
        <v>0</v>
      </c>
      <c r="AH259" s="239">
        <v>1760825</v>
      </c>
      <c r="AI259" s="239">
        <v>0</v>
      </c>
      <c r="AJ259" s="239">
        <v>1760825</v>
      </c>
      <c r="AK259" s="239">
        <v>-43176</v>
      </c>
      <c r="AL259" s="239">
        <v>0</v>
      </c>
      <c r="AM259" s="239">
        <v>-43176</v>
      </c>
      <c r="AN259" s="239">
        <v>-5458015</v>
      </c>
      <c r="AO259" s="239">
        <v>0</v>
      </c>
      <c r="AP259" s="239">
        <v>-5458015</v>
      </c>
      <c r="AQ259" s="239">
        <v>293556</v>
      </c>
      <c r="AR259" s="239">
        <v>0</v>
      </c>
      <c r="AS259" s="239">
        <v>293556</v>
      </c>
      <c r="AT259" s="239">
        <v>-84786</v>
      </c>
      <c r="AU259" s="239">
        <v>0</v>
      </c>
      <c r="AV259" s="239">
        <v>-84786</v>
      </c>
      <c r="AW259" s="239">
        <v>0</v>
      </c>
      <c r="AX259" s="239">
        <v>0</v>
      </c>
      <c r="AY259" s="239">
        <v>0</v>
      </c>
      <c r="AZ259" s="239">
        <v>0</v>
      </c>
      <c r="BA259" s="239">
        <v>0</v>
      </c>
      <c r="BB259" s="239">
        <v>0</v>
      </c>
      <c r="BC259" s="239">
        <v>0</v>
      </c>
      <c r="BD259" s="239">
        <v>0</v>
      </c>
      <c r="BE259" s="239">
        <v>0</v>
      </c>
      <c r="BF259" s="239">
        <v>-5373260</v>
      </c>
      <c r="BG259" s="239">
        <v>0</v>
      </c>
      <c r="BH259" s="239">
        <v>-5373260</v>
      </c>
      <c r="BI259" s="239">
        <v>-4020</v>
      </c>
      <c r="BJ259" s="239">
        <v>0</v>
      </c>
      <c r="BK259" s="239">
        <v>-4020</v>
      </c>
      <c r="BL259" s="239">
        <v>24337</v>
      </c>
      <c r="BM259" s="239">
        <v>0</v>
      </c>
      <c r="BN259" s="239">
        <v>24337</v>
      </c>
      <c r="BO259" s="239">
        <v>-2874302</v>
      </c>
      <c r="BP259" s="239">
        <v>0</v>
      </c>
      <c r="BQ259" s="239">
        <v>-2874302</v>
      </c>
      <c r="BR259" s="239">
        <v>-27800</v>
      </c>
      <c r="BS259" s="239">
        <v>0</v>
      </c>
      <c r="BT259" s="239">
        <v>-27800</v>
      </c>
      <c r="BU259" s="239">
        <v>-2881785</v>
      </c>
      <c r="BV259" s="239">
        <v>0</v>
      </c>
      <c r="BW259" s="239">
        <v>-2881785</v>
      </c>
      <c r="BX259" s="239">
        <v>-134949</v>
      </c>
      <c r="BY259" s="239">
        <v>0</v>
      </c>
      <c r="BZ259" s="239">
        <v>-134949</v>
      </c>
      <c r="CA259" s="239">
        <v>-5316</v>
      </c>
      <c r="CB259" s="239">
        <v>0</v>
      </c>
      <c r="CC259" s="239">
        <v>-5316</v>
      </c>
      <c r="CD259" s="239">
        <v>-21689</v>
      </c>
      <c r="CE259" s="239">
        <v>0</v>
      </c>
      <c r="CF259" s="239">
        <v>-21689</v>
      </c>
      <c r="CG259" s="239">
        <v>0</v>
      </c>
      <c r="CH259" s="239">
        <v>0</v>
      </c>
      <c r="CI259" s="239">
        <v>0</v>
      </c>
      <c r="CJ259" s="239">
        <v>-1168</v>
      </c>
      <c r="CK259" s="239">
        <v>0</v>
      </c>
      <c r="CL259" s="239">
        <v>-1168</v>
      </c>
      <c r="CM259" s="239">
        <v>0</v>
      </c>
      <c r="CN259" s="239">
        <v>0</v>
      </c>
      <c r="CO259" s="239">
        <v>0</v>
      </c>
      <c r="CP259" s="239">
        <v>0</v>
      </c>
      <c r="CQ259" s="239">
        <v>0</v>
      </c>
      <c r="CR259" s="239">
        <v>0</v>
      </c>
      <c r="CS259" s="239">
        <v>0</v>
      </c>
      <c r="CT259" s="239">
        <v>0</v>
      </c>
      <c r="CU259" s="239">
        <v>0</v>
      </c>
      <c r="CV259" s="239">
        <v>0</v>
      </c>
      <c r="CW259" s="239">
        <v>0</v>
      </c>
      <c r="CX259" s="239">
        <v>0</v>
      </c>
      <c r="CY259" s="239">
        <v>0</v>
      </c>
      <c r="CZ259" s="239">
        <v>0</v>
      </c>
      <c r="DA259" s="239">
        <v>0</v>
      </c>
      <c r="DB259" s="239">
        <v>0</v>
      </c>
      <c r="DC259" s="239">
        <v>0</v>
      </c>
      <c r="DD259" s="239">
        <v>0</v>
      </c>
      <c r="DE259" s="239">
        <v>0</v>
      </c>
      <c r="DF259" s="239">
        <v>0</v>
      </c>
      <c r="DG259" s="239">
        <v>0</v>
      </c>
      <c r="DH259" s="239">
        <v>0</v>
      </c>
      <c r="DI259" s="239">
        <v>0</v>
      </c>
      <c r="DJ259" s="239">
        <v>-163122</v>
      </c>
      <c r="DK259" s="239">
        <v>0</v>
      </c>
      <c r="DL259" s="239">
        <v>-163122</v>
      </c>
      <c r="DM259" s="239">
        <v>0</v>
      </c>
      <c r="DN259" s="239">
        <v>0</v>
      </c>
      <c r="DO259" s="239">
        <v>0</v>
      </c>
      <c r="DP259" s="239">
        <v>0</v>
      </c>
      <c r="DQ259" s="239">
        <v>0</v>
      </c>
      <c r="DR259" s="239">
        <v>0</v>
      </c>
      <c r="DS259" s="239">
        <v>-77479</v>
      </c>
      <c r="DT259" s="239">
        <v>0</v>
      </c>
      <c r="DU259" s="239">
        <v>-77479</v>
      </c>
      <c r="DV259" s="239">
        <v>-64605</v>
      </c>
      <c r="DW259" s="239">
        <v>0</v>
      </c>
      <c r="DX259" s="239">
        <v>-64605</v>
      </c>
      <c r="DY259" s="239">
        <v>0</v>
      </c>
      <c r="DZ259" s="239">
        <v>0</v>
      </c>
      <c r="EA259" s="239">
        <v>0</v>
      </c>
      <c r="EB259" s="239">
        <v>3220</v>
      </c>
      <c r="EC259" s="239">
        <v>0</v>
      </c>
      <c r="ED259" s="239">
        <v>3220</v>
      </c>
      <c r="EE259" s="239">
        <v>0</v>
      </c>
      <c r="EF259" s="239">
        <v>0</v>
      </c>
      <c r="EG259" s="239">
        <v>0</v>
      </c>
      <c r="EH259" s="239">
        <v>0</v>
      </c>
      <c r="EI259" s="239">
        <v>0</v>
      </c>
      <c r="EJ259" s="239">
        <v>0</v>
      </c>
      <c r="EK259" s="239">
        <v>-5467</v>
      </c>
      <c r="EL259" s="239">
        <v>0</v>
      </c>
      <c r="EM259" s="239">
        <v>-5467</v>
      </c>
      <c r="EN259" s="239">
        <v>0</v>
      </c>
      <c r="EO259" s="239">
        <v>0</v>
      </c>
      <c r="EP259" s="239">
        <v>0</v>
      </c>
      <c r="EQ259" s="239">
        <v>-144331</v>
      </c>
      <c r="ER259" s="239">
        <v>0</v>
      </c>
      <c r="ES259" s="239">
        <v>-144331</v>
      </c>
      <c r="ET259" s="239">
        <v>-9376</v>
      </c>
      <c r="EU259" s="239">
        <v>0</v>
      </c>
      <c r="EV259" s="239">
        <v>-9376</v>
      </c>
      <c r="EW259" s="239">
        <v>-4156</v>
      </c>
      <c r="EX259" s="239">
        <v>0</v>
      </c>
      <c r="EY259" s="239">
        <v>-4156</v>
      </c>
      <c r="EZ259" s="239">
        <v>-13532</v>
      </c>
      <c r="FA259" s="239">
        <v>0</v>
      </c>
      <c r="FB259" s="239">
        <v>-13532</v>
      </c>
      <c r="FC259" s="239">
        <v>70022931</v>
      </c>
      <c r="FD259" s="239">
        <v>0</v>
      </c>
      <c r="FE259" s="239">
        <v>70022931</v>
      </c>
      <c r="FF259" s="239">
        <v>481253</v>
      </c>
      <c r="FG259" s="239">
        <v>0</v>
      </c>
      <c r="FH259" s="239">
        <v>481253</v>
      </c>
      <c r="FI259" s="239">
        <v>-5373260</v>
      </c>
      <c r="FJ259" s="239">
        <v>0</v>
      </c>
      <c r="FK259" s="239">
        <v>-5373260</v>
      </c>
      <c r="FL259" s="239">
        <v>-2881785</v>
      </c>
      <c r="FM259" s="239">
        <v>0</v>
      </c>
      <c r="FN259" s="239">
        <v>-2881785</v>
      </c>
      <c r="FO259" s="239">
        <v>-163122</v>
      </c>
      <c r="FP259" s="239">
        <v>0</v>
      </c>
      <c r="FQ259" s="239">
        <v>-163122</v>
      </c>
      <c r="FR259" s="239">
        <v>-144331</v>
      </c>
      <c r="FS259" s="239">
        <v>0</v>
      </c>
      <c r="FT259" s="239">
        <v>-144331</v>
      </c>
      <c r="FU259" s="239">
        <v>-13532</v>
      </c>
      <c r="FV259" s="239">
        <v>0</v>
      </c>
      <c r="FW259" s="239">
        <v>-13532</v>
      </c>
      <c r="FX259" s="239">
        <v>-8094777</v>
      </c>
      <c r="FY259" s="239">
        <v>0</v>
      </c>
      <c r="FZ259" s="239">
        <v>-8094777</v>
      </c>
      <c r="GA259" s="239">
        <v>61928154</v>
      </c>
      <c r="GB259" s="239">
        <v>0</v>
      </c>
      <c r="GC259" s="239">
        <v>61928154</v>
      </c>
      <c r="GD259" s="214" t="s">
        <v>1190</v>
      </c>
    </row>
    <row r="260" spans="2:186" s="214" customFormat="1" x14ac:dyDescent="0.2">
      <c r="B260" s="609" t="s">
        <v>602</v>
      </c>
      <c r="C260" s="609" t="s">
        <v>601</v>
      </c>
      <c r="D260" s="239">
        <v>0</v>
      </c>
      <c r="E260" s="239">
        <v>0</v>
      </c>
      <c r="F260" s="239">
        <v>0</v>
      </c>
      <c r="G260" s="239">
        <v>21157</v>
      </c>
      <c r="H260" s="239">
        <v>0</v>
      </c>
      <c r="I260" s="239">
        <v>21157</v>
      </c>
      <c r="J260" s="239">
        <v>0</v>
      </c>
      <c r="K260" s="239">
        <v>0</v>
      </c>
      <c r="L260" s="239">
        <v>0</v>
      </c>
      <c r="M260" s="239">
        <v>16652</v>
      </c>
      <c r="N260" s="239">
        <v>0</v>
      </c>
      <c r="O260" s="239">
        <v>16652</v>
      </c>
      <c r="P260" s="239">
        <v>37809</v>
      </c>
      <c r="Q260" s="239">
        <v>0</v>
      </c>
      <c r="R260" s="239">
        <v>37809</v>
      </c>
      <c r="S260" s="239">
        <v>-2052366</v>
      </c>
      <c r="T260" s="239">
        <v>0</v>
      </c>
      <c r="U260" s="239">
        <v>-2052366</v>
      </c>
      <c r="V260" s="239">
        <v>-895</v>
      </c>
      <c r="W260" s="239">
        <v>0</v>
      </c>
      <c r="X260" s="239">
        <v>-895</v>
      </c>
      <c r="Y260" s="239">
        <v>-10953</v>
      </c>
      <c r="Z260" s="239">
        <v>0</v>
      </c>
      <c r="AA260" s="239">
        <v>-10953</v>
      </c>
      <c r="AB260" s="239">
        <v>-10953</v>
      </c>
      <c r="AC260" s="239">
        <v>0</v>
      </c>
      <c r="AD260" s="239">
        <v>-10953</v>
      </c>
      <c r="AE260" s="239">
        <v>2169</v>
      </c>
      <c r="AF260" s="239">
        <v>0</v>
      </c>
      <c r="AG260" s="239">
        <v>2169</v>
      </c>
      <c r="AH260" s="239">
        <v>1270727</v>
      </c>
      <c r="AI260" s="239">
        <v>0</v>
      </c>
      <c r="AJ260" s="239">
        <v>1270727</v>
      </c>
      <c r="AK260" s="239">
        <v>-5245</v>
      </c>
      <c r="AL260" s="239">
        <v>0</v>
      </c>
      <c r="AM260" s="239">
        <v>-5245</v>
      </c>
      <c r="AN260" s="239">
        <v>-2739711</v>
      </c>
      <c r="AO260" s="239">
        <v>0</v>
      </c>
      <c r="AP260" s="239">
        <v>-2739711</v>
      </c>
      <c r="AQ260" s="239">
        <v>-46660</v>
      </c>
      <c r="AR260" s="239">
        <v>0</v>
      </c>
      <c r="AS260" s="239">
        <v>-46660</v>
      </c>
      <c r="AT260" s="239">
        <v>-21441</v>
      </c>
      <c r="AU260" s="239">
        <v>0</v>
      </c>
      <c r="AV260" s="239">
        <v>-21441</v>
      </c>
      <c r="AW260" s="239">
        <v>0</v>
      </c>
      <c r="AX260" s="239">
        <v>0</v>
      </c>
      <c r="AY260" s="239">
        <v>0</v>
      </c>
      <c r="AZ260" s="239">
        <v>-52682</v>
      </c>
      <c r="BA260" s="239">
        <v>0</v>
      </c>
      <c r="BB260" s="239">
        <v>-52682</v>
      </c>
      <c r="BC260" s="239">
        <v>-5839</v>
      </c>
      <c r="BD260" s="239">
        <v>0</v>
      </c>
      <c r="BE260" s="239">
        <v>-5839</v>
      </c>
      <c r="BF260" s="239">
        <v>-3664170</v>
      </c>
      <c r="BG260" s="239">
        <v>0</v>
      </c>
      <c r="BH260" s="239">
        <v>-3664170</v>
      </c>
      <c r="BI260" s="239">
        <v>0</v>
      </c>
      <c r="BJ260" s="239">
        <v>0</v>
      </c>
      <c r="BK260" s="239">
        <v>0</v>
      </c>
      <c r="BL260" s="239">
        <v>0</v>
      </c>
      <c r="BM260" s="239">
        <v>0</v>
      </c>
      <c r="BN260" s="239">
        <v>0</v>
      </c>
      <c r="BO260" s="239">
        <v>-1126130</v>
      </c>
      <c r="BP260" s="239">
        <v>0</v>
      </c>
      <c r="BQ260" s="239">
        <v>-1126130</v>
      </c>
      <c r="BR260" s="239">
        <v>-132120</v>
      </c>
      <c r="BS260" s="239">
        <v>0</v>
      </c>
      <c r="BT260" s="239">
        <v>-132120</v>
      </c>
      <c r="BU260" s="239">
        <v>-1258250</v>
      </c>
      <c r="BV260" s="239">
        <v>0</v>
      </c>
      <c r="BW260" s="239">
        <v>-1258250</v>
      </c>
      <c r="BX260" s="239">
        <v>-38418</v>
      </c>
      <c r="BY260" s="239">
        <v>0</v>
      </c>
      <c r="BZ260" s="239">
        <v>-38418</v>
      </c>
      <c r="CA260" s="239">
        <v>0</v>
      </c>
      <c r="CB260" s="239">
        <v>0</v>
      </c>
      <c r="CC260" s="239">
        <v>0</v>
      </c>
      <c r="CD260" s="239">
        <v>-108263</v>
      </c>
      <c r="CE260" s="239">
        <v>0</v>
      </c>
      <c r="CF260" s="239">
        <v>-108263</v>
      </c>
      <c r="CG260" s="239">
        <v>370</v>
      </c>
      <c r="CH260" s="239">
        <v>0</v>
      </c>
      <c r="CI260" s="239">
        <v>370</v>
      </c>
      <c r="CJ260" s="239">
        <v>-4315</v>
      </c>
      <c r="CK260" s="239">
        <v>0</v>
      </c>
      <c r="CL260" s="239">
        <v>-4315</v>
      </c>
      <c r="CM260" s="239">
        <v>0</v>
      </c>
      <c r="CN260" s="239">
        <v>0</v>
      </c>
      <c r="CO260" s="239">
        <v>0</v>
      </c>
      <c r="CP260" s="239">
        <v>-17604</v>
      </c>
      <c r="CQ260" s="239">
        <v>0</v>
      </c>
      <c r="CR260" s="239">
        <v>-17604</v>
      </c>
      <c r="CS260" s="239">
        <v>0</v>
      </c>
      <c r="CT260" s="239">
        <v>0</v>
      </c>
      <c r="CU260" s="239">
        <v>0</v>
      </c>
      <c r="CV260" s="239">
        <v>-3642</v>
      </c>
      <c r="CW260" s="239">
        <v>0</v>
      </c>
      <c r="CX260" s="239">
        <v>-3642</v>
      </c>
      <c r="CY260" s="239">
        <v>0</v>
      </c>
      <c r="CZ260" s="239">
        <v>0</v>
      </c>
      <c r="DA260" s="239">
        <v>0</v>
      </c>
      <c r="DB260" s="239">
        <v>0</v>
      </c>
      <c r="DC260" s="239">
        <v>0</v>
      </c>
      <c r="DD260" s="239">
        <v>0</v>
      </c>
      <c r="DE260" s="239">
        <v>0</v>
      </c>
      <c r="DF260" s="239">
        <v>0</v>
      </c>
      <c r="DG260" s="239">
        <v>0</v>
      </c>
      <c r="DH260" s="239">
        <v>0</v>
      </c>
      <c r="DI260" s="239">
        <v>0</v>
      </c>
      <c r="DJ260" s="239">
        <v>-171872</v>
      </c>
      <c r="DK260" s="239">
        <v>0</v>
      </c>
      <c r="DL260" s="239">
        <v>-171872</v>
      </c>
      <c r="DM260" s="239">
        <v>-27165</v>
      </c>
      <c r="DN260" s="239">
        <v>0</v>
      </c>
      <c r="DO260" s="239">
        <v>-27165</v>
      </c>
      <c r="DP260" s="239">
        <v>0</v>
      </c>
      <c r="DQ260" s="239">
        <v>0</v>
      </c>
      <c r="DR260" s="239">
        <v>0</v>
      </c>
      <c r="DS260" s="239">
        <v>0</v>
      </c>
      <c r="DT260" s="239">
        <v>0</v>
      </c>
      <c r="DU260" s="239">
        <v>0</v>
      </c>
      <c r="DV260" s="239">
        <v>652</v>
      </c>
      <c r="DW260" s="239">
        <v>0</v>
      </c>
      <c r="DX260" s="239">
        <v>652</v>
      </c>
      <c r="DY260" s="239">
        <v>0</v>
      </c>
      <c r="DZ260" s="239">
        <v>0</v>
      </c>
      <c r="EA260" s="239">
        <v>0</v>
      </c>
      <c r="EB260" s="239">
        <v>9418</v>
      </c>
      <c r="EC260" s="239">
        <v>0</v>
      </c>
      <c r="ED260" s="239">
        <v>9418</v>
      </c>
      <c r="EE260" s="239">
        <v>0</v>
      </c>
      <c r="EF260" s="239">
        <v>0</v>
      </c>
      <c r="EG260" s="239">
        <v>0</v>
      </c>
      <c r="EH260" s="239">
        <v>0</v>
      </c>
      <c r="EI260" s="239">
        <v>0</v>
      </c>
      <c r="EJ260" s="239">
        <v>0</v>
      </c>
      <c r="EK260" s="239">
        <v>-7885</v>
      </c>
      <c r="EL260" s="239">
        <v>0</v>
      </c>
      <c r="EM260" s="239">
        <v>-7885</v>
      </c>
      <c r="EN260" s="239">
        <v>0</v>
      </c>
      <c r="EO260" s="239">
        <v>0</v>
      </c>
      <c r="EP260" s="239">
        <v>0</v>
      </c>
      <c r="EQ260" s="239">
        <v>-24980</v>
      </c>
      <c r="ER260" s="239">
        <v>0</v>
      </c>
      <c r="ES260" s="239">
        <v>-24980</v>
      </c>
      <c r="ET260" s="239">
        <v>0</v>
      </c>
      <c r="EU260" s="239">
        <v>0</v>
      </c>
      <c r="EV260" s="239">
        <v>0</v>
      </c>
      <c r="EW260" s="239">
        <v>0</v>
      </c>
      <c r="EX260" s="239">
        <v>0</v>
      </c>
      <c r="EY260" s="239">
        <v>0</v>
      </c>
      <c r="EZ260" s="239">
        <v>0</v>
      </c>
      <c r="FA260" s="239">
        <v>0</v>
      </c>
      <c r="FB260" s="239">
        <v>0</v>
      </c>
      <c r="FC260" s="239">
        <v>53628455</v>
      </c>
      <c r="FD260" s="239">
        <v>0</v>
      </c>
      <c r="FE260" s="239">
        <v>53628455</v>
      </c>
      <c r="FF260" s="239">
        <v>37809</v>
      </c>
      <c r="FG260" s="239">
        <v>0</v>
      </c>
      <c r="FH260" s="239">
        <v>37809</v>
      </c>
      <c r="FI260" s="239">
        <v>-3664170</v>
      </c>
      <c r="FJ260" s="239">
        <v>0</v>
      </c>
      <c r="FK260" s="239">
        <v>-3664170</v>
      </c>
      <c r="FL260" s="239">
        <v>-1258250</v>
      </c>
      <c r="FM260" s="239">
        <v>0</v>
      </c>
      <c r="FN260" s="239">
        <v>-1258250</v>
      </c>
      <c r="FO260" s="239">
        <v>-171872</v>
      </c>
      <c r="FP260" s="239">
        <v>0</v>
      </c>
      <c r="FQ260" s="239">
        <v>-171872</v>
      </c>
      <c r="FR260" s="239">
        <v>-24980</v>
      </c>
      <c r="FS260" s="239">
        <v>0</v>
      </c>
      <c r="FT260" s="239">
        <v>-24980</v>
      </c>
      <c r="FU260" s="239">
        <v>0</v>
      </c>
      <c r="FV260" s="239">
        <v>0</v>
      </c>
      <c r="FW260" s="239">
        <v>0</v>
      </c>
      <c r="FX260" s="239">
        <v>-5081463</v>
      </c>
      <c r="FY260" s="239">
        <v>0</v>
      </c>
      <c r="FZ260" s="239">
        <v>-5081463</v>
      </c>
      <c r="GA260" s="239">
        <v>48546992</v>
      </c>
      <c r="GB260" s="239">
        <v>0</v>
      </c>
      <c r="GC260" s="239">
        <v>48546992</v>
      </c>
      <c r="GD260" s="214" t="s">
        <v>1190</v>
      </c>
    </row>
    <row r="261" spans="2:186" s="214" customFormat="1" x14ac:dyDescent="0.2">
      <c r="B261" s="609" t="s">
        <v>604</v>
      </c>
      <c r="C261" s="609" t="s">
        <v>603</v>
      </c>
      <c r="D261" s="239">
        <v>0</v>
      </c>
      <c r="E261" s="239">
        <v>0</v>
      </c>
      <c r="F261" s="239">
        <v>0</v>
      </c>
      <c r="G261" s="239">
        <v>17379</v>
      </c>
      <c r="H261" s="239">
        <v>0</v>
      </c>
      <c r="I261" s="239">
        <v>17379</v>
      </c>
      <c r="J261" s="239">
        <v>0</v>
      </c>
      <c r="K261" s="239">
        <v>0</v>
      </c>
      <c r="L261" s="239">
        <v>0</v>
      </c>
      <c r="M261" s="239">
        <v>57913</v>
      </c>
      <c r="N261" s="239">
        <v>0</v>
      </c>
      <c r="O261" s="239">
        <v>57913</v>
      </c>
      <c r="P261" s="239">
        <v>75292</v>
      </c>
      <c r="Q261" s="239">
        <v>0</v>
      </c>
      <c r="R261" s="239">
        <v>75292</v>
      </c>
      <c r="S261" s="239">
        <v>-3430430</v>
      </c>
      <c r="T261" s="239">
        <v>0</v>
      </c>
      <c r="U261" s="239">
        <v>-3430430</v>
      </c>
      <c r="V261" s="239">
        <v>-10165</v>
      </c>
      <c r="W261" s="239">
        <v>0</v>
      </c>
      <c r="X261" s="239">
        <v>-10165</v>
      </c>
      <c r="Y261" s="239">
        <v>-142939</v>
      </c>
      <c r="Z261" s="239">
        <v>0</v>
      </c>
      <c r="AA261" s="239">
        <v>-142939</v>
      </c>
      <c r="AB261" s="239">
        <v>-119011</v>
      </c>
      <c r="AC261" s="239">
        <v>0</v>
      </c>
      <c r="AD261" s="239">
        <v>-119011</v>
      </c>
      <c r="AE261" s="239">
        <v>-71</v>
      </c>
      <c r="AF261" s="239">
        <v>0</v>
      </c>
      <c r="AG261" s="239">
        <v>-71</v>
      </c>
      <c r="AH261" s="239">
        <v>1475917</v>
      </c>
      <c r="AI261" s="239">
        <v>0</v>
      </c>
      <c r="AJ261" s="239">
        <v>1475917</v>
      </c>
      <c r="AK261" s="239">
        <v>-20698</v>
      </c>
      <c r="AL261" s="239">
        <v>0</v>
      </c>
      <c r="AM261" s="239">
        <v>-20698</v>
      </c>
      <c r="AN261" s="239">
        <v>-3342445</v>
      </c>
      <c r="AO261" s="239">
        <v>0</v>
      </c>
      <c r="AP261" s="239">
        <v>-3342445</v>
      </c>
      <c r="AQ261" s="239">
        <v>14503</v>
      </c>
      <c r="AR261" s="239">
        <v>0</v>
      </c>
      <c r="AS261" s="239">
        <v>14503</v>
      </c>
      <c r="AT261" s="239">
        <v>-81551</v>
      </c>
      <c r="AU261" s="239">
        <v>0</v>
      </c>
      <c r="AV261" s="239">
        <v>-81551</v>
      </c>
      <c r="AW261" s="239">
        <v>0</v>
      </c>
      <c r="AX261" s="239">
        <v>0</v>
      </c>
      <c r="AY261" s="239">
        <v>0</v>
      </c>
      <c r="AZ261" s="239">
        <v>0</v>
      </c>
      <c r="BA261" s="239">
        <v>0</v>
      </c>
      <c r="BB261" s="239">
        <v>0</v>
      </c>
      <c r="BC261" s="239">
        <v>0</v>
      </c>
      <c r="BD261" s="239">
        <v>0</v>
      </c>
      <c r="BE261" s="239">
        <v>0</v>
      </c>
      <c r="BF261" s="239">
        <v>-5527643</v>
      </c>
      <c r="BG261" s="239">
        <v>0</v>
      </c>
      <c r="BH261" s="239">
        <v>-5527643</v>
      </c>
      <c r="BI261" s="239">
        <v>-2091</v>
      </c>
      <c r="BJ261" s="239">
        <v>0</v>
      </c>
      <c r="BK261" s="239">
        <v>-2091</v>
      </c>
      <c r="BL261" s="239">
        <v>0</v>
      </c>
      <c r="BM261" s="239">
        <v>0</v>
      </c>
      <c r="BN261" s="239">
        <v>0</v>
      </c>
      <c r="BO261" s="239">
        <v>-2101090</v>
      </c>
      <c r="BP261" s="239">
        <v>0</v>
      </c>
      <c r="BQ261" s="239">
        <v>-2101090</v>
      </c>
      <c r="BR261" s="239">
        <v>-174653</v>
      </c>
      <c r="BS261" s="239">
        <v>0</v>
      </c>
      <c r="BT261" s="239">
        <v>-174653</v>
      </c>
      <c r="BU261" s="239">
        <v>-2277834</v>
      </c>
      <c r="BV261" s="239">
        <v>0</v>
      </c>
      <c r="BW261" s="239">
        <v>-2277834</v>
      </c>
      <c r="BX261" s="239">
        <v>-247960</v>
      </c>
      <c r="BY261" s="239">
        <v>0</v>
      </c>
      <c r="BZ261" s="239">
        <v>-247960</v>
      </c>
      <c r="CA261" s="239">
        <v>-10186</v>
      </c>
      <c r="CB261" s="239">
        <v>0</v>
      </c>
      <c r="CC261" s="239">
        <v>-10186</v>
      </c>
      <c r="CD261" s="239">
        <v>-42091</v>
      </c>
      <c r="CE261" s="239">
        <v>0</v>
      </c>
      <c r="CF261" s="239">
        <v>-42091</v>
      </c>
      <c r="CG261" s="239">
        <v>12741</v>
      </c>
      <c r="CH261" s="239">
        <v>0</v>
      </c>
      <c r="CI261" s="239">
        <v>12741</v>
      </c>
      <c r="CJ261" s="239">
        <v>-14095</v>
      </c>
      <c r="CK261" s="239">
        <v>0</v>
      </c>
      <c r="CL261" s="239">
        <v>-14095</v>
      </c>
      <c r="CM261" s="239">
        <v>0</v>
      </c>
      <c r="CN261" s="239">
        <v>0</v>
      </c>
      <c r="CO261" s="239">
        <v>0</v>
      </c>
      <c r="CP261" s="239">
        <v>0</v>
      </c>
      <c r="CQ261" s="239">
        <v>0</v>
      </c>
      <c r="CR261" s="239">
        <v>0</v>
      </c>
      <c r="CS261" s="239">
        <v>0</v>
      </c>
      <c r="CT261" s="239">
        <v>0</v>
      </c>
      <c r="CU261" s="239">
        <v>0</v>
      </c>
      <c r="CV261" s="239">
        <v>0</v>
      </c>
      <c r="CW261" s="239">
        <v>0</v>
      </c>
      <c r="CX261" s="239">
        <v>0</v>
      </c>
      <c r="CY261" s="239">
        <v>0</v>
      </c>
      <c r="CZ261" s="239">
        <v>0</v>
      </c>
      <c r="DA261" s="239">
        <v>0</v>
      </c>
      <c r="DB261" s="239">
        <v>0</v>
      </c>
      <c r="DC261" s="239">
        <v>0</v>
      </c>
      <c r="DD261" s="239">
        <v>0</v>
      </c>
      <c r="DE261" s="239">
        <v>0</v>
      </c>
      <c r="DF261" s="239">
        <v>0</v>
      </c>
      <c r="DG261" s="239">
        <v>0</v>
      </c>
      <c r="DH261" s="239">
        <v>0</v>
      </c>
      <c r="DI261" s="239">
        <v>0</v>
      </c>
      <c r="DJ261" s="239">
        <v>-301591</v>
      </c>
      <c r="DK261" s="239">
        <v>0</v>
      </c>
      <c r="DL261" s="239">
        <v>-301591</v>
      </c>
      <c r="DM261" s="239">
        <v>0</v>
      </c>
      <c r="DN261" s="239">
        <v>0</v>
      </c>
      <c r="DO261" s="239">
        <v>0</v>
      </c>
      <c r="DP261" s="239">
        <v>0</v>
      </c>
      <c r="DQ261" s="239">
        <v>0</v>
      </c>
      <c r="DR261" s="239">
        <v>0</v>
      </c>
      <c r="DS261" s="239">
        <v>-23038</v>
      </c>
      <c r="DT261" s="239">
        <v>0</v>
      </c>
      <c r="DU261" s="239">
        <v>-23038</v>
      </c>
      <c r="DV261" s="239">
        <v>-3163</v>
      </c>
      <c r="DW261" s="239">
        <v>0</v>
      </c>
      <c r="DX261" s="239">
        <v>-3163</v>
      </c>
      <c r="DY261" s="239">
        <v>0</v>
      </c>
      <c r="DZ261" s="239">
        <v>0</v>
      </c>
      <c r="EA261" s="239">
        <v>0</v>
      </c>
      <c r="EB261" s="239">
        <v>-11359</v>
      </c>
      <c r="EC261" s="239">
        <v>0</v>
      </c>
      <c r="ED261" s="239">
        <v>-11359</v>
      </c>
      <c r="EE261" s="239">
        <v>0</v>
      </c>
      <c r="EF261" s="239">
        <v>0</v>
      </c>
      <c r="EG261" s="239">
        <v>0</v>
      </c>
      <c r="EH261" s="239">
        <v>-1492</v>
      </c>
      <c r="EI261" s="239">
        <v>0</v>
      </c>
      <c r="EJ261" s="239">
        <v>-1492</v>
      </c>
      <c r="EK261" s="239">
        <v>-2502</v>
      </c>
      <c r="EL261" s="239">
        <v>0</v>
      </c>
      <c r="EM261" s="239">
        <v>-2502</v>
      </c>
      <c r="EN261" s="239">
        <v>0</v>
      </c>
      <c r="EO261" s="239">
        <v>0</v>
      </c>
      <c r="EP261" s="239">
        <v>0</v>
      </c>
      <c r="EQ261" s="239">
        <v>-41554</v>
      </c>
      <c r="ER261" s="239">
        <v>0</v>
      </c>
      <c r="ES261" s="239">
        <v>-41554</v>
      </c>
      <c r="ET261" s="239">
        <v>0</v>
      </c>
      <c r="EU261" s="239">
        <v>0</v>
      </c>
      <c r="EV261" s="239">
        <v>0</v>
      </c>
      <c r="EW261" s="239">
        <v>0</v>
      </c>
      <c r="EX261" s="239">
        <v>0</v>
      </c>
      <c r="EY261" s="239">
        <v>0</v>
      </c>
      <c r="EZ261" s="239">
        <v>0</v>
      </c>
      <c r="FA261" s="239">
        <v>0</v>
      </c>
      <c r="FB261" s="239">
        <v>0</v>
      </c>
      <c r="FC261" s="239">
        <v>62115399</v>
      </c>
      <c r="FD261" s="239">
        <v>0</v>
      </c>
      <c r="FE261" s="239">
        <v>62115399</v>
      </c>
      <c r="FF261" s="239">
        <v>75292</v>
      </c>
      <c r="FG261" s="239">
        <v>0</v>
      </c>
      <c r="FH261" s="239">
        <v>75292</v>
      </c>
      <c r="FI261" s="239">
        <v>-5527643</v>
      </c>
      <c r="FJ261" s="239">
        <v>0</v>
      </c>
      <c r="FK261" s="239">
        <v>-5527643</v>
      </c>
      <c r="FL261" s="239">
        <v>-2277834</v>
      </c>
      <c r="FM261" s="239">
        <v>0</v>
      </c>
      <c r="FN261" s="239">
        <v>-2277834</v>
      </c>
      <c r="FO261" s="239">
        <v>-301591</v>
      </c>
      <c r="FP261" s="239">
        <v>0</v>
      </c>
      <c r="FQ261" s="239">
        <v>-301591</v>
      </c>
      <c r="FR261" s="239">
        <v>-41554</v>
      </c>
      <c r="FS261" s="239">
        <v>0</v>
      </c>
      <c r="FT261" s="239">
        <v>-41554</v>
      </c>
      <c r="FU261" s="239">
        <v>0</v>
      </c>
      <c r="FV261" s="239">
        <v>0</v>
      </c>
      <c r="FW261" s="239">
        <v>0</v>
      </c>
      <c r="FX261" s="239">
        <v>-8073330</v>
      </c>
      <c r="FY261" s="239">
        <v>0</v>
      </c>
      <c r="FZ261" s="239">
        <v>-8073330</v>
      </c>
      <c r="GA261" s="239">
        <v>54042069</v>
      </c>
      <c r="GB261" s="239">
        <v>0</v>
      </c>
      <c r="GC261" s="239">
        <v>54042069</v>
      </c>
      <c r="GD261" s="214" t="s">
        <v>1192</v>
      </c>
    </row>
    <row r="262" spans="2:186" s="214" customFormat="1" x14ac:dyDescent="0.2">
      <c r="B262" s="609" t="s">
        <v>606</v>
      </c>
      <c r="C262" s="609" t="s">
        <v>605</v>
      </c>
      <c r="D262" s="239">
        <v>0</v>
      </c>
      <c r="E262" s="239">
        <v>0</v>
      </c>
      <c r="F262" s="239">
        <v>0</v>
      </c>
      <c r="G262" s="239">
        <v>0</v>
      </c>
      <c r="H262" s="239">
        <v>0</v>
      </c>
      <c r="I262" s="239">
        <v>0</v>
      </c>
      <c r="J262" s="239">
        <v>0</v>
      </c>
      <c r="K262" s="239">
        <v>0</v>
      </c>
      <c r="L262" s="239">
        <v>0</v>
      </c>
      <c r="M262" s="239">
        <v>0</v>
      </c>
      <c r="N262" s="239">
        <v>0</v>
      </c>
      <c r="O262" s="239">
        <v>0</v>
      </c>
      <c r="P262" s="239">
        <v>0</v>
      </c>
      <c r="Q262" s="239">
        <v>0</v>
      </c>
      <c r="R262" s="239">
        <v>0</v>
      </c>
      <c r="S262" s="239">
        <v>-2577801</v>
      </c>
      <c r="T262" s="239">
        <v>0</v>
      </c>
      <c r="U262" s="239">
        <v>-2577801</v>
      </c>
      <c r="V262" s="239">
        <v>0</v>
      </c>
      <c r="W262" s="239">
        <v>0</v>
      </c>
      <c r="X262" s="239">
        <v>0</v>
      </c>
      <c r="Y262" s="239">
        <v>-114845</v>
      </c>
      <c r="Z262" s="239">
        <v>0</v>
      </c>
      <c r="AA262" s="239">
        <v>-114845</v>
      </c>
      <c r="AB262" s="239">
        <v>0</v>
      </c>
      <c r="AC262" s="239">
        <v>0</v>
      </c>
      <c r="AD262" s="239">
        <v>0</v>
      </c>
      <c r="AE262" s="239">
        <v>0</v>
      </c>
      <c r="AF262" s="239">
        <v>0</v>
      </c>
      <c r="AG262" s="239">
        <v>0</v>
      </c>
      <c r="AH262" s="239">
        <v>1257061</v>
      </c>
      <c r="AI262" s="239">
        <v>0</v>
      </c>
      <c r="AJ262" s="239">
        <v>1257061</v>
      </c>
      <c r="AK262" s="239">
        <v>-20468</v>
      </c>
      <c r="AL262" s="239">
        <v>0</v>
      </c>
      <c r="AM262" s="239">
        <v>-20468</v>
      </c>
      <c r="AN262" s="239">
        <v>-2793000</v>
      </c>
      <c r="AO262" s="239">
        <v>0</v>
      </c>
      <c r="AP262" s="239">
        <v>-2793000</v>
      </c>
      <c r="AQ262" s="239">
        <v>-41967</v>
      </c>
      <c r="AR262" s="239">
        <v>0</v>
      </c>
      <c r="AS262" s="239">
        <v>-41967</v>
      </c>
      <c r="AT262" s="239">
        <v>-76200</v>
      </c>
      <c r="AU262" s="239">
        <v>0</v>
      </c>
      <c r="AV262" s="239">
        <v>-76200</v>
      </c>
      <c r="AW262" s="239">
        <v>0</v>
      </c>
      <c r="AX262" s="239">
        <v>0</v>
      </c>
      <c r="AY262" s="239">
        <v>0</v>
      </c>
      <c r="AZ262" s="239">
        <v>-20329</v>
      </c>
      <c r="BA262" s="239">
        <v>0</v>
      </c>
      <c r="BB262" s="239">
        <v>-20329</v>
      </c>
      <c r="BC262" s="239">
        <v>-8071</v>
      </c>
      <c r="BD262" s="239">
        <v>0</v>
      </c>
      <c r="BE262" s="239">
        <v>-8071</v>
      </c>
      <c r="BF262" s="239">
        <v>-4395620</v>
      </c>
      <c r="BG262" s="239">
        <v>0</v>
      </c>
      <c r="BH262" s="239">
        <v>-4395620</v>
      </c>
      <c r="BI262" s="239">
        <v>0</v>
      </c>
      <c r="BJ262" s="239">
        <v>0</v>
      </c>
      <c r="BK262" s="239">
        <v>0</v>
      </c>
      <c r="BL262" s="239">
        <v>0</v>
      </c>
      <c r="BM262" s="239">
        <v>0</v>
      </c>
      <c r="BN262" s="239">
        <v>0</v>
      </c>
      <c r="BO262" s="239">
        <v>-1708412</v>
      </c>
      <c r="BP262" s="239">
        <v>0</v>
      </c>
      <c r="BQ262" s="239">
        <v>-1708412</v>
      </c>
      <c r="BR262" s="239">
        <v>-147600</v>
      </c>
      <c r="BS262" s="239">
        <v>0</v>
      </c>
      <c r="BT262" s="239">
        <v>-147600</v>
      </c>
      <c r="BU262" s="239">
        <v>-1856012</v>
      </c>
      <c r="BV262" s="239">
        <v>0</v>
      </c>
      <c r="BW262" s="239">
        <v>-1856012</v>
      </c>
      <c r="BX262" s="239">
        <v>-195571</v>
      </c>
      <c r="BY262" s="239">
        <v>0</v>
      </c>
      <c r="BZ262" s="239">
        <v>-195571</v>
      </c>
      <c r="CA262" s="239">
        <v>-4674</v>
      </c>
      <c r="CB262" s="239">
        <v>0</v>
      </c>
      <c r="CC262" s="239">
        <v>-4674</v>
      </c>
      <c r="CD262" s="239">
        <v>-76279</v>
      </c>
      <c r="CE262" s="239">
        <v>0</v>
      </c>
      <c r="CF262" s="239">
        <v>-76279</v>
      </c>
      <c r="CG262" s="239">
        <v>-3031</v>
      </c>
      <c r="CH262" s="239">
        <v>0</v>
      </c>
      <c r="CI262" s="239">
        <v>-3031</v>
      </c>
      <c r="CJ262" s="239">
        <v>-2892</v>
      </c>
      <c r="CK262" s="239">
        <v>0</v>
      </c>
      <c r="CL262" s="239">
        <v>-2892</v>
      </c>
      <c r="CM262" s="239">
        <v>6362</v>
      </c>
      <c r="CN262" s="239">
        <v>0</v>
      </c>
      <c r="CO262" s="239">
        <v>6362</v>
      </c>
      <c r="CP262" s="239">
        <v>-17954</v>
      </c>
      <c r="CQ262" s="239">
        <v>0</v>
      </c>
      <c r="CR262" s="239">
        <v>-17954</v>
      </c>
      <c r="CS262" s="239">
        <v>-2440</v>
      </c>
      <c r="CT262" s="239">
        <v>0</v>
      </c>
      <c r="CU262" s="239">
        <v>-2440</v>
      </c>
      <c r="CV262" s="239">
        <v>-4066</v>
      </c>
      <c r="CW262" s="239">
        <v>0</v>
      </c>
      <c r="CX262" s="239">
        <v>-4066</v>
      </c>
      <c r="CY262" s="239">
        <v>0</v>
      </c>
      <c r="CZ262" s="239">
        <v>0</v>
      </c>
      <c r="DA262" s="239">
        <v>0</v>
      </c>
      <c r="DB262" s="239">
        <v>0</v>
      </c>
      <c r="DC262" s="239">
        <v>0</v>
      </c>
      <c r="DD262" s="239">
        <v>0</v>
      </c>
      <c r="DE262" s="239">
        <v>0</v>
      </c>
      <c r="DF262" s="239">
        <v>0</v>
      </c>
      <c r="DG262" s="239">
        <v>0</v>
      </c>
      <c r="DH262" s="239">
        <v>0</v>
      </c>
      <c r="DI262" s="239">
        <v>0</v>
      </c>
      <c r="DJ262" s="239">
        <v>-300545</v>
      </c>
      <c r="DK262" s="239">
        <v>0</v>
      </c>
      <c r="DL262" s="239">
        <v>-300545</v>
      </c>
      <c r="DM262" s="239">
        <v>0</v>
      </c>
      <c r="DN262" s="239">
        <v>0</v>
      </c>
      <c r="DO262" s="239">
        <v>0</v>
      </c>
      <c r="DP262" s="239">
        <v>0</v>
      </c>
      <c r="DQ262" s="239">
        <v>0</v>
      </c>
      <c r="DR262" s="239">
        <v>0</v>
      </c>
      <c r="DS262" s="239">
        <v>-17714</v>
      </c>
      <c r="DT262" s="239">
        <v>0</v>
      </c>
      <c r="DU262" s="239">
        <v>-17714</v>
      </c>
      <c r="DV262" s="239">
        <v>-6736</v>
      </c>
      <c r="DW262" s="239">
        <v>0</v>
      </c>
      <c r="DX262" s="239">
        <v>-6736</v>
      </c>
      <c r="DY262" s="239">
        <v>0</v>
      </c>
      <c r="DZ262" s="239">
        <v>0</v>
      </c>
      <c r="EA262" s="239">
        <v>0</v>
      </c>
      <c r="EB262" s="239">
        <v>-425</v>
      </c>
      <c r="EC262" s="239">
        <v>0</v>
      </c>
      <c r="ED262" s="239">
        <v>-425</v>
      </c>
      <c r="EE262" s="239">
        <v>0</v>
      </c>
      <c r="EF262" s="239">
        <v>0</v>
      </c>
      <c r="EG262" s="239">
        <v>0</v>
      </c>
      <c r="EH262" s="239">
        <v>0</v>
      </c>
      <c r="EI262" s="239">
        <v>0</v>
      </c>
      <c r="EJ262" s="239">
        <v>0</v>
      </c>
      <c r="EK262" s="239">
        <v>-8763</v>
      </c>
      <c r="EL262" s="239">
        <v>0</v>
      </c>
      <c r="EM262" s="239">
        <v>-8763</v>
      </c>
      <c r="EN262" s="239">
        <v>438</v>
      </c>
      <c r="EO262" s="239">
        <v>0</v>
      </c>
      <c r="EP262" s="239">
        <v>438</v>
      </c>
      <c r="EQ262" s="239">
        <v>-33200</v>
      </c>
      <c r="ER262" s="239">
        <v>0</v>
      </c>
      <c r="ES262" s="239">
        <v>-33200</v>
      </c>
      <c r="ET262" s="239">
        <v>0</v>
      </c>
      <c r="EU262" s="239">
        <v>0</v>
      </c>
      <c r="EV262" s="239">
        <v>0</v>
      </c>
      <c r="EW262" s="239">
        <v>0</v>
      </c>
      <c r="EX262" s="239">
        <v>0</v>
      </c>
      <c r="EY262" s="239">
        <v>0</v>
      </c>
      <c r="EZ262" s="239">
        <v>0</v>
      </c>
      <c r="FA262" s="239">
        <v>0</v>
      </c>
      <c r="FB262" s="239">
        <v>0</v>
      </c>
      <c r="FC262" s="239">
        <v>53845222</v>
      </c>
      <c r="FD262" s="239">
        <v>0</v>
      </c>
      <c r="FE262" s="239">
        <v>53845222</v>
      </c>
      <c r="FF262" s="239">
        <v>0</v>
      </c>
      <c r="FG262" s="239">
        <v>0</v>
      </c>
      <c r="FH262" s="239">
        <v>0</v>
      </c>
      <c r="FI262" s="239">
        <v>-4395620</v>
      </c>
      <c r="FJ262" s="239">
        <v>0</v>
      </c>
      <c r="FK262" s="239">
        <v>-4395620</v>
      </c>
      <c r="FL262" s="239">
        <v>-1856012</v>
      </c>
      <c r="FM262" s="239">
        <v>0</v>
      </c>
      <c r="FN262" s="239">
        <v>-1856012</v>
      </c>
      <c r="FO262" s="239">
        <v>-300545</v>
      </c>
      <c r="FP262" s="239">
        <v>0</v>
      </c>
      <c r="FQ262" s="239">
        <v>-300545</v>
      </c>
      <c r="FR262" s="239">
        <v>-33200</v>
      </c>
      <c r="FS262" s="239">
        <v>0</v>
      </c>
      <c r="FT262" s="239">
        <v>-33200</v>
      </c>
      <c r="FU262" s="239">
        <v>0</v>
      </c>
      <c r="FV262" s="239">
        <v>0</v>
      </c>
      <c r="FW262" s="239">
        <v>0</v>
      </c>
      <c r="FX262" s="239">
        <v>-6585377</v>
      </c>
      <c r="FY262" s="239">
        <v>0</v>
      </c>
      <c r="FZ262" s="239">
        <v>-6585377</v>
      </c>
      <c r="GA262" s="239">
        <v>47259845</v>
      </c>
      <c r="GB262" s="239">
        <v>0</v>
      </c>
      <c r="GC262" s="239">
        <v>47259845</v>
      </c>
      <c r="GD262" s="214" t="s">
        <v>1190</v>
      </c>
    </row>
    <row r="263" spans="2:186" s="214" customFormat="1" x14ac:dyDescent="0.2">
      <c r="B263" s="609" t="s">
        <v>608</v>
      </c>
      <c r="C263" s="609" t="s">
        <v>607</v>
      </c>
      <c r="D263" s="239">
        <v>0</v>
      </c>
      <c r="E263" s="239">
        <v>0</v>
      </c>
      <c r="F263" s="239">
        <v>0</v>
      </c>
      <c r="G263" s="239">
        <v>19732</v>
      </c>
      <c r="H263" s="239">
        <v>0</v>
      </c>
      <c r="I263" s="239">
        <v>19732</v>
      </c>
      <c r="J263" s="239">
        <v>0</v>
      </c>
      <c r="K263" s="239">
        <v>0</v>
      </c>
      <c r="L263" s="239">
        <v>0</v>
      </c>
      <c r="M263" s="239">
        <v>-2048</v>
      </c>
      <c r="N263" s="239">
        <v>0</v>
      </c>
      <c r="O263" s="239">
        <v>-2048</v>
      </c>
      <c r="P263" s="239">
        <v>17684</v>
      </c>
      <c r="Q263" s="239">
        <v>0</v>
      </c>
      <c r="R263" s="239">
        <v>17684</v>
      </c>
      <c r="S263" s="239">
        <v>-2461251</v>
      </c>
      <c r="T263" s="239">
        <v>0</v>
      </c>
      <c r="U263" s="239">
        <v>-2461251</v>
      </c>
      <c r="V263" s="239">
        <v>0</v>
      </c>
      <c r="W263" s="239">
        <v>0</v>
      </c>
      <c r="X263" s="239">
        <v>0</v>
      </c>
      <c r="Y263" s="239">
        <v>-112047</v>
      </c>
      <c r="Z263" s="239">
        <v>0</v>
      </c>
      <c r="AA263" s="239">
        <v>-112047</v>
      </c>
      <c r="AB263" s="239">
        <v>-84537</v>
      </c>
      <c r="AC263" s="239">
        <v>0</v>
      </c>
      <c r="AD263" s="239">
        <v>-84537</v>
      </c>
      <c r="AE263" s="239">
        <v>0</v>
      </c>
      <c r="AF263" s="239">
        <v>0</v>
      </c>
      <c r="AG263" s="239">
        <v>0</v>
      </c>
      <c r="AH263" s="239">
        <v>482802</v>
      </c>
      <c r="AI263" s="239">
        <v>0</v>
      </c>
      <c r="AJ263" s="239">
        <v>482802</v>
      </c>
      <c r="AK263" s="239">
        <v>-11242</v>
      </c>
      <c r="AL263" s="239">
        <v>0</v>
      </c>
      <c r="AM263" s="239">
        <v>-11242</v>
      </c>
      <c r="AN263" s="239">
        <v>-1331518</v>
      </c>
      <c r="AO263" s="239">
        <v>0</v>
      </c>
      <c r="AP263" s="239">
        <v>-1331518</v>
      </c>
      <c r="AQ263" s="239">
        <v>-6869</v>
      </c>
      <c r="AR263" s="239">
        <v>0</v>
      </c>
      <c r="AS263" s="239">
        <v>-6869</v>
      </c>
      <c r="AT263" s="239">
        <v>-47593</v>
      </c>
      <c r="AU263" s="239">
        <v>0</v>
      </c>
      <c r="AV263" s="239">
        <v>-47593</v>
      </c>
      <c r="AW263" s="239">
        <v>0</v>
      </c>
      <c r="AX263" s="239">
        <v>0</v>
      </c>
      <c r="AY263" s="239">
        <v>0</v>
      </c>
      <c r="AZ263" s="239">
        <v>-19175</v>
      </c>
      <c r="BA263" s="239">
        <v>0</v>
      </c>
      <c r="BB263" s="239">
        <v>-19175</v>
      </c>
      <c r="BC263" s="239">
        <v>0</v>
      </c>
      <c r="BD263" s="239">
        <v>0</v>
      </c>
      <c r="BE263" s="239">
        <v>0</v>
      </c>
      <c r="BF263" s="239">
        <v>-3506893</v>
      </c>
      <c r="BG263" s="239">
        <v>0</v>
      </c>
      <c r="BH263" s="239">
        <v>-3506893</v>
      </c>
      <c r="BI263" s="239">
        <v>-28084</v>
      </c>
      <c r="BJ263" s="239">
        <v>0</v>
      </c>
      <c r="BK263" s="239">
        <v>-28084</v>
      </c>
      <c r="BL263" s="239">
        <v>866</v>
      </c>
      <c r="BM263" s="239">
        <v>0</v>
      </c>
      <c r="BN263" s="239">
        <v>866</v>
      </c>
      <c r="BO263" s="239">
        <v>-551014</v>
      </c>
      <c r="BP263" s="239">
        <v>0</v>
      </c>
      <c r="BQ263" s="239">
        <v>-551014</v>
      </c>
      <c r="BR263" s="239">
        <v>-27076</v>
      </c>
      <c r="BS263" s="239">
        <v>0</v>
      </c>
      <c r="BT263" s="239">
        <v>-27076</v>
      </c>
      <c r="BU263" s="239">
        <v>-605308</v>
      </c>
      <c r="BV263" s="239">
        <v>0</v>
      </c>
      <c r="BW263" s="239">
        <v>-605308</v>
      </c>
      <c r="BX263" s="239">
        <v>-97250</v>
      </c>
      <c r="BY263" s="239">
        <v>0</v>
      </c>
      <c r="BZ263" s="239">
        <v>-97250</v>
      </c>
      <c r="CA263" s="239">
        <v>-3017</v>
      </c>
      <c r="CB263" s="239">
        <v>0</v>
      </c>
      <c r="CC263" s="239">
        <v>-3017</v>
      </c>
      <c r="CD263" s="239">
        <v>-124127</v>
      </c>
      <c r="CE263" s="239">
        <v>0</v>
      </c>
      <c r="CF263" s="239">
        <v>-124127</v>
      </c>
      <c r="CG263" s="239">
        <v>821</v>
      </c>
      <c r="CH263" s="239">
        <v>0</v>
      </c>
      <c r="CI263" s="239">
        <v>821</v>
      </c>
      <c r="CJ263" s="239">
        <v>-2704</v>
      </c>
      <c r="CK263" s="239">
        <v>0</v>
      </c>
      <c r="CL263" s="239">
        <v>-2704</v>
      </c>
      <c r="CM263" s="239">
        <v>0</v>
      </c>
      <c r="CN263" s="239">
        <v>0</v>
      </c>
      <c r="CO263" s="239">
        <v>0</v>
      </c>
      <c r="CP263" s="239">
        <v>-13429</v>
      </c>
      <c r="CQ263" s="239">
        <v>0</v>
      </c>
      <c r="CR263" s="239">
        <v>-13429</v>
      </c>
      <c r="CS263" s="239">
        <v>-1986</v>
      </c>
      <c r="CT263" s="239">
        <v>0</v>
      </c>
      <c r="CU263" s="239">
        <v>-1986</v>
      </c>
      <c r="CV263" s="239">
        <v>0</v>
      </c>
      <c r="CW263" s="239">
        <v>0</v>
      </c>
      <c r="CX263" s="239">
        <v>0</v>
      </c>
      <c r="CY263" s="239">
        <v>0</v>
      </c>
      <c r="CZ263" s="239">
        <v>0</v>
      </c>
      <c r="DA263" s="239">
        <v>0</v>
      </c>
      <c r="DB263" s="239">
        <v>0</v>
      </c>
      <c r="DC263" s="239">
        <v>0</v>
      </c>
      <c r="DD263" s="239">
        <v>0</v>
      </c>
      <c r="DE263" s="239">
        <v>0</v>
      </c>
      <c r="DF263" s="239">
        <v>0</v>
      </c>
      <c r="DG263" s="239">
        <v>0</v>
      </c>
      <c r="DH263" s="239">
        <v>0</v>
      </c>
      <c r="DI263" s="239">
        <v>0</v>
      </c>
      <c r="DJ263" s="239">
        <v>-241692</v>
      </c>
      <c r="DK263" s="239">
        <v>0</v>
      </c>
      <c r="DL263" s="239">
        <v>-241692</v>
      </c>
      <c r="DM263" s="239">
        <v>-10405</v>
      </c>
      <c r="DN263" s="239">
        <v>0</v>
      </c>
      <c r="DO263" s="239">
        <v>-10405</v>
      </c>
      <c r="DP263" s="239">
        <v>-1259</v>
      </c>
      <c r="DQ263" s="239">
        <v>0</v>
      </c>
      <c r="DR263" s="239">
        <v>-1259</v>
      </c>
      <c r="DS263" s="239">
        <v>-10824</v>
      </c>
      <c r="DT263" s="239">
        <v>0</v>
      </c>
      <c r="DU263" s="239">
        <v>-10824</v>
      </c>
      <c r="DV263" s="239">
        <v>-691</v>
      </c>
      <c r="DW263" s="239">
        <v>0</v>
      </c>
      <c r="DX263" s="239">
        <v>-691</v>
      </c>
      <c r="DY263" s="239">
        <v>0</v>
      </c>
      <c r="DZ263" s="239">
        <v>0</v>
      </c>
      <c r="EA263" s="239">
        <v>0</v>
      </c>
      <c r="EB263" s="239">
        <v>2819</v>
      </c>
      <c r="EC263" s="239">
        <v>0</v>
      </c>
      <c r="ED263" s="239">
        <v>2819</v>
      </c>
      <c r="EE263" s="239">
        <v>0</v>
      </c>
      <c r="EF263" s="239">
        <v>0</v>
      </c>
      <c r="EG263" s="239">
        <v>0</v>
      </c>
      <c r="EH263" s="239">
        <v>0</v>
      </c>
      <c r="EI263" s="239">
        <v>0</v>
      </c>
      <c r="EJ263" s="239">
        <v>0</v>
      </c>
      <c r="EK263" s="239">
        <v>-5807</v>
      </c>
      <c r="EL263" s="239">
        <v>0</v>
      </c>
      <c r="EM263" s="239">
        <v>-5807</v>
      </c>
      <c r="EN263" s="239">
        <v>2016</v>
      </c>
      <c r="EO263" s="239">
        <v>0</v>
      </c>
      <c r="EP263" s="239">
        <v>2016</v>
      </c>
      <c r="EQ263" s="239">
        <v>-24151</v>
      </c>
      <c r="ER263" s="239">
        <v>0</v>
      </c>
      <c r="ES263" s="239">
        <v>-24151</v>
      </c>
      <c r="ET263" s="239">
        <v>-5453</v>
      </c>
      <c r="EU263" s="239">
        <v>0</v>
      </c>
      <c r="EV263" s="239">
        <v>-5453</v>
      </c>
      <c r="EW263" s="239">
        <v>0</v>
      </c>
      <c r="EX263" s="239">
        <v>0</v>
      </c>
      <c r="EY263" s="239">
        <v>0</v>
      </c>
      <c r="EZ263" s="239">
        <v>-5453</v>
      </c>
      <c r="FA263" s="239">
        <v>0</v>
      </c>
      <c r="FB263" s="239">
        <v>-5453</v>
      </c>
      <c r="FC263" s="239">
        <v>23146843</v>
      </c>
      <c r="FD263" s="239">
        <v>0</v>
      </c>
      <c r="FE263" s="239">
        <v>23146843</v>
      </c>
      <c r="FF263" s="239">
        <v>17684</v>
      </c>
      <c r="FG263" s="239">
        <v>0</v>
      </c>
      <c r="FH263" s="239">
        <v>17684</v>
      </c>
      <c r="FI263" s="239">
        <v>-3506893</v>
      </c>
      <c r="FJ263" s="239">
        <v>0</v>
      </c>
      <c r="FK263" s="239">
        <v>-3506893</v>
      </c>
      <c r="FL263" s="239">
        <v>-605308</v>
      </c>
      <c r="FM263" s="239">
        <v>0</v>
      </c>
      <c r="FN263" s="239">
        <v>-605308</v>
      </c>
      <c r="FO263" s="239">
        <v>-241692</v>
      </c>
      <c r="FP263" s="239">
        <v>0</v>
      </c>
      <c r="FQ263" s="239">
        <v>-241692</v>
      </c>
      <c r="FR263" s="239">
        <v>-24151</v>
      </c>
      <c r="FS263" s="239">
        <v>0</v>
      </c>
      <c r="FT263" s="239">
        <v>-24151</v>
      </c>
      <c r="FU263" s="239">
        <v>-5453</v>
      </c>
      <c r="FV263" s="239">
        <v>0</v>
      </c>
      <c r="FW263" s="239">
        <v>-5453</v>
      </c>
      <c r="FX263" s="239">
        <v>-4365813</v>
      </c>
      <c r="FY263" s="239">
        <v>0</v>
      </c>
      <c r="FZ263" s="239">
        <v>-4365813</v>
      </c>
      <c r="GA263" s="239">
        <v>18781030</v>
      </c>
      <c r="GB263" s="239">
        <v>0</v>
      </c>
      <c r="GC263" s="239">
        <v>18781030</v>
      </c>
      <c r="GD263" s="214" t="s">
        <v>1190</v>
      </c>
    </row>
    <row r="264" spans="2:186" s="214" customFormat="1" x14ac:dyDescent="0.2">
      <c r="B264" s="609" t="s">
        <v>610</v>
      </c>
      <c r="C264" s="609" t="s">
        <v>609</v>
      </c>
      <c r="D264" s="239">
        <v>0</v>
      </c>
      <c r="E264" s="239">
        <v>0</v>
      </c>
      <c r="F264" s="239">
        <v>0</v>
      </c>
      <c r="G264" s="239">
        <v>161880</v>
      </c>
      <c r="H264" s="239">
        <v>0</v>
      </c>
      <c r="I264" s="239">
        <v>161880</v>
      </c>
      <c r="J264" s="239">
        <v>0</v>
      </c>
      <c r="K264" s="239">
        <v>0</v>
      </c>
      <c r="L264" s="239">
        <v>0</v>
      </c>
      <c r="M264" s="239">
        <v>12883</v>
      </c>
      <c r="N264" s="239">
        <v>0</v>
      </c>
      <c r="O264" s="239">
        <v>12883</v>
      </c>
      <c r="P264" s="239">
        <v>174763</v>
      </c>
      <c r="Q264" s="239">
        <v>0</v>
      </c>
      <c r="R264" s="239">
        <v>174763</v>
      </c>
      <c r="S264" s="239">
        <v>-982737</v>
      </c>
      <c r="T264" s="239">
        <v>0</v>
      </c>
      <c r="U264" s="239">
        <v>-982737</v>
      </c>
      <c r="V264" s="239">
        <v>0</v>
      </c>
      <c r="W264" s="239">
        <v>0</v>
      </c>
      <c r="X264" s="239">
        <v>0</v>
      </c>
      <c r="Y264" s="239">
        <v>-32410</v>
      </c>
      <c r="Z264" s="239">
        <v>0</v>
      </c>
      <c r="AA264" s="239">
        <v>-32410</v>
      </c>
      <c r="AB264" s="239">
        <v>0</v>
      </c>
      <c r="AC264" s="239">
        <v>0</v>
      </c>
      <c r="AD264" s="239">
        <v>0</v>
      </c>
      <c r="AE264" s="239">
        <v>0</v>
      </c>
      <c r="AF264" s="239">
        <v>0</v>
      </c>
      <c r="AG264" s="239">
        <v>0</v>
      </c>
      <c r="AH264" s="239">
        <v>1339685</v>
      </c>
      <c r="AI264" s="239">
        <v>0</v>
      </c>
      <c r="AJ264" s="239">
        <v>1339685</v>
      </c>
      <c r="AK264" s="239">
        <v>-39874</v>
      </c>
      <c r="AL264" s="239">
        <v>0</v>
      </c>
      <c r="AM264" s="239">
        <v>-39874</v>
      </c>
      <c r="AN264" s="239">
        <v>-1962939</v>
      </c>
      <c r="AO264" s="239">
        <v>0</v>
      </c>
      <c r="AP264" s="239">
        <v>-1962939</v>
      </c>
      <c r="AQ264" s="239">
        <v>36314</v>
      </c>
      <c r="AR264" s="239">
        <v>0</v>
      </c>
      <c r="AS264" s="239">
        <v>36314</v>
      </c>
      <c r="AT264" s="239">
        <v>-4075</v>
      </c>
      <c r="AU264" s="239">
        <v>0</v>
      </c>
      <c r="AV264" s="239">
        <v>-4075</v>
      </c>
      <c r="AW264" s="239">
        <v>0</v>
      </c>
      <c r="AX264" s="239">
        <v>0</v>
      </c>
      <c r="AY264" s="239">
        <v>0</v>
      </c>
      <c r="AZ264" s="239">
        <v>0</v>
      </c>
      <c r="BA264" s="239">
        <v>0</v>
      </c>
      <c r="BB264" s="239">
        <v>0</v>
      </c>
      <c r="BC264" s="239">
        <v>0</v>
      </c>
      <c r="BD264" s="239">
        <v>0</v>
      </c>
      <c r="BE264" s="239">
        <v>0</v>
      </c>
      <c r="BF264" s="239">
        <v>-1646036</v>
      </c>
      <c r="BG264" s="239">
        <v>0</v>
      </c>
      <c r="BH264" s="239">
        <v>-1646036</v>
      </c>
      <c r="BI264" s="239">
        <v>-18075</v>
      </c>
      <c r="BJ264" s="239">
        <v>0</v>
      </c>
      <c r="BK264" s="239">
        <v>-18075</v>
      </c>
      <c r="BL264" s="239">
        <v>23343</v>
      </c>
      <c r="BM264" s="239">
        <v>0</v>
      </c>
      <c r="BN264" s="239">
        <v>23343</v>
      </c>
      <c r="BO264" s="239">
        <v>-1793997</v>
      </c>
      <c r="BP264" s="239">
        <v>0</v>
      </c>
      <c r="BQ264" s="239">
        <v>-1793997</v>
      </c>
      <c r="BR264" s="239">
        <v>114565</v>
      </c>
      <c r="BS264" s="239">
        <v>0</v>
      </c>
      <c r="BT264" s="239">
        <v>114565</v>
      </c>
      <c r="BU264" s="239">
        <v>-1674164</v>
      </c>
      <c r="BV264" s="239">
        <v>0</v>
      </c>
      <c r="BW264" s="239">
        <v>-1674164</v>
      </c>
      <c r="BX264" s="239">
        <v>-128908</v>
      </c>
      <c r="BY264" s="239">
        <v>0</v>
      </c>
      <c r="BZ264" s="239">
        <v>-128908</v>
      </c>
      <c r="CA264" s="239">
        <v>-2601</v>
      </c>
      <c r="CB264" s="239">
        <v>0</v>
      </c>
      <c r="CC264" s="239">
        <v>-2601</v>
      </c>
      <c r="CD264" s="239">
        <v>-16674</v>
      </c>
      <c r="CE264" s="239">
        <v>0</v>
      </c>
      <c r="CF264" s="239">
        <v>-16674</v>
      </c>
      <c r="CG264" s="239">
        <v>0</v>
      </c>
      <c r="CH264" s="239">
        <v>0</v>
      </c>
      <c r="CI264" s="239">
        <v>0</v>
      </c>
      <c r="CJ264" s="239">
        <v>-1019</v>
      </c>
      <c r="CK264" s="239">
        <v>0</v>
      </c>
      <c r="CL264" s="239">
        <v>-1019</v>
      </c>
      <c r="CM264" s="239">
        <v>0</v>
      </c>
      <c r="CN264" s="239">
        <v>0</v>
      </c>
      <c r="CO264" s="239">
        <v>0</v>
      </c>
      <c r="CP264" s="239">
        <v>0</v>
      </c>
      <c r="CQ264" s="239">
        <v>0</v>
      </c>
      <c r="CR264" s="239">
        <v>0</v>
      </c>
      <c r="CS264" s="239">
        <v>0</v>
      </c>
      <c r="CT264" s="239">
        <v>0</v>
      </c>
      <c r="CU264" s="239">
        <v>0</v>
      </c>
      <c r="CV264" s="239">
        <v>0</v>
      </c>
      <c r="CW264" s="239">
        <v>0</v>
      </c>
      <c r="CX264" s="239">
        <v>0</v>
      </c>
      <c r="CY264" s="239">
        <v>0</v>
      </c>
      <c r="CZ264" s="239">
        <v>0</v>
      </c>
      <c r="DA264" s="239">
        <v>0</v>
      </c>
      <c r="DB264" s="239">
        <v>0</v>
      </c>
      <c r="DC264" s="239">
        <v>0</v>
      </c>
      <c r="DD264" s="239">
        <v>0</v>
      </c>
      <c r="DE264" s="239">
        <v>0</v>
      </c>
      <c r="DF264" s="239">
        <v>0</v>
      </c>
      <c r="DG264" s="239">
        <v>0</v>
      </c>
      <c r="DH264" s="239">
        <v>0</v>
      </c>
      <c r="DI264" s="239">
        <v>0</v>
      </c>
      <c r="DJ264" s="239">
        <v>-149202</v>
      </c>
      <c r="DK264" s="239">
        <v>0</v>
      </c>
      <c r="DL264" s="239">
        <v>-149202</v>
      </c>
      <c r="DM264" s="239">
        <v>-76473</v>
      </c>
      <c r="DN264" s="239">
        <v>0</v>
      </c>
      <c r="DO264" s="239">
        <v>-76473</v>
      </c>
      <c r="DP264" s="239">
        <v>0</v>
      </c>
      <c r="DQ264" s="239">
        <v>0</v>
      </c>
      <c r="DR264" s="239">
        <v>0</v>
      </c>
      <c r="DS264" s="239">
        <v>-22421</v>
      </c>
      <c r="DT264" s="239">
        <v>0</v>
      </c>
      <c r="DU264" s="239">
        <v>-22421</v>
      </c>
      <c r="DV264" s="239">
        <v>0</v>
      </c>
      <c r="DW264" s="239">
        <v>0</v>
      </c>
      <c r="DX264" s="239">
        <v>0</v>
      </c>
      <c r="DY264" s="239">
        <v>0</v>
      </c>
      <c r="DZ264" s="239">
        <v>0</v>
      </c>
      <c r="EA264" s="239">
        <v>0</v>
      </c>
      <c r="EB264" s="239">
        <v>-11705</v>
      </c>
      <c r="EC264" s="239">
        <v>0</v>
      </c>
      <c r="ED264" s="239">
        <v>-11705</v>
      </c>
      <c r="EE264" s="239">
        <v>0</v>
      </c>
      <c r="EF264" s="239">
        <v>0</v>
      </c>
      <c r="EG264" s="239">
        <v>0</v>
      </c>
      <c r="EH264" s="239">
        <v>0</v>
      </c>
      <c r="EI264" s="239">
        <v>0</v>
      </c>
      <c r="EJ264" s="239">
        <v>0</v>
      </c>
      <c r="EK264" s="239">
        <v>-4570</v>
      </c>
      <c r="EL264" s="239">
        <v>0</v>
      </c>
      <c r="EM264" s="239">
        <v>-4570</v>
      </c>
      <c r="EN264" s="239">
        <v>0</v>
      </c>
      <c r="EO264" s="239">
        <v>0</v>
      </c>
      <c r="EP264" s="239">
        <v>0</v>
      </c>
      <c r="EQ264" s="239">
        <v>-115169</v>
      </c>
      <c r="ER264" s="239">
        <v>0</v>
      </c>
      <c r="ES264" s="239">
        <v>-115169</v>
      </c>
      <c r="ET264" s="239">
        <v>0</v>
      </c>
      <c r="EU264" s="239">
        <v>0</v>
      </c>
      <c r="EV264" s="239">
        <v>0</v>
      </c>
      <c r="EW264" s="239">
        <v>0</v>
      </c>
      <c r="EX264" s="239">
        <v>0</v>
      </c>
      <c r="EY264" s="239">
        <v>0</v>
      </c>
      <c r="EZ264" s="239">
        <v>0</v>
      </c>
      <c r="FA264" s="239">
        <v>0</v>
      </c>
      <c r="FB264" s="239">
        <v>0</v>
      </c>
      <c r="FC264" s="239">
        <v>51954217</v>
      </c>
      <c r="FD264" s="239">
        <v>0</v>
      </c>
      <c r="FE264" s="239">
        <v>51954217</v>
      </c>
      <c r="FF264" s="239">
        <v>174763</v>
      </c>
      <c r="FG264" s="239">
        <v>0</v>
      </c>
      <c r="FH264" s="239">
        <v>174763</v>
      </c>
      <c r="FI264" s="239">
        <v>-1646036</v>
      </c>
      <c r="FJ264" s="239">
        <v>0</v>
      </c>
      <c r="FK264" s="239">
        <v>-1646036</v>
      </c>
      <c r="FL264" s="239">
        <v>-1674164</v>
      </c>
      <c r="FM264" s="239">
        <v>0</v>
      </c>
      <c r="FN264" s="239">
        <v>-1674164</v>
      </c>
      <c r="FO264" s="239">
        <v>-149202</v>
      </c>
      <c r="FP264" s="239">
        <v>0</v>
      </c>
      <c r="FQ264" s="239">
        <v>-149202</v>
      </c>
      <c r="FR264" s="239">
        <v>-115169</v>
      </c>
      <c r="FS264" s="239">
        <v>0</v>
      </c>
      <c r="FT264" s="239">
        <v>-115169</v>
      </c>
      <c r="FU264" s="239">
        <v>0</v>
      </c>
      <c r="FV264" s="239">
        <v>0</v>
      </c>
      <c r="FW264" s="239">
        <v>0</v>
      </c>
      <c r="FX264" s="239">
        <v>-3409808</v>
      </c>
      <c r="FY264" s="239">
        <v>0</v>
      </c>
      <c r="FZ264" s="239">
        <v>-3409808</v>
      </c>
      <c r="GA264" s="239">
        <v>48544409</v>
      </c>
      <c r="GB264" s="239">
        <v>0</v>
      </c>
      <c r="GC264" s="239">
        <v>48544409</v>
      </c>
      <c r="GD264" s="214" t="s">
        <v>1190</v>
      </c>
    </row>
    <row r="265" spans="2:186" s="214" customFormat="1" x14ac:dyDescent="0.2">
      <c r="B265" s="609" t="s">
        <v>612</v>
      </c>
      <c r="C265" s="609" t="s">
        <v>611</v>
      </c>
      <c r="D265" s="239">
        <v>0</v>
      </c>
      <c r="E265" s="239">
        <v>0</v>
      </c>
      <c r="F265" s="239">
        <v>0</v>
      </c>
      <c r="G265" s="239">
        <v>24175</v>
      </c>
      <c r="H265" s="239">
        <v>0</v>
      </c>
      <c r="I265" s="239">
        <v>24175</v>
      </c>
      <c r="J265" s="239">
        <v>0</v>
      </c>
      <c r="K265" s="239">
        <v>0</v>
      </c>
      <c r="L265" s="239">
        <v>0</v>
      </c>
      <c r="M265" s="239">
        <v>56974</v>
      </c>
      <c r="N265" s="239">
        <v>0</v>
      </c>
      <c r="O265" s="239">
        <v>56974</v>
      </c>
      <c r="P265" s="239">
        <v>81149</v>
      </c>
      <c r="Q265" s="239">
        <v>0</v>
      </c>
      <c r="R265" s="239">
        <v>81149</v>
      </c>
      <c r="S265" s="239">
        <v>-7573946</v>
      </c>
      <c r="T265" s="239">
        <v>0</v>
      </c>
      <c r="U265" s="239">
        <v>-7573946</v>
      </c>
      <c r="V265" s="239">
        <v>-10145</v>
      </c>
      <c r="W265" s="239">
        <v>0</v>
      </c>
      <c r="X265" s="239">
        <v>-10145</v>
      </c>
      <c r="Y265" s="239">
        <v>-407102</v>
      </c>
      <c r="Z265" s="239">
        <v>0</v>
      </c>
      <c r="AA265" s="239">
        <v>-407102</v>
      </c>
      <c r="AB265" s="239">
        <v>-304430</v>
      </c>
      <c r="AC265" s="239">
        <v>0</v>
      </c>
      <c r="AD265" s="239">
        <v>-304430</v>
      </c>
      <c r="AE265" s="239">
        <v>13411</v>
      </c>
      <c r="AF265" s="239">
        <v>0</v>
      </c>
      <c r="AG265" s="239">
        <v>13411</v>
      </c>
      <c r="AH265" s="239">
        <v>2568025</v>
      </c>
      <c r="AI265" s="239">
        <v>0</v>
      </c>
      <c r="AJ265" s="239">
        <v>2568025</v>
      </c>
      <c r="AK265" s="239">
        <v>-26299</v>
      </c>
      <c r="AL265" s="239">
        <v>0</v>
      </c>
      <c r="AM265" s="239">
        <v>-26299</v>
      </c>
      <c r="AN265" s="239">
        <v>-4583081</v>
      </c>
      <c r="AO265" s="239">
        <v>0</v>
      </c>
      <c r="AP265" s="239">
        <v>-4583081</v>
      </c>
      <c r="AQ265" s="239">
        <v>-64540</v>
      </c>
      <c r="AR265" s="239">
        <v>0</v>
      </c>
      <c r="AS265" s="239">
        <v>-64540</v>
      </c>
      <c r="AT265" s="239">
        <v>-252804</v>
      </c>
      <c r="AU265" s="239">
        <v>0</v>
      </c>
      <c r="AV265" s="239">
        <v>-252804</v>
      </c>
      <c r="AW265" s="239">
        <v>0</v>
      </c>
      <c r="AX265" s="239">
        <v>0</v>
      </c>
      <c r="AY265" s="239">
        <v>0</v>
      </c>
      <c r="AZ265" s="239">
        <v>0</v>
      </c>
      <c r="BA265" s="239">
        <v>0</v>
      </c>
      <c r="BB265" s="239">
        <v>0</v>
      </c>
      <c r="BC265" s="239">
        <v>0</v>
      </c>
      <c r="BD265" s="239">
        <v>0</v>
      </c>
      <c r="BE265" s="239">
        <v>0</v>
      </c>
      <c r="BF265" s="239">
        <v>-10339747</v>
      </c>
      <c r="BG265" s="239">
        <v>0</v>
      </c>
      <c r="BH265" s="239">
        <v>-10339747</v>
      </c>
      <c r="BI265" s="239">
        <v>-6191</v>
      </c>
      <c r="BJ265" s="239">
        <v>0</v>
      </c>
      <c r="BK265" s="239">
        <v>-6191</v>
      </c>
      <c r="BL265" s="239">
        <v>-18238</v>
      </c>
      <c r="BM265" s="239">
        <v>0</v>
      </c>
      <c r="BN265" s="239">
        <v>-18238</v>
      </c>
      <c r="BO265" s="239">
        <v>-4432795</v>
      </c>
      <c r="BP265" s="239">
        <v>0</v>
      </c>
      <c r="BQ265" s="239">
        <v>-4432795</v>
      </c>
      <c r="BR265" s="239">
        <v>-258918</v>
      </c>
      <c r="BS265" s="239">
        <v>0</v>
      </c>
      <c r="BT265" s="239">
        <v>-258918</v>
      </c>
      <c r="BU265" s="239">
        <v>-4716142</v>
      </c>
      <c r="BV265" s="239">
        <v>0</v>
      </c>
      <c r="BW265" s="239">
        <v>-4716142</v>
      </c>
      <c r="BX265" s="239">
        <v>0</v>
      </c>
      <c r="BY265" s="239">
        <v>0</v>
      </c>
      <c r="BZ265" s="239">
        <v>0</v>
      </c>
      <c r="CA265" s="239">
        <v>0</v>
      </c>
      <c r="CB265" s="239">
        <v>0</v>
      </c>
      <c r="CC265" s="239">
        <v>0</v>
      </c>
      <c r="CD265" s="239">
        <v>-81022</v>
      </c>
      <c r="CE265" s="239">
        <v>0</v>
      </c>
      <c r="CF265" s="239">
        <v>-81022</v>
      </c>
      <c r="CG265" s="239">
        <v>9012</v>
      </c>
      <c r="CH265" s="239">
        <v>0</v>
      </c>
      <c r="CI265" s="239">
        <v>9012</v>
      </c>
      <c r="CJ265" s="239">
        <v>-22251</v>
      </c>
      <c r="CK265" s="239">
        <v>0</v>
      </c>
      <c r="CL265" s="239">
        <v>-22251</v>
      </c>
      <c r="CM265" s="239">
        <v>0</v>
      </c>
      <c r="CN265" s="239">
        <v>0</v>
      </c>
      <c r="CO265" s="239">
        <v>0</v>
      </c>
      <c r="CP265" s="239">
        <v>0</v>
      </c>
      <c r="CQ265" s="239">
        <v>0</v>
      </c>
      <c r="CR265" s="239">
        <v>0</v>
      </c>
      <c r="CS265" s="239">
        <v>0</v>
      </c>
      <c r="CT265" s="239">
        <v>0</v>
      </c>
      <c r="CU265" s="239">
        <v>0</v>
      </c>
      <c r="CV265" s="239">
        <v>0</v>
      </c>
      <c r="CW265" s="239">
        <v>0</v>
      </c>
      <c r="CX265" s="239">
        <v>0</v>
      </c>
      <c r="CY265" s="239">
        <v>0</v>
      </c>
      <c r="CZ265" s="239">
        <v>0</v>
      </c>
      <c r="DA265" s="239">
        <v>0</v>
      </c>
      <c r="DB265" s="239">
        <v>-10493</v>
      </c>
      <c r="DC265" s="239">
        <v>0</v>
      </c>
      <c r="DD265" s="239">
        <v>-10493</v>
      </c>
      <c r="DE265" s="239">
        <v>0</v>
      </c>
      <c r="DF265" s="239">
        <v>0</v>
      </c>
      <c r="DG265" s="239">
        <v>0</v>
      </c>
      <c r="DH265" s="239">
        <v>0</v>
      </c>
      <c r="DI265" s="239">
        <v>0</v>
      </c>
      <c r="DJ265" s="239">
        <v>-104754</v>
      </c>
      <c r="DK265" s="239">
        <v>0</v>
      </c>
      <c r="DL265" s="239">
        <v>-104754</v>
      </c>
      <c r="DM265" s="239">
        <v>-8049</v>
      </c>
      <c r="DN265" s="239">
        <v>0</v>
      </c>
      <c r="DO265" s="239">
        <v>-8049</v>
      </c>
      <c r="DP265" s="239">
        <v>-75</v>
      </c>
      <c r="DQ265" s="239">
        <v>0</v>
      </c>
      <c r="DR265" s="239">
        <v>-75</v>
      </c>
      <c r="DS265" s="239">
        <v>-63958</v>
      </c>
      <c r="DT265" s="239">
        <v>0</v>
      </c>
      <c r="DU265" s="239">
        <v>-63958</v>
      </c>
      <c r="DV265" s="239">
        <v>-16939</v>
      </c>
      <c r="DW265" s="239">
        <v>0</v>
      </c>
      <c r="DX265" s="239">
        <v>-16939</v>
      </c>
      <c r="DY265" s="239">
        <v>0</v>
      </c>
      <c r="DZ265" s="239">
        <v>0</v>
      </c>
      <c r="EA265" s="239">
        <v>0</v>
      </c>
      <c r="EB265" s="239">
        <v>-9620</v>
      </c>
      <c r="EC265" s="239">
        <v>0</v>
      </c>
      <c r="ED265" s="239">
        <v>-9620</v>
      </c>
      <c r="EE265" s="239">
        <v>0</v>
      </c>
      <c r="EF265" s="239">
        <v>0</v>
      </c>
      <c r="EG265" s="239">
        <v>0</v>
      </c>
      <c r="EH265" s="239">
        <v>0</v>
      </c>
      <c r="EI265" s="239">
        <v>0</v>
      </c>
      <c r="EJ265" s="239">
        <v>0</v>
      </c>
      <c r="EK265" s="239">
        <v>-4571</v>
      </c>
      <c r="EL265" s="239">
        <v>0</v>
      </c>
      <c r="EM265" s="239">
        <v>-4571</v>
      </c>
      <c r="EN265" s="239">
        <v>5</v>
      </c>
      <c r="EO265" s="239">
        <v>0</v>
      </c>
      <c r="EP265" s="239">
        <v>5</v>
      </c>
      <c r="EQ265" s="239">
        <v>-103207</v>
      </c>
      <c r="ER265" s="239">
        <v>0</v>
      </c>
      <c r="ES265" s="239">
        <v>-103207</v>
      </c>
      <c r="ET265" s="239">
        <v>0</v>
      </c>
      <c r="EU265" s="239">
        <v>0</v>
      </c>
      <c r="EV265" s="239">
        <v>0</v>
      </c>
      <c r="EW265" s="239">
        <v>0</v>
      </c>
      <c r="EX265" s="239">
        <v>0</v>
      </c>
      <c r="EY265" s="239">
        <v>0</v>
      </c>
      <c r="EZ265" s="239">
        <v>0</v>
      </c>
      <c r="FA265" s="239">
        <v>0</v>
      </c>
      <c r="FB265" s="239">
        <v>0</v>
      </c>
      <c r="FC265" s="239">
        <v>113965210</v>
      </c>
      <c r="FD265" s="239">
        <v>0</v>
      </c>
      <c r="FE265" s="239">
        <v>113965210</v>
      </c>
      <c r="FF265" s="239">
        <v>81149</v>
      </c>
      <c r="FG265" s="239">
        <v>0</v>
      </c>
      <c r="FH265" s="239">
        <v>81149</v>
      </c>
      <c r="FI265" s="239">
        <v>-10339747</v>
      </c>
      <c r="FJ265" s="239">
        <v>0</v>
      </c>
      <c r="FK265" s="239">
        <v>-10339747</v>
      </c>
      <c r="FL265" s="239">
        <v>-4716142</v>
      </c>
      <c r="FM265" s="239">
        <v>0</v>
      </c>
      <c r="FN265" s="239">
        <v>-4716142</v>
      </c>
      <c r="FO265" s="239">
        <v>-104754</v>
      </c>
      <c r="FP265" s="239">
        <v>0</v>
      </c>
      <c r="FQ265" s="239">
        <v>-104754</v>
      </c>
      <c r="FR265" s="239">
        <v>-103207</v>
      </c>
      <c r="FS265" s="239">
        <v>0</v>
      </c>
      <c r="FT265" s="239">
        <v>-103207</v>
      </c>
      <c r="FU265" s="239">
        <v>0</v>
      </c>
      <c r="FV265" s="239">
        <v>0</v>
      </c>
      <c r="FW265" s="239">
        <v>0</v>
      </c>
      <c r="FX265" s="239">
        <v>-15182701</v>
      </c>
      <c r="FY265" s="239">
        <v>0</v>
      </c>
      <c r="FZ265" s="239">
        <v>-15182701</v>
      </c>
      <c r="GA265" s="239">
        <v>98782509</v>
      </c>
      <c r="GB265" s="239">
        <v>0</v>
      </c>
      <c r="GC265" s="239">
        <v>98782509</v>
      </c>
      <c r="GD265" s="214" t="s">
        <v>1192</v>
      </c>
    </row>
    <row r="266" spans="2:186" s="214" customFormat="1" x14ac:dyDescent="0.2">
      <c r="B266" s="609" t="s">
        <v>614</v>
      </c>
      <c r="C266" s="609" t="s">
        <v>613</v>
      </c>
      <c r="D266" s="239">
        <v>0</v>
      </c>
      <c r="E266" s="239">
        <v>0</v>
      </c>
      <c r="F266" s="239">
        <v>0</v>
      </c>
      <c r="G266" s="239">
        <v>188128</v>
      </c>
      <c r="H266" s="239">
        <v>0</v>
      </c>
      <c r="I266" s="239">
        <v>188128</v>
      </c>
      <c r="J266" s="239">
        <v>0</v>
      </c>
      <c r="K266" s="239">
        <v>0</v>
      </c>
      <c r="L266" s="239">
        <v>0</v>
      </c>
      <c r="M266" s="239">
        <v>83225</v>
      </c>
      <c r="N266" s="239">
        <v>0</v>
      </c>
      <c r="O266" s="239">
        <v>83225</v>
      </c>
      <c r="P266" s="239">
        <v>271353</v>
      </c>
      <c r="Q266" s="239">
        <v>0</v>
      </c>
      <c r="R266" s="239">
        <v>271353</v>
      </c>
      <c r="S266" s="239">
        <v>-3193037</v>
      </c>
      <c r="T266" s="239">
        <v>0</v>
      </c>
      <c r="U266" s="239">
        <v>-3193037</v>
      </c>
      <c r="V266" s="239">
        <v>0</v>
      </c>
      <c r="W266" s="239">
        <v>0</v>
      </c>
      <c r="X266" s="239">
        <v>0</v>
      </c>
      <c r="Y266" s="239">
        <v>-116630</v>
      </c>
      <c r="Z266" s="239">
        <v>0</v>
      </c>
      <c r="AA266" s="239">
        <v>-116630</v>
      </c>
      <c r="AB266" s="239">
        <v>-116630</v>
      </c>
      <c r="AC266" s="239">
        <v>0</v>
      </c>
      <c r="AD266" s="239">
        <v>-116630</v>
      </c>
      <c r="AE266" s="239">
        <v>0</v>
      </c>
      <c r="AF266" s="239">
        <v>0</v>
      </c>
      <c r="AG266" s="239">
        <v>0</v>
      </c>
      <c r="AH266" s="239">
        <v>2333627</v>
      </c>
      <c r="AI266" s="239">
        <v>7982</v>
      </c>
      <c r="AJ266" s="239">
        <v>2341609</v>
      </c>
      <c r="AK266" s="239">
        <v>-47921</v>
      </c>
      <c r="AL266" s="239">
        <v>0</v>
      </c>
      <c r="AM266" s="239">
        <v>-47921</v>
      </c>
      <c r="AN266" s="239">
        <v>-4531257</v>
      </c>
      <c r="AO266" s="239">
        <v>0</v>
      </c>
      <c r="AP266" s="239">
        <v>-4531257</v>
      </c>
      <c r="AQ266" s="239">
        <v>-28254</v>
      </c>
      <c r="AR266" s="239">
        <v>0</v>
      </c>
      <c r="AS266" s="239">
        <v>-28254</v>
      </c>
      <c r="AT266" s="239">
        <v>-36666</v>
      </c>
      <c r="AU266" s="239">
        <v>0</v>
      </c>
      <c r="AV266" s="239">
        <v>-36666</v>
      </c>
      <c r="AW266" s="239">
        <v>-354</v>
      </c>
      <c r="AX266" s="239">
        <v>0</v>
      </c>
      <c r="AY266" s="239">
        <v>-354</v>
      </c>
      <c r="AZ266" s="239">
        <v>-11431</v>
      </c>
      <c r="BA266" s="239">
        <v>0</v>
      </c>
      <c r="BB266" s="239">
        <v>-11431</v>
      </c>
      <c r="BC266" s="239">
        <v>-2958</v>
      </c>
      <c r="BD266" s="239">
        <v>0</v>
      </c>
      <c r="BE266" s="239">
        <v>-2958</v>
      </c>
      <c r="BF266" s="239">
        <v>-5634881</v>
      </c>
      <c r="BG266" s="239">
        <v>7982</v>
      </c>
      <c r="BH266" s="239">
        <v>-5626899</v>
      </c>
      <c r="BI266" s="239">
        <v>-8709</v>
      </c>
      <c r="BJ266" s="239">
        <v>0</v>
      </c>
      <c r="BK266" s="239">
        <v>-8709</v>
      </c>
      <c r="BL266" s="239">
        <v>75945</v>
      </c>
      <c r="BM266" s="239">
        <v>0</v>
      </c>
      <c r="BN266" s="239">
        <v>75945</v>
      </c>
      <c r="BO266" s="239">
        <v>-2662230</v>
      </c>
      <c r="BP266" s="239">
        <v>-77341</v>
      </c>
      <c r="BQ266" s="239">
        <v>-2739571</v>
      </c>
      <c r="BR266" s="239">
        <v>-283607</v>
      </c>
      <c r="BS266" s="239">
        <v>0</v>
      </c>
      <c r="BT266" s="239">
        <v>-283607</v>
      </c>
      <c r="BU266" s="239">
        <v>-2878601</v>
      </c>
      <c r="BV266" s="239">
        <v>-77341</v>
      </c>
      <c r="BW266" s="239">
        <v>-2955942</v>
      </c>
      <c r="BX266" s="239">
        <v>-183888</v>
      </c>
      <c r="BY266" s="239">
        <v>0</v>
      </c>
      <c r="BZ266" s="239">
        <v>-183888</v>
      </c>
      <c r="CA266" s="239">
        <v>-82</v>
      </c>
      <c r="CB266" s="239">
        <v>0</v>
      </c>
      <c r="CC266" s="239">
        <v>-82</v>
      </c>
      <c r="CD266" s="239">
        <v>-93267</v>
      </c>
      <c r="CE266" s="239">
        <v>0</v>
      </c>
      <c r="CF266" s="239">
        <v>-93267</v>
      </c>
      <c r="CG266" s="239">
        <v>-154.06</v>
      </c>
      <c r="CH266" s="239">
        <v>0</v>
      </c>
      <c r="CI266" s="239">
        <v>-154.06</v>
      </c>
      <c r="CJ266" s="239">
        <v>-9151</v>
      </c>
      <c r="CK266" s="239">
        <v>0</v>
      </c>
      <c r="CL266" s="239">
        <v>-9151</v>
      </c>
      <c r="CM266" s="239">
        <v>0</v>
      </c>
      <c r="CN266" s="239">
        <v>0</v>
      </c>
      <c r="CO266" s="239">
        <v>0</v>
      </c>
      <c r="CP266" s="239">
        <v>-8449</v>
      </c>
      <c r="CQ266" s="239">
        <v>0</v>
      </c>
      <c r="CR266" s="239">
        <v>-8449</v>
      </c>
      <c r="CS266" s="239">
        <v>0</v>
      </c>
      <c r="CT266" s="239">
        <v>0</v>
      </c>
      <c r="CU266" s="239">
        <v>0</v>
      </c>
      <c r="CV266" s="239">
        <v>0</v>
      </c>
      <c r="CW266" s="239">
        <v>0</v>
      </c>
      <c r="CX266" s="239">
        <v>0</v>
      </c>
      <c r="CY266" s="239">
        <v>0</v>
      </c>
      <c r="CZ266" s="239">
        <v>0</v>
      </c>
      <c r="DA266" s="239">
        <v>0</v>
      </c>
      <c r="DB266" s="239">
        <v>-119435</v>
      </c>
      <c r="DC266" s="239">
        <v>-135606</v>
      </c>
      <c r="DD266" s="239">
        <v>-255041</v>
      </c>
      <c r="DE266" s="239">
        <v>-9338</v>
      </c>
      <c r="DF266" s="239">
        <v>0</v>
      </c>
      <c r="DG266" s="239">
        <v>-9338</v>
      </c>
      <c r="DH266" s="239">
        <v>-37672</v>
      </c>
      <c r="DI266" s="239">
        <v>-97934</v>
      </c>
      <c r="DJ266" s="239">
        <v>-423764</v>
      </c>
      <c r="DK266" s="239">
        <v>-135606</v>
      </c>
      <c r="DL266" s="239">
        <v>-559370</v>
      </c>
      <c r="DM266" s="239">
        <v>-66735</v>
      </c>
      <c r="DN266" s="239">
        <v>0</v>
      </c>
      <c r="DO266" s="239">
        <v>-66735</v>
      </c>
      <c r="DP266" s="239">
        <v>341</v>
      </c>
      <c r="DQ266" s="239">
        <v>0</v>
      </c>
      <c r="DR266" s="239">
        <v>341</v>
      </c>
      <c r="DS266" s="239">
        <v>-23380</v>
      </c>
      <c r="DT266" s="239">
        <v>0</v>
      </c>
      <c r="DU266" s="239">
        <v>-23380</v>
      </c>
      <c r="DV266" s="239">
        <v>-748</v>
      </c>
      <c r="DW266" s="239">
        <v>0</v>
      </c>
      <c r="DX266" s="239">
        <v>-748</v>
      </c>
      <c r="DY266" s="239">
        <v>0</v>
      </c>
      <c r="DZ266" s="239">
        <v>0</v>
      </c>
      <c r="EA266" s="239">
        <v>0</v>
      </c>
      <c r="EB266" s="239">
        <v>21113</v>
      </c>
      <c r="EC266" s="239">
        <v>0</v>
      </c>
      <c r="ED266" s="239">
        <v>21113</v>
      </c>
      <c r="EE266" s="239">
        <v>0</v>
      </c>
      <c r="EF266" s="239">
        <v>0</v>
      </c>
      <c r="EG266" s="239">
        <v>0</v>
      </c>
      <c r="EH266" s="239">
        <v>0</v>
      </c>
      <c r="EI266" s="239">
        <v>0</v>
      </c>
      <c r="EJ266" s="239">
        <v>0</v>
      </c>
      <c r="EK266" s="239">
        <v>-3633</v>
      </c>
      <c r="EL266" s="239">
        <v>0</v>
      </c>
      <c r="EM266" s="239">
        <v>-3633</v>
      </c>
      <c r="EN266" s="239">
        <v>3775</v>
      </c>
      <c r="EO266" s="239">
        <v>0</v>
      </c>
      <c r="EP266" s="239">
        <v>3775</v>
      </c>
      <c r="EQ266" s="239">
        <v>-69267</v>
      </c>
      <c r="ER266" s="239">
        <v>0</v>
      </c>
      <c r="ES266" s="239">
        <v>-69267</v>
      </c>
      <c r="ET266" s="239">
        <v>0</v>
      </c>
      <c r="EU266" s="239">
        <v>0</v>
      </c>
      <c r="EV266" s="239">
        <v>0</v>
      </c>
      <c r="EW266" s="239">
        <v>0</v>
      </c>
      <c r="EX266" s="239">
        <v>0</v>
      </c>
      <c r="EY266" s="239">
        <v>0</v>
      </c>
      <c r="EZ266" s="239">
        <v>0</v>
      </c>
      <c r="FA266" s="239">
        <v>0</v>
      </c>
      <c r="FB266" s="239">
        <v>0</v>
      </c>
      <c r="FC266" s="239">
        <v>93513539</v>
      </c>
      <c r="FD266" s="239">
        <v>297176</v>
      </c>
      <c r="FE266" s="239">
        <v>93810715</v>
      </c>
      <c r="FF266" s="239">
        <v>271353</v>
      </c>
      <c r="FG266" s="239">
        <v>0</v>
      </c>
      <c r="FH266" s="239">
        <v>271353</v>
      </c>
      <c r="FI266" s="239">
        <v>-5634881</v>
      </c>
      <c r="FJ266" s="239">
        <v>7982</v>
      </c>
      <c r="FK266" s="239">
        <v>-5626899</v>
      </c>
      <c r="FL266" s="239">
        <v>-2878601</v>
      </c>
      <c r="FM266" s="239">
        <v>-77341</v>
      </c>
      <c r="FN266" s="239">
        <v>-2955942</v>
      </c>
      <c r="FO266" s="239">
        <v>-423764</v>
      </c>
      <c r="FP266" s="239">
        <v>-135606</v>
      </c>
      <c r="FQ266" s="239">
        <v>-559370</v>
      </c>
      <c r="FR266" s="239">
        <v>-69267</v>
      </c>
      <c r="FS266" s="239">
        <v>0</v>
      </c>
      <c r="FT266" s="239">
        <v>-69267</v>
      </c>
      <c r="FU266" s="239">
        <v>0</v>
      </c>
      <c r="FV266" s="239">
        <v>0</v>
      </c>
      <c r="FW266" s="239">
        <v>0</v>
      </c>
      <c r="FX266" s="239">
        <v>-8735160</v>
      </c>
      <c r="FY266" s="239">
        <v>-204965</v>
      </c>
      <c r="FZ266" s="239">
        <v>-8940125</v>
      </c>
      <c r="GA266" s="239">
        <v>84778379</v>
      </c>
      <c r="GB266" s="239">
        <v>92211</v>
      </c>
      <c r="GC266" s="239">
        <v>84870590</v>
      </c>
      <c r="GD266" s="214" t="s">
        <v>747</v>
      </c>
    </row>
    <row r="267" spans="2:186" s="214" customFormat="1" x14ac:dyDescent="0.2">
      <c r="B267" s="609" t="s">
        <v>616</v>
      </c>
      <c r="C267" s="609" t="s">
        <v>615</v>
      </c>
      <c r="D267" s="239">
        <v>0</v>
      </c>
      <c r="E267" s="239">
        <v>0</v>
      </c>
      <c r="F267" s="239">
        <v>0</v>
      </c>
      <c r="G267" s="239">
        <v>88671</v>
      </c>
      <c r="H267" s="239">
        <v>0</v>
      </c>
      <c r="I267" s="239">
        <v>88671</v>
      </c>
      <c r="J267" s="239">
        <v>0</v>
      </c>
      <c r="K267" s="239">
        <v>0</v>
      </c>
      <c r="L267" s="239">
        <v>0</v>
      </c>
      <c r="M267" s="239">
        <v>83693</v>
      </c>
      <c r="N267" s="239">
        <v>0</v>
      </c>
      <c r="O267" s="239">
        <v>83693</v>
      </c>
      <c r="P267" s="239">
        <v>172364</v>
      </c>
      <c r="Q267" s="239">
        <v>0</v>
      </c>
      <c r="R267" s="239">
        <v>172364</v>
      </c>
      <c r="S267" s="239">
        <v>-6477114</v>
      </c>
      <c r="T267" s="239">
        <v>0</v>
      </c>
      <c r="U267" s="239">
        <v>-6477114</v>
      </c>
      <c r="V267" s="239">
        <v>-16089</v>
      </c>
      <c r="W267" s="239">
        <v>0</v>
      </c>
      <c r="X267" s="239">
        <v>-16089</v>
      </c>
      <c r="Y267" s="239">
        <v>-181928</v>
      </c>
      <c r="Z267" s="239">
        <v>0</v>
      </c>
      <c r="AA267" s="239">
        <v>-181928</v>
      </c>
      <c r="AB267" s="239">
        <v>-180463</v>
      </c>
      <c r="AC267" s="239">
        <v>0</v>
      </c>
      <c r="AD267" s="239">
        <v>-180463</v>
      </c>
      <c r="AE267" s="239">
        <v>-1465</v>
      </c>
      <c r="AF267" s="239">
        <v>0</v>
      </c>
      <c r="AG267" s="239">
        <v>-1465</v>
      </c>
      <c r="AH267" s="239">
        <v>2453085</v>
      </c>
      <c r="AI267" s="239">
        <v>0</v>
      </c>
      <c r="AJ267" s="239">
        <v>2453085</v>
      </c>
      <c r="AK267" s="239">
        <v>-4557</v>
      </c>
      <c r="AL267" s="239">
        <v>0</v>
      </c>
      <c r="AM267" s="239">
        <v>-4557</v>
      </c>
      <c r="AN267" s="239">
        <v>-6073981</v>
      </c>
      <c r="AO267" s="239">
        <v>0</v>
      </c>
      <c r="AP267" s="239">
        <v>-6073981</v>
      </c>
      <c r="AQ267" s="239">
        <v>-653667</v>
      </c>
      <c r="AR267" s="239">
        <v>0</v>
      </c>
      <c r="AS267" s="239">
        <v>-653667</v>
      </c>
      <c r="AT267" s="239">
        <v>-57831</v>
      </c>
      <c r="AU267" s="239">
        <v>0</v>
      </c>
      <c r="AV267" s="239">
        <v>-57831</v>
      </c>
      <c r="AW267" s="239">
        <v>0</v>
      </c>
      <c r="AX267" s="239">
        <v>0</v>
      </c>
      <c r="AY267" s="239">
        <v>0</v>
      </c>
      <c r="AZ267" s="239">
        <v>0</v>
      </c>
      <c r="BA267" s="239">
        <v>0</v>
      </c>
      <c r="BB267" s="239">
        <v>0</v>
      </c>
      <c r="BC267" s="239">
        <v>0</v>
      </c>
      <c r="BD267" s="239">
        <v>0</v>
      </c>
      <c r="BE267" s="239">
        <v>0</v>
      </c>
      <c r="BF267" s="239">
        <v>-10995993</v>
      </c>
      <c r="BG267" s="239">
        <v>0</v>
      </c>
      <c r="BH267" s="239">
        <v>-10995993</v>
      </c>
      <c r="BI267" s="239">
        <v>-449943</v>
      </c>
      <c r="BJ267" s="239">
        <v>0</v>
      </c>
      <c r="BK267" s="239">
        <v>-449943</v>
      </c>
      <c r="BL267" s="239">
        <v>39494</v>
      </c>
      <c r="BM267" s="239">
        <v>0</v>
      </c>
      <c r="BN267" s="239">
        <v>39494</v>
      </c>
      <c r="BO267" s="239">
        <v>-2265137</v>
      </c>
      <c r="BP267" s="239">
        <v>0</v>
      </c>
      <c r="BQ267" s="239">
        <v>-2265137</v>
      </c>
      <c r="BR267" s="239">
        <v>278035</v>
      </c>
      <c r="BS267" s="239">
        <v>0</v>
      </c>
      <c r="BT267" s="239">
        <v>278035</v>
      </c>
      <c r="BU267" s="239">
        <v>-2397551</v>
      </c>
      <c r="BV267" s="239">
        <v>0</v>
      </c>
      <c r="BW267" s="239">
        <v>-2397551</v>
      </c>
      <c r="BX267" s="239">
        <v>-151255</v>
      </c>
      <c r="BY267" s="239">
        <v>0</v>
      </c>
      <c r="BZ267" s="239">
        <v>-151255</v>
      </c>
      <c r="CA267" s="239">
        <v>1134</v>
      </c>
      <c r="CB267" s="239">
        <v>0</v>
      </c>
      <c r="CC267" s="239">
        <v>1134</v>
      </c>
      <c r="CD267" s="239">
        <v>-153259</v>
      </c>
      <c r="CE267" s="239">
        <v>0</v>
      </c>
      <c r="CF267" s="239">
        <v>-153259</v>
      </c>
      <c r="CG267" s="239">
        <v>-51630</v>
      </c>
      <c r="CH267" s="239">
        <v>0</v>
      </c>
      <c r="CI267" s="239">
        <v>-51630</v>
      </c>
      <c r="CJ267" s="239">
        <v>-9130</v>
      </c>
      <c r="CK267" s="239">
        <v>0</v>
      </c>
      <c r="CL267" s="239">
        <v>-9130</v>
      </c>
      <c r="CM267" s="239">
        <v>-4049</v>
      </c>
      <c r="CN267" s="239">
        <v>0</v>
      </c>
      <c r="CO267" s="239">
        <v>-4049</v>
      </c>
      <c r="CP267" s="239">
        <v>0</v>
      </c>
      <c r="CQ267" s="239">
        <v>0</v>
      </c>
      <c r="CR267" s="239">
        <v>0</v>
      </c>
      <c r="CS267" s="239">
        <v>0</v>
      </c>
      <c r="CT267" s="239">
        <v>0</v>
      </c>
      <c r="CU267" s="239">
        <v>0</v>
      </c>
      <c r="CV267" s="239">
        <v>0</v>
      </c>
      <c r="CW267" s="239">
        <v>0</v>
      </c>
      <c r="CX267" s="239">
        <v>0</v>
      </c>
      <c r="CY267" s="239">
        <v>0</v>
      </c>
      <c r="CZ267" s="239">
        <v>0</v>
      </c>
      <c r="DA267" s="239">
        <v>0</v>
      </c>
      <c r="DB267" s="239">
        <v>0</v>
      </c>
      <c r="DC267" s="239">
        <v>0</v>
      </c>
      <c r="DD267" s="239">
        <v>0</v>
      </c>
      <c r="DE267" s="239">
        <v>0</v>
      </c>
      <c r="DF267" s="239">
        <v>0</v>
      </c>
      <c r="DG267" s="239">
        <v>0</v>
      </c>
      <c r="DH267" s="239">
        <v>0</v>
      </c>
      <c r="DI267" s="239">
        <v>0</v>
      </c>
      <c r="DJ267" s="239">
        <v>-368189</v>
      </c>
      <c r="DK267" s="239">
        <v>0</v>
      </c>
      <c r="DL267" s="239">
        <v>-368189</v>
      </c>
      <c r="DM267" s="239">
        <v>-131889</v>
      </c>
      <c r="DN267" s="239">
        <v>0</v>
      </c>
      <c r="DO267" s="239">
        <v>-131889</v>
      </c>
      <c r="DP267" s="239">
        <v>-14332</v>
      </c>
      <c r="DQ267" s="239">
        <v>0</v>
      </c>
      <c r="DR267" s="239">
        <v>-14332</v>
      </c>
      <c r="DS267" s="239">
        <v>-78859</v>
      </c>
      <c r="DT267" s="239">
        <v>0</v>
      </c>
      <c r="DU267" s="239">
        <v>-78859</v>
      </c>
      <c r="DV267" s="239">
        <v>-21332</v>
      </c>
      <c r="DW267" s="239">
        <v>0</v>
      </c>
      <c r="DX267" s="239">
        <v>-21332</v>
      </c>
      <c r="DY267" s="239">
        <v>0</v>
      </c>
      <c r="DZ267" s="239">
        <v>0</v>
      </c>
      <c r="EA267" s="239">
        <v>0</v>
      </c>
      <c r="EB267" s="239">
        <v>1153</v>
      </c>
      <c r="EC267" s="239">
        <v>0</v>
      </c>
      <c r="ED267" s="239">
        <v>1153</v>
      </c>
      <c r="EE267" s="239">
        <v>0</v>
      </c>
      <c r="EF267" s="239">
        <v>0</v>
      </c>
      <c r="EG267" s="239">
        <v>0</v>
      </c>
      <c r="EH267" s="239">
        <v>0</v>
      </c>
      <c r="EI267" s="239">
        <v>0</v>
      </c>
      <c r="EJ267" s="239">
        <v>0</v>
      </c>
      <c r="EK267" s="239">
        <v>0</v>
      </c>
      <c r="EL267" s="239">
        <v>0</v>
      </c>
      <c r="EM267" s="239">
        <v>0</v>
      </c>
      <c r="EN267" s="239">
        <v>0</v>
      </c>
      <c r="EO267" s="239">
        <v>0</v>
      </c>
      <c r="EP267" s="239">
        <v>0</v>
      </c>
      <c r="EQ267" s="239">
        <v>-245259</v>
      </c>
      <c r="ER267" s="239">
        <v>0</v>
      </c>
      <c r="ES267" s="239">
        <v>-245259</v>
      </c>
      <c r="ET267" s="239">
        <v>0</v>
      </c>
      <c r="EU267" s="239">
        <v>0</v>
      </c>
      <c r="EV267" s="239">
        <v>0</v>
      </c>
      <c r="EW267" s="239">
        <v>0</v>
      </c>
      <c r="EX267" s="239">
        <v>0</v>
      </c>
      <c r="EY267" s="239">
        <v>0</v>
      </c>
      <c r="EZ267" s="239">
        <v>0</v>
      </c>
      <c r="FA267" s="239">
        <v>0</v>
      </c>
      <c r="FB267" s="239">
        <v>0</v>
      </c>
      <c r="FC267" s="239">
        <v>104278193</v>
      </c>
      <c r="FD267" s="239">
        <v>672443</v>
      </c>
      <c r="FE267" s="239">
        <v>104950636</v>
      </c>
      <c r="FF267" s="239">
        <v>172364</v>
      </c>
      <c r="FG267" s="239">
        <v>0</v>
      </c>
      <c r="FH267" s="239">
        <v>172364</v>
      </c>
      <c r="FI267" s="239">
        <v>-10995993</v>
      </c>
      <c r="FJ267" s="239">
        <v>0</v>
      </c>
      <c r="FK267" s="239">
        <v>-10995993</v>
      </c>
      <c r="FL267" s="239">
        <v>-2397551</v>
      </c>
      <c r="FM267" s="239">
        <v>0</v>
      </c>
      <c r="FN267" s="239">
        <v>-2397551</v>
      </c>
      <c r="FO267" s="239">
        <v>-368189</v>
      </c>
      <c r="FP267" s="239">
        <v>0</v>
      </c>
      <c r="FQ267" s="239">
        <v>-368189</v>
      </c>
      <c r="FR267" s="239">
        <v>-245259</v>
      </c>
      <c r="FS267" s="239">
        <v>0</v>
      </c>
      <c r="FT267" s="239">
        <v>-245259</v>
      </c>
      <c r="FU267" s="239">
        <v>0</v>
      </c>
      <c r="FV267" s="239">
        <v>0</v>
      </c>
      <c r="FW267" s="239">
        <v>0</v>
      </c>
      <c r="FX267" s="239">
        <v>-13834628</v>
      </c>
      <c r="FY267" s="239">
        <v>0</v>
      </c>
      <c r="FZ267" s="239">
        <v>-13834628</v>
      </c>
      <c r="GA267" s="239">
        <v>90443565</v>
      </c>
      <c r="GB267" s="239">
        <v>672443</v>
      </c>
      <c r="GC267" s="239">
        <v>91116008</v>
      </c>
      <c r="GD267" s="214" t="s">
        <v>747</v>
      </c>
    </row>
    <row r="268" spans="2:186" s="214" customFormat="1" x14ac:dyDescent="0.2">
      <c r="B268" s="609" t="s">
        <v>618</v>
      </c>
      <c r="C268" s="609" t="s">
        <v>617</v>
      </c>
      <c r="D268" s="239">
        <v>0</v>
      </c>
      <c r="E268" s="239">
        <v>0</v>
      </c>
      <c r="F268" s="239">
        <v>0</v>
      </c>
      <c r="G268" s="239">
        <v>33108</v>
      </c>
      <c r="H268" s="239">
        <v>0</v>
      </c>
      <c r="I268" s="239">
        <v>33108</v>
      </c>
      <c r="J268" s="239">
        <v>0</v>
      </c>
      <c r="K268" s="239">
        <v>0</v>
      </c>
      <c r="L268" s="239">
        <v>0</v>
      </c>
      <c r="M268" s="239">
        <v>7726</v>
      </c>
      <c r="N268" s="239">
        <v>0</v>
      </c>
      <c r="O268" s="239">
        <v>7726</v>
      </c>
      <c r="P268" s="239">
        <v>40834</v>
      </c>
      <c r="Q268" s="239">
        <v>0</v>
      </c>
      <c r="R268" s="239">
        <v>40834</v>
      </c>
      <c r="S268" s="239">
        <v>-3639737</v>
      </c>
      <c r="T268" s="239">
        <v>0</v>
      </c>
      <c r="U268" s="239">
        <v>-3639737</v>
      </c>
      <c r="V268" s="239">
        <v>0</v>
      </c>
      <c r="W268" s="239">
        <v>0</v>
      </c>
      <c r="X268" s="239">
        <v>0</v>
      </c>
      <c r="Y268" s="239">
        <v>-278954</v>
      </c>
      <c r="Z268" s="239">
        <v>0</v>
      </c>
      <c r="AA268" s="239">
        <v>-278954</v>
      </c>
      <c r="AB268" s="239">
        <v>0</v>
      </c>
      <c r="AC268" s="239">
        <v>0</v>
      </c>
      <c r="AD268" s="239">
        <v>0</v>
      </c>
      <c r="AE268" s="239">
        <v>0</v>
      </c>
      <c r="AF268" s="239">
        <v>0</v>
      </c>
      <c r="AG268" s="239">
        <v>0</v>
      </c>
      <c r="AH268" s="239">
        <v>1465887</v>
      </c>
      <c r="AI268" s="239">
        <v>0</v>
      </c>
      <c r="AJ268" s="239">
        <v>1465887</v>
      </c>
      <c r="AK268" s="239">
        <v>-27959</v>
      </c>
      <c r="AL268" s="239">
        <v>0</v>
      </c>
      <c r="AM268" s="239">
        <v>-27959</v>
      </c>
      <c r="AN268" s="239">
        <v>-4173325</v>
      </c>
      <c r="AO268" s="239">
        <v>0</v>
      </c>
      <c r="AP268" s="239">
        <v>-4173325</v>
      </c>
      <c r="AQ268" s="239">
        <v>88284</v>
      </c>
      <c r="AR268" s="239">
        <v>0</v>
      </c>
      <c r="AS268" s="239">
        <v>88284</v>
      </c>
      <c r="AT268" s="239">
        <v>-100959</v>
      </c>
      <c r="AU268" s="239">
        <v>0</v>
      </c>
      <c r="AV268" s="239">
        <v>-100959</v>
      </c>
      <c r="AW268" s="239">
        <v>-265</v>
      </c>
      <c r="AX268" s="239">
        <v>0</v>
      </c>
      <c r="AY268" s="239">
        <v>-265</v>
      </c>
      <c r="AZ268" s="239">
        <v>-32971</v>
      </c>
      <c r="BA268" s="239">
        <v>0</v>
      </c>
      <c r="BB268" s="239">
        <v>-32971</v>
      </c>
      <c r="BC268" s="239">
        <v>0</v>
      </c>
      <c r="BD268" s="239">
        <v>0</v>
      </c>
      <c r="BE268" s="239">
        <v>0</v>
      </c>
      <c r="BF268" s="239">
        <v>-6699999</v>
      </c>
      <c r="BG268" s="239">
        <v>0</v>
      </c>
      <c r="BH268" s="239">
        <v>-6699999</v>
      </c>
      <c r="BI268" s="239">
        <v>-34725</v>
      </c>
      <c r="BJ268" s="239">
        <v>0</v>
      </c>
      <c r="BK268" s="239">
        <v>-34725</v>
      </c>
      <c r="BL268" s="239">
        <v>5962</v>
      </c>
      <c r="BM268" s="239">
        <v>0</v>
      </c>
      <c r="BN268" s="239">
        <v>5962</v>
      </c>
      <c r="BO268" s="239">
        <v>-2298253</v>
      </c>
      <c r="BP268" s="239">
        <v>0</v>
      </c>
      <c r="BQ268" s="239">
        <v>-2298253</v>
      </c>
      <c r="BR268" s="239">
        <v>252746</v>
      </c>
      <c r="BS268" s="239">
        <v>0</v>
      </c>
      <c r="BT268" s="239">
        <v>252746</v>
      </c>
      <c r="BU268" s="239">
        <v>-2074270</v>
      </c>
      <c r="BV268" s="239">
        <v>0</v>
      </c>
      <c r="BW268" s="239">
        <v>-2074270</v>
      </c>
      <c r="BX268" s="239">
        <v>-12278</v>
      </c>
      <c r="BY268" s="239">
        <v>0</v>
      </c>
      <c r="BZ268" s="239">
        <v>-12278</v>
      </c>
      <c r="CA268" s="239">
        <v>135</v>
      </c>
      <c r="CB268" s="239">
        <v>0</v>
      </c>
      <c r="CC268" s="239">
        <v>135</v>
      </c>
      <c r="CD268" s="239">
        <v>-42070</v>
      </c>
      <c r="CE268" s="239">
        <v>0</v>
      </c>
      <c r="CF268" s="239">
        <v>-42070</v>
      </c>
      <c r="CG268" s="239">
        <v>-984</v>
      </c>
      <c r="CH268" s="239">
        <v>0</v>
      </c>
      <c r="CI268" s="239">
        <v>-984</v>
      </c>
      <c r="CJ268" s="239">
        <v>0</v>
      </c>
      <c r="CK268" s="239">
        <v>0</v>
      </c>
      <c r="CL268" s="239">
        <v>0</v>
      </c>
      <c r="CM268" s="239">
        <v>0</v>
      </c>
      <c r="CN268" s="239">
        <v>0</v>
      </c>
      <c r="CO268" s="239">
        <v>0</v>
      </c>
      <c r="CP268" s="239">
        <v>-2546</v>
      </c>
      <c r="CQ268" s="239">
        <v>0</v>
      </c>
      <c r="CR268" s="239">
        <v>-2546</v>
      </c>
      <c r="CS268" s="239">
        <v>-166</v>
      </c>
      <c r="CT268" s="239">
        <v>0</v>
      </c>
      <c r="CU268" s="239">
        <v>-166</v>
      </c>
      <c r="CV268" s="239">
        <v>0</v>
      </c>
      <c r="CW268" s="239">
        <v>0</v>
      </c>
      <c r="CX268" s="239">
        <v>0</v>
      </c>
      <c r="CY268" s="239">
        <v>0</v>
      </c>
      <c r="CZ268" s="239">
        <v>0</v>
      </c>
      <c r="DA268" s="239">
        <v>0</v>
      </c>
      <c r="DB268" s="239">
        <v>0</v>
      </c>
      <c r="DC268" s="239">
        <v>0</v>
      </c>
      <c r="DD268" s="239">
        <v>0</v>
      </c>
      <c r="DE268" s="239">
        <v>0</v>
      </c>
      <c r="DF268" s="239">
        <v>0</v>
      </c>
      <c r="DG268" s="239">
        <v>0</v>
      </c>
      <c r="DH268" s="239">
        <v>0</v>
      </c>
      <c r="DI268" s="239">
        <v>0</v>
      </c>
      <c r="DJ268" s="239">
        <v>-57909</v>
      </c>
      <c r="DK268" s="239">
        <v>0</v>
      </c>
      <c r="DL268" s="239">
        <v>-57909</v>
      </c>
      <c r="DM268" s="239">
        <v>-1088</v>
      </c>
      <c r="DN268" s="239">
        <v>0</v>
      </c>
      <c r="DO268" s="239">
        <v>-1088</v>
      </c>
      <c r="DP268" s="239">
        <v>-7562</v>
      </c>
      <c r="DQ268" s="239">
        <v>0</v>
      </c>
      <c r="DR268" s="239">
        <v>-7562</v>
      </c>
      <c r="DS268" s="239">
        <v>-34062</v>
      </c>
      <c r="DT268" s="239">
        <v>0</v>
      </c>
      <c r="DU268" s="239">
        <v>-34062</v>
      </c>
      <c r="DV268" s="239">
        <v>-2562</v>
      </c>
      <c r="DW268" s="239">
        <v>0</v>
      </c>
      <c r="DX268" s="239">
        <v>-2562</v>
      </c>
      <c r="DY268" s="239">
        <v>0</v>
      </c>
      <c r="DZ268" s="239">
        <v>0</v>
      </c>
      <c r="EA268" s="239">
        <v>0</v>
      </c>
      <c r="EB268" s="239">
        <v>-17083</v>
      </c>
      <c r="EC268" s="239">
        <v>0</v>
      </c>
      <c r="ED268" s="239">
        <v>-17083</v>
      </c>
      <c r="EE268" s="239">
        <v>0</v>
      </c>
      <c r="EF268" s="239">
        <v>0</v>
      </c>
      <c r="EG268" s="239">
        <v>0</v>
      </c>
      <c r="EH268" s="239">
        <v>0</v>
      </c>
      <c r="EI268" s="239">
        <v>0</v>
      </c>
      <c r="EJ268" s="239">
        <v>0</v>
      </c>
      <c r="EK268" s="239">
        <v>-3185</v>
      </c>
      <c r="EL268" s="239">
        <v>0</v>
      </c>
      <c r="EM268" s="239">
        <v>-3185</v>
      </c>
      <c r="EN268" s="239">
        <v>-4186</v>
      </c>
      <c r="EO268" s="239">
        <v>0</v>
      </c>
      <c r="EP268" s="239">
        <v>-4186</v>
      </c>
      <c r="EQ268" s="239">
        <v>-69728</v>
      </c>
      <c r="ER268" s="239">
        <v>0</v>
      </c>
      <c r="ES268" s="239">
        <v>-69728</v>
      </c>
      <c r="ET268" s="239">
        <v>-68450</v>
      </c>
      <c r="EU268" s="239">
        <v>0</v>
      </c>
      <c r="EV268" s="239">
        <v>-68450</v>
      </c>
      <c r="EW268" s="239">
        <v>-19704</v>
      </c>
      <c r="EX268" s="239">
        <v>0</v>
      </c>
      <c r="EY268" s="239">
        <v>-19704</v>
      </c>
      <c r="EZ268" s="239">
        <v>-88154</v>
      </c>
      <c r="FA268" s="239">
        <v>0</v>
      </c>
      <c r="FB268" s="239">
        <v>-88154</v>
      </c>
      <c r="FC268" s="239">
        <v>63791072</v>
      </c>
      <c r="FD268" s="239">
        <v>0</v>
      </c>
      <c r="FE268" s="239">
        <v>63791072</v>
      </c>
      <c r="FF268" s="239">
        <v>40834</v>
      </c>
      <c r="FG268" s="239">
        <v>0</v>
      </c>
      <c r="FH268" s="239">
        <v>40834</v>
      </c>
      <c r="FI268" s="239">
        <v>-6699999</v>
      </c>
      <c r="FJ268" s="239">
        <v>0</v>
      </c>
      <c r="FK268" s="239">
        <v>-6699999</v>
      </c>
      <c r="FL268" s="239">
        <v>-2074270</v>
      </c>
      <c r="FM268" s="239">
        <v>0</v>
      </c>
      <c r="FN268" s="239">
        <v>-2074270</v>
      </c>
      <c r="FO268" s="239">
        <v>-57909</v>
      </c>
      <c r="FP268" s="239">
        <v>0</v>
      </c>
      <c r="FQ268" s="239">
        <v>-57909</v>
      </c>
      <c r="FR268" s="239">
        <v>-69728</v>
      </c>
      <c r="FS268" s="239">
        <v>0</v>
      </c>
      <c r="FT268" s="239">
        <v>-69728</v>
      </c>
      <c r="FU268" s="239">
        <v>-88154</v>
      </c>
      <c r="FV268" s="239">
        <v>0</v>
      </c>
      <c r="FW268" s="239">
        <v>-88154</v>
      </c>
      <c r="FX268" s="239">
        <v>-8949226</v>
      </c>
      <c r="FY268" s="239">
        <v>0</v>
      </c>
      <c r="FZ268" s="239">
        <v>-8949226</v>
      </c>
      <c r="GA268" s="239">
        <v>54841846</v>
      </c>
      <c r="GB268" s="239">
        <v>0</v>
      </c>
      <c r="GC268" s="239">
        <v>54841846</v>
      </c>
      <c r="GD268" s="214" t="s">
        <v>1190</v>
      </c>
    </row>
    <row r="269" spans="2:186" s="214" customFormat="1" x14ac:dyDescent="0.2">
      <c r="B269" s="609" t="s">
        <v>620</v>
      </c>
      <c r="C269" s="609" t="s">
        <v>619</v>
      </c>
      <c r="D269" s="239">
        <v>0</v>
      </c>
      <c r="E269" s="239">
        <v>0</v>
      </c>
      <c r="F269" s="239">
        <v>0</v>
      </c>
      <c r="G269" s="239">
        <v>408574</v>
      </c>
      <c r="H269" s="239">
        <v>0</v>
      </c>
      <c r="I269" s="239">
        <v>408574</v>
      </c>
      <c r="J269" s="239">
        <v>0</v>
      </c>
      <c r="K269" s="239">
        <v>0</v>
      </c>
      <c r="L269" s="239">
        <v>0</v>
      </c>
      <c r="M269" s="239">
        <v>32084</v>
      </c>
      <c r="N269" s="239">
        <v>0</v>
      </c>
      <c r="O269" s="239">
        <v>32084</v>
      </c>
      <c r="P269" s="239">
        <v>440658</v>
      </c>
      <c r="Q269" s="239">
        <v>0</v>
      </c>
      <c r="R269" s="239">
        <v>440658</v>
      </c>
      <c r="S269" s="239">
        <v>-2809344</v>
      </c>
      <c r="T269" s="239">
        <v>0</v>
      </c>
      <c r="U269" s="239">
        <v>-2809344</v>
      </c>
      <c r="V269" s="239">
        <v>0</v>
      </c>
      <c r="W269" s="239">
        <v>0</v>
      </c>
      <c r="X269" s="239">
        <v>0</v>
      </c>
      <c r="Y269" s="239">
        <v>-140644</v>
      </c>
      <c r="Z269" s="239">
        <v>0</v>
      </c>
      <c r="AA269" s="239">
        <v>-140644</v>
      </c>
      <c r="AB269" s="239">
        <v>0</v>
      </c>
      <c r="AC269" s="239">
        <v>0</v>
      </c>
      <c r="AD269" s="239">
        <v>0</v>
      </c>
      <c r="AE269" s="239">
        <v>0</v>
      </c>
      <c r="AF269" s="239">
        <v>0</v>
      </c>
      <c r="AG269" s="239">
        <v>0</v>
      </c>
      <c r="AH269" s="239">
        <v>707193</v>
      </c>
      <c r="AI269" s="239">
        <v>0</v>
      </c>
      <c r="AJ269" s="239">
        <v>707193</v>
      </c>
      <c r="AK269" s="239">
        <v>-14994</v>
      </c>
      <c r="AL269" s="239">
        <v>0</v>
      </c>
      <c r="AM269" s="239">
        <v>-14994</v>
      </c>
      <c r="AN269" s="239">
        <v>-2079841</v>
      </c>
      <c r="AO269" s="239">
        <v>0</v>
      </c>
      <c r="AP269" s="239">
        <v>-2079841</v>
      </c>
      <c r="AQ269" s="239">
        <v>10818</v>
      </c>
      <c r="AR269" s="239">
        <v>0</v>
      </c>
      <c r="AS269" s="239">
        <v>10818</v>
      </c>
      <c r="AT269" s="239">
        <v>-34355</v>
      </c>
      <c r="AU269" s="239">
        <v>0</v>
      </c>
      <c r="AV269" s="239">
        <v>-34355</v>
      </c>
      <c r="AW269" s="239">
        <v>-26</v>
      </c>
      <c r="AX269" s="239">
        <v>0</v>
      </c>
      <c r="AY269" s="239">
        <v>-26</v>
      </c>
      <c r="AZ269" s="239">
        <v>-41994</v>
      </c>
      <c r="BA269" s="239">
        <v>0</v>
      </c>
      <c r="BB269" s="239">
        <v>-41994</v>
      </c>
      <c r="BC269" s="239">
        <v>0</v>
      </c>
      <c r="BD269" s="239">
        <v>0</v>
      </c>
      <c r="BE269" s="239">
        <v>0</v>
      </c>
      <c r="BF269" s="239">
        <v>-4403187</v>
      </c>
      <c r="BG269" s="239">
        <v>0</v>
      </c>
      <c r="BH269" s="239">
        <v>-4403187</v>
      </c>
      <c r="BI269" s="239">
        <v>-125000</v>
      </c>
      <c r="BJ269" s="239">
        <v>0</v>
      </c>
      <c r="BK269" s="239">
        <v>-125000</v>
      </c>
      <c r="BL269" s="239">
        <v>287909</v>
      </c>
      <c r="BM269" s="239">
        <v>0</v>
      </c>
      <c r="BN269" s="239">
        <v>287909</v>
      </c>
      <c r="BO269" s="239">
        <v>-1057068</v>
      </c>
      <c r="BP269" s="239">
        <v>0</v>
      </c>
      <c r="BQ269" s="239">
        <v>-1057068</v>
      </c>
      <c r="BR269" s="239">
        <v>-92715</v>
      </c>
      <c r="BS269" s="239">
        <v>0</v>
      </c>
      <c r="BT269" s="239">
        <v>-92715</v>
      </c>
      <c r="BU269" s="239">
        <v>-986874</v>
      </c>
      <c r="BV269" s="239">
        <v>0</v>
      </c>
      <c r="BW269" s="239">
        <v>-986874</v>
      </c>
      <c r="BX269" s="239">
        <v>-82102</v>
      </c>
      <c r="BY269" s="239">
        <v>0</v>
      </c>
      <c r="BZ269" s="239">
        <v>-82102</v>
      </c>
      <c r="CA269" s="239">
        <v>2759</v>
      </c>
      <c r="CB269" s="239">
        <v>0</v>
      </c>
      <c r="CC269" s="239">
        <v>2759</v>
      </c>
      <c r="CD269" s="239">
        <v>-104333</v>
      </c>
      <c r="CE269" s="239">
        <v>0</v>
      </c>
      <c r="CF269" s="239">
        <v>-104333</v>
      </c>
      <c r="CG269" s="239">
        <v>-1066</v>
      </c>
      <c r="CH269" s="239">
        <v>0</v>
      </c>
      <c r="CI269" s="239">
        <v>-1066</v>
      </c>
      <c r="CJ269" s="239">
        <v>0</v>
      </c>
      <c r="CK269" s="239">
        <v>0</v>
      </c>
      <c r="CL269" s="239">
        <v>0</v>
      </c>
      <c r="CM269" s="239">
        <v>0</v>
      </c>
      <c r="CN269" s="239">
        <v>0</v>
      </c>
      <c r="CO269" s="239">
        <v>0</v>
      </c>
      <c r="CP269" s="239">
        <v>-5100</v>
      </c>
      <c r="CQ269" s="239">
        <v>0</v>
      </c>
      <c r="CR269" s="239">
        <v>-5100</v>
      </c>
      <c r="CS269" s="239">
        <v>0</v>
      </c>
      <c r="CT269" s="239">
        <v>0</v>
      </c>
      <c r="CU269" s="239">
        <v>0</v>
      </c>
      <c r="CV269" s="239">
        <v>0</v>
      </c>
      <c r="CW269" s="239">
        <v>0</v>
      </c>
      <c r="CX269" s="239">
        <v>0</v>
      </c>
      <c r="CY269" s="239">
        <v>0</v>
      </c>
      <c r="CZ269" s="239">
        <v>0</v>
      </c>
      <c r="DA269" s="239">
        <v>0</v>
      </c>
      <c r="DB269" s="239">
        <v>0</v>
      </c>
      <c r="DC269" s="239">
        <v>0</v>
      </c>
      <c r="DD269" s="239">
        <v>0</v>
      </c>
      <c r="DE269" s="239">
        <v>0</v>
      </c>
      <c r="DF269" s="239">
        <v>0</v>
      </c>
      <c r="DG269" s="239">
        <v>0</v>
      </c>
      <c r="DH269" s="239">
        <v>0</v>
      </c>
      <c r="DI269" s="239">
        <v>0</v>
      </c>
      <c r="DJ269" s="239">
        <v>-189842</v>
      </c>
      <c r="DK269" s="239">
        <v>0</v>
      </c>
      <c r="DL269" s="239">
        <v>-189842</v>
      </c>
      <c r="DM269" s="239">
        <v>0</v>
      </c>
      <c r="DN269" s="239">
        <v>0</v>
      </c>
      <c r="DO269" s="239">
        <v>0</v>
      </c>
      <c r="DP269" s="239">
        <v>0</v>
      </c>
      <c r="DQ269" s="239">
        <v>0</v>
      </c>
      <c r="DR269" s="239">
        <v>0</v>
      </c>
      <c r="DS269" s="239">
        <v>-680</v>
      </c>
      <c r="DT269" s="239">
        <v>0</v>
      </c>
      <c r="DU269" s="239">
        <v>-680</v>
      </c>
      <c r="DV269" s="239">
        <v>0</v>
      </c>
      <c r="DW269" s="239">
        <v>0</v>
      </c>
      <c r="DX269" s="239">
        <v>0</v>
      </c>
      <c r="DY269" s="239">
        <v>0</v>
      </c>
      <c r="DZ269" s="239">
        <v>0</v>
      </c>
      <c r="EA269" s="239">
        <v>0</v>
      </c>
      <c r="EB269" s="239">
        <v>11047</v>
      </c>
      <c r="EC269" s="239">
        <v>0</v>
      </c>
      <c r="ED269" s="239">
        <v>11047</v>
      </c>
      <c r="EE269" s="239">
        <v>0</v>
      </c>
      <c r="EF269" s="239">
        <v>0</v>
      </c>
      <c r="EG269" s="239">
        <v>0</v>
      </c>
      <c r="EH269" s="239">
        <v>0</v>
      </c>
      <c r="EI269" s="239">
        <v>0</v>
      </c>
      <c r="EJ269" s="239">
        <v>0</v>
      </c>
      <c r="EK269" s="239">
        <v>-2764</v>
      </c>
      <c r="EL269" s="239">
        <v>0</v>
      </c>
      <c r="EM269" s="239">
        <v>-2764</v>
      </c>
      <c r="EN269" s="239">
        <v>0</v>
      </c>
      <c r="EO269" s="239">
        <v>0</v>
      </c>
      <c r="EP269" s="239">
        <v>0</v>
      </c>
      <c r="EQ269" s="239">
        <v>7603</v>
      </c>
      <c r="ER269" s="239">
        <v>0</v>
      </c>
      <c r="ES269" s="239">
        <v>7603</v>
      </c>
      <c r="ET269" s="239">
        <v>0</v>
      </c>
      <c r="EU269" s="239">
        <v>0</v>
      </c>
      <c r="EV269" s="239">
        <v>0</v>
      </c>
      <c r="EW269" s="239">
        <v>47394</v>
      </c>
      <c r="EX269" s="239">
        <v>0</v>
      </c>
      <c r="EY269" s="239">
        <v>47394</v>
      </c>
      <c r="EZ269" s="239">
        <v>47394</v>
      </c>
      <c r="FA269" s="239">
        <v>0</v>
      </c>
      <c r="FB269" s="239">
        <v>47394</v>
      </c>
      <c r="FC269" s="239">
        <v>32780931</v>
      </c>
      <c r="FD269" s="239">
        <v>0</v>
      </c>
      <c r="FE269" s="239">
        <v>32780931</v>
      </c>
      <c r="FF269" s="239">
        <v>440658</v>
      </c>
      <c r="FG269" s="239">
        <v>0</v>
      </c>
      <c r="FH269" s="239">
        <v>440658</v>
      </c>
      <c r="FI269" s="239">
        <v>-4403187</v>
      </c>
      <c r="FJ269" s="239">
        <v>0</v>
      </c>
      <c r="FK269" s="239">
        <v>-4403187</v>
      </c>
      <c r="FL269" s="239">
        <v>-986874</v>
      </c>
      <c r="FM269" s="239">
        <v>0</v>
      </c>
      <c r="FN269" s="239">
        <v>-986874</v>
      </c>
      <c r="FO269" s="239">
        <v>-189842</v>
      </c>
      <c r="FP269" s="239">
        <v>0</v>
      </c>
      <c r="FQ269" s="239">
        <v>-189842</v>
      </c>
      <c r="FR269" s="239">
        <v>7603</v>
      </c>
      <c r="FS269" s="239">
        <v>0</v>
      </c>
      <c r="FT269" s="239">
        <v>7603</v>
      </c>
      <c r="FU269" s="239">
        <v>47394</v>
      </c>
      <c r="FV269" s="239">
        <v>0</v>
      </c>
      <c r="FW269" s="239">
        <v>47394</v>
      </c>
      <c r="FX269" s="239">
        <v>-5084248</v>
      </c>
      <c r="FY269" s="239">
        <v>0</v>
      </c>
      <c r="FZ269" s="239">
        <v>-5084248</v>
      </c>
      <c r="GA269" s="239">
        <v>27696683</v>
      </c>
      <c r="GB269" s="239">
        <v>0</v>
      </c>
      <c r="GC269" s="239">
        <v>27696683</v>
      </c>
      <c r="GD269" s="214" t="s">
        <v>1190</v>
      </c>
    </row>
    <row r="270" spans="2:186" s="214" customFormat="1" x14ac:dyDescent="0.2">
      <c r="B270" s="609" t="s">
        <v>622</v>
      </c>
      <c r="C270" s="609" t="s">
        <v>621</v>
      </c>
      <c r="D270" s="239">
        <v>0</v>
      </c>
      <c r="E270" s="239">
        <v>0</v>
      </c>
      <c r="F270" s="239">
        <v>0</v>
      </c>
      <c r="G270" s="239">
        <v>3440</v>
      </c>
      <c r="H270" s="239">
        <v>0</v>
      </c>
      <c r="I270" s="239">
        <v>3440</v>
      </c>
      <c r="J270" s="239">
        <v>0</v>
      </c>
      <c r="K270" s="239">
        <v>0</v>
      </c>
      <c r="L270" s="239">
        <v>0</v>
      </c>
      <c r="M270" s="239">
        <v>10927</v>
      </c>
      <c r="N270" s="239">
        <v>0</v>
      </c>
      <c r="O270" s="239">
        <v>10927</v>
      </c>
      <c r="P270" s="239">
        <v>14367</v>
      </c>
      <c r="Q270" s="239">
        <v>0</v>
      </c>
      <c r="R270" s="239">
        <v>14367</v>
      </c>
      <c r="S270" s="239">
        <v>-3907211</v>
      </c>
      <c r="T270" s="239">
        <v>0</v>
      </c>
      <c r="U270" s="239">
        <v>-3907211</v>
      </c>
      <c r="V270" s="239">
        <v>-4897</v>
      </c>
      <c r="W270" s="239">
        <v>0</v>
      </c>
      <c r="X270" s="239">
        <v>-4897</v>
      </c>
      <c r="Y270" s="239">
        <v>-162078</v>
      </c>
      <c r="Z270" s="239">
        <v>0</v>
      </c>
      <c r="AA270" s="239">
        <v>-162078</v>
      </c>
      <c r="AB270" s="239">
        <v>-162078</v>
      </c>
      <c r="AC270" s="239">
        <v>0</v>
      </c>
      <c r="AD270" s="239">
        <v>-162078</v>
      </c>
      <c r="AE270" s="239">
        <v>0</v>
      </c>
      <c r="AF270" s="239">
        <v>0</v>
      </c>
      <c r="AG270" s="239">
        <v>0</v>
      </c>
      <c r="AH270" s="239">
        <v>1793668</v>
      </c>
      <c r="AI270" s="239">
        <v>0</v>
      </c>
      <c r="AJ270" s="239">
        <v>1793668</v>
      </c>
      <c r="AK270" s="239">
        <v>-11020</v>
      </c>
      <c r="AL270" s="239">
        <v>0</v>
      </c>
      <c r="AM270" s="239">
        <v>-11020</v>
      </c>
      <c r="AN270" s="239">
        <v>-2609010</v>
      </c>
      <c r="AO270" s="239">
        <v>0</v>
      </c>
      <c r="AP270" s="239">
        <v>-2609010</v>
      </c>
      <c r="AQ270" s="239">
        <v>14622</v>
      </c>
      <c r="AR270" s="239">
        <v>0</v>
      </c>
      <c r="AS270" s="239">
        <v>14622</v>
      </c>
      <c r="AT270" s="239">
        <v>-25546</v>
      </c>
      <c r="AU270" s="239">
        <v>0</v>
      </c>
      <c r="AV270" s="239">
        <v>-25546</v>
      </c>
      <c r="AW270" s="239">
        <v>506</v>
      </c>
      <c r="AX270" s="239">
        <v>0</v>
      </c>
      <c r="AY270" s="239">
        <v>506</v>
      </c>
      <c r="AZ270" s="239">
        <v>-78102</v>
      </c>
      <c r="BA270" s="239">
        <v>0</v>
      </c>
      <c r="BB270" s="239">
        <v>-78102</v>
      </c>
      <c r="BC270" s="239">
        <v>540</v>
      </c>
      <c r="BD270" s="239">
        <v>0</v>
      </c>
      <c r="BE270" s="239">
        <v>540</v>
      </c>
      <c r="BF270" s="239">
        <v>-4983631</v>
      </c>
      <c r="BG270" s="239">
        <v>0</v>
      </c>
      <c r="BH270" s="239">
        <v>-4983631</v>
      </c>
      <c r="BI270" s="239">
        <v>-96579</v>
      </c>
      <c r="BJ270" s="239">
        <v>0</v>
      </c>
      <c r="BK270" s="239">
        <v>-96579</v>
      </c>
      <c r="BL270" s="239">
        <v>-50913</v>
      </c>
      <c r="BM270" s="239">
        <v>0</v>
      </c>
      <c r="BN270" s="239">
        <v>-50913</v>
      </c>
      <c r="BO270" s="239">
        <v>-774533</v>
      </c>
      <c r="BP270" s="239">
        <v>0</v>
      </c>
      <c r="BQ270" s="239">
        <v>-774533</v>
      </c>
      <c r="BR270" s="239">
        <v>-50493</v>
      </c>
      <c r="BS270" s="239">
        <v>0</v>
      </c>
      <c r="BT270" s="239">
        <v>-50493</v>
      </c>
      <c r="BU270" s="239">
        <v>-972518</v>
      </c>
      <c r="BV270" s="239">
        <v>0</v>
      </c>
      <c r="BW270" s="239">
        <v>-972518</v>
      </c>
      <c r="BX270" s="239">
        <v>-56875</v>
      </c>
      <c r="BY270" s="239">
        <v>0</v>
      </c>
      <c r="BZ270" s="239">
        <v>-56875</v>
      </c>
      <c r="CA270" s="239">
        <v>20</v>
      </c>
      <c r="CB270" s="239">
        <v>0</v>
      </c>
      <c r="CC270" s="239">
        <v>20</v>
      </c>
      <c r="CD270" s="239">
        <v>-313013</v>
      </c>
      <c r="CE270" s="239">
        <v>0</v>
      </c>
      <c r="CF270" s="239">
        <v>-313013</v>
      </c>
      <c r="CG270" s="239">
        <v>-272227</v>
      </c>
      <c r="CH270" s="239">
        <v>0</v>
      </c>
      <c r="CI270" s="239">
        <v>-272227</v>
      </c>
      <c r="CJ270" s="239">
        <v>-219</v>
      </c>
      <c r="CK270" s="239">
        <v>0</v>
      </c>
      <c r="CL270" s="239">
        <v>-219</v>
      </c>
      <c r="CM270" s="239">
        <v>0</v>
      </c>
      <c r="CN270" s="239">
        <v>0</v>
      </c>
      <c r="CO270" s="239">
        <v>0</v>
      </c>
      <c r="CP270" s="239">
        <v>-11681</v>
      </c>
      <c r="CQ270" s="239">
        <v>0</v>
      </c>
      <c r="CR270" s="239">
        <v>-11681</v>
      </c>
      <c r="CS270" s="239">
        <v>-481</v>
      </c>
      <c r="CT270" s="239">
        <v>0</v>
      </c>
      <c r="CU270" s="239">
        <v>-481</v>
      </c>
      <c r="CV270" s="239">
        <v>-12996</v>
      </c>
      <c r="CW270" s="239">
        <v>0</v>
      </c>
      <c r="CX270" s="239">
        <v>-12996</v>
      </c>
      <c r="CY270" s="239">
        <v>-4290</v>
      </c>
      <c r="CZ270" s="239">
        <v>0</v>
      </c>
      <c r="DA270" s="239">
        <v>-4290</v>
      </c>
      <c r="DB270" s="239">
        <v>0</v>
      </c>
      <c r="DC270" s="239">
        <v>0</v>
      </c>
      <c r="DD270" s="239">
        <v>0</v>
      </c>
      <c r="DE270" s="239">
        <v>0</v>
      </c>
      <c r="DF270" s="239">
        <v>0</v>
      </c>
      <c r="DG270" s="239">
        <v>0</v>
      </c>
      <c r="DH270" s="239">
        <v>0</v>
      </c>
      <c r="DI270" s="239">
        <v>0</v>
      </c>
      <c r="DJ270" s="239">
        <v>-671762</v>
      </c>
      <c r="DK270" s="239">
        <v>0</v>
      </c>
      <c r="DL270" s="239">
        <v>-671762</v>
      </c>
      <c r="DM270" s="239">
        <v>0</v>
      </c>
      <c r="DN270" s="239">
        <v>0</v>
      </c>
      <c r="DO270" s="239">
        <v>0</v>
      </c>
      <c r="DP270" s="239">
        <v>0</v>
      </c>
      <c r="DQ270" s="239">
        <v>0</v>
      </c>
      <c r="DR270" s="239">
        <v>0</v>
      </c>
      <c r="DS270" s="239">
        <v>-1096</v>
      </c>
      <c r="DT270" s="239">
        <v>0</v>
      </c>
      <c r="DU270" s="239">
        <v>-1096</v>
      </c>
      <c r="DV270" s="239">
        <v>0</v>
      </c>
      <c r="DW270" s="239">
        <v>0</v>
      </c>
      <c r="DX270" s="239">
        <v>0</v>
      </c>
      <c r="DY270" s="239">
        <v>0</v>
      </c>
      <c r="DZ270" s="239">
        <v>0</v>
      </c>
      <c r="EA270" s="239">
        <v>0</v>
      </c>
      <c r="EB270" s="239">
        <v>2985</v>
      </c>
      <c r="EC270" s="239">
        <v>0</v>
      </c>
      <c r="ED270" s="239">
        <v>2985</v>
      </c>
      <c r="EE270" s="239">
        <v>0</v>
      </c>
      <c r="EF270" s="239">
        <v>0</v>
      </c>
      <c r="EG270" s="239">
        <v>0</v>
      </c>
      <c r="EH270" s="239">
        <v>0</v>
      </c>
      <c r="EI270" s="239">
        <v>0</v>
      </c>
      <c r="EJ270" s="239">
        <v>0</v>
      </c>
      <c r="EK270" s="239">
        <v>-12722</v>
      </c>
      <c r="EL270" s="239">
        <v>0</v>
      </c>
      <c r="EM270" s="239">
        <v>-12722</v>
      </c>
      <c r="EN270" s="239">
        <v>197</v>
      </c>
      <c r="EO270" s="239">
        <v>0</v>
      </c>
      <c r="EP270" s="239">
        <v>197</v>
      </c>
      <c r="EQ270" s="239">
        <v>-10636</v>
      </c>
      <c r="ER270" s="239">
        <v>0</v>
      </c>
      <c r="ES270" s="239">
        <v>-10636</v>
      </c>
      <c r="ET270" s="239">
        <v>0</v>
      </c>
      <c r="EU270" s="239">
        <v>0</v>
      </c>
      <c r="EV270" s="239">
        <v>0</v>
      </c>
      <c r="EW270" s="239">
        <v>0</v>
      </c>
      <c r="EX270" s="239">
        <v>0</v>
      </c>
      <c r="EY270" s="239">
        <v>0</v>
      </c>
      <c r="EZ270" s="239">
        <v>0</v>
      </c>
      <c r="FA270" s="239">
        <v>0</v>
      </c>
      <c r="FB270" s="239">
        <v>0</v>
      </c>
      <c r="FC270" s="239">
        <v>75669135</v>
      </c>
      <c r="FD270" s="239">
        <v>0</v>
      </c>
      <c r="FE270" s="239">
        <v>75669135</v>
      </c>
      <c r="FF270" s="239">
        <v>14367</v>
      </c>
      <c r="FG270" s="239">
        <v>0</v>
      </c>
      <c r="FH270" s="239">
        <v>14367</v>
      </c>
      <c r="FI270" s="239">
        <v>-4983631</v>
      </c>
      <c r="FJ270" s="239">
        <v>0</v>
      </c>
      <c r="FK270" s="239">
        <v>-4983631</v>
      </c>
      <c r="FL270" s="239">
        <v>-972518</v>
      </c>
      <c r="FM270" s="239">
        <v>0</v>
      </c>
      <c r="FN270" s="239">
        <v>-972518</v>
      </c>
      <c r="FO270" s="239">
        <v>-671762</v>
      </c>
      <c r="FP270" s="239">
        <v>0</v>
      </c>
      <c r="FQ270" s="239">
        <v>-671762</v>
      </c>
      <c r="FR270" s="239">
        <v>-10636</v>
      </c>
      <c r="FS270" s="239">
        <v>0</v>
      </c>
      <c r="FT270" s="239">
        <v>-10636</v>
      </c>
      <c r="FU270" s="239">
        <v>0</v>
      </c>
      <c r="FV270" s="239">
        <v>0</v>
      </c>
      <c r="FW270" s="239">
        <v>0</v>
      </c>
      <c r="FX270" s="239">
        <v>-6624180</v>
      </c>
      <c r="FY270" s="239">
        <v>0</v>
      </c>
      <c r="FZ270" s="239">
        <v>-6624180</v>
      </c>
      <c r="GA270" s="239">
        <v>69044955</v>
      </c>
      <c r="GB270" s="239">
        <v>0</v>
      </c>
      <c r="GC270" s="239">
        <v>69044955</v>
      </c>
      <c r="GD270" s="214" t="s">
        <v>1190</v>
      </c>
    </row>
    <row r="271" spans="2:186" s="214" customFormat="1" x14ac:dyDescent="0.2">
      <c r="B271" s="609" t="s">
        <v>624</v>
      </c>
      <c r="C271" s="609" t="s">
        <v>623</v>
      </c>
      <c r="D271" s="239">
        <v>0</v>
      </c>
      <c r="E271" s="239">
        <v>0</v>
      </c>
      <c r="F271" s="239">
        <v>0</v>
      </c>
      <c r="G271" s="239">
        <v>204834</v>
      </c>
      <c r="H271" s="239">
        <v>0</v>
      </c>
      <c r="I271" s="239">
        <v>204834</v>
      </c>
      <c r="J271" s="239">
        <v>0</v>
      </c>
      <c r="K271" s="239">
        <v>0</v>
      </c>
      <c r="L271" s="239">
        <v>0</v>
      </c>
      <c r="M271" s="239">
        <v>286465</v>
      </c>
      <c r="N271" s="239">
        <v>0</v>
      </c>
      <c r="O271" s="239">
        <v>286465</v>
      </c>
      <c r="P271" s="239">
        <v>491299</v>
      </c>
      <c r="Q271" s="239">
        <v>0</v>
      </c>
      <c r="R271" s="239">
        <v>491299</v>
      </c>
      <c r="S271" s="239">
        <v>-4872166</v>
      </c>
      <c r="T271" s="239">
        <v>-420</v>
      </c>
      <c r="U271" s="239">
        <v>-4872586</v>
      </c>
      <c r="V271" s="239">
        <v>-7532</v>
      </c>
      <c r="W271" s="239">
        <v>0</v>
      </c>
      <c r="X271" s="239">
        <v>-7532</v>
      </c>
      <c r="Y271" s="239">
        <v>-227693</v>
      </c>
      <c r="Z271" s="239">
        <v>0</v>
      </c>
      <c r="AA271" s="239">
        <v>-227693</v>
      </c>
      <c r="AB271" s="239">
        <v>-187</v>
      </c>
      <c r="AC271" s="239">
        <v>0</v>
      </c>
      <c r="AD271" s="239">
        <v>-187</v>
      </c>
      <c r="AE271" s="239">
        <v>0</v>
      </c>
      <c r="AF271" s="239">
        <v>0</v>
      </c>
      <c r="AG271" s="239">
        <v>0</v>
      </c>
      <c r="AH271" s="239">
        <v>2547834</v>
      </c>
      <c r="AI271" s="239">
        <v>24279</v>
      </c>
      <c r="AJ271" s="239">
        <v>2572113</v>
      </c>
      <c r="AK271" s="239">
        <v>-36911</v>
      </c>
      <c r="AL271" s="239">
        <v>0</v>
      </c>
      <c r="AM271" s="239">
        <v>-36911</v>
      </c>
      <c r="AN271" s="239">
        <v>-6625936</v>
      </c>
      <c r="AO271" s="239">
        <v>-31939</v>
      </c>
      <c r="AP271" s="239">
        <v>-6657875</v>
      </c>
      <c r="AQ271" s="239">
        <v>31606</v>
      </c>
      <c r="AR271" s="239">
        <v>0</v>
      </c>
      <c r="AS271" s="239">
        <v>31606</v>
      </c>
      <c r="AT271" s="239">
        <v>-28965</v>
      </c>
      <c r="AU271" s="239">
        <v>0</v>
      </c>
      <c r="AV271" s="239">
        <v>-28965</v>
      </c>
      <c r="AW271" s="239">
        <v>0</v>
      </c>
      <c r="AX271" s="239">
        <v>0</v>
      </c>
      <c r="AY271" s="239">
        <v>0</v>
      </c>
      <c r="AZ271" s="239">
        <v>-1907</v>
      </c>
      <c r="BA271" s="239">
        <v>0</v>
      </c>
      <c r="BB271" s="239">
        <v>-1907</v>
      </c>
      <c r="BC271" s="239">
        <v>0</v>
      </c>
      <c r="BD271" s="239">
        <v>0</v>
      </c>
      <c r="BE271" s="239">
        <v>0</v>
      </c>
      <c r="BF271" s="239">
        <v>-9214138</v>
      </c>
      <c r="BG271" s="239">
        <v>-8080</v>
      </c>
      <c r="BH271" s="239">
        <v>-9222218</v>
      </c>
      <c r="BI271" s="239">
        <v>-25240</v>
      </c>
      <c r="BJ271" s="239">
        <v>0</v>
      </c>
      <c r="BK271" s="239">
        <v>-25240</v>
      </c>
      <c r="BL271" s="239">
        <v>-16488</v>
      </c>
      <c r="BM271" s="239">
        <v>0</v>
      </c>
      <c r="BN271" s="239">
        <v>-16488</v>
      </c>
      <c r="BO271" s="239">
        <v>-2961717</v>
      </c>
      <c r="BP271" s="239">
        <v>-18290</v>
      </c>
      <c r="BQ271" s="239">
        <v>-2980007</v>
      </c>
      <c r="BR271" s="239">
        <v>-566234</v>
      </c>
      <c r="BS271" s="239">
        <v>0</v>
      </c>
      <c r="BT271" s="239">
        <v>-566234</v>
      </c>
      <c r="BU271" s="239">
        <v>-3569679</v>
      </c>
      <c r="BV271" s="239">
        <v>-18290</v>
      </c>
      <c r="BW271" s="239">
        <v>-3587969</v>
      </c>
      <c r="BX271" s="239">
        <v>-57491</v>
      </c>
      <c r="BY271" s="239">
        <v>0</v>
      </c>
      <c r="BZ271" s="239">
        <v>-57491</v>
      </c>
      <c r="CA271" s="239">
        <v>6462</v>
      </c>
      <c r="CB271" s="239">
        <v>0</v>
      </c>
      <c r="CC271" s="239">
        <v>6462</v>
      </c>
      <c r="CD271" s="239">
        <v>-128077</v>
      </c>
      <c r="CE271" s="239">
        <v>0</v>
      </c>
      <c r="CF271" s="239">
        <v>-128077</v>
      </c>
      <c r="CG271" s="239">
        <v>236</v>
      </c>
      <c r="CH271" s="239">
        <v>0</v>
      </c>
      <c r="CI271" s="239">
        <v>236</v>
      </c>
      <c r="CJ271" s="239">
        <v>-596</v>
      </c>
      <c r="CK271" s="239">
        <v>0</v>
      </c>
      <c r="CL271" s="239">
        <v>-596</v>
      </c>
      <c r="CM271" s="239">
        <v>0</v>
      </c>
      <c r="CN271" s="239">
        <v>0</v>
      </c>
      <c r="CO271" s="239">
        <v>0</v>
      </c>
      <c r="CP271" s="239">
        <v>0</v>
      </c>
      <c r="CQ271" s="239">
        <v>0</v>
      </c>
      <c r="CR271" s="239">
        <v>0</v>
      </c>
      <c r="CS271" s="239">
        <v>0</v>
      </c>
      <c r="CT271" s="239">
        <v>0</v>
      </c>
      <c r="CU271" s="239">
        <v>0</v>
      </c>
      <c r="CV271" s="239">
        <v>0</v>
      </c>
      <c r="CW271" s="239">
        <v>0</v>
      </c>
      <c r="CX271" s="239">
        <v>0</v>
      </c>
      <c r="CY271" s="239">
        <v>0</v>
      </c>
      <c r="CZ271" s="239">
        <v>0</v>
      </c>
      <c r="DA271" s="239">
        <v>0</v>
      </c>
      <c r="DB271" s="239">
        <v>0</v>
      </c>
      <c r="DC271" s="239">
        <v>-34790</v>
      </c>
      <c r="DD271" s="239">
        <v>-34790</v>
      </c>
      <c r="DE271" s="239">
        <v>-154650</v>
      </c>
      <c r="DF271" s="239">
        <v>0</v>
      </c>
      <c r="DG271" s="239">
        <v>-154650</v>
      </c>
      <c r="DH271" s="239">
        <v>-34790</v>
      </c>
      <c r="DI271" s="239">
        <v>0</v>
      </c>
      <c r="DJ271" s="239">
        <v>-334116</v>
      </c>
      <c r="DK271" s="239">
        <v>-34790</v>
      </c>
      <c r="DL271" s="239">
        <v>-368906</v>
      </c>
      <c r="DM271" s="239">
        <v>0</v>
      </c>
      <c r="DN271" s="239">
        <v>0</v>
      </c>
      <c r="DO271" s="239">
        <v>0</v>
      </c>
      <c r="DP271" s="239">
        <v>0</v>
      </c>
      <c r="DQ271" s="239">
        <v>0</v>
      </c>
      <c r="DR271" s="239">
        <v>0</v>
      </c>
      <c r="DS271" s="239">
        <v>-84197</v>
      </c>
      <c r="DT271" s="239">
        <v>0</v>
      </c>
      <c r="DU271" s="239">
        <v>-84197</v>
      </c>
      <c r="DV271" s="239">
        <v>-55567</v>
      </c>
      <c r="DW271" s="239">
        <v>0</v>
      </c>
      <c r="DX271" s="239">
        <v>-55567</v>
      </c>
      <c r="DY271" s="239">
        <v>0</v>
      </c>
      <c r="DZ271" s="239">
        <v>0</v>
      </c>
      <c r="EA271" s="239">
        <v>0</v>
      </c>
      <c r="EB271" s="239">
        <v>16970</v>
      </c>
      <c r="EC271" s="239">
        <v>0</v>
      </c>
      <c r="ED271" s="239">
        <v>16970</v>
      </c>
      <c r="EE271" s="239">
        <v>0</v>
      </c>
      <c r="EF271" s="239">
        <v>0</v>
      </c>
      <c r="EG271" s="239">
        <v>0</v>
      </c>
      <c r="EH271" s="239">
        <v>0</v>
      </c>
      <c r="EI271" s="239">
        <v>0</v>
      </c>
      <c r="EJ271" s="239">
        <v>0</v>
      </c>
      <c r="EK271" s="239">
        <v>-14960</v>
      </c>
      <c r="EL271" s="239">
        <v>0</v>
      </c>
      <c r="EM271" s="239">
        <v>-14960</v>
      </c>
      <c r="EN271" s="239">
        <v>-2</v>
      </c>
      <c r="EO271" s="239">
        <v>0</v>
      </c>
      <c r="EP271" s="239">
        <v>-2</v>
      </c>
      <c r="EQ271" s="239">
        <v>-137756</v>
      </c>
      <c r="ER271" s="239">
        <v>0</v>
      </c>
      <c r="ES271" s="239">
        <v>-137756</v>
      </c>
      <c r="ET271" s="239">
        <v>0</v>
      </c>
      <c r="EU271" s="239">
        <v>0</v>
      </c>
      <c r="EV271" s="239">
        <v>0</v>
      </c>
      <c r="EW271" s="239">
        <v>0</v>
      </c>
      <c r="EX271" s="239">
        <v>0</v>
      </c>
      <c r="EY271" s="239">
        <v>0</v>
      </c>
      <c r="EZ271" s="239">
        <v>0</v>
      </c>
      <c r="FA271" s="239">
        <v>0</v>
      </c>
      <c r="FB271" s="239">
        <v>0</v>
      </c>
      <c r="FC271" s="239">
        <v>107014083</v>
      </c>
      <c r="FD271" s="239">
        <v>912074</v>
      </c>
      <c r="FE271" s="239">
        <v>107926157</v>
      </c>
      <c r="FF271" s="239">
        <v>491299</v>
      </c>
      <c r="FG271" s="239">
        <v>0</v>
      </c>
      <c r="FH271" s="239">
        <v>491299</v>
      </c>
      <c r="FI271" s="239">
        <v>-9214138</v>
      </c>
      <c r="FJ271" s="239">
        <v>-8080</v>
      </c>
      <c r="FK271" s="239">
        <v>-9222218</v>
      </c>
      <c r="FL271" s="239">
        <v>-3569679</v>
      </c>
      <c r="FM271" s="239">
        <v>-18290</v>
      </c>
      <c r="FN271" s="239">
        <v>-3587969</v>
      </c>
      <c r="FO271" s="239">
        <v>-334116</v>
      </c>
      <c r="FP271" s="239">
        <v>-34790</v>
      </c>
      <c r="FQ271" s="239">
        <v>-368906</v>
      </c>
      <c r="FR271" s="239">
        <v>-137756</v>
      </c>
      <c r="FS271" s="239">
        <v>0</v>
      </c>
      <c r="FT271" s="239">
        <v>-137756</v>
      </c>
      <c r="FU271" s="239">
        <v>0</v>
      </c>
      <c r="FV271" s="239">
        <v>0</v>
      </c>
      <c r="FW271" s="239">
        <v>0</v>
      </c>
      <c r="FX271" s="239">
        <v>-12764390</v>
      </c>
      <c r="FY271" s="239">
        <v>-61160</v>
      </c>
      <c r="FZ271" s="239">
        <v>-12825550</v>
      </c>
      <c r="GA271" s="239">
        <v>94249693</v>
      </c>
      <c r="GB271" s="239">
        <v>850914</v>
      </c>
      <c r="GC271" s="239">
        <v>95100607</v>
      </c>
      <c r="GD271" s="214" t="s">
        <v>1192</v>
      </c>
    </row>
    <row r="272" spans="2:186" s="214" customFormat="1" x14ac:dyDescent="0.2">
      <c r="B272" s="609" t="s">
        <v>626</v>
      </c>
      <c r="C272" s="609" t="s">
        <v>625</v>
      </c>
      <c r="D272" s="239">
        <v>0</v>
      </c>
      <c r="E272" s="239">
        <v>0</v>
      </c>
      <c r="F272" s="239">
        <v>0</v>
      </c>
      <c r="G272" s="239">
        <v>16387</v>
      </c>
      <c r="H272" s="239">
        <v>0</v>
      </c>
      <c r="I272" s="239">
        <v>16387</v>
      </c>
      <c r="J272" s="239">
        <v>0</v>
      </c>
      <c r="K272" s="239">
        <v>0</v>
      </c>
      <c r="L272" s="239">
        <v>0</v>
      </c>
      <c r="M272" s="239">
        <v>119210</v>
      </c>
      <c r="N272" s="239">
        <v>0</v>
      </c>
      <c r="O272" s="239">
        <v>119210</v>
      </c>
      <c r="P272" s="239">
        <v>135597</v>
      </c>
      <c r="Q272" s="239">
        <v>0</v>
      </c>
      <c r="R272" s="239">
        <v>135597</v>
      </c>
      <c r="S272" s="239">
        <v>-1379843</v>
      </c>
      <c r="T272" s="239">
        <v>0</v>
      </c>
      <c r="U272" s="239">
        <v>-1379843</v>
      </c>
      <c r="V272" s="239">
        <v>-8007</v>
      </c>
      <c r="W272" s="239">
        <v>0</v>
      </c>
      <c r="X272" s="239">
        <v>-8007</v>
      </c>
      <c r="Y272" s="239">
        <v>-76071</v>
      </c>
      <c r="Z272" s="239">
        <v>0</v>
      </c>
      <c r="AA272" s="239">
        <v>-76071</v>
      </c>
      <c r="AB272" s="239">
        <v>-69025</v>
      </c>
      <c r="AC272" s="239">
        <v>0</v>
      </c>
      <c r="AD272" s="239">
        <v>-69025</v>
      </c>
      <c r="AE272" s="239">
        <v>-234</v>
      </c>
      <c r="AF272" s="239">
        <v>0</v>
      </c>
      <c r="AG272" s="239">
        <v>-234</v>
      </c>
      <c r="AH272" s="239">
        <v>987379</v>
      </c>
      <c r="AI272" s="239">
        <v>0</v>
      </c>
      <c r="AJ272" s="239">
        <v>987379</v>
      </c>
      <c r="AK272" s="239">
        <v>-6125</v>
      </c>
      <c r="AL272" s="239">
        <v>0</v>
      </c>
      <c r="AM272" s="239">
        <v>-6125</v>
      </c>
      <c r="AN272" s="239">
        <v>-1505317</v>
      </c>
      <c r="AO272" s="239">
        <v>0</v>
      </c>
      <c r="AP272" s="239">
        <v>-1505317</v>
      </c>
      <c r="AQ272" s="239">
        <v>-23166</v>
      </c>
      <c r="AR272" s="239">
        <v>0</v>
      </c>
      <c r="AS272" s="239">
        <v>-23166</v>
      </c>
      <c r="AT272" s="239">
        <v>-5815</v>
      </c>
      <c r="AU272" s="239">
        <v>0</v>
      </c>
      <c r="AV272" s="239">
        <v>-5815</v>
      </c>
      <c r="AW272" s="239">
        <v>0</v>
      </c>
      <c r="AX272" s="239">
        <v>0</v>
      </c>
      <c r="AY272" s="239">
        <v>0</v>
      </c>
      <c r="AZ272" s="239">
        <v>0</v>
      </c>
      <c r="BA272" s="239">
        <v>0</v>
      </c>
      <c r="BB272" s="239">
        <v>0</v>
      </c>
      <c r="BC272" s="239">
        <v>0</v>
      </c>
      <c r="BD272" s="239">
        <v>0</v>
      </c>
      <c r="BE272" s="239">
        <v>0</v>
      </c>
      <c r="BF272" s="239">
        <v>-2008958</v>
      </c>
      <c r="BG272" s="239">
        <v>0</v>
      </c>
      <c r="BH272" s="239">
        <v>-2008958</v>
      </c>
      <c r="BI272" s="239">
        <v>-3258</v>
      </c>
      <c r="BJ272" s="239">
        <v>0</v>
      </c>
      <c r="BK272" s="239">
        <v>-3258</v>
      </c>
      <c r="BL272" s="239">
        <v>725</v>
      </c>
      <c r="BM272" s="239">
        <v>0</v>
      </c>
      <c r="BN272" s="239">
        <v>725</v>
      </c>
      <c r="BO272" s="239">
        <v>-1221975</v>
      </c>
      <c r="BP272" s="239">
        <v>0</v>
      </c>
      <c r="BQ272" s="239">
        <v>-1221975</v>
      </c>
      <c r="BR272" s="239">
        <v>123796</v>
      </c>
      <c r="BS272" s="239">
        <v>0</v>
      </c>
      <c r="BT272" s="239">
        <v>123796</v>
      </c>
      <c r="BU272" s="239">
        <v>-1100712</v>
      </c>
      <c r="BV272" s="239">
        <v>0</v>
      </c>
      <c r="BW272" s="239">
        <v>-1100712</v>
      </c>
      <c r="BX272" s="239">
        <v>-96605</v>
      </c>
      <c r="BY272" s="239">
        <v>0</v>
      </c>
      <c r="BZ272" s="239">
        <v>-96605</v>
      </c>
      <c r="CA272" s="239">
        <v>-1170</v>
      </c>
      <c r="CB272" s="239">
        <v>0</v>
      </c>
      <c r="CC272" s="239">
        <v>-1170</v>
      </c>
      <c r="CD272" s="239">
        <v>-215295</v>
      </c>
      <c r="CE272" s="239">
        <v>0</v>
      </c>
      <c r="CF272" s="239">
        <v>-215295</v>
      </c>
      <c r="CG272" s="239">
        <v>0</v>
      </c>
      <c r="CH272" s="239">
        <v>0</v>
      </c>
      <c r="CI272" s="239">
        <v>0</v>
      </c>
      <c r="CJ272" s="239">
        <v>-1454</v>
      </c>
      <c r="CK272" s="239">
        <v>0</v>
      </c>
      <c r="CL272" s="239">
        <v>-1454</v>
      </c>
      <c r="CM272" s="239">
        <v>0</v>
      </c>
      <c r="CN272" s="239">
        <v>0</v>
      </c>
      <c r="CO272" s="239">
        <v>0</v>
      </c>
      <c r="CP272" s="239">
        <v>0</v>
      </c>
      <c r="CQ272" s="239">
        <v>0</v>
      </c>
      <c r="CR272" s="239">
        <v>0</v>
      </c>
      <c r="CS272" s="239">
        <v>0</v>
      </c>
      <c r="CT272" s="239">
        <v>0</v>
      </c>
      <c r="CU272" s="239">
        <v>0</v>
      </c>
      <c r="CV272" s="239">
        <v>0</v>
      </c>
      <c r="CW272" s="239">
        <v>0</v>
      </c>
      <c r="CX272" s="239">
        <v>0</v>
      </c>
      <c r="CY272" s="239">
        <v>0</v>
      </c>
      <c r="CZ272" s="239">
        <v>0</v>
      </c>
      <c r="DA272" s="239">
        <v>0</v>
      </c>
      <c r="DB272" s="239">
        <v>0</v>
      </c>
      <c r="DC272" s="239">
        <v>0</v>
      </c>
      <c r="DD272" s="239">
        <v>0</v>
      </c>
      <c r="DE272" s="239">
        <v>0</v>
      </c>
      <c r="DF272" s="239">
        <v>0</v>
      </c>
      <c r="DG272" s="239">
        <v>0</v>
      </c>
      <c r="DH272" s="239">
        <v>0</v>
      </c>
      <c r="DI272" s="239">
        <v>0</v>
      </c>
      <c r="DJ272" s="239">
        <v>-314524</v>
      </c>
      <c r="DK272" s="239">
        <v>0</v>
      </c>
      <c r="DL272" s="239">
        <v>-314524</v>
      </c>
      <c r="DM272" s="239">
        <v>-429957</v>
      </c>
      <c r="DN272" s="239">
        <v>0</v>
      </c>
      <c r="DO272" s="239">
        <v>-429957</v>
      </c>
      <c r="DP272" s="239">
        <v>-5908</v>
      </c>
      <c r="DQ272" s="239">
        <v>0</v>
      </c>
      <c r="DR272" s="239">
        <v>-5908</v>
      </c>
      <c r="DS272" s="239">
        <v>-42062</v>
      </c>
      <c r="DT272" s="239">
        <v>0</v>
      </c>
      <c r="DU272" s="239">
        <v>-42062</v>
      </c>
      <c r="DV272" s="239">
        <v>-1126</v>
      </c>
      <c r="DW272" s="239">
        <v>0</v>
      </c>
      <c r="DX272" s="239">
        <v>-1126</v>
      </c>
      <c r="DY272" s="239">
        <v>0</v>
      </c>
      <c r="DZ272" s="239">
        <v>0</v>
      </c>
      <c r="EA272" s="239">
        <v>0</v>
      </c>
      <c r="EB272" s="239">
        <v>-201</v>
      </c>
      <c r="EC272" s="239">
        <v>0</v>
      </c>
      <c r="ED272" s="239">
        <v>-201</v>
      </c>
      <c r="EE272" s="239">
        <v>0</v>
      </c>
      <c r="EF272" s="239">
        <v>0</v>
      </c>
      <c r="EG272" s="239">
        <v>0</v>
      </c>
      <c r="EH272" s="239">
        <v>0</v>
      </c>
      <c r="EI272" s="239">
        <v>0</v>
      </c>
      <c r="EJ272" s="239">
        <v>0</v>
      </c>
      <c r="EK272" s="239">
        <v>0</v>
      </c>
      <c r="EL272" s="239">
        <v>0</v>
      </c>
      <c r="EM272" s="239">
        <v>0</v>
      </c>
      <c r="EN272" s="239">
        <v>0</v>
      </c>
      <c r="EO272" s="239">
        <v>0</v>
      </c>
      <c r="EP272" s="239">
        <v>0</v>
      </c>
      <c r="EQ272" s="239">
        <v>-479254</v>
      </c>
      <c r="ER272" s="239">
        <v>0</v>
      </c>
      <c r="ES272" s="239">
        <v>-479254</v>
      </c>
      <c r="ET272" s="239">
        <v>0</v>
      </c>
      <c r="EU272" s="239">
        <v>0</v>
      </c>
      <c r="EV272" s="239">
        <v>0</v>
      </c>
      <c r="EW272" s="239">
        <v>0</v>
      </c>
      <c r="EX272" s="239">
        <v>0</v>
      </c>
      <c r="EY272" s="239">
        <v>0</v>
      </c>
      <c r="EZ272" s="239">
        <v>0</v>
      </c>
      <c r="FA272" s="239">
        <v>0</v>
      </c>
      <c r="FB272" s="239">
        <v>0</v>
      </c>
      <c r="FC272" s="239">
        <v>41505131</v>
      </c>
      <c r="FD272" s="239">
        <v>0</v>
      </c>
      <c r="FE272" s="239">
        <v>41505131</v>
      </c>
      <c r="FF272" s="239">
        <v>135597</v>
      </c>
      <c r="FG272" s="239">
        <v>0</v>
      </c>
      <c r="FH272" s="239">
        <v>135597</v>
      </c>
      <c r="FI272" s="239">
        <v>-2008958</v>
      </c>
      <c r="FJ272" s="239">
        <v>0</v>
      </c>
      <c r="FK272" s="239">
        <v>-2008958</v>
      </c>
      <c r="FL272" s="239">
        <v>-1100712</v>
      </c>
      <c r="FM272" s="239">
        <v>0</v>
      </c>
      <c r="FN272" s="239">
        <v>-1100712</v>
      </c>
      <c r="FO272" s="239">
        <v>-314524</v>
      </c>
      <c r="FP272" s="239">
        <v>0</v>
      </c>
      <c r="FQ272" s="239">
        <v>-314524</v>
      </c>
      <c r="FR272" s="239">
        <v>-479254</v>
      </c>
      <c r="FS272" s="239">
        <v>0</v>
      </c>
      <c r="FT272" s="239">
        <v>-479254</v>
      </c>
      <c r="FU272" s="239">
        <v>0</v>
      </c>
      <c r="FV272" s="239">
        <v>0</v>
      </c>
      <c r="FW272" s="239">
        <v>0</v>
      </c>
      <c r="FX272" s="239">
        <v>-3767851</v>
      </c>
      <c r="FY272" s="239">
        <v>0</v>
      </c>
      <c r="FZ272" s="239">
        <v>-3767851</v>
      </c>
      <c r="GA272" s="239">
        <v>37737280</v>
      </c>
      <c r="GB272" s="239">
        <v>0</v>
      </c>
      <c r="GC272" s="239">
        <v>37737280</v>
      </c>
      <c r="GD272" s="214" t="s">
        <v>1190</v>
      </c>
    </row>
    <row r="273" spans="2:186" s="214" customFormat="1" x14ac:dyDescent="0.2">
      <c r="B273" s="609" t="s">
        <v>628</v>
      </c>
      <c r="C273" s="609" t="s">
        <v>627</v>
      </c>
      <c r="D273" s="239">
        <v>0</v>
      </c>
      <c r="E273" s="239">
        <v>0</v>
      </c>
      <c r="F273" s="239">
        <v>0</v>
      </c>
      <c r="G273" s="239">
        <v>89876</v>
      </c>
      <c r="H273" s="239">
        <v>0</v>
      </c>
      <c r="I273" s="239">
        <v>89876</v>
      </c>
      <c r="J273" s="239">
        <v>0</v>
      </c>
      <c r="K273" s="239">
        <v>0</v>
      </c>
      <c r="L273" s="239">
        <v>0</v>
      </c>
      <c r="M273" s="239">
        <v>-1059762</v>
      </c>
      <c r="N273" s="239">
        <v>0</v>
      </c>
      <c r="O273" s="239">
        <v>-1059762</v>
      </c>
      <c r="P273" s="239">
        <v>-969886</v>
      </c>
      <c r="Q273" s="239">
        <v>0</v>
      </c>
      <c r="R273" s="239">
        <v>-969886</v>
      </c>
      <c r="S273" s="239">
        <v>-2895615</v>
      </c>
      <c r="T273" s="239">
        <v>0</v>
      </c>
      <c r="U273" s="239">
        <v>-2895615</v>
      </c>
      <c r="V273" s="239">
        <v>-1957</v>
      </c>
      <c r="W273" s="239">
        <v>0</v>
      </c>
      <c r="X273" s="239">
        <v>-1957</v>
      </c>
      <c r="Y273" s="239">
        <v>-148568</v>
      </c>
      <c r="Z273" s="239">
        <v>0</v>
      </c>
      <c r="AA273" s="239">
        <v>-148568</v>
      </c>
      <c r="AB273" s="239">
        <v>-101948</v>
      </c>
      <c r="AC273" s="239">
        <v>0</v>
      </c>
      <c r="AD273" s="239">
        <v>-101948</v>
      </c>
      <c r="AE273" s="239">
        <v>-112</v>
      </c>
      <c r="AF273" s="239">
        <v>0</v>
      </c>
      <c r="AG273" s="239">
        <v>-112</v>
      </c>
      <c r="AH273" s="239">
        <v>1319221</v>
      </c>
      <c r="AI273" s="239">
        <v>0</v>
      </c>
      <c r="AJ273" s="239">
        <v>1319221</v>
      </c>
      <c r="AK273" s="239">
        <v>39514</v>
      </c>
      <c r="AL273" s="239">
        <v>0</v>
      </c>
      <c r="AM273" s="239">
        <v>39514</v>
      </c>
      <c r="AN273" s="239">
        <v>-4916590</v>
      </c>
      <c r="AO273" s="239">
        <v>0</v>
      </c>
      <c r="AP273" s="239">
        <v>-4916590</v>
      </c>
      <c r="AQ273" s="239">
        <v>3605</v>
      </c>
      <c r="AR273" s="239">
        <v>0</v>
      </c>
      <c r="AS273" s="239">
        <v>3605</v>
      </c>
      <c r="AT273" s="239">
        <v>-37374</v>
      </c>
      <c r="AU273" s="239">
        <v>0</v>
      </c>
      <c r="AV273" s="239">
        <v>-37374</v>
      </c>
      <c r="AW273" s="239">
        <v>0</v>
      </c>
      <c r="AX273" s="239">
        <v>0</v>
      </c>
      <c r="AY273" s="239">
        <v>0</v>
      </c>
      <c r="AZ273" s="239">
        <v>0</v>
      </c>
      <c r="BA273" s="239">
        <v>0</v>
      </c>
      <c r="BB273" s="239">
        <v>0</v>
      </c>
      <c r="BC273" s="239">
        <v>0</v>
      </c>
      <c r="BD273" s="239">
        <v>0</v>
      </c>
      <c r="BE273" s="239">
        <v>0</v>
      </c>
      <c r="BF273" s="239">
        <v>-6635807</v>
      </c>
      <c r="BG273" s="239">
        <v>0</v>
      </c>
      <c r="BH273" s="239">
        <v>-6635807</v>
      </c>
      <c r="BI273" s="239">
        <v>-835</v>
      </c>
      <c r="BJ273" s="239">
        <v>0</v>
      </c>
      <c r="BK273" s="239">
        <v>-835</v>
      </c>
      <c r="BL273" s="239">
        <v>2190</v>
      </c>
      <c r="BM273" s="239">
        <v>0</v>
      </c>
      <c r="BN273" s="239">
        <v>2190</v>
      </c>
      <c r="BO273" s="239">
        <v>-947005</v>
      </c>
      <c r="BP273" s="239">
        <v>0</v>
      </c>
      <c r="BQ273" s="239">
        <v>-947005</v>
      </c>
      <c r="BR273" s="239">
        <v>-135689</v>
      </c>
      <c r="BS273" s="239">
        <v>0</v>
      </c>
      <c r="BT273" s="239">
        <v>-135689</v>
      </c>
      <c r="BU273" s="239">
        <v>-1081339</v>
      </c>
      <c r="BV273" s="239">
        <v>0</v>
      </c>
      <c r="BW273" s="239">
        <v>-1081339</v>
      </c>
      <c r="BX273" s="239">
        <v>0</v>
      </c>
      <c r="BY273" s="239">
        <v>0</v>
      </c>
      <c r="BZ273" s="239">
        <v>0</v>
      </c>
      <c r="CA273" s="239">
        <v>0</v>
      </c>
      <c r="CB273" s="239">
        <v>0</v>
      </c>
      <c r="CC273" s="239">
        <v>0</v>
      </c>
      <c r="CD273" s="239">
        <v>-105948</v>
      </c>
      <c r="CE273" s="239">
        <v>0</v>
      </c>
      <c r="CF273" s="239">
        <v>-105948</v>
      </c>
      <c r="CG273" s="239">
        <v>111293</v>
      </c>
      <c r="CH273" s="239">
        <v>0</v>
      </c>
      <c r="CI273" s="239">
        <v>111293</v>
      </c>
      <c r="CJ273" s="239">
        <v>0</v>
      </c>
      <c r="CK273" s="239">
        <v>0</v>
      </c>
      <c r="CL273" s="239">
        <v>0</v>
      </c>
      <c r="CM273" s="239">
        <v>0</v>
      </c>
      <c r="CN273" s="239">
        <v>0</v>
      </c>
      <c r="CO273" s="239">
        <v>0</v>
      </c>
      <c r="CP273" s="239">
        <v>0</v>
      </c>
      <c r="CQ273" s="239">
        <v>0</v>
      </c>
      <c r="CR273" s="239">
        <v>0</v>
      </c>
      <c r="CS273" s="239">
        <v>0</v>
      </c>
      <c r="CT273" s="239">
        <v>0</v>
      </c>
      <c r="CU273" s="239">
        <v>0</v>
      </c>
      <c r="CV273" s="239">
        <v>0</v>
      </c>
      <c r="CW273" s="239">
        <v>0</v>
      </c>
      <c r="CX273" s="239">
        <v>0</v>
      </c>
      <c r="CY273" s="239">
        <v>0</v>
      </c>
      <c r="CZ273" s="239">
        <v>0</v>
      </c>
      <c r="DA273" s="239">
        <v>0</v>
      </c>
      <c r="DB273" s="239">
        <v>-41328</v>
      </c>
      <c r="DC273" s="239">
        <v>0</v>
      </c>
      <c r="DD273" s="239">
        <v>-41328</v>
      </c>
      <c r="DE273" s="239">
        <v>-26568</v>
      </c>
      <c r="DF273" s="239">
        <v>0</v>
      </c>
      <c r="DG273" s="239">
        <v>-26568</v>
      </c>
      <c r="DH273" s="239">
        <v>0</v>
      </c>
      <c r="DI273" s="239">
        <v>0</v>
      </c>
      <c r="DJ273" s="239">
        <v>-62551</v>
      </c>
      <c r="DK273" s="239">
        <v>0</v>
      </c>
      <c r="DL273" s="239">
        <v>-62551</v>
      </c>
      <c r="DM273" s="239">
        <v>-3089</v>
      </c>
      <c r="DN273" s="239">
        <v>0</v>
      </c>
      <c r="DO273" s="239">
        <v>-3089</v>
      </c>
      <c r="DP273" s="239">
        <v>40940</v>
      </c>
      <c r="DQ273" s="239">
        <v>0</v>
      </c>
      <c r="DR273" s="239">
        <v>40940</v>
      </c>
      <c r="DS273" s="239">
        <v>-2071</v>
      </c>
      <c r="DT273" s="239">
        <v>0</v>
      </c>
      <c r="DU273" s="239">
        <v>-2071</v>
      </c>
      <c r="DV273" s="239">
        <v>-12109</v>
      </c>
      <c r="DW273" s="239">
        <v>0</v>
      </c>
      <c r="DX273" s="239">
        <v>-12109</v>
      </c>
      <c r="DY273" s="239">
        <v>0</v>
      </c>
      <c r="DZ273" s="239">
        <v>0</v>
      </c>
      <c r="EA273" s="239">
        <v>0</v>
      </c>
      <c r="EB273" s="239">
        <v>-121239</v>
      </c>
      <c r="EC273" s="239">
        <v>0</v>
      </c>
      <c r="ED273" s="239">
        <v>-121239</v>
      </c>
      <c r="EE273" s="239">
        <v>0</v>
      </c>
      <c r="EF273" s="239">
        <v>0</v>
      </c>
      <c r="EG273" s="239">
        <v>0</v>
      </c>
      <c r="EH273" s="239">
        <v>0</v>
      </c>
      <c r="EI273" s="239">
        <v>0</v>
      </c>
      <c r="EJ273" s="239">
        <v>0</v>
      </c>
      <c r="EK273" s="239">
        <v>-1859</v>
      </c>
      <c r="EL273" s="239">
        <v>0</v>
      </c>
      <c r="EM273" s="239">
        <v>-1859</v>
      </c>
      <c r="EN273" s="239">
        <v>-602</v>
      </c>
      <c r="EO273" s="239">
        <v>0</v>
      </c>
      <c r="EP273" s="239">
        <v>-602</v>
      </c>
      <c r="EQ273" s="239">
        <v>-100029</v>
      </c>
      <c r="ER273" s="239">
        <v>0</v>
      </c>
      <c r="ES273" s="239">
        <v>-100029</v>
      </c>
      <c r="ET273" s="239">
        <v>0</v>
      </c>
      <c r="EU273" s="239">
        <v>0</v>
      </c>
      <c r="EV273" s="239">
        <v>0</v>
      </c>
      <c r="EW273" s="239">
        <v>0</v>
      </c>
      <c r="EX273" s="239">
        <v>0</v>
      </c>
      <c r="EY273" s="239">
        <v>0</v>
      </c>
      <c r="EZ273" s="239">
        <v>0</v>
      </c>
      <c r="FA273" s="239">
        <v>0</v>
      </c>
      <c r="FB273" s="239">
        <v>0</v>
      </c>
      <c r="FC273" s="239">
        <v>59077628</v>
      </c>
      <c r="FD273" s="239">
        <v>0</v>
      </c>
      <c r="FE273" s="239">
        <v>59077628</v>
      </c>
      <c r="FF273" s="239">
        <v>-969886</v>
      </c>
      <c r="FG273" s="239">
        <v>0</v>
      </c>
      <c r="FH273" s="239">
        <v>-969886</v>
      </c>
      <c r="FI273" s="239">
        <v>-6635807</v>
      </c>
      <c r="FJ273" s="239">
        <v>0</v>
      </c>
      <c r="FK273" s="239">
        <v>-6635807</v>
      </c>
      <c r="FL273" s="239">
        <v>-1081339</v>
      </c>
      <c r="FM273" s="239">
        <v>0</v>
      </c>
      <c r="FN273" s="239">
        <v>-1081339</v>
      </c>
      <c r="FO273" s="239">
        <v>-62551</v>
      </c>
      <c r="FP273" s="239">
        <v>0</v>
      </c>
      <c r="FQ273" s="239">
        <v>-62551</v>
      </c>
      <c r="FR273" s="239">
        <v>-100029</v>
      </c>
      <c r="FS273" s="239">
        <v>0</v>
      </c>
      <c r="FT273" s="239">
        <v>-100029</v>
      </c>
      <c r="FU273" s="239">
        <v>0</v>
      </c>
      <c r="FV273" s="239">
        <v>0</v>
      </c>
      <c r="FW273" s="239">
        <v>0</v>
      </c>
      <c r="FX273" s="239">
        <v>-8849612</v>
      </c>
      <c r="FY273" s="239">
        <v>0</v>
      </c>
      <c r="FZ273" s="239">
        <v>-8849612</v>
      </c>
      <c r="GA273" s="239">
        <v>50228016</v>
      </c>
      <c r="GB273" s="239">
        <v>0</v>
      </c>
      <c r="GC273" s="239">
        <v>50228016</v>
      </c>
      <c r="GD273" s="214" t="s">
        <v>1191</v>
      </c>
    </row>
    <row r="274" spans="2:186" s="214" customFormat="1" x14ac:dyDescent="0.2">
      <c r="B274" s="609" t="s">
        <v>630</v>
      </c>
      <c r="C274" s="609" t="s">
        <v>629</v>
      </c>
      <c r="D274" s="239">
        <v>0</v>
      </c>
      <c r="E274" s="239">
        <v>0</v>
      </c>
      <c r="F274" s="239">
        <v>0</v>
      </c>
      <c r="G274" s="239">
        <v>2188</v>
      </c>
      <c r="H274" s="239">
        <v>0</v>
      </c>
      <c r="I274" s="239">
        <v>2188</v>
      </c>
      <c r="J274" s="239">
        <v>0</v>
      </c>
      <c r="K274" s="239">
        <v>0</v>
      </c>
      <c r="L274" s="239">
        <v>0</v>
      </c>
      <c r="M274" s="239">
        <v>3345</v>
      </c>
      <c r="N274" s="239">
        <v>0</v>
      </c>
      <c r="O274" s="239">
        <v>3345</v>
      </c>
      <c r="P274" s="239">
        <v>5533</v>
      </c>
      <c r="Q274" s="239">
        <v>0</v>
      </c>
      <c r="R274" s="239">
        <v>5533</v>
      </c>
      <c r="S274" s="239">
        <v>-3366804</v>
      </c>
      <c r="T274" s="239">
        <v>0</v>
      </c>
      <c r="U274" s="239">
        <v>-3366804</v>
      </c>
      <c r="V274" s="239">
        <v>-9752</v>
      </c>
      <c r="W274" s="239">
        <v>0</v>
      </c>
      <c r="X274" s="239">
        <v>-9752</v>
      </c>
      <c r="Y274" s="239">
        <v>-41668</v>
      </c>
      <c r="Z274" s="239">
        <v>0</v>
      </c>
      <c r="AA274" s="239">
        <v>-41668</v>
      </c>
      <c r="AB274" s="239">
        <v>-41668</v>
      </c>
      <c r="AC274" s="239">
        <v>0</v>
      </c>
      <c r="AD274" s="239">
        <v>-41668</v>
      </c>
      <c r="AE274" s="239">
        <v>-970</v>
      </c>
      <c r="AF274" s="239">
        <v>0</v>
      </c>
      <c r="AG274" s="239">
        <v>-970</v>
      </c>
      <c r="AH274" s="239">
        <v>1260870</v>
      </c>
      <c r="AI274" s="239">
        <v>0</v>
      </c>
      <c r="AJ274" s="239">
        <v>1260870</v>
      </c>
      <c r="AK274" s="239">
        <v>-21048</v>
      </c>
      <c r="AL274" s="239">
        <v>0</v>
      </c>
      <c r="AM274" s="239">
        <v>-21048</v>
      </c>
      <c r="AN274" s="239">
        <v>-3024894</v>
      </c>
      <c r="AO274" s="239">
        <v>0</v>
      </c>
      <c r="AP274" s="239">
        <v>-3024894</v>
      </c>
      <c r="AQ274" s="239">
        <v>-26518</v>
      </c>
      <c r="AR274" s="239">
        <v>0</v>
      </c>
      <c r="AS274" s="239">
        <v>-26518</v>
      </c>
      <c r="AT274" s="239">
        <v>-88854</v>
      </c>
      <c r="AU274" s="239">
        <v>0</v>
      </c>
      <c r="AV274" s="239">
        <v>-88854</v>
      </c>
      <c r="AW274" s="239">
        <v>0</v>
      </c>
      <c r="AX274" s="239">
        <v>0</v>
      </c>
      <c r="AY274" s="239">
        <v>0</v>
      </c>
      <c r="AZ274" s="239">
        <v>-34402</v>
      </c>
      <c r="BA274" s="239">
        <v>0</v>
      </c>
      <c r="BB274" s="239">
        <v>-34402</v>
      </c>
      <c r="BC274" s="239">
        <v>388</v>
      </c>
      <c r="BD274" s="239">
        <v>0</v>
      </c>
      <c r="BE274" s="239">
        <v>388</v>
      </c>
      <c r="BF274" s="239">
        <v>-5342930</v>
      </c>
      <c r="BG274" s="239">
        <v>0</v>
      </c>
      <c r="BH274" s="239">
        <v>-5342930</v>
      </c>
      <c r="BI274" s="239">
        <v>-58083</v>
      </c>
      <c r="BJ274" s="239">
        <v>0</v>
      </c>
      <c r="BK274" s="239">
        <v>-58083</v>
      </c>
      <c r="BL274" s="239">
        <v>15247</v>
      </c>
      <c r="BM274" s="239">
        <v>0</v>
      </c>
      <c r="BN274" s="239">
        <v>15247</v>
      </c>
      <c r="BO274" s="239">
        <v>-1419945</v>
      </c>
      <c r="BP274" s="239">
        <v>0</v>
      </c>
      <c r="BQ274" s="239">
        <v>-1419945</v>
      </c>
      <c r="BR274" s="239">
        <v>-94683</v>
      </c>
      <c r="BS274" s="239">
        <v>0</v>
      </c>
      <c r="BT274" s="239">
        <v>-94683</v>
      </c>
      <c r="BU274" s="239">
        <v>-1557464</v>
      </c>
      <c r="BV274" s="239">
        <v>0</v>
      </c>
      <c r="BW274" s="239">
        <v>-1557464</v>
      </c>
      <c r="BX274" s="239">
        <v>-233285</v>
      </c>
      <c r="BY274" s="239">
        <v>0</v>
      </c>
      <c r="BZ274" s="239">
        <v>-233285</v>
      </c>
      <c r="CA274" s="239">
        <v>-343</v>
      </c>
      <c r="CB274" s="239">
        <v>0</v>
      </c>
      <c r="CC274" s="239">
        <v>-343</v>
      </c>
      <c r="CD274" s="239">
        <v>-138692</v>
      </c>
      <c r="CE274" s="239">
        <v>0</v>
      </c>
      <c r="CF274" s="239">
        <v>-138692</v>
      </c>
      <c r="CG274" s="239">
        <v>1075</v>
      </c>
      <c r="CH274" s="239">
        <v>0</v>
      </c>
      <c r="CI274" s="239">
        <v>1075</v>
      </c>
      <c r="CJ274" s="239">
        <v>-22213</v>
      </c>
      <c r="CK274" s="239">
        <v>0</v>
      </c>
      <c r="CL274" s="239">
        <v>-22213</v>
      </c>
      <c r="CM274" s="239">
        <v>0</v>
      </c>
      <c r="CN274" s="239">
        <v>0</v>
      </c>
      <c r="CO274" s="239">
        <v>0</v>
      </c>
      <c r="CP274" s="239">
        <v>-34402</v>
      </c>
      <c r="CQ274" s="239">
        <v>0</v>
      </c>
      <c r="CR274" s="239">
        <v>-34402</v>
      </c>
      <c r="CS274" s="239">
        <v>388</v>
      </c>
      <c r="CT274" s="239">
        <v>0</v>
      </c>
      <c r="CU274" s="239">
        <v>388</v>
      </c>
      <c r="CV274" s="239">
        <v>-12405</v>
      </c>
      <c r="CW274" s="239">
        <v>0</v>
      </c>
      <c r="CX274" s="239">
        <v>-12405</v>
      </c>
      <c r="CY274" s="239">
        <v>1941</v>
      </c>
      <c r="CZ274" s="239">
        <v>0</v>
      </c>
      <c r="DA274" s="239">
        <v>1941</v>
      </c>
      <c r="DB274" s="239">
        <v>0</v>
      </c>
      <c r="DC274" s="239">
        <v>0</v>
      </c>
      <c r="DD274" s="239">
        <v>0</v>
      </c>
      <c r="DE274" s="239">
        <v>0</v>
      </c>
      <c r="DF274" s="239">
        <v>0</v>
      </c>
      <c r="DG274" s="239">
        <v>0</v>
      </c>
      <c r="DH274" s="239">
        <v>0</v>
      </c>
      <c r="DI274" s="239">
        <v>0</v>
      </c>
      <c r="DJ274" s="239">
        <v>-437936</v>
      </c>
      <c r="DK274" s="239">
        <v>0</v>
      </c>
      <c r="DL274" s="239">
        <v>-437936</v>
      </c>
      <c r="DM274" s="239">
        <v>-198766</v>
      </c>
      <c r="DN274" s="239">
        <v>0</v>
      </c>
      <c r="DO274" s="239">
        <v>-198766</v>
      </c>
      <c r="DP274" s="239">
        <v>-25026</v>
      </c>
      <c r="DQ274" s="239">
        <v>0</v>
      </c>
      <c r="DR274" s="239">
        <v>-25026</v>
      </c>
      <c r="DS274" s="239">
        <v>-2317</v>
      </c>
      <c r="DT274" s="239">
        <v>0</v>
      </c>
      <c r="DU274" s="239">
        <v>-2317</v>
      </c>
      <c r="DV274" s="239">
        <v>59</v>
      </c>
      <c r="DW274" s="239">
        <v>0</v>
      </c>
      <c r="DX274" s="239">
        <v>59</v>
      </c>
      <c r="DY274" s="239">
        <v>0</v>
      </c>
      <c r="DZ274" s="239">
        <v>0</v>
      </c>
      <c r="EA274" s="239">
        <v>0</v>
      </c>
      <c r="EB274" s="239">
        <v>2021</v>
      </c>
      <c r="EC274" s="239">
        <v>0</v>
      </c>
      <c r="ED274" s="239">
        <v>2021</v>
      </c>
      <c r="EE274" s="239">
        <v>0</v>
      </c>
      <c r="EF274" s="239">
        <v>0</v>
      </c>
      <c r="EG274" s="239">
        <v>0</v>
      </c>
      <c r="EH274" s="239">
        <v>0</v>
      </c>
      <c r="EI274" s="239">
        <v>0</v>
      </c>
      <c r="EJ274" s="239">
        <v>0</v>
      </c>
      <c r="EK274" s="239">
        <v>-10490</v>
      </c>
      <c r="EL274" s="239">
        <v>0</v>
      </c>
      <c r="EM274" s="239">
        <v>-10490</v>
      </c>
      <c r="EN274" s="239">
        <v>120</v>
      </c>
      <c r="EO274" s="239">
        <v>0</v>
      </c>
      <c r="EP274" s="239">
        <v>120</v>
      </c>
      <c r="EQ274" s="239">
        <v>-234399</v>
      </c>
      <c r="ER274" s="239">
        <v>0</v>
      </c>
      <c r="ES274" s="239">
        <v>-234399</v>
      </c>
      <c r="ET274" s="239">
        <v>-7358</v>
      </c>
      <c r="EU274" s="239">
        <v>0</v>
      </c>
      <c r="EV274" s="239">
        <v>-7358</v>
      </c>
      <c r="EW274" s="239">
        <v>0</v>
      </c>
      <c r="EX274" s="239">
        <v>0</v>
      </c>
      <c r="EY274" s="239">
        <v>0</v>
      </c>
      <c r="EZ274" s="239">
        <v>-7358</v>
      </c>
      <c r="FA274" s="239">
        <v>0</v>
      </c>
      <c r="FB274" s="239">
        <v>-7358</v>
      </c>
      <c r="FC274" s="239">
        <v>54633432</v>
      </c>
      <c r="FD274" s="239">
        <v>0</v>
      </c>
      <c r="FE274" s="239">
        <v>54633432</v>
      </c>
      <c r="FF274" s="239">
        <v>5533</v>
      </c>
      <c r="FG274" s="239">
        <v>0</v>
      </c>
      <c r="FH274" s="239">
        <v>5533</v>
      </c>
      <c r="FI274" s="239">
        <v>-5342930</v>
      </c>
      <c r="FJ274" s="239">
        <v>0</v>
      </c>
      <c r="FK274" s="239">
        <v>-5342930</v>
      </c>
      <c r="FL274" s="239">
        <v>-1557464</v>
      </c>
      <c r="FM274" s="239">
        <v>0</v>
      </c>
      <c r="FN274" s="239">
        <v>-1557464</v>
      </c>
      <c r="FO274" s="239">
        <v>-437936</v>
      </c>
      <c r="FP274" s="239">
        <v>0</v>
      </c>
      <c r="FQ274" s="239">
        <v>-437936</v>
      </c>
      <c r="FR274" s="239">
        <v>-234399</v>
      </c>
      <c r="FS274" s="239">
        <v>0</v>
      </c>
      <c r="FT274" s="239">
        <v>-234399</v>
      </c>
      <c r="FU274" s="239">
        <v>-7358</v>
      </c>
      <c r="FV274" s="239">
        <v>0</v>
      </c>
      <c r="FW274" s="239">
        <v>-7358</v>
      </c>
      <c r="FX274" s="239">
        <v>-7574554</v>
      </c>
      <c r="FY274" s="239">
        <v>0</v>
      </c>
      <c r="FZ274" s="239">
        <v>-7574554</v>
      </c>
      <c r="GA274" s="239">
        <v>47058878</v>
      </c>
      <c r="GB274" s="239">
        <v>0</v>
      </c>
      <c r="GC274" s="239">
        <v>47058878</v>
      </c>
      <c r="GD274" s="214" t="s">
        <v>1190</v>
      </c>
    </row>
    <row r="275" spans="2:186" s="214" customFormat="1" x14ac:dyDescent="0.2">
      <c r="B275" s="609" t="s">
        <v>632</v>
      </c>
      <c r="C275" s="609" t="s">
        <v>631</v>
      </c>
      <c r="D275" s="239">
        <v>0</v>
      </c>
      <c r="E275" s="239">
        <v>0</v>
      </c>
      <c r="F275" s="239">
        <v>0</v>
      </c>
      <c r="G275" s="239">
        <v>70243</v>
      </c>
      <c r="H275" s="239">
        <v>0</v>
      </c>
      <c r="I275" s="239">
        <v>70243</v>
      </c>
      <c r="J275" s="239">
        <v>0</v>
      </c>
      <c r="K275" s="239">
        <v>0</v>
      </c>
      <c r="L275" s="239">
        <v>0</v>
      </c>
      <c r="M275" s="239">
        <v>646556</v>
      </c>
      <c r="N275" s="239">
        <v>0</v>
      </c>
      <c r="O275" s="239">
        <v>646556</v>
      </c>
      <c r="P275" s="239">
        <v>716799</v>
      </c>
      <c r="Q275" s="239">
        <v>0</v>
      </c>
      <c r="R275" s="239">
        <v>716799</v>
      </c>
      <c r="S275" s="239">
        <v>-2964548</v>
      </c>
      <c r="T275" s="239">
        <v>0</v>
      </c>
      <c r="U275" s="239">
        <v>-2964548</v>
      </c>
      <c r="V275" s="239">
        <v>-9909</v>
      </c>
      <c r="W275" s="239">
        <v>0</v>
      </c>
      <c r="X275" s="239">
        <v>-9909</v>
      </c>
      <c r="Y275" s="239">
        <v>-80930</v>
      </c>
      <c r="Z275" s="239">
        <v>0</v>
      </c>
      <c r="AA275" s="239">
        <v>-80930</v>
      </c>
      <c r="AB275" s="239">
        <v>-56481</v>
      </c>
      <c r="AC275" s="239">
        <v>0</v>
      </c>
      <c r="AD275" s="239">
        <v>-56481</v>
      </c>
      <c r="AE275" s="239">
        <v>1803</v>
      </c>
      <c r="AF275" s="239">
        <v>0</v>
      </c>
      <c r="AG275" s="239">
        <v>1803</v>
      </c>
      <c r="AH275" s="239">
        <v>3129342</v>
      </c>
      <c r="AI275" s="239">
        <v>0</v>
      </c>
      <c r="AJ275" s="239">
        <v>3129342</v>
      </c>
      <c r="AK275" s="239">
        <v>-33691</v>
      </c>
      <c r="AL275" s="239">
        <v>0</v>
      </c>
      <c r="AM275" s="239">
        <v>-33691</v>
      </c>
      <c r="AN275" s="239">
        <v>-6622441</v>
      </c>
      <c r="AO275" s="239">
        <v>0</v>
      </c>
      <c r="AP275" s="239">
        <v>-6622441</v>
      </c>
      <c r="AQ275" s="239">
        <v>32820</v>
      </c>
      <c r="AR275" s="239">
        <v>0</v>
      </c>
      <c r="AS275" s="239">
        <v>32820</v>
      </c>
      <c r="AT275" s="239">
        <v>-87353</v>
      </c>
      <c r="AU275" s="239">
        <v>0</v>
      </c>
      <c r="AV275" s="239">
        <v>-87353</v>
      </c>
      <c r="AW275" s="239">
        <v>0</v>
      </c>
      <c r="AX275" s="239">
        <v>0</v>
      </c>
      <c r="AY275" s="239">
        <v>0</v>
      </c>
      <c r="AZ275" s="239">
        <v>-7989</v>
      </c>
      <c r="BA275" s="239">
        <v>0</v>
      </c>
      <c r="BB275" s="239">
        <v>-7989</v>
      </c>
      <c r="BC275" s="239">
        <v>2700</v>
      </c>
      <c r="BD275" s="239">
        <v>0</v>
      </c>
      <c r="BE275" s="239">
        <v>2700</v>
      </c>
      <c r="BF275" s="239">
        <v>-6632090</v>
      </c>
      <c r="BG275" s="239">
        <v>0</v>
      </c>
      <c r="BH275" s="239">
        <v>-6632090</v>
      </c>
      <c r="BI275" s="239">
        <v>-41704</v>
      </c>
      <c r="BJ275" s="239">
        <v>0</v>
      </c>
      <c r="BK275" s="239">
        <v>-41704</v>
      </c>
      <c r="BL275" s="239">
        <v>-94751</v>
      </c>
      <c r="BM275" s="239">
        <v>0</v>
      </c>
      <c r="BN275" s="239">
        <v>-94751</v>
      </c>
      <c r="BO275" s="239">
        <v>-4871843</v>
      </c>
      <c r="BP275" s="239">
        <v>0</v>
      </c>
      <c r="BQ275" s="239">
        <v>-4871843</v>
      </c>
      <c r="BR275" s="239">
        <v>68050</v>
      </c>
      <c r="BS275" s="239">
        <v>0</v>
      </c>
      <c r="BT275" s="239">
        <v>68050</v>
      </c>
      <c r="BU275" s="239">
        <v>-4940248</v>
      </c>
      <c r="BV275" s="239">
        <v>0</v>
      </c>
      <c r="BW275" s="239">
        <v>-4940248</v>
      </c>
      <c r="BX275" s="239">
        <v>-189128</v>
      </c>
      <c r="BY275" s="239">
        <v>0</v>
      </c>
      <c r="BZ275" s="239">
        <v>-189128</v>
      </c>
      <c r="CA275" s="239">
        <v>2262</v>
      </c>
      <c r="CB275" s="239">
        <v>0</v>
      </c>
      <c r="CC275" s="239">
        <v>2262</v>
      </c>
      <c r="CD275" s="239">
        <v>-57979</v>
      </c>
      <c r="CE275" s="239">
        <v>0</v>
      </c>
      <c r="CF275" s="239">
        <v>-57979</v>
      </c>
      <c r="CG275" s="239">
        <v>721</v>
      </c>
      <c r="CH275" s="239">
        <v>0</v>
      </c>
      <c r="CI275" s="239">
        <v>721</v>
      </c>
      <c r="CJ275" s="239">
        <v>-21838</v>
      </c>
      <c r="CK275" s="239">
        <v>0</v>
      </c>
      <c r="CL275" s="239">
        <v>-21838</v>
      </c>
      <c r="CM275" s="239">
        <v>0</v>
      </c>
      <c r="CN275" s="239">
        <v>0</v>
      </c>
      <c r="CO275" s="239">
        <v>0</v>
      </c>
      <c r="CP275" s="239">
        <v>-3019</v>
      </c>
      <c r="CQ275" s="239">
        <v>0</v>
      </c>
      <c r="CR275" s="239">
        <v>-3019</v>
      </c>
      <c r="CS275" s="239">
        <v>2700</v>
      </c>
      <c r="CT275" s="239">
        <v>0</v>
      </c>
      <c r="CU275" s="239">
        <v>2700</v>
      </c>
      <c r="CV275" s="239">
        <v>0</v>
      </c>
      <c r="CW275" s="239">
        <v>0</v>
      </c>
      <c r="CX275" s="239">
        <v>0</v>
      </c>
      <c r="CY275" s="239">
        <v>0</v>
      </c>
      <c r="CZ275" s="239">
        <v>0</v>
      </c>
      <c r="DA275" s="239">
        <v>0</v>
      </c>
      <c r="DB275" s="239">
        <v>0</v>
      </c>
      <c r="DC275" s="239">
        <v>0</v>
      </c>
      <c r="DD275" s="239">
        <v>0</v>
      </c>
      <c r="DE275" s="239">
        <v>0</v>
      </c>
      <c r="DF275" s="239">
        <v>0</v>
      </c>
      <c r="DG275" s="239">
        <v>0</v>
      </c>
      <c r="DH275" s="239">
        <v>0</v>
      </c>
      <c r="DI275" s="239">
        <v>0</v>
      </c>
      <c r="DJ275" s="239">
        <v>-266281</v>
      </c>
      <c r="DK275" s="239">
        <v>0</v>
      </c>
      <c r="DL275" s="239">
        <v>-266281</v>
      </c>
      <c r="DM275" s="239">
        <v>-8811</v>
      </c>
      <c r="DN275" s="239">
        <v>0</v>
      </c>
      <c r="DO275" s="239">
        <v>-8811</v>
      </c>
      <c r="DP275" s="239">
        <v>-776</v>
      </c>
      <c r="DQ275" s="239">
        <v>0</v>
      </c>
      <c r="DR275" s="239">
        <v>-776</v>
      </c>
      <c r="DS275" s="239">
        <v>-6567</v>
      </c>
      <c r="DT275" s="239">
        <v>0</v>
      </c>
      <c r="DU275" s="239">
        <v>-6567</v>
      </c>
      <c r="DV275" s="239">
        <v>-77373</v>
      </c>
      <c r="DW275" s="239">
        <v>0</v>
      </c>
      <c r="DX275" s="239">
        <v>-77373</v>
      </c>
      <c r="DY275" s="239">
        <v>0</v>
      </c>
      <c r="DZ275" s="239">
        <v>0</v>
      </c>
      <c r="EA275" s="239">
        <v>0</v>
      </c>
      <c r="EB275" s="239">
        <v>-23945</v>
      </c>
      <c r="EC275" s="239">
        <v>0</v>
      </c>
      <c r="ED275" s="239">
        <v>-23945</v>
      </c>
      <c r="EE275" s="239">
        <v>0</v>
      </c>
      <c r="EF275" s="239">
        <v>0</v>
      </c>
      <c r="EG275" s="239">
        <v>0</v>
      </c>
      <c r="EH275" s="239">
        <v>0</v>
      </c>
      <c r="EI275" s="239">
        <v>0</v>
      </c>
      <c r="EJ275" s="239">
        <v>0</v>
      </c>
      <c r="EK275" s="239">
        <v>0</v>
      </c>
      <c r="EL275" s="239">
        <v>0</v>
      </c>
      <c r="EM275" s="239">
        <v>0</v>
      </c>
      <c r="EN275" s="239">
        <v>0</v>
      </c>
      <c r="EO275" s="239">
        <v>0</v>
      </c>
      <c r="EP275" s="239">
        <v>0</v>
      </c>
      <c r="EQ275" s="239">
        <v>-117472</v>
      </c>
      <c r="ER275" s="239">
        <v>0</v>
      </c>
      <c r="ES275" s="239">
        <v>-117472</v>
      </c>
      <c r="ET275" s="239">
        <v>0</v>
      </c>
      <c r="EU275" s="239">
        <v>0</v>
      </c>
      <c r="EV275" s="239">
        <v>0</v>
      </c>
      <c r="EW275" s="239">
        <v>0</v>
      </c>
      <c r="EX275" s="239">
        <v>0</v>
      </c>
      <c r="EY275" s="239">
        <v>0</v>
      </c>
      <c r="EZ275" s="239">
        <v>0</v>
      </c>
      <c r="FA275" s="239">
        <v>0</v>
      </c>
      <c r="FB275" s="239">
        <v>0</v>
      </c>
      <c r="FC275" s="239">
        <v>121162811</v>
      </c>
      <c r="FD275" s="239">
        <v>0</v>
      </c>
      <c r="FE275" s="239">
        <v>121162811</v>
      </c>
      <c r="FF275" s="239">
        <v>716799</v>
      </c>
      <c r="FG275" s="239">
        <v>0</v>
      </c>
      <c r="FH275" s="239">
        <v>716799</v>
      </c>
      <c r="FI275" s="239">
        <v>-6632090</v>
      </c>
      <c r="FJ275" s="239">
        <v>0</v>
      </c>
      <c r="FK275" s="239">
        <v>-6632090</v>
      </c>
      <c r="FL275" s="239">
        <v>-4940248</v>
      </c>
      <c r="FM275" s="239">
        <v>0</v>
      </c>
      <c r="FN275" s="239">
        <v>-4940248</v>
      </c>
      <c r="FO275" s="239">
        <v>-266281</v>
      </c>
      <c r="FP275" s="239">
        <v>0</v>
      </c>
      <c r="FQ275" s="239">
        <v>-266281</v>
      </c>
      <c r="FR275" s="239">
        <v>-117472</v>
      </c>
      <c r="FS275" s="239">
        <v>0</v>
      </c>
      <c r="FT275" s="239">
        <v>-117472</v>
      </c>
      <c r="FU275" s="239">
        <v>0</v>
      </c>
      <c r="FV275" s="239">
        <v>0</v>
      </c>
      <c r="FW275" s="239">
        <v>0</v>
      </c>
      <c r="FX275" s="239">
        <v>-11239292</v>
      </c>
      <c r="FY275" s="239">
        <v>0</v>
      </c>
      <c r="FZ275" s="239">
        <v>-11239292</v>
      </c>
      <c r="GA275" s="239">
        <v>109923519</v>
      </c>
      <c r="GB275" s="239">
        <v>0</v>
      </c>
      <c r="GC275" s="239">
        <v>109923519</v>
      </c>
      <c r="GD275" s="214" t="s">
        <v>747</v>
      </c>
    </row>
    <row r="276" spans="2:186" s="214" customFormat="1" x14ac:dyDescent="0.2">
      <c r="B276" s="609" t="s">
        <v>634</v>
      </c>
      <c r="C276" s="609" t="s">
        <v>633</v>
      </c>
      <c r="D276" s="239">
        <v>0</v>
      </c>
      <c r="E276" s="239">
        <v>0</v>
      </c>
      <c r="F276" s="239">
        <v>0</v>
      </c>
      <c r="G276" s="239">
        <v>23196</v>
      </c>
      <c r="H276" s="239">
        <v>0</v>
      </c>
      <c r="I276" s="239">
        <v>23196</v>
      </c>
      <c r="J276" s="239">
        <v>0</v>
      </c>
      <c r="K276" s="239">
        <v>0</v>
      </c>
      <c r="L276" s="239">
        <v>0</v>
      </c>
      <c r="M276" s="239">
        <v>99920</v>
      </c>
      <c r="N276" s="239">
        <v>0</v>
      </c>
      <c r="O276" s="239">
        <v>99920</v>
      </c>
      <c r="P276" s="239">
        <v>123116</v>
      </c>
      <c r="Q276" s="239">
        <v>0</v>
      </c>
      <c r="R276" s="239">
        <v>123116</v>
      </c>
      <c r="S276" s="239">
        <v>-6342068</v>
      </c>
      <c r="T276" s="239">
        <v>0</v>
      </c>
      <c r="U276" s="239">
        <v>-6342068</v>
      </c>
      <c r="V276" s="239">
        <v>0</v>
      </c>
      <c r="W276" s="239">
        <v>0</v>
      </c>
      <c r="X276" s="239">
        <v>0</v>
      </c>
      <c r="Y276" s="239">
        <v>-194623</v>
      </c>
      <c r="Z276" s="239">
        <v>0</v>
      </c>
      <c r="AA276" s="239">
        <v>-194623</v>
      </c>
      <c r="AB276" s="239">
        <v>-194623</v>
      </c>
      <c r="AC276" s="239">
        <v>0</v>
      </c>
      <c r="AD276" s="239">
        <v>-194623</v>
      </c>
      <c r="AE276" s="239">
        <v>0</v>
      </c>
      <c r="AF276" s="239">
        <v>0</v>
      </c>
      <c r="AG276" s="239">
        <v>0</v>
      </c>
      <c r="AH276" s="239">
        <v>1569659</v>
      </c>
      <c r="AI276" s="239">
        <v>0</v>
      </c>
      <c r="AJ276" s="239">
        <v>1569659</v>
      </c>
      <c r="AK276" s="239">
        <v>-65672</v>
      </c>
      <c r="AL276" s="239">
        <v>0</v>
      </c>
      <c r="AM276" s="239">
        <v>-65672</v>
      </c>
      <c r="AN276" s="239">
        <v>-3473986</v>
      </c>
      <c r="AO276" s="239">
        <v>0</v>
      </c>
      <c r="AP276" s="239">
        <v>-3473986</v>
      </c>
      <c r="AQ276" s="239">
        <v>-42558</v>
      </c>
      <c r="AR276" s="239">
        <v>0</v>
      </c>
      <c r="AS276" s="239">
        <v>-42558</v>
      </c>
      <c r="AT276" s="239">
        <v>-154627</v>
      </c>
      <c r="AU276" s="239">
        <v>0</v>
      </c>
      <c r="AV276" s="239">
        <v>-154627</v>
      </c>
      <c r="AW276" s="239">
        <v>0</v>
      </c>
      <c r="AX276" s="239">
        <v>0</v>
      </c>
      <c r="AY276" s="239">
        <v>0</v>
      </c>
      <c r="AZ276" s="239">
        <v>0</v>
      </c>
      <c r="BA276" s="239">
        <v>0</v>
      </c>
      <c r="BB276" s="239">
        <v>0</v>
      </c>
      <c r="BC276" s="239">
        <v>0</v>
      </c>
      <c r="BD276" s="239">
        <v>0</v>
      </c>
      <c r="BE276" s="239">
        <v>0</v>
      </c>
      <c r="BF276" s="239">
        <v>-8703875</v>
      </c>
      <c r="BG276" s="239">
        <v>0</v>
      </c>
      <c r="BH276" s="239">
        <v>-8703875</v>
      </c>
      <c r="BI276" s="239">
        <v>0</v>
      </c>
      <c r="BJ276" s="239">
        <v>0</v>
      </c>
      <c r="BK276" s="239">
        <v>0</v>
      </c>
      <c r="BL276" s="239">
        <v>0</v>
      </c>
      <c r="BM276" s="239">
        <v>0</v>
      </c>
      <c r="BN276" s="239">
        <v>0</v>
      </c>
      <c r="BO276" s="239">
        <v>-1916761</v>
      </c>
      <c r="BP276" s="239">
        <v>0</v>
      </c>
      <c r="BQ276" s="239">
        <v>-1916761</v>
      </c>
      <c r="BR276" s="239">
        <v>346423</v>
      </c>
      <c r="BS276" s="239">
        <v>0</v>
      </c>
      <c r="BT276" s="239">
        <v>346423</v>
      </c>
      <c r="BU276" s="239">
        <v>-1570338</v>
      </c>
      <c r="BV276" s="239">
        <v>0</v>
      </c>
      <c r="BW276" s="239">
        <v>-1570338</v>
      </c>
      <c r="BX276" s="239">
        <v>-26012</v>
      </c>
      <c r="BY276" s="239">
        <v>0</v>
      </c>
      <c r="BZ276" s="239">
        <v>-26012</v>
      </c>
      <c r="CA276" s="239">
        <v>2990</v>
      </c>
      <c r="CB276" s="239">
        <v>0</v>
      </c>
      <c r="CC276" s="239">
        <v>2990</v>
      </c>
      <c r="CD276" s="239">
        <v>-34573</v>
      </c>
      <c r="CE276" s="239">
        <v>0</v>
      </c>
      <c r="CF276" s="239">
        <v>-34573</v>
      </c>
      <c r="CG276" s="239">
        <v>0</v>
      </c>
      <c r="CH276" s="239">
        <v>0</v>
      </c>
      <c r="CI276" s="239">
        <v>0</v>
      </c>
      <c r="CJ276" s="239">
        <v>-2114</v>
      </c>
      <c r="CK276" s="239">
        <v>0</v>
      </c>
      <c r="CL276" s="239">
        <v>-2114</v>
      </c>
      <c r="CM276" s="239">
        <v>0</v>
      </c>
      <c r="CN276" s="239">
        <v>0</v>
      </c>
      <c r="CO276" s="239">
        <v>0</v>
      </c>
      <c r="CP276" s="239">
        <v>0</v>
      </c>
      <c r="CQ276" s="239">
        <v>0</v>
      </c>
      <c r="CR276" s="239">
        <v>0</v>
      </c>
      <c r="CS276" s="239">
        <v>0</v>
      </c>
      <c r="CT276" s="239">
        <v>0</v>
      </c>
      <c r="CU276" s="239">
        <v>0</v>
      </c>
      <c r="CV276" s="239">
        <v>0</v>
      </c>
      <c r="CW276" s="239">
        <v>0</v>
      </c>
      <c r="CX276" s="239">
        <v>0</v>
      </c>
      <c r="CY276" s="239">
        <v>0</v>
      </c>
      <c r="CZ276" s="239">
        <v>0</v>
      </c>
      <c r="DA276" s="239">
        <v>0</v>
      </c>
      <c r="DB276" s="239">
        <v>0</v>
      </c>
      <c r="DC276" s="239">
        <v>0</v>
      </c>
      <c r="DD276" s="239">
        <v>0</v>
      </c>
      <c r="DE276" s="239">
        <v>0</v>
      </c>
      <c r="DF276" s="239">
        <v>0</v>
      </c>
      <c r="DG276" s="239">
        <v>0</v>
      </c>
      <c r="DH276" s="239">
        <v>0</v>
      </c>
      <c r="DI276" s="239">
        <v>0</v>
      </c>
      <c r="DJ276" s="239">
        <v>-59709</v>
      </c>
      <c r="DK276" s="239">
        <v>0</v>
      </c>
      <c r="DL276" s="239">
        <v>-59709</v>
      </c>
      <c r="DM276" s="239">
        <v>-22196</v>
      </c>
      <c r="DN276" s="239">
        <v>0</v>
      </c>
      <c r="DO276" s="239">
        <v>-22196</v>
      </c>
      <c r="DP276" s="239">
        <v>0</v>
      </c>
      <c r="DQ276" s="239">
        <v>0</v>
      </c>
      <c r="DR276" s="239">
        <v>0</v>
      </c>
      <c r="DS276" s="239">
        <v>-21076</v>
      </c>
      <c r="DT276" s="239">
        <v>0</v>
      </c>
      <c r="DU276" s="239">
        <v>-21076</v>
      </c>
      <c r="DV276" s="239">
        <v>1230</v>
      </c>
      <c r="DW276" s="239">
        <v>0</v>
      </c>
      <c r="DX276" s="239">
        <v>1230</v>
      </c>
      <c r="DY276" s="239">
        <v>0</v>
      </c>
      <c r="DZ276" s="239">
        <v>0</v>
      </c>
      <c r="EA276" s="239">
        <v>0</v>
      </c>
      <c r="EB276" s="239">
        <v>-3622</v>
      </c>
      <c r="EC276" s="239">
        <v>0</v>
      </c>
      <c r="ED276" s="239">
        <v>-3622</v>
      </c>
      <c r="EE276" s="239">
        <v>0</v>
      </c>
      <c r="EF276" s="239">
        <v>0</v>
      </c>
      <c r="EG276" s="239">
        <v>0</v>
      </c>
      <c r="EH276" s="239">
        <v>0</v>
      </c>
      <c r="EI276" s="239">
        <v>0</v>
      </c>
      <c r="EJ276" s="239">
        <v>0</v>
      </c>
      <c r="EK276" s="239">
        <v>-9876</v>
      </c>
      <c r="EL276" s="239">
        <v>0</v>
      </c>
      <c r="EM276" s="239">
        <v>-9876</v>
      </c>
      <c r="EN276" s="239">
        <v>449</v>
      </c>
      <c r="EO276" s="239">
        <v>0</v>
      </c>
      <c r="EP276" s="239">
        <v>449</v>
      </c>
      <c r="EQ276" s="239">
        <v>-55091</v>
      </c>
      <c r="ER276" s="239">
        <v>0</v>
      </c>
      <c r="ES276" s="239">
        <v>-55091</v>
      </c>
      <c r="ET276" s="239">
        <v>0</v>
      </c>
      <c r="EU276" s="239">
        <v>0</v>
      </c>
      <c r="EV276" s="239">
        <v>0</v>
      </c>
      <c r="EW276" s="239">
        <v>0</v>
      </c>
      <c r="EX276" s="239">
        <v>0</v>
      </c>
      <c r="EY276" s="239">
        <v>0</v>
      </c>
      <c r="EZ276" s="239">
        <v>0</v>
      </c>
      <c r="FA276" s="239">
        <v>0</v>
      </c>
      <c r="FB276" s="239">
        <v>0</v>
      </c>
      <c r="FC276" s="239">
        <v>68816538</v>
      </c>
      <c r="FD276" s="239">
        <v>0</v>
      </c>
      <c r="FE276" s="239">
        <v>68816538</v>
      </c>
      <c r="FF276" s="239">
        <v>123116</v>
      </c>
      <c r="FG276" s="239">
        <v>0</v>
      </c>
      <c r="FH276" s="239">
        <v>123116</v>
      </c>
      <c r="FI276" s="239">
        <v>-8703875</v>
      </c>
      <c r="FJ276" s="239">
        <v>0</v>
      </c>
      <c r="FK276" s="239">
        <v>-8703875</v>
      </c>
      <c r="FL276" s="239">
        <v>-1570338</v>
      </c>
      <c r="FM276" s="239">
        <v>0</v>
      </c>
      <c r="FN276" s="239">
        <v>-1570338</v>
      </c>
      <c r="FO276" s="239">
        <v>-59709</v>
      </c>
      <c r="FP276" s="239">
        <v>0</v>
      </c>
      <c r="FQ276" s="239">
        <v>-59709</v>
      </c>
      <c r="FR276" s="239">
        <v>-55091</v>
      </c>
      <c r="FS276" s="239">
        <v>0</v>
      </c>
      <c r="FT276" s="239">
        <v>-55091</v>
      </c>
      <c r="FU276" s="239">
        <v>0</v>
      </c>
      <c r="FV276" s="239">
        <v>0</v>
      </c>
      <c r="FW276" s="239">
        <v>0</v>
      </c>
      <c r="FX276" s="239">
        <v>-10265897</v>
      </c>
      <c r="FY276" s="239">
        <v>0</v>
      </c>
      <c r="FZ276" s="239">
        <v>-10265897</v>
      </c>
      <c r="GA276" s="239">
        <v>58550641</v>
      </c>
      <c r="GB276" s="239">
        <v>0</v>
      </c>
      <c r="GC276" s="239">
        <v>58550641</v>
      </c>
      <c r="GD276" s="214" t="s">
        <v>1192</v>
      </c>
    </row>
    <row r="277" spans="2:186" s="214" customFormat="1" x14ac:dyDescent="0.2">
      <c r="B277" s="609" t="s">
        <v>636</v>
      </c>
      <c r="C277" s="609" t="s">
        <v>635</v>
      </c>
      <c r="D277" s="239">
        <v>0</v>
      </c>
      <c r="E277" s="239">
        <v>0</v>
      </c>
      <c r="F277" s="239">
        <v>0</v>
      </c>
      <c r="G277" s="239">
        <v>25569</v>
      </c>
      <c r="H277" s="239">
        <v>0</v>
      </c>
      <c r="I277" s="239">
        <v>25569</v>
      </c>
      <c r="J277" s="239">
        <v>0</v>
      </c>
      <c r="K277" s="239">
        <v>0</v>
      </c>
      <c r="L277" s="239">
        <v>0</v>
      </c>
      <c r="M277" s="239">
        <v>-2356</v>
      </c>
      <c r="N277" s="239">
        <v>0</v>
      </c>
      <c r="O277" s="239">
        <v>-2356</v>
      </c>
      <c r="P277" s="239">
        <v>23213</v>
      </c>
      <c r="Q277" s="239">
        <v>0</v>
      </c>
      <c r="R277" s="239">
        <v>23213</v>
      </c>
      <c r="S277" s="239">
        <v>-1276121</v>
      </c>
      <c r="T277" s="239">
        <v>0</v>
      </c>
      <c r="U277" s="239">
        <v>-1276121</v>
      </c>
      <c r="V277" s="239">
        <v>0</v>
      </c>
      <c r="W277" s="239">
        <v>0</v>
      </c>
      <c r="X277" s="239">
        <v>0</v>
      </c>
      <c r="Y277" s="239">
        <v>-73338</v>
      </c>
      <c r="Z277" s="239">
        <v>0</v>
      </c>
      <c r="AA277" s="239">
        <v>-73338</v>
      </c>
      <c r="AB277" s="239">
        <v>-57025</v>
      </c>
      <c r="AC277" s="239">
        <v>0</v>
      </c>
      <c r="AD277" s="239">
        <v>-57025</v>
      </c>
      <c r="AE277" s="239">
        <v>0</v>
      </c>
      <c r="AF277" s="239">
        <v>0</v>
      </c>
      <c r="AG277" s="239">
        <v>0</v>
      </c>
      <c r="AH277" s="239">
        <v>921657</v>
      </c>
      <c r="AI277" s="239">
        <v>0</v>
      </c>
      <c r="AJ277" s="239">
        <v>921657</v>
      </c>
      <c r="AK277" s="239">
        <v>-9558</v>
      </c>
      <c r="AL277" s="239">
        <v>0</v>
      </c>
      <c r="AM277" s="239">
        <v>-9558</v>
      </c>
      <c r="AN277" s="239">
        <v>-1290351</v>
      </c>
      <c r="AO277" s="239">
        <v>0</v>
      </c>
      <c r="AP277" s="239">
        <v>-1290351</v>
      </c>
      <c r="AQ277" s="239">
        <v>-26408</v>
      </c>
      <c r="AR277" s="239">
        <v>0</v>
      </c>
      <c r="AS277" s="239">
        <v>-26408</v>
      </c>
      <c r="AT277" s="239">
        <v>-42841</v>
      </c>
      <c r="AU277" s="239">
        <v>0</v>
      </c>
      <c r="AV277" s="239">
        <v>-42841</v>
      </c>
      <c r="AW277" s="239">
        <v>0</v>
      </c>
      <c r="AX277" s="239">
        <v>0</v>
      </c>
      <c r="AY277" s="239">
        <v>0</v>
      </c>
      <c r="AZ277" s="239">
        <v>0</v>
      </c>
      <c r="BA277" s="239">
        <v>0</v>
      </c>
      <c r="BB277" s="239">
        <v>0</v>
      </c>
      <c r="BC277" s="239">
        <v>0</v>
      </c>
      <c r="BD277" s="239">
        <v>0</v>
      </c>
      <c r="BE277" s="239">
        <v>0</v>
      </c>
      <c r="BF277" s="239">
        <v>-1796960</v>
      </c>
      <c r="BG277" s="239">
        <v>0</v>
      </c>
      <c r="BH277" s="239">
        <v>-1796960</v>
      </c>
      <c r="BI277" s="239">
        <v>0</v>
      </c>
      <c r="BJ277" s="239">
        <v>0</v>
      </c>
      <c r="BK277" s="239">
        <v>0</v>
      </c>
      <c r="BL277" s="239">
        <v>1983</v>
      </c>
      <c r="BM277" s="239">
        <v>0</v>
      </c>
      <c r="BN277" s="239">
        <v>1983</v>
      </c>
      <c r="BO277" s="239">
        <v>-1037588</v>
      </c>
      <c r="BP277" s="239">
        <v>0</v>
      </c>
      <c r="BQ277" s="239">
        <v>-1037588</v>
      </c>
      <c r="BR277" s="239">
        <v>-37913</v>
      </c>
      <c r="BS277" s="239">
        <v>0</v>
      </c>
      <c r="BT277" s="239">
        <v>-37913</v>
      </c>
      <c r="BU277" s="239">
        <v>-1073518</v>
      </c>
      <c r="BV277" s="239">
        <v>0</v>
      </c>
      <c r="BW277" s="239">
        <v>-1073518</v>
      </c>
      <c r="BX277" s="239">
        <v>-22240</v>
      </c>
      <c r="BY277" s="239">
        <v>0</v>
      </c>
      <c r="BZ277" s="239">
        <v>-22240</v>
      </c>
      <c r="CA277" s="239">
        <v>-1880</v>
      </c>
      <c r="CB277" s="239">
        <v>0</v>
      </c>
      <c r="CC277" s="239">
        <v>-1880</v>
      </c>
      <c r="CD277" s="239">
        <v>-2057</v>
      </c>
      <c r="CE277" s="239">
        <v>0</v>
      </c>
      <c r="CF277" s="239">
        <v>-2057</v>
      </c>
      <c r="CG277" s="239">
        <v>0</v>
      </c>
      <c r="CH277" s="239">
        <v>0</v>
      </c>
      <c r="CI277" s="239">
        <v>0</v>
      </c>
      <c r="CJ277" s="239">
        <v>-4225</v>
      </c>
      <c r="CK277" s="239">
        <v>0</v>
      </c>
      <c r="CL277" s="239">
        <v>-4225</v>
      </c>
      <c r="CM277" s="239">
        <v>0</v>
      </c>
      <c r="CN277" s="239">
        <v>0</v>
      </c>
      <c r="CO277" s="239">
        <v>0</v>
      </c>
      <c r="CP277" s="239">
        <v>0</v>
      </c>
      <c r="CQ277" s="239">
        <v>0</v>
      </c>
      <c r="CR277" s="239">
        <v>0</v>
      </c>
      <c r="CS277" s="239">
        <v>0</v>
      </c>
      <c r="CT277" s="239">
        <v>0</v>
      </c>
      <c r="CU277" s="239">
        <v>0</v>
      </c>
      <c r="CV277" s="239">
        <v>0</v>
      </c>
      <c r="CW277" s="239">
        <v>0</v>
      </c>
      <c r="CX277" s="239">
        <v>0</v>
      </c>
      <c r="CY277" s="239">
        <v>0</v>
      </c>
      <c r="CZ277" s="239">
        <v>0</v>
      </c>
      <c r="DA277" s="239">
        <v>0</v>
      </c>
      <c r="DB277" s="239">
        <v>0</v>
      </c>
      <c r="DC277" s="239">
        <v>0</v>
      </c>
      <c r="DD277" s="239">
        <v>0</v>
      </c>
      <c r="DE277" s="239">
        <v>0</v>
      </c>
      <c r="DF277" s="239">
        <v>0</v>
      </c>
      <c r="DG277" s="239">
        <v>0</v>
      </c>
      <c r="DH277" s="239">
        <v>0</v>
      </c>
      <c r="DI277" s="239">
        <v>0</v>
      </c>
      <c r="DJ277" s="239">
        <v>-30402</v>
      </c>
      <c r="DK277" s="239">
        <v>0</v>
      </c>
      <c r="DL277" s="239">
        <v>-30402</v>
      </c>
      <c r="DM277" s="239">
        <v>0</v>
      </c>
      <c r="DN277" s="239">
        <v>0</v>
      </c>
      <c r="DO277" s="239">
        <v>0</v>
      </c>
      <c r="DP277" s="239">
        <v>0</v>
      </c>
      <c r="DQ277" s="239">
        <v>0</v>
      </c>
      <c r="DR277" s="239">
        <v>0</v>
      </c>
      <c r="DS277" s="239">
        <v>-6734</v>
      </c>
      <c r="DT277" s="239">
        <v>0</v>
      </c>
      <c r="DU277" s="239">
        <v>-6734</v>
      </c>
      <c r="DV277" s="239">
        <v>-99</v>
      </c>
      <c r="DW277" s="239">
        <v>0</v>
      </c>
      <c r="DX277" s="239">
        <v>-99</v>
      </c>
      <c r="DY277" s="239">
        <v>0</v>
      </c>
      <c r="DZ277" s="239">
        <v>0</v>
      </c>
      <c r="EA277" s="239">
        <v>0</v>
      </c>
      <c r="EB277" s="239">
        <v>3474</v>
      </c>
      <c r="EC277" s="239">
        <v>0</v>
      </c>
      <c r="ED277" s="239">
        <v>3474</v>
      </c>
      <c r="EE277" s="239">
        <v>0</v>
      </c>
      <c r="EF277" s="239">
        <v>0</v>
      </c>
      <c r="EG277" s="239">
        <v>0</v>
      </c>
      <c r="EH277" s="239">
        <v>0</v>
      </c>
      <c r="EI277" s="239">
        <v>0</v>
      </c>
      <c r="EJ277" s="239">
        <v>0</v>
      </c>
      <c r="EK277" s="239">
        <v>0</v>
      </c>
      <c r="EL277" s="239">
        <v>0</v>
      </c>
      <c r="EM277" s="239">
        <v>0</v>
      </c>
      <c r="EN277" s="239">
        <v>0</v>
      </c>
      <c r="EO277" s="239">
        <v>0</v>
      </c>
      <c r="EP277" s="239">
        <v>0</v>
      </c>
      <c r="EQ277" s="239">
        <v>-3359</v>
      </c>
      <c r="ER277" s="239">
        <v>0</v>
      </c>
      <c r="ES277" s="239">
        <v>-3359</v>
      </c>
      <c r="ET277" s="239">
        <v>0</v>
      </c>
      <c r="EU277" s="239">
        <v>0</v>
      </c>
      <c r="EV277" s="239">
        <v>0</v>
      </c>
      <c r="EW277" s="239">
        <v>0</v>
      </c>
      <c r="EX277" s="239">
        <v>0</v>
      </c>
      <c r="EY277" s="239">
        <v>0</v>
      </c>
      <c r="EZ277" s="239">
        <v>0</v>
      </c>
      <c r="FA277" s="239">
        <v>0</v>
      </c>
      <c r="FB277" s="239">
        <v>0</v>
      </c>
      <c r="FC277" s="239">
        <v>37905681</v>
      </c>
      <c r="FD277" s="239">
        <v>0</v>
      </c>
      <c r="FE277" s="239">
        <v>37905681</v>
      </c>
      <c r="FF277" s="239">
        <v>23213</v>
      </c>
      <c r="FG277" s="239">
        <v>0</v>
      </c>
      <c r="FH277" s="239">
        <v>23213</v>
      </c>
      <c r="FI277" s="239">
        <v>-1796960</v>
      </c>
      <c r="FJ277" s="239">
        <v>0</v>
      </c>
      <c r="FK277" s="239">
        <v>-1796960</v>
      </c>
      <c r="FL277" s="239">
        <v>-1073518</v>
      </c>
      <c r="FM277" s="239">
        <v>0</v>
      </c>
      <c r="FN277" s="239">
        <v>-1073518</v>
      </c>
      <c r="FO277" s="239">
        <v>-30402</v>
      </c>
      <c r="FP277" s="239">
        <v>0</v>
      </c>
      <c r="FQ277" s="239">
        <v>-30402</v>
      </c>
      <c r="FR277" s="239">
        <v>-3359</v>
      </c>
      <c r="FS277" s="239">
        <v>0</v>
      </c>
      <c r="FT277" s="239">
        <v>-3359</v>
      </c>
      <c r="FU277" s="239">
        <v>0</v>
      </c>
      <c r="FV277" s="239">
        <v>0</v>
      </c>
      <c r="FW277" s="239">
        <v>0</v>
      </c>
      <c r="FX277" s="239">
        <v>-2881026</v>
      </c>
      <c r="FY277" s="239">
        <v>0</v>
      </c>
      <c r="FZ277" s="239">
        <v>-2881026</v>
      </c>
      <c r="GA277" s="239">
        <v>35024655</v>
      </c>
      <c r="GB277" s="239">
        <v>0</v>
      </c>
      <c r="GC277" s="239">
        <v>35024655</v>
      </c>
      <c r="GD277" s="214" t="s">
        <v>1190</v>
      </c>
    </row>
    <row r="278" spans="2:186" s="214" customFormat="1" x14ac:dyDescent="0.2">
      <c r="B278" s="609" t="s">
        <v>638</v>
      </c>
      <c r="C278" s="609" t="s">
        <v>637</v>
      </c>
      <c r="D278" s="239">
        <v>0</v>
      </c>
      <c r="E278" s="239">
        <v>0</v>
      </c>
      <c r="F278" s="239">
        <v>0</v>
      </c>
      <c r="G278" s="239">
        <v>126876</v>
      </c>
      <c r="H278" s="239">
        <v>0</v>
      </c>
      <c r="I278" s="239">
        <v>126876</v>
      </c>
      <c r="J278" s="239">
        <v>0</v>
      </c>
      <c r="K278" s="239">
        <v>0</v>
      </c>
      <c r="L278" s="239">
        <v>0</v>
      </c>
      <c r="M278" s="239">
        <v>45518</v>
      </c>
      <c r="N278" s="239">
        <v>0</v>
      </c>
      <c r="O278" s="239">
        <v>45518</v>
      </c>
      <c r="P278" s="239">
        <v>172394</v>
      </c>
      <c r="Q278" s="239">
        <v>0</v>
      </c>
      <c r="R278" s="239">
        <v>172394</v>
      </c>
      <c r="S278" s="239">
        <v>-2229552</v>
      </c>
      <c r="T278" s="239">
        <v>0</v>
      </c>
      <c r="U278" s="239">
        <v>-2229552</v>
      </c>
      <c r="V278" s="239">
        <v>-597</v>
      </c>
      <c r="W278" s="239">
        <v>0</v>
      </c>
      <c r="X278" s="239">
        <v>-597</v>
      </c>
      <c r="Y278" s="239">
        <v>-93968</v>
      </c>
      <c r="Z278" s="239">
        <v>0</v>
      </c>
      <c r="AA278" s="239">
        <v>-93968</v>
      </c>
      <c r="AB278" s="239">
        <v>-72870</v>
      </c>
      <c r="AC278" s="239">
        <v>0</v>
      </c>
      <c r="AD278" s="239">
        <v>-72870</v>
      </c>
      <c r="AE278" s="239">
        <v>0</v>
      </c>
      <c r="AF278" s="239">
        <v>0</v>
      </c>
      <c r="AG278" s="239">
        <v>0</v>
      </c>
      <c r="AH278" s="239">
        <v>518374</v>
      </c>
      <c r="AI278" s="239">
        <v>0</v>
      </c>
      <c r="AJ278" s="239">
        <v>518374</v>
      </c>
      <c r="AK278" s="239">
        <v>-35525</v>
      </c>
      <c r="AL278" s="239">
        <v>0</v>
      </c>
      <c r="AM278" s="239">
        <v>-35525</v>
      </c>
      <c r="AN278" s="239">
        <v>-2816559</v>
      </c>
      <c r="AO278" s="239">
        <v>0</v>
      </c>
      <c r="AP278" s="239">
        <v>-2816559</v>
      </c>
      <c r="AQ278" s="239">
        <v>-3139</v>
      </c>
      <c r="AR278" s="239">
        <v>0</v>
      </c>
      <c r="AS278" s="239">
        <v>-3139</v>
      </c>
      <c r="AT278" s="239">
        <v>-28311</v>
      </c>
      <c r="AU278" s="239">
        <v>0</v>
      </c>
      <c r="AV278" s="239">
        <v>-28311</v>
      </c>
      <c r="AW278" s="239">
        <v>0</v>
      </c>
      <c r="AX278" s="239">
        <v>0</v>
      </c>
      <c r="AY278" s="239">
        <v>0</v>
      </c>
      <c r="AZ278" s="239">
        <v>-14599</v>
      </c>
      <c r="BA278" s="239">
        <v>0</v>
      </c>
      <c r="BB278" s="239">
        <v>-14599</v>
      </c>
      <c r="BC278" s="239">
        <v>0</v>
      </c>
      <c r="BD278" s="239">
        <v>0</v>
      </c>
      <c r="BE278" s="239">
        <v>0</v>
      </c>
      <c r="BF278" s="239">
        <v>-4703279</v>
      </c>
      <c r="BG278" s="239">
        <v>0</v>
      </c>
      <c r="BH278" s="239">
        <v>-4703279</v>
      </c>
      <c r="BI278" s="239">
        <v>0</v>
      </c>
      <c r="BJ278" s="239">
        <v>0</v>
      </c>
      <c r="BK278" s="239">
        <v>0</v>
      </c>
      <c r="BL278" s="239">
        <v>0</v>
      </c>
      <c r="BM278" s="239">
        <v>0</v>
      </c>
      <c r="BN278" s="239">
        <v>0</v>
      </c>
      <c r="BO278" s="239">
        <v>-634738</v>
      </c>
      <c r="BP278" s="239">
        <v>0</v>
      </c>
      <c r="BQ278" s="239">
        <v>-634738</v>
      </c>
      <c r="BR278" s="239">
        <v>-39626</v>
      </c>
      <c r="BS278" s="239">
        <v>0</v>
      </c>
      <c r="BT278" s="239">
        <v>-39626</v>
      </c>
      <c r="BU278" s="239">
        <v>-674364</v>
      </c>
      <c r="BV278" s="239">
        <v>0</v>
      </c>
      <c r="BW278" s="239">
        <v>-674364</v>
      </c>
      <c r="BX278" s="239">
        <v>-51720</v>
      </c>
      <c r="BY278" s="239">
        <v>0</v>
      </c>
      <c r="BZ278" s="239">
        <v>-51720</v>
      </c>
      <c r="CA278" s="239">
        <v>68.709999999999994</v>
      </c>
      <c r="CB278" s="239">
        <v>0</v>
      </c>
      <c r="CC278" s="239">
        <v>68.709999999999994</v>
      </c>
      <c r="CD278" s="239">
        <v>-15855</v>
      </c>
      <c r="CE278" s="239">
        <v>0</v>
      </c>
      <c r="CF278" s="239">
        <v>-15855</v>
      </c>
      <c r="CG278" s="239">
        <v>0</v>
      </c>
      <c r="CH278" s="239">
        <v>0</v>
      </c>
      <c r="CI278" s="239">
        <v>0</v>
      </c>
      <c r="CJ278" s="239">
        <v>-77</v>
      </c>
      <c r="CK278" s="239">
        <v>0</v>
      </c>
      <c r="CL278" s="239">
        <v>-77</v>
      </c>
      <c r="CM278" s="239">
        <v>0</v>
      </c>
      <c r="CN278" s="239">
        <v>0</v>
      </c>
      <c r="CO278" s="239">
        <v>0</v>
      </c>
      <c r="CP278" s="239">
        <v>-14599</v>
      </c>
      <c r="CQ278" s="239">
        <v>0</v>
      </c>
      <c r="CR278" s="239">
        <v>-14599</v>
      </c>
      <c r="CS278" s="239">
        <v>0</v>
      </c>
      <c r="CT278" s="239">
        <v>0</v>
      </c>
      <c r="CU278" s="239">
        <v>0</v>
      </c>
      <c r="CV278" s="239">
        <v>-5324</v>
      </c>
      <c r="CW278" s="239">
        <v>0</v>
      </c>
      <c r="CX278" s="239">
        <v>-5324</v>
      </c>
      <c r="CY278" s="239">
        <v>0</v>
      </c>
      <c r="CZ278" s="239">
        <v>0</v>
      </c>
      <c r="DA278" s="239">
        <v>0</v>
      </c>
      <c r="DB278" s="239">
        <v>0</v>
      </c>
      <c r="DC278" s="239">
        <v>0</v>
      </c>
      <c r="DD278" s="239">
        <v>0</v>
      </c>
      <c r="DE278" s="239">
        <v>0</v>
      </c>
      <c r="DF278" s="239">
        <v>0</v>
      </c>
      <c r="DG278" s="239">
        <v>0</v>
      </c>
      <c r="DH278" s="239">
        <v>0</v>
      </c>
      <c r="DI278" s="239">
        <v>0</v>
      </c>
      <c r="DJ278" s="239">
        <v>-87506</v>
      </c>
      <c r="DK278" s="239">
        <v>0</v>
      </c>
      <c r="DL278" s="239">
        <v>-87506</v>
      </c>
      <c r="DM278" s="239">
        <v>-7458</v>
      </c>
      <c r="DN278" s="239">
        <v>0</v>
      </c>
      <c r="DO278" s="239">
        <v>-7458</v>
      </c>
      <c r="DP278" s="239">
        <v>0</v>
      </c>
      <c r="DQ278" s="239">
        <v>0</v>
      </c>
      <c r="DR278" s="239">
        <v>0</v>
      </c>
      <c r="DS278" s="239">
        <v>-2228</v>
      </c>
      <c r="DT278" s="239">
        <v>0</v>
      </c>
      <c r="DU278" s="239">
        <v>-2228</v>
      </c>
      <c r="DV278" s="239">
        <v>-2125</v>
      </c>
      <c r="DW278" s="239">
        <v>0</v>
      </c>
      <c r="DX278" s="239">
        <v>-2125</v>
      </c>
      <c r="DY278" s="239">
        <v>0</v>
      </c>
      <c r="DZ278" s="239">
        <v>0</v>
      </c>
      <c r="EA278" s="239">
        <v>0</v>
      </c>
      <c r="EB278" s="239">
        <v>4560</v>
      </c>
      <c r="EC278" s="239">
        <v>0</v>
      </c>
      <c r="ED278" s="239">
        <v>4560</v>
      </c>
      <c r="EE278" s="239">
        <v>0</v>
      </c>
      <c r="EF278" s="239">
        <v>0</v>
      </c>
      <c r="EG278" s="239">
        <v>0</v>
      </c>
      <c r="EH278" s="239">
        <v>0</v>
      </c>
      <c r="EI278" s="239">
        <v>0</v>
      </c>
      <c r="EJ278" s="239">
        <v>0</v>
      </c>
      <c r="EK278" s="239">
        <v>-2613</v>
      </c>
      <c r="EL278" s="239">
        <v>0</v>
      </c>
      <c r="EM278" s="239">
        <v>-2613</v>
      </c>
      <c r="EN278" s="239">
        <v>291</v>
      </c>
      <c r="EO278" s="239">
        <v>0</v>
      </c>
      <c r="EP278" s="239">
        <v>291</v>
      </c>
      <c r="EQ278" s="239">
        <v>-9573</v>
      </c>
      <c r="ER278" s="239">
        <v>0</v>
      </c>
      <c r="ES278" s="239">
        <v>-9573</v>
      </c>
      <c r="ET278" s="239">
        <v>0</v>
      </c>
      <c r="EU278" s="239">
        <v>0</v>
      </c>
      <c r="EV278" s="239">
        <v>0</v>
      </c>
      <c r="EW278" s="239">
        <v>0</v>
      </c>
      <c r="EX278" s="239">
        <v>0</v>
      </c>
      <c r="EY278" s="239">
        <v>0</v>
      </c>
      <c r="EZ278" s="239">
        <v>0</v>
      </c>
      <c r="FA278" s="239">
        <v>0</v>
      </c>
      <c r="FB278" s="239">
        <v>0</v>
      </c>
      <c r="FC278" s="239">
        <v>23866981</v>
      </c>
      <c r="FD278" s="239">
        <v>0</v>
      </c>
      <c r="FE278" s="239">
        <v>23866981</v>
      </c>
      <c r="FF278" s="239">
        <v>172394</v>
      </c>
      <c r="FG278" s="239">
        <v>0</v>
      </c>
      <c r="FH278" s="239">
        <v>172394</v>
      </c>
      <c r="FI278" s="239">
        <v>-4703279</v>
      </c>
      <c r="FJ278" s="239">
        <v>0</v>
      </c>
      <c r="FK278" s="239">
        <v>-4703279</v>
      </c>
      <c r="FL278" s="239">
        <v>-674364</v>
      </c>
      <c r="FM278" s="239">
        <v>0</v>
      </c>
      <c r="FN278" s="239">
        <v>-674364</v>
      </c>
      <c r="FO278" s="239">
        <v>-87506</v>
      </c>
      <c r="FP278" s="239">
        <v>0</v>
      </c>
      <c r="FQ278" s="239">
        <v>-87506</v>
      </c>
      <c r="FR278" s="239">
        <v>-9573</v>
      </c>
      <c r="FS278" s="239">
        <v>0</v>
      </c>
      <c r="FT278" s="239">
        <v>-9573</v>
      </c>
      <c r="FU278" s="239">
        <v>0</v>
      </c>
      <c r="FV278" s="239">
        <v>0</v>
      </c>
      <c r="FW278" s="239">
        <v>0</v>
      </c>
      <c r="FX278" s="239">
        <v>-5302328</v>
      </c>
      <c r="FY278" s="239">
        <v>0</v>
      </c>
      <c r="FZ278" s="239">
        <v>-5302328</v>
      </c>
      <c r="GA278" s="239">
        <v>18564653</v>
      </c>
      <c r="GB278" s="239">
        <v>0</v>
      </c>
      <c r="GC278" s="239">
        <v>18564653</v>
      </c>
      <c r="GD278" s="214" t="s">
        <v>1190</v>
      </c>
    </row>
    <row r="279" spans="2:186" s="214" customFormat="1" x14ac:dyDescent="0.2">
      <c r="B279" s="609" t="s">
        <v>640</v>
      </c>
      <c r="C279" s="609" t="s">
        <v>639</v>
      </c>
      <c r="D279" s="239">
        <v>0</v>
      </c>
      <c r="E279" s="239">
        <v>0</v>
      </c>
      <c r="F279" s="239">
        <v>0</v>
      </c>
      <c r="G279" s="239">
        <v>25471</v>
      </c>
      <c r="H279" s="239">
        <v>0</v>
      </c>
      <c r="I279" s="239">
        <v>25471</v>
      </c>
      <c r="J279" s="239">
        <v>0</v>
      </c>
      <c r="K279" s="239">
        <v>0</v>
      </c>
      <c r="L279" s="239">
        <v>0</v>
      </c>
      <c r="M279" s="239">
        <v>225514</v>
      </c>
      <c r="N279" s="239">
        <v>0</v>
      </c>
      <c r="O279" s="239">
        <v>225514</v>
      </c>
      <c r="P279" s="239">
        <v>250985</v>
      </c>
      <c r="Q279" s="239">
        <v>0</v>
      </c>
      <c r="R279" s="239">
        <v>250985</v>
      </c>
      <c r="S279" s="239">
        <v>-2682859</v>
      </c>
      <c r="T279" s="239">
        <v>0</v>
      </c>
      <c r="U279" s="239">
        <v>-2682859</v>
      </c>
      <c r="V279" s="239">
        <v>-23963</v>
      </c>
      <c r="W279" s="239">
        <v>0</v>
      </c>
      <c r="X279" s="239">
        <v>-23963</v>
      </c>
      <c r="Y279" s="239">
        <v>-223601</v>
      </c>
      <c r="Z279" s="239">
        <v>0</v>
      </c>
      <c r="AA279" s="239">
        <v>-223601</v>
      </c>
      <c r="AB279" s="239">
        <v>-178318</v>
      </c>
      <c r="AC279" s="239">
        <v>0</v>
      </c>
      <c r="AD279" s="239">
        <v>-178318</v>
      </c>
      <c r="AE279" s="239">
        <v>-1117</v>
      </c>
      <c r="AF279" s="239">
        <v>0</v>
      </c>
      <c r="AG279" s="239">
        <v>-1117</v>
      </c>
      <c r="AH279" s="239">
        <v>1128371</v>
      </c>
      <c r="AI279" s="239">
        <v>0</v>
      </c>
      <c r="AJ279" s="239">
        <v>1128371</v>
      </c>
      <c r="AK279" s="239">
        <v>-48502</v>
      </c>
      <c r="AL279" s="239">
        <v>0</v>
      </c>
      <c r="AM279" s="239">
        <v>-48502</v>
      </c>
      <c r="AN279" s="239">
        <v>-3768675</v>
      </c>
      <c r="AO279" s="239">
        <v>0</v>
      </c>
      <c r="AP279" s="239">
        <v>-3768675</v>
      </c>
      <c r="AQ279" s="239">
        <v>-35634</v>
      </c>
      <c r="AR279" s="239">
        <v>0</v>
      </c>
      <c r="AS279" s="239">
        <v>-35634</v>
      </c>
      <c r="AT279" s="239">
        <v>-58726</v>
      </c>
      <c r="AU279" s="239">
        <v>0</v>
      </c>
      <c r="AV279" s="239">
        <v>-58726</v>
      </c>
      <c r="AW279" s="239">
        <v>365</v>
      </c>
      <c r="AX279" s="239">
        <v>0</v>
      </c>
      <c r="AY279" s="239">
        <v>365</v>
      </c>
      <c r="AZ279" s="239">
        <v>-34817</v>
      </c>
      <c r="BA279" s="239">
        <v>0</v>
      </c>
      <c r="BB279" s="239">
        <v>-34817</v>
      </c>
      <c r="BC279" s="239">
        <v>-14891</v>
      </c>
      <c r="BD279" s="239">
        <v>0</v>
      </c>
      <c r="BE279" s="239">
        <v>-14891</v>
      </c>
      <c r="BF279" s="239">
        <v>-5738969</v>
      </c>
      <c r="BG279" s="239">
        <v>0</v>
      </c>
      <c r="BH279" s="239">
        <v>-5738969</v>
      </c>
      <c r="BI279" s="239">
        <v>-17034</v>
      </c>
      <c r="BJ279" s="239">
        <v>0</v>
      </c>
      <c r="BK279" s="239">
        <v>-17034</v>
      </c>
      <c r="BL279" s="239">
        <v>0</v>
      </c>
      <c r="BM279" s="239">
        <v>0</v>
      </c>
      <c r="BN279" s="239">
        <v>0</v>
      </c>
      <c r="BO279" s="239">
        <v>-1489741</v>
      </c>
      <c r="BP279" s="239">
        <v>0</v>
      </c>
      <c r="BQ279" s="239">
        <v>-1489741</v>
      </c>
      <c r="BR279" s="239">
        <v>-142794</v>
      </c>
      <c r="BS279" s="239">
        <v>0</v>
      </c>
      <c r="BT279" s="239">
        <v>-142794</v>
      </c>
      <c r="BU279" s="239">
        <v>-1649569</v>
      </c>
      <c r="BV279" s="239">
        <v>0</v>
      </c>
      <c r="BW279" s="239">
        <v>-1649569</v>
      </c>
      <c r="BX279" s="239">
        <v>-210533</v>
      </c>
      <c r="BY279" s="239">
        <v>0</v>
      </c>
      <c r="BZ279" s="239">
        <v>-210533</v>
      </c>
      <c r="CA279" s="239">
        <v>-38</v>
      </c>
      <c r="CB279" s="239">
        <v>0</v>
      </c>
      <c r="CC279" s="239">
        <v>-38</v>
      </c>
      <c r="CD279" s="239">
        <v>-79602</v>
      </c>
      <c r="CE279" s="239">
        <v>0</v>
      </c>
      <c r="CF279" s="239">
        <v>-79602</v>
      </c>
      <c r="CG279" s="239">
        <v>-3520</v>
      </c>
      <c r="CH279" s="239">
        <v>0</v>
      </c>
      <c r="CI279" s="239">
        <v>-3520</v>
      </c>
      <c r="CJ279" s="239">
        <v>-2410</v>
      </c>
      <c r="CK279" s="239">
        <v>0</v>
      </c>
      <c r="CL279" s="239">
        <v>-2410</v>
      </c>
      <c r="CM279" s="239">
        <v>0</v>
      </c>
      <c r="CN279" s="239">
        <v>0</v>
      </c>
      <c r="CO279" s="239">
        <v>0</v>
      </c>
      <c r="CP279" s="239">
        <v>-8512</v>
      </c>
      <c r="CQ279" s="239">
        <v>0</v>
      </c>
      <c r="CR279" s="239">
        <v>-8512</v>
      </c>
      <c r="CS279" s="239">
        <v>0</v>
      </c>
      <c r="CT279" s="239">
        <v>0</v>
      </c>
      <c r="CU279" s="239">
        <v>0</v>
      </c>
      <c r="CV279" s="239">
        <v>-6630</v>
      </c>
      <c r="CW279" s="239">
        <v>0</v>
      </c>
      <c r="CX279" s="239">
        <v>-6630</v>
      </c>
      <c r="CY279" s="239">
        <v>0</v>
      </c>
      <c r="CZ279" s="239">
        <v>0</v>
      </c>
      <c r="DA279" s="239">
        <v>0</v>
      </c>
      <c r="DB279" s="239">
        <v>0</v>
      </c>
      <c r="DC279" s="239">
        <v>0</v>
      </c>
      <c r="DD279" s="239">
        <v>0</v>
      </c>
      <c r="DE279" s="239">
        <v>0</v>
      </c>
      <c r="DF279" s="239">
        <v>0</v>
      </c>
      <c r="DG279" s="239">
        <v>0</v>
      </c>
      <c r="DH279" s="239">
        <v>0</v>
      </c>
      <c r="DI279" s="239">
        <v>0</v>
      </c>
      <c r="DJ279" s="239">
        <v>-311245</v>
      </c>
      <c r="DK279" s="239">
        <v>0</v>
      </c>
      <c r="DL279" s="239">
        <v>-311245</v>
      </c>
      <c r="DM279" s="239">
        <v>-6417</v>
      </c>
      <c r="DN279" s="239">
        <v>0</v>
      </c>
      <c r="DO279" s="239">
        <v>-6417</v>
      </c>
      <c r="DP279" s="239">
        <v>0</v>
      </c>
      <c r="DQ279" s="239">
        <v>0</v>
      </c>
      <c r="DR279" s="239">
        <v>0</v>
      </c>
      <c r="DS279" s="239">
        <v>0</v>
      </c>
      <c r="DT279" s="239">
        <v>0</v>
      </c>
      <c r="DU279" s="239">
        <v>0</v>
      </c>
      <c r="DV279" s="239">
        <v>0</v>
      </c>
      <c r="DW279" s="239">
        <v>0</v>
      </c>
      <c r="DX279" s="239">
        <v>0</v>
      </c>
      <c r="DY279" s="239">
        <v>0</v>
      </c>
      <c r="DZ279" s="239">
        <v>0</v>
      </c>
      <c r="EA279" s="239">
        <v>0</v>
      </c>
      <c r="EB279" s="239">
        <v>-6726</v>
      </c>
      <c r="EC279" s="239">
        <v>0</v>
      </c>
      <c r="ED279" s="239">
        <v>-6726</v>
      </c>
      <c r="EE279" s="239">
        <v>0</v>
      </c>
      <c r="EF279" s="239">
        <v>0</v>
      </c>
      <c r="EG279" s="239">
        <v>0</v>
      </c>
      <c r="EH279" s="239">
        <v>0</v>
      </c>
      <c r="EI279" s="239">
        <v>0</v>
      </c>
      <c r="EJ279" s="239">
        <v>0</v>
      </c>
      <c r="EK279" s="239">
        <v>-5825</v>
      </c>
      <c r="EL279" s="239">
        <v>0</v>
      </c>
      <c r="EM279" s="239">
        <v>-5825</v>
      </c>
      <c r="EN279" s="239">
        <v>1392</v>
      </c>
      <c r="EO279" s="239">
        <v>0</v>
      </c>
      <c r="EP279" s="239">
        <v>1392</v>
      </c>
      <c r="EQ279" s="239">
        <v>-17576</v>
      </c>
      <c r="ER279" s="239">
        <v>0</v>
      </c>
      <c r="ES279" s="239">
        <v>-17576</v>
      </c>
      <c r="ET279" s="239">
        <v>0</v>
      </c>
      <c r="EU279" s="239">
        <v>0</v>
      </c>
      <c r="EV279" s="239">
        <v>0</v>
      </c>
      <c r="EW279" s="239">
        <v>0</v>
      </c>
      <c r="EX279" s="239">
        <v>0</v>
      </c>
      <c r="EY279" s="239">
        <v>0</v>
      </c>
      <c r="EZ279" s="239">
        <v>0</v>
      </c>
      <c r="FA279" s="239">
        <v>0</v>
      </c>
      <c r="FB279" s="239">
        <v>0</v>
      </c>
      <c r="FC279" s="239">
        <v>47876276</v>
      </c>
      <c r="FD279" s="239">
        <v>0</v>
      </c>
      <c r="FE279" s="239">
        <v>47876276</v>
      </c>
      <c r="FF279" s="239">
        <v>250985</v>
      </c>
      <c r="FG279" s="239">
        <v>0</v>
      </c>
      <c r="FH279" s="239">
        <v>250985</v>
      </c>
      <c r="FI279" s="239">
        <v>-5738969</v>
      </c>
      <c r="FJ279" s="239">
        <v>0</v>
      </c>
      <c r="FK279" s="239">
        <v>-5738969</v>
      </c>
      <c r="FL279" s="239">
        <v>-1649569</v>
      </c>
      <c r="FM279" s="239">
        <v>0</v>
      </c>
      <c r="FN279" s="239">
        <v>-1649569</v>
      </c>
      <c r="FO279" s="239">
        <v>-311245</v>
      </c>
      <c r="FP279" s="239">
        <v>0</v>
      </c>
      <c r="FQ279" s="239">
        <v>-311245</v>
      </c>
      <c r="FR279" s="239">
        <v>-17576</v>
      </c>
      <c r="FS279" s="239">
        <v>0</v>
      </c>
      <c r="FT279" s="239">
        <v>-17576</v>
      </c>
      <c r="FU279" s="239">
        <v>0</v>
      </c>
      <c r="FV279" s="239">
        <v>0</v>
      </c>
      <c r="FW279" s="239">
        <v>0</v>
      </c>
      <c r="FX279" s="239">
        <v>-7466374</v>
      </c>
      <c r="FY279" s="239">
        <v>0</v>
      </c>
      <c r="FZ279" s="239">
        <v>-7466374</v>
      </c>
      <c r="GA279" s="239">
        <v>40409902</v>
      </c>
      <c r="GB279" s="239">
        <v>0</v>
      </c>
      <c r="GC279" s="239">
        <v>40409902</v>
      </c>
      <c r="GD279" s="214" t="s">
        <v>1190</v>
      </c>
    </row>
    <row r="280" spans="2:186" s="214" customFormat="1" x14ac:dyDescent="0.2">
      <c r="B280" s="609" t="s">
        <v>642</v>
      </c>
      <c r="C280" s="609" t="s">
        <v>641</v>
      </c>
      <c r="D280" s="239">
        <v>0</v>
      </c>
      <c r="E280" s="239">
        <v>0</v>
      </c>
      <c r="F280" s="239">
        <v>0</v>
      </c>
      <c r="G280" s="239">
        <v>308683</v>
      </c>
      <c r="H280" s="239">
        <v>0</v>
      </c>
      <c r="I280" s="239">
        <v>308683</v>
      </c>
      <c r="J280" s="239">
        <v>0</v>
      </c>
      <c r="K280" s="239">
        <v>0</v>
      </c>
      <c r="L280" s="239">
        <v>0</v>
      </c>
      <c r="M280" s="239">
        <v>24396</v>
      </c>
      <c r="N280" s="239">
        <v>0</v>
      </c>
      <c r="O280" s="239">
        <v>24396</v>
      </c>
      <c r="P280" s="239">
        <v>333079</v>
      </c>
      <c r="Q280" s="239">
        <v>0</v>
      </c>
      <c r="R280" s="239">
        <v>333079</v>
      </c>
      <c r="S280" s="239">
        <v>-4018472</v>
      </c>
      <c r="T280" s="239">
        <v>0</v>
      </c>
      <c r="U280" s="239">
        <v>-4018472</v>
      </c>
      <c r="V280" s="239">
        <v>-14635</v>
      </c>
      <c r="W280" s="239">
        <v>0</v>
      </c>
      <c r="X280" s="239">
        <v>-14635</v>
      </c>
      <c r="Y280" s="239">
        <v>-103144</v>
      </c>
      <c r="Z280" s="239">
        <v>0</v>
      </c>
      <c r="AA280" s="239">
        <v>-103144</v>
      </c>
      <c r="AB280" s="239">
        <v>0</v>
      </c>
      <c r="AC280" s="239">
        <v>0</v>
      </c>
      <c r="AD280" s="239">
        <v>0</v>
      </c>
      <c r="AE280" s="239">
        <v>0</v>
      </c>
      <c r="AF280" s="239">
        <v>0</v>
      </c>
      <c r="AG280" s="239">
        <v>0</v>
      </c>
      <c r="AH280" s="239">
        <v>809947</v>
      </c>
      <c r="AI280" s="239">
        <v>0</v>
      </c>
      <c r="AJ280" s="239">
        <v>809947</v>
      </c>
      <c r="AK280" s="239">
        <v>-37314</v>
      </c>
      <c r="AL280" s="239">
        <v>0</v>
      </c>
      <c r="AM280" s="239">
        <v>-37314</v>
      </c>
      <c r="AN280" s="239">
        <v>-2628983</v>
      </c>
      <c r="AO280" s="239">
        <v>0</v>
      </c>
      <c r="AP280" s="239">
        <v>-2628983</v>
      </c>
      <c r="AQ280" s="239">
        <v>812</v>
      </c>
      <c r="AR280" s="239">
        <v>0</v>
      </c>
      <c r="AS280" s="239">
        <v>812</v>
      </c>
      <c r="AT280" s="239">
        <v>-76800</v>
      </c>
      <c r="AU280" s="239">
        <v>0</v>
      </c>
      <c r="AV280" s="239">
        <v>-76800</v>
      </c>
      <c r="AW280" s="239">
        <v>0</v>
      </c>
      <c r="AX280" s="239">
        <v>0</v>
      </c>
      <c r="AY280" s="239">
        <v>0</v>
      </c>
      <c r="AZ280" s="239">
        <v>-52581</v>
      </c>
      <c r="BA280" s="239">
        <v>0</v>
      </c>
      <c r="BB280" s="239">
        <v>-52581</v>
      </c>
      <c r="BC280" s="239">
        <v>-5621</v>
      </c>
      <c r="BD280" s="239">
        <v>0</v>
      </c>
      <c r="BE280" s="239">
        <v>-5621</v>
      </c>
      <c r="BF280" s="239">
        <v>-6112156</v>
      </c>
      <c r="BG280" s="239">
        <v>0</v>
      </c>
      <c r="BH280" s="239">
        <v>-6112156</v>
      </c>
      <c r="BI280" s="239">
        <v>0</v>
      </c>
      <c r="BJ280" s="239">
        <v>0</v>
      </c>
      <c r="BK280" s="239">
        <v>0</v>
      </c>
      <c r="BL280" s="239">
        <v>4556</v>
      </c>
      <c r="BM280" s="239">
        <v>0</v>
      </c>
      <c r="BN280" s="239">
        <v>4556</v>
      </c>
      <c r="BO280" s="239">
        <v>-968389</v>
      </c>
      <c r="BP280" s="239">
        <v>0</v>
      </c>
      <c r="BQ280" s="239">
        <v>-968389</v>
      </c>
      <c r="BR280" s="239">
        <v>24347</v>
      </c>
      <c r="BS280" s="239">
        <v>0</v>
      </c>
      <c r="BT280" s="239">
        <v>24347</v>
      </c>
      <c r="BU280" s="239">
        <v>-939486</v>
      </c>
      <c r="BV280" s="239">
        <v>0</v>
      </c>
      <c r="BW280" s="239">
        <v>-939486</v>
      </c>
      <c r="BX280" s="239">
        <v>-79612</v>
      </c>
      <c r="BY280" s="239">
        <v>0</v>
      </c>
      <c r="BZ280" s="239">
        <v>-79612</v>
      </c>
      <c r="CA280" s="239">
        <v>1108</v>
      </c>
      <c r="CB280" s="239">
        <v>0</v>
      </c>
      <c r="CC280" s="239">
        <v>1108</v>
      </c>
      <c r="CD280" s="239">
        <v>-45733</v>
      </c>
      <c r="CE280" s="239">
        <v>0</v>
      </c>
      <c r="CF280" s="239">
        <v>-45733</v>
      </c>
      <c r="CG280" s="239">
        <v>-3216</v>
      </c>
      <c r="CH280" s="239">
        <v>0</v>
      </c>
      <c r="CI280" s="239">
        <v>-3216</v>
      </c>
      <c r="CJ280" s="239">
        <v>-7515</v>
      </c>
      <c r="CK280" s="239">
        <v>0</v>
      </c>
      <c r="CL280" s="239">
        <v>-7515</v>
      </c>
      <c r="CM280" s="239">
        <v>-268</v>
      </c>
      <c r="CN280" s="239">
        <v>0</v>
      </c>
      <c r="CO280" s="239">
        <v>-268</v>
      </c>
      <c r="CP280" s="239">
        <v>-41923</v>
      </c>
      <c r="CQ280" s="239">
        <v>0</v>
      </c>
      <c r="CR280" s="239">
        <v>-41923</v>
      </c>
      <c r="CS280" s="239">
        <v>-8768</v>
      </c>
      <c r="CT280" s="239">
        <v>0</v>
      </c>
      <c r="CU280" s="239">
        <v>-8768</v>
      </c>
      <c r="CV280" s="239">
        <v>-3090</v>
      </c>
      <c r="CW280" s="239">
        <v>0</v>
      </c>
      <c r="CX280" s="239">
        <v>-3090</v>
      </c>
      <c r="CY280" s="239">
        <v>0</v>
      </c>
      <c r="CZ280" s="239">
        <v>0</v>
      </c>
      <c r="DA280" s="239">
        <v>0</v>
      </c>
      <c r="DB280" s="239">
        <v>0</v>
      </c>
      <c r="DC280" s="239">
        <v>0</v>
      </c>
      <c r="DD280" s="239">
        <v>0</v>
      </c>
      <c r="DE280" s="239">
        <v>0</v>
      </c>
      <c r="DF280" s="239">
        <v>0</v>
      </c>
      <c r="DG280" s="239">
        <v>0</v>
      </c>
      <c r="DH280" s="239">
        <v>0</v>
      </c>
      <c r="DI280" s="239">
        <v>0</v>
      </c>
      <c r="DJ280" s="239">
        <v>-189017</v>
      </c>
      <c r="DK280" s="239">
        <v>0</v>
      </c>
      <c r="DL280" s="239">
        <v>-189017</v>
      </c>
      <c r="DM280" s="239">
        <v>0</v>
      </c>
      <c r="DN280" s="239">
        <v>0</v>
      </c>
      <c r="DO280" s="239">
        <v>0</v>
      </c>
      <c r="DP280" s="239">
        <v>0</v>
      </c>
      <c r="DQ280" s="239">
        <v>0</v>
      </c>
      <c r="DR280" s="239">
        <v>0</v>
      </c>
      <c r="DS280" s="239">
        <v>0</v>
      </c>
      <c r="DT280" s="239">
        <v>0</v>
      </c>
      <c r="DU280" s="239">
        <v>0</v>
      </c>
      <c r="DV280" s="239">
        <v>0</v>
      </c>
      <c r="DW280" s="239">
        <v>0</v>
      </c>
      <c r="DX280" s="239">
        <v>0</v>
      </c>
      <c r="DY280" s="239">
        <v>0</v>
      </c>
      <c r="DZ280" s="239">
        <v>0</v>
      </c>
      <c r="EA280" s="239">
        <v>0</v>
      </c>
      <c r="EB280" s="239">
        <v>-9780</v>
      </c>
      <c r="EC280" s="239">
        <v>0</v>
      </c>
      <c r="ED280" s="239">
        <v>-9780</v>
      </c>
      <c r="EE280" s="239">
        <v>0</v>
      </c>
      <c r="EF280" s="239">
        <v>0</v>
      </c>
      <c r="EG280" s="239">
        <v>0</v>
      </c>
      <c r="EH280" s="239">
        <v>0</v>
      </c>
      <c r="EI280" s="239">
        <v>0</v>
      </c>
      <c r="EJ280" s="239">
        <v>0</v>
      </c>
      <c r="EK280" s="239">
        <v>-23103</v>
      </c>
      <c r="EL280" s="239">
        <v>0</v>
      </c>
      <c r="EM280" s="239">
        <v>-23103</v>
      </c>
      <c r="EN280" s="239">
        <v>5625</v>
      </c>
      <c r="EO280" s="239">
        <v>0</v>
      </c>
      <c r="EP280" s="239">
        <v>5625</v>
      </c>
      <c r="EQ280" s="239">
        <v>-27258</v>
      </c>
      <c r="ER280" s="239">
        <v>0</v>
      </c>
      <c r="ES280" s="239">
        <v>-27258</v>
      </c>
      <c r="ET280" s="239">
        <v>0</v>
      </c>
      <c r="EU280" s="239">
        <v>0</v>
      </c>
      <c r="EV280" s="239">
        <v>0</v>
      </c>
      <c r="EW280" s="239">
        <v>573</v>
      </c>
      <c r="EX280" s="239">
        <v>0</v>
      </c>
      <c r="EY280" s="239">
        <v>573</v>
      </c>
      <c r="EZ280" s="239">
        <v>573</v>
      </c>
      <c r="FA280" s="239">
        <v>0</v>
      </c>
      <c r="FB280" s="239">
        <v>573</v>
      </c>
      <c r="FC280" s="239">
        <v>38610832</v>
      </c>
      <c r="FD280" s="239">
        <v>0</v>
      </c>
      <c r="FE280" s="239">
        <v>38610832</v>
      </c>
      <c r="FF280" s="239">
        <v>333079</v>
      </c>
      <c r="FG280" s="239">
        <v>0</v>
      </c>
      <c r="FH280" s="239">
        <v>333079</v>
      </c>
      <c r="FI280" s="239">
        <v>-6112156</v>
      </c>
      <c r="FJ280" s="239">
        <v>0</v>
      </c>
      <c r="FK280" s="239">
        <v>-6112156</v>
      </c>
      <c r="FL280" s="239">
        <v>-939486</v>
      </c>
      <c r="FM280" s="239">
        <v>0</v>
      </c>
      <c r="FN280" s="239">
        <v>-939486</v>
      </c>
      <c r="FO280" s="239">
        <v>-189017</v>
      </c>
      <c r="FP280" s="239">
        <v>0</v>
      </c>
      <c r="FQ280" s="239">
        <v>-189017</v>
      </c>
      <c r="FR280" s="239">
        <v>-27258</v>
      </c>
      <c r="FS280" s="239">
        <v>0</v>
      </c>
      <c r="FT280" s="239">
        <v>-27258</v>
      </c>
      <c r="FU280" s="239">
        <v>573</v>
      </c>
      <c r="FV280" s="239">
        <v>0</v>
      </c>
      <c r="FW280" s="239">
        <v>573</v>
      </c>
      <c r="FX280" s="239">
        <v>-6934265</v>
      </c>
      <c r="FY280" s="239">
        <v>0</v>
      </c>
      <c r="FZ280" s="239">
        <v>-6934265</v>
      </c>
      <c r="GA280" s="239">
        <v>31676567</v>
      </c>
      <c r="GB280" s="239">
        <v>0</v>
      </c>
      <c r="GC280" s="239">
        <v>31676567</v>
      </c>
      <c r="GD280" s="214" t="s">
        <v>1190</v>
      </c>
    </row>
    <row r="281" spans="2:186" s="214" customFormat="1" x14ac:dyDescent="0.2">
      <c r="B281" s="609" t="s">
        <v>644</v>
      </c>
      <c r="C281" s="609" t="s">
        <v>643</v>
      </c>
      <c r="D281" s="239">
        <v>0</v>
      </c>
      <c r="E281" s="239">
        <v>0</v>
      </c>
      <c r="F281" s="239">
        <v>0</v>
      </c>
      <c r="G281" s="239">
        <v>174281</v>
      </c>
      <c r="H281" s="239">
        <v>0</v>
      </c>
      <c r="I281" s="239">
        <v>174281</v>
      </c>
      <c r="J281" s="239">
        <v>0</v>
      </c>
      <c r="K281" s="239">
        <v>0</v>
      </c>
      <c r="L281" s="239">
        <v>0</v>
      </c>
      <c r="M281" s="239">
        <v>112953</v>
      </c>
      <c r="N281" s="239">
        <v>0</v>
      </c>
      <c r="O281" s="239">
        <v>112953</v>
      </c>
      <c r="P281" s="239">
        <v>287234</v>
      </c>
      <c r="Q281" s="239">
        <v>0</v>
      </c>
      <c r="R281" s="239">
        <v>287234</v>
      </c>
      <c r="S281" s="239">
        <v>-3066085</v>
      </c>
      <c r="T281" s="239">
        <v>0</v>
      </c>
      <c r="U281" s="239">
        <v>-3066085</v>
      </c>
      <c r="V281" s="239">
        <v>-14769</v>
      </c>
      <c r="W281" s="239">
        <v>0</v>
      </c>
      <c r="X281" s="239">
        <v>-14769</v>
      </c>
      <c r="Y281" s="239">
        <v>-274802</v>
      </c>
      <c r="Z281" s="239">
        <v>0</v>
      </c>
      <c r="AA281" s="239">
        <v>-274802</v>
      </c>
      <c r="AB281" s="239">
        <v>-210817</v>
      </c>
      <c r="AC281" s="239">
        <v>0</v>
      </c>
      <c r="AD281" s="239">
        <v>-210817</v>
      </c>
      <c r="AE281" s="239">
        <v>-217</v>
      </c>
      <c r="AF281" s="239">
        <v>0</v>
      </c>
      <c r="AG281" s="239">
        <v>-217</v>
      </c>
      <c r="AH281" s="239">
        <v>2016849</v>
      </c>
      <c r="AI281" s="239">
        <v>0</v>
      </c>
      <c r="AJ281" s="239">
        <v>2016849</v>
      </c>
      <c r="AK281" s="239">
        <v>2965</v>
      </c>
      <c r="AL281" s="239">
        <v>0</v>
      </c>
      <c r="AM281" s="239">
        <v>2965</v>
      </c>
      <c r="AN281" s="239">
        <v>-4900656</v>
      </c>
      <c r="AO281" s="239">
        <v>0</v>
      </c>
      <c r="AP281" s="239">
        <v>-4900656</v>
      </c>
      <c r="AQ281" s="239">
        <v>-20588</v>
      </c>
      <c r="AR281" s="239">
        <v>0</v>
      </c>
      <c r="AS281" s="239">
        <v>-20588</v>
      </c>
      <c r="AT281" s="239">
        <v>-32822</v>
      </c>
      <c r="AU281" s="239">
        <v>0</v>
      </c>
      <c r="AV281" s="239">
        <v>-32822</v>
      </c>
      <c r="AW281" s="239">
        <v>0</v>
      </c>
      <c r="AX281" s="239">
        <v>0</v>
      </c>
      <c r="AY281" s="239">
        <v>0</v>
      </c>
      <c r="AZ281" s="239">
        <v>-5271</v>
      </c>
      <c r="BA281" s="239">
        <v>0</v>
      </c>
      <c r="BB281" s="239">
        <v>-5271</v>
      </c>
      <c r="BC281" s="239">
        <v>0</v>
      </c>
      <c r="BD281" s="239">
        <v>0</v>
      </c>
      <c r="BE281" s="239">
        <v>0</v>
      </c>
      <c r="BF281" s="239">
        <v>-6280410</v>
      </c>
      <c r="BG281" s="239">
        <v>0</v>
      </c>
      <c r="BH281" s="239">
        <v>-6280410</v>
      </c>
      <c r="BI281" s="239">
        <v>-124310</v>
      </c>
      <c r="BJ281" s="239">
        <v>0</v>
      </c>
      <c r="BK281" s="239">
        <v>-124310</v>
      </c>
      <c r="BL281" s="239">
        <v>27516</v>
      </c>
      <c r="BM281" s="239">
        <v>0</v>
      </c>
      <c r="BN281" s="239">
        <v>27516</v>
      </c>
      <c r="BO281" s="239">
        <v>-1952600</v>
      </c>
      <c r="BP281" s="239">
        <v>0</v>
      </c>
      <c r="BQ281" s="239">
        <v>-1952600</v>
      </c>
      <c r="BR281" s="239">
        <v>56561</v>
      </c>
      <c r="BS281" s="239">
        <v>0</v>
      </c>
      <c r="BT281" s="239">
        <v>56561</v>
      </c>
      <c r="BU281" s="239">
        <v>-1992833</v>
      </c>
      <c r="BV281" s="239">
        <v>0</v>
      </c>
      <c r="BW281" s="239">
        <v>-1992833</v>
      </c>
      <c r="BX281" s="239">
        <v>-309557</v>
      </c>
      <c r="BY281" s="239">
        <v>0</v>
      </c>
      <c r="BZ281" s="239">
        <v>-309557</v>
      </c>
      <c r="CA281" s="239">
        <v>5026</v>
      </c>
      <c r="CB281" s="239">
        <v>0</v>
      </c>
      <c r="CC281" s="239">
        <v>5026</v>
      </c>
      <c r="CD281" s="239">
        <v>-64992</v>
      </c>
      <c r="CE281" s="239">
        <v>0</v>
      </c>
      <c r="CF281" s="239">
        <v>-64992</v>
      </c>
      <c r="CG281" s="239">
        <v>-9676</v>
      </c>
      <c r="CH281" s="239">
        <v>0</v>
      </c>
      <c r="CI281" s="239">
        <v>-9676</v>
      </c>
      <c r="CJ281" s="239">
        <v>-4972</v>
      </c>
      <c r="CK281" s="239">
        <v>0</v>
      </c>
      <c r="CL281" s="239">
        <v>-4972</v>
      </c>
      <c r="CM281" s="239">
        <v>0</v>
      </c>
      <c r="CN281" s="239">
        <v>0</v>
      </c>
      <c r="CO281" s="239">
        <v>0</v>
      </c>
      <c r="CP281" s="239">
        <v>-5271</v>
      </c>
      <c r="CQ281" s="239">
        <v>0</v>
      </c>
      <c r="CR281" s="239">
        <v>-5271</v>
      </c>
      <c r="CS281" s="239">
        <v>0</v>
      </c>
      <c r="CT281" s="239">
        <v>0</v>
      </c>
      <c r="CU281" s="239">
        <v>0</v>
      </c>
      <c r="CV281" s="239">
        <v>0</v>
      </c>
      <c r="CW281" s="239">
        <v>0</v>
      </c>
      <c r="CX281" s="239">
        <v>0</v>
      </c>
      <c r="CY281" s="239">
        <v>0</v>
      </c>
      <c r="CZ281" s="239">
        <v>0</v>
      </c>
      <c r="DA281" s="239">
        <v>0</v>
      </c>
      <c r="DB281" s="239">
        <v>-10000</v>
      </c>
      <c r="DC281" s="239">
        <v>0</v>
      </c>
      <c r="DD281" s="239">
        <v>-10000</v>
      </c>
      <c r="DE281" s="239">
        <v>0</v>
      </c>
      <c r="DF281" s="239">
        <v>0</v>
      </c>
      <c r="DG281" s="239">
        <v>0</v>
      </c>
      <c r="DH281" s="239">
        <v>0</v>
      </c>
      <c r="DI281" s="239">
        <v>0</v>
      </c>
      <c r="DJ281" s="239">
        <v>-399442</v>
      </c>
      <c r="DK281" s="239">
        <v>0</v>
      </c>
      <c r="DL281" s="239">
        <v>-399442</v>
      </c>
      <c r="DM281" s="239">
        <v>-4271</v>
      </c>
      <c r="DN281" s="239">
        <v>0</v>
      </c>
      <c r="DO281" s="239">
        <v>-4271</v>
      </c>
      <c r="DP281" s="239">
        <v>16228</v>
      </c>
      <c r="DQ281" s="239">
        <v>0</v>
      </c>
      <c r="DR281" s="239">
        <v>16228</v>
      </c>
      <c r="DS281" s="239">
        <v>-91280</v>
      </c>
      <c r="DT281" s="239">
        <v>0</v>
      </c>
      <c r="DU281" s="239">
        <v>-91280</v>
      </c>
      <c r="DV281" s="239">
        <v>-32276</v>
      </c>
      <c r="DW281" s="239">
        <v>0</v>
      </c>
      <c r="DX281" s="239">
        <v>-32276</v>
      </c>
      <c r="DY281" s="239">
        <v>0</v>
      </c>
      <c r="DZ281" s="239">
        <v>0</v>
      </c>
      <c r="EA281" s="239">
        <v>0</v>
      </c>
      <c r="EB281" s="239">
        <v>-13545</v>
      </c>
      <c r="EC281" s="239">
        <v>0</v>
      </c>
      <c r="ED281" s="239">
        <v>-13545</v>
      </c>
      <c r="EE281" s="239">
        <v>0</v>
      </c>
      <c r="EF281" s="239">
        <v>0</v>
      </c>
      <c r="EG281" s="239">
        <v>0</v>
      </c>
      <c r="EH281" s="239">
        <v>0</v>
      </c>
      <c r="EI281" s="239">
        <v>0</v>
      </c>
      <c r="EJ281" s="239">
        <v>0</v>
      </c>
      <c r="EK281" s="239">
        <v>-9575</v>
      </c>
      <c r="EL281" s="239">
        <v>0</v>
      </c>
      <c r="EM281" s="239">
        <v>-9575</v>
      </c>
      <c r="EN281" s="239">
        <v>0</v>
      </c>
      <c r="EO281" s="239">
        <v>0</v>
      </c>
      <c r="EP281" s="239">
        <v>0</v>
      </c>
      <c r="EQ281" s="239">
        <v>-134719</v>
      </c>
      <c r="ER281" s="239">
        <v>0</v>
      </c>
      <c r="ES281" s="239">
        <v>-134719</v>
      </c>
      <c r="ET281" s="239">
        <v>0</v>
      </c>
      <c r="EU281" s="239">
        <v>0</v>
      </c>
      <c r="EV281" s="239">
        <v>0</v>
      </c>
      <c r="EW281" s="239">
        <v>0</v>
      </c>
      <c r="EX281" s="239">
        <v>0</v>
      </c>
      <c r="EY281" s="239">
        <v>0</v>
      </c>
      <c r="EZ281" s="239">
        <v>0</v>
      </c>
      <c r="FA281" s="239">
        <v>0</v>
      </c>
      <c r="FB281" s="239">
        <v>0</v>
      </c>
      <c r="FC281" s="239">
        <v>82573569</v>
      </c>
      <c r="FD281" s="239">
        <v>0</v>
      </c>
      <c r="FE281" s="239">
        <v>82573569</v>
      </c>
      <c r="FF281" s="239">
        <v>287234</v>
      </c>
      <c r="FG281" s="239">
        <v>0</v>
      </c>
      <c r="FH281" s="239">
        <v>287234</v>
      </c>
      <c r="FI281" s="239">
        <v>-6280410</v>
      </c>
      <c r="FJ281" s="239">
        <v>0</v>
      </c>
      <c r="FK281" s="239">
        <v>-6280410</v>
      </c>
      <c r="FL281" s="239">
        <v>-1992833</v>
      </c>
      <c r="FM281" s="239">
        <v>0</v>
      </c>
      <c r="FN281" s="239">
        <v>-1992833</v>
      </c>
      <c r="FO281" s="239">
        <v>-399442</v>
      </c>
      <c r="FP281" s="239">
        <v>0</v>
      </c>
      <c r="FQ281" s="239">
        <v>-399442</v>
      </c>
      <c r="FR281" s="239">
        <v>-134719</v>
      </c>
      <c r="FS281" s="239">
        <v>0</v>
      </c>
      <c r="FT281" s="239">
        <v>-134719</v>
      </c>
      <c r="FU281" s="239">
        <v>0</v>
      </c>
      <c r="FV281" s="239">
        <v>0</v>
      </c>
      <c r="FW281" s="239">
        <v>0</v>
      </c>
      <c r="FX281" s="239">
        <v>-8520170</v>
      </c>
      <c r="FY281" s="239">
        <v>0</v>
      </c>
      <c r="FZ281" s="239">
        <v>-8520170</v>
      </c>
      <c r="GA281" s="239">
        <v>74053399</v>
      </c>
      <c r="GB281" s="239">
        <v>0</v>
      </c>
      <c r="GC281" s="239">
        <v>74053399</v>
      </c>
      <c r="GD281" s="214" t="s">
        <v>747</v>
      </c>
    </row>
    <row r="282" spans="2:186" s="214" customFormat="1" x14ac:dyDescent="0.2">
      <c r="B282" s="609" t="s">
        <v>646</v>
      </c>
      <c r="C282" s="609" t="s">
        <v>645</v>
      </c>
      <c r="D282" s="239">
        <v>0</v>
      </c>
      <c r="E282" s="239">
        <v>0</v>
      </c>
      <c r="F282" s="239">
        <v>0</v>
      </c>
      <c r="G282" s="239">
        <v>28115</v>
      </c>
      <c r="H282" s="239">
        <v>0</v>
      </c>
      <c r="I282" s="239">
        <v>28115</v>
      </c>
      <c r="J282" s="239">
        <v>0</v>
      </c>
      <c r="K282" s="239">
        <v>0</v>
      </c>
      <c r="L282" s="239">
        <v>0</v>
      </c>
      <c r="M282" s="239">
        <v>108076</v>
      </c>
      <c r="N282" s="239">
        <v>0</v>
      </c>
      <c r="O282" s="239">
        <v>108076</v>
      </c>
      <c r="P282" s="239">
        <v>136191</v>
      </c>
      <c r="Q282" s="239">
        <v>0</v>
      </c>
      <c r="R282" s="239">
        <v>136191</v>
      </c>
      <c r="S282" s="239">
        <v>-4574323</v>
      </c>
      <c r="T282" s="239">
        <v>0</v>
      </c>
      <c r="U282" s="239">
        <v>-4574323</v>
      </c>
      <c r="V282" s="239">
        <v>-2532</v>
      </c>
      <c r="W282" s="239">
        <v>0</v>
      </c>
      <c r="X282" s="239">
        <v>-2532</v>
      </c>
      <c r="Y282" s="239">
        <v>-117966</v>
      </c>
      <c r="Z282" s="239">
        <v>0</v>
      </c>
      <c r="AA282" s="239">
        <v>-117966</v>
      </c>
      <c r="AB282" s="239">
        <v>-101233</v>
      </c>
      <c r="AC282" s="239">
        <v>0</v>
      </c>
      <c r="AD282" s="239">
        <v>-101233</v>
      </c>
      <c r="AE282" s="239">
        <v>687</v>
      </c>
      <c r="AF282" s="239">
        <v>0</v>
      </c>
      <c r="AG282" s="239">
        <v>687</v>
      </c>
      <c r="AH282" s="239">
        <v>662973</v>
      </c>
      <c r="AI282" s="239">
        <v>0</v>
      </c>
      <c r="AJ282" s="239">
        <v>662973</v>
      </c>
      <c r="AK282" s="239">
        <v>-6097</v>
      </c>
      <c r="AL282" s="239">
        <v>0</v>
      </c>
      <c r="AM282" s="239">
        <v>-6097</v>
      </c>
      <c r="AN282" s="239">
        <v>-2135863</v>
      </c>
      <c r="AO282" s="239">
        <v>0</v>
      </c>
      <c r="AP282" s="239">
        <v>-2135863</v>
      </c>
      <c r="AQ282" s="239">
        <v>19479</v>
      </c>
      <c r="AR282" s="239">
        <v>0</v>
      </c>
      <c r="AS282" s="239">
        <v>19479</v>
      </c>
      <c r="AT282" s="239">
        <v>-169934</v>
      </c>
      <c r="AU282" s="239">
        <v>0</v>
      </c>
      <c r="AV282" s="239">
        <v>-169934</v>
      </c>
      <c r="AW282" s="239">
        <v>-52885</v>
      </c>
      <c r="AX282" s="239">
        <v>0</v>
      </c>
      <c r="AY282" s="239">
        <v>-52885</v>
      </c>
      <c r="AZ282" s="239">
        <v>-43241</v>
      </c>
      <c r="BA282" s="239">
        <v>0</v>
      </c>
      <c r="BB282" s="239">
        <v>-43241</v>
      </c>
      <c r="BC282" s="239">
        <v>267</v>
      </c>
      <c r="BD282" s="239">
        <v>0</v>
      </c>
      <c r="BE282" s="239">
        <v>267</v>
      </c>
      <c r="BF282" s="239">
        <v>-6417590</v>
      </c>
      <c r="BG282" s="239">
        <v>0</v>
      </c>
      <c r="BH282" s="239">
        <v>-6417590</v>
      </c>
      <c r="BI282" s="239">
        <v>0</v>
      </c>
      <c r="BJ282" s="239">
        <v>0</v>
      </c>
      <c r="BK282" s="239">
        <v>0</v>
      </c>
      <c r="BL282" s="239">
        <v>0</v>
      </c>
      <c r="BM282" s="239">
        <v>0</v>
      </c>
      <c r="BN282" s="239">
        <v>0</v>
      </c>
      <c r="BO282" s="239">
        <v>-588783</v>
      </c>
      <c r="BP282" s="239">
        <v>0</v>
      </c>
      <c r="BQ282" s="239">
        <v>-588783</v>
      </c>
      <c r="BR282" s="239">
        <v>9670</v>
      </c>
      <c r="BS282" s="239">
        <v>0</v>
      </c>
      <c r="BT282" s="239">
        <v>9670</v>
      </c>
      <c r="BU282" s="239">
        <v>-579113</v>
      </c>
      <c r="BV282" s="239">
        <v>0</v>
      </c>
      <c r="BW282" s="239">
        <v>-579113</v>
      </c>
      <c r="BX282" s="239">
        <v>-32442</v>
      </c>
      <c r="BY282" s="239">
        <v>0</v>
      </c>
      <c r="BZ282" s="239">
        <v>-32442</v>
      </c>
      <c r="CA282" s="239">
        <v>0</v>
      </c>
      <c r="CB282" s="239">
        <v>0</v>
      </c>
      <c r="CC282" s="239">
        <v>0</v>
      </c>
      <c r="CD282" s="239">
        <v>-207</v>
      </c>
      <c r="CE282" s="239">
        <v>0</v>
      </c>
      <c r="CF282" s="239">
        <v>-207</v>
      </c>
      <c r="CG282" s="239">
        <v>0</v>
      </c>
      <c r="CH282" s="239">
        <v>0</v>
      </c>
      <c r="CI282" s="239">
        <v>0</v>
      </c>
      <c r="CJ282" s="239">
        <v>0</v>
      </c>
      <c r="CK282" s="239">
        <v>0</v>
      </c>
      <c r="CL282" s="239">
        <v>0</v>
      </c>
      <c r="CM282" s="239">
        <v>0</v>
      </c>
      <c r="CN282" s="239">
        <v>0</v>
      </c>
      <c r="CO282" s="239">
        <v>0</v>
      </c>
      <c r="CP282" s="239">
        <v>-43240</v>
      </c>
      <c r="CQ282" s="239">
        <v>0</v>
      </c>
      <c r="CR282" s="239">
        <v>-43240</v>
      </c>
      <c r="CS282" s="239">
        <v>267</v>
      </c>
      <c r="CT282" s="239">
        <v>0</v>
      </c>
      <c r="CU282" s="239">
        <v>267</v>
      </c>
      <c r="CV282" s="239">
        <v>0</v>
      </c>
      <c r="CW282" s="239">
        <v>0</v>
      </c>
      <c r="CX282" s="239">
        <v>0</v>
      </c>
      <c r="CY282" s="239">
        <v>0</v>
      </c>
      <c r="CZ282" s="239">
        <v>0</v>
      </c>
      <c r="DA282" s="239">
        <v>0</v>
      </c>
      <c r="DB282" s="239">
        <v>0</v>
      </c>
      <c r="DC282" s="239">
        <v>0</v>
      </c>
      <c r="DD282" s="239">
        <v>0</v>
      </c>
      <c r="DE282" s="239">
        <v>0</v>
      </c>
      <c r="DF282" s="239">
        <v>0</v>
      </c>
      <c r="DG282" s="239">
        <v>0</v>
      </c>
      <c r="DH282" s="239">
        <v>0</v>
      </c>
      <c r="DI282" s="239">
        <v>0</v>
      </c>
      <c r="DJ282" s="239">
        <v>-75622</v>
      </c>
      <c r="DK282" s="239">
        <v>0</v>
      </c>
      <c r="DL282" s="239">
        <v>-75622</v>
      </c>
      <c r="DM282" s="239">
        <v>-6816</v>
      </c>
      <c r="DN282" s="239">
        <v>0</v>
      </c>
      <c r="DO282" s="239">
        <v>-6816</v>
      </c>
      <c r="DP282" s="239">
        <v>-171</v>
      </c>
      <c r="DQ282" s="239">
        <v>0</v>
      </c>
      <c r="DR282" s="239">
        <v>-171</v>
      </c>
      <c r="DS282" s="239">
        <v>-20608</v>
      </c>
      <c r="DT282" s="239">
        <v>0</v>
      </c>
      <c r="DU282" s="239">
        <v>-20608</v>
      </c>
      <c r="DV282" s="239">
        <v>-3965</v>
      </c>
      <c r="DW282" s="239">
        <v>0</v>
      </c>
      <c r="DX282" s="239">
        <v>-3965</v>
      </c>
      <c r="DY282" s="239">
        <v>0</v>
      </c>
      <c r="DZ282" s="239">
        <v>0</v>
      </c>
      <c r="EA282" s="239">
        <v>0</v>
      </c>
      <c r="EB282" s="239">
        <v>5907</v>
      </c>
      <c r="EC282" s="239">
        <v>0</v>
      </c>
      <c r="ED282" s="239">
        <v>5907</v>
      </c>
      <c r="EE282" s="239">
        <v>0</v>
      </c>
      <c r="EF282" s="239">
        <v>0</v>
      </c>
      <c r="EG282" s="239">
        <v>0</v>
      </c>
      <c r="EH282" s="239">
        <v>0</v>
      </c>
      <c r="EI282" s="239">
        <v>0</v>
      </c>
      <c r="EJ282" s="239">
        <v>0</v>
      </c>
      <c r="EK282" s="239">
        <v>-14453</v>
      </c>
      <c r="EL282" s="239">
        <v>0</v>
      </c>
      <c r="EM282" s="239">
        <v>-14453</v>
      </c>
      <c r="EN282" s="239">
        <v>-1315</v>
      </c>
      <c r="EO282" s="239">
        <v>0</v>
      </c>
      <c r="EP282" s="239">
        <v>-1315</v>
      </c>
      <c r="EQ282" s="239">
        <v>-41421</v>
      </c>
      <c r="ER282" s="239">
        <v>0</v>
      </c>
      <c r="ES282" s="239">
        <v>-41421</v>
      </c>
      <c r="ET282" s="239">
        <v>0</v>
      </c>
      <c r="EU282" s="239">
        <v>0</v>
      </c>
      <c r="EV282" s="239">
        <v>0</v>
      </c>
      <c r="EW282" s="239">
        <v>0</v>
      </c>
      <c r="EX282" s="239">
        <v>0</v>
      </c>
      <c r="EY282" s="239">
        <v>0</v>
      </c>
      <c r="EZ282" s="239">
        <v>0</v>
      </c>
      <c r="FA282" s="239">
        <v>0</v>
      </c>
      <c r="FB282" s="239">
        <v>0</v>
      </c>
      <c r="FC282" s="239">
        <v>33563514</v>
      </c>
      <c r="FD282" s="239">
        <v>0</v>
      </c>
      <c r="FE282" s="239">
        <v>33563514</v>
      </c>
      <c r="FF282" s="239">
        <v>136191</v>
      </c>
      <c r="FG282" s="239">
        <v>0</v>
      </c>
      <c r="FH282" s="239">
        <v>136191</v>
      </c>
      <c r="FI282" s="239">
        <v>-6417590</v>
      </c>
      <c r="FJ282" s="239">
        <v>0</v>
      </c>
      <c r="FK282" s="239">
        <v>-6417590</v>
      </c>
      <c r="FL282" s="239">
        <v>-579113</v>
      </c>
      <c r="FM282" s="239">
        <v>0</v>
      </c>
      <c r="FN282" s="239">
        <v>-579113</v>
      </c>
      <c r="FO282" s="239">
        <v>-75622</v>
      </c>
      <c r="FP282" s="239">
        <v>0</v>
      </c>
      <c r="FQ282" s="239">
        <v>-75622</v>
      </c>
      <c r="FR282" s="239">
        <v>-41421</v>
      </c>
      <c r="FS282" s="239">
        <v>0</v>
      </c>
      <c r="FT282" s="239">
        <v>-41421</v>
      </c>
      <c r="FU282" s="239">
        <v>0</v>
      </c>
      <c r="FV282" s="239">
        <v>0</v>
      </c>
      <c r="FW282" s="239">
        <v>0</v>
      </c>
      <c r="FX282" s="239">
        <v>-6977555</v>
      </c>
      <c r="FY282" s="239">
        <v>0</v>
      </c>
      <c r="FZ282" s="239">
        <v>-6977555</v>
      </c>
      <c r="GA282" s="239">
        <v>26585959</v>
      </c>
      <c r="GB282" s="239">
        <v>0</v>
      </c>
      <c r="GC282" s="239">
        <v>26585959</v>
      </c>
      <c r="GD282" s="214" t="s">
        <v>1190</v>
      </c>
    </row>
    <row r="283" spans="2:186" s="214" customFormat="1" x14ac:dyDescent="0.2">
      <c r="B283" s="609" t="s">
        <v>648</v>
      </c>
      <c r="C283" s="609" t="s">
        <v>647</v>
      </c>
      <c r="D283" s="239">
        <v>0</v>
      </c>
      <c r="E283" s="239">
        <v>0</v>
      </c>
      <c r="F283" s="239">
        <v>0</v>
      </c>
      <c r="G283" s="239">
        <v>452313</v>
      </c>
      <c r="H283" s="239">
        <v>0</v>
      </c>
      <c r="I283" s="239">
        <v>452313</v>
      </c>
      <c r="J283" s="239">
        <v>0</v>
      </c>
      <c r="K283" s="239">
        <v>0</v>
      </c>
      <c r="L283" s="239">
        <v>0</v>
      </c>
      <c r="M283" s="239">
        <v>21828</v>
      </c>
      <c r="N283" s="239">
        <v>0</v>
      </c>
      <c r="O283" s="239">
        <v>21828</v>
      </c>
      <c r="P283" s="239">
        <v>474141</v>
      </c>
      <c r="Q283" s="239">
        <v>0</v>
      </c>
      <c r="R283" s="239">
        <v>474141</v>
      </c>
      <c r="S283" s="239">
        <v>-2647039</v>
      </c>
      <c r="T283" s="239">
        <v>0</v>
      </c>
      <c r="U283" s="239">
        <v>-2647039</v>
      </c>
      <c r="V283" s="239">
        <v>-17069</v>
      </c>
      <c r="W283" s="239">
        <v>0</v>
      </c>
      <c r="X283" s="239">
        <v>-17069</v>
      </c>
      <c r="Y283" s="239">
        <v>-194261</v>
      </c>
      <c r="Z283" s="239">
        <v>0</v>
      </c>
      <c r="AA283" s="239">
        <v>-194261</v>
      </c>
      <c r="AB283" s="239">
        <v>-162560</v>
      </c>
      <c r="AC283" s="239">
        <v>0</v>
      </c>
      <c r="AD283" s="239">
        <v>-162560</v>
      </c>
      <c r="AE283" s="239">
        <v>-2166</v>
      </c>
      <c r="AF283" s="239">
        <v>0</v>
      </c>
      <c r="AG283" s="239">
        <v>-2166</v>
      </c>
      <c r="AH283" s="239">
        <v>1353581</v>
      </c>
      <c r="AI283" s="239">
        <v>0</v>
      </c>
      <c r="AJ283" s="239">
        <v>1353581</v>
      </c>
      <c r="AK283" s="239">
        <v>30583</v>
      </c>
      <c r="AL283" s="239">
        <v>0</v>
      </c>
      <c r="AM283" s="239">
        <v>30583</v>
      </c>
      <c r="AN283" s="239">
        <v>-2823358</v>
      </c>
      <c r="AO283" s="239">
        <v>0</v>
      </c>
      <c r="AP283" s="239">
        <v>-2823358</v>
      </c>
      <c r="AQ283" s="239">
        <v>-13465</v>
      </c>
      <c r="AR283" s="239">
        <v>0</v>
      </c>
      <c r="AS283" s="239">
        <v>-13465</v>
      </c>
      <c r="AT283" s="239">
        <v>-67986</v>
      </c>
      <c r="AU283" s="239">
        <v>0</v>
      </c>
      <c r="AV283" s="239">
        <v>-67986</v>
      </c>
      <c r="AW283" s="239">
        <v>0</v>
      </c>
      <c r="AX283" s="239">
        <v>0</v>
      </c>
      <c r="AY283" s="239">
        <v>0</v>
      </c>
      <c r="AZ283" s="239">
        <v>-30583</v>
      </c>
      <c r="BA283" s="239">
        <v>0</v>
      </c>
      <c r="BB283" s="239">
        <v>-30583</v>
      </c>
      <c r="BC283" s="239">
        <v>954</v>
      </c>
      <c r="BD283" s="239">
        <v>0</v>
      </c>
      <c r="BE283" s="239">
        <v>954</v>
      </c>
      <c r="BF283" s="239">
        <v>-4391574</v>
      </c>
      <c r="BG283" s="239">
        <v>0</v>
      </c>
      <c r="BH283" s="239">
        <v>-4391574</v>
      </c>
      <c r="BI283" s="239">
        <v>-15372</v>
      </c>
      <c r="BJ283" s="239">
        <v>0</v>
      </c>
      <c r="BK283" s="239">
        <v>-15372</v>
      </c>
      <c r="BL283" s="239">
        <v>-25140</v>
      </c>
      <c r="BM283" s="239">
        <v>0</v>
      </c>
      <c r="BN283" s="239">
        <v>-25140</v>
      </c>
      <c r="BO283" s="239">
        <v>-1103687</v>
      </c>
      <c r="BP283" s="239">
        <v>0</v>
      </c>
      <c r="BQ283" s="239">
        <v>-1103687</v>
      </c>
      <c r="BR283" s="239">
        <v>-77804</v>
      </c>
      <c r="BS283" s="239">
        <v>0</v>
      </c>
      <c r="BT283" s="239">
        <v>-77804</v>
      </c>
      <c r="BU283" s="239">
        <v>-1222003</v>
      </c>
      <c r="BV283" s="239">
        <v>0</v>
      </c>
      <c r="BW283" s="239">
        <v>-1222003</v>
      </c>
      <c r="BX283" s="239">
        <v>-179774</v>
      </c>
      <c r="BY283" s="239">
        <v>0</v>
      </c>
      <c r="BZ283" s="239">
        <v>-179774</v>
      </c>
      <c r="CA283" s="239">
        <v>-998</v>
      </c>
      <c r="CB283" s="239">
        <v>0</v>
      </c>
      <c r="CC283" s="239">
        <v>-998</v>
      </c>
      <c r="CD283" s="239">
        <v>-93610</v>
      </c>
      <c r="CE283" s="239">
        <v>0</v>
      </c>
      <c r="CF283" s="239">
        <v>-93610</v>
      </c>
      <c r="CG283" s="239">
        <v>-1086</v>
      </c>
      <c r="CH283" s="239">
        <v>0</v>
      </c>
      <c r="CI283" s="239">
        <v>-1086</v>
      </c>
      <c r="CJ283" s="239">
        <v>-16997</v>
      </c>
      <c r="CK283" s="239">
        <v>0</v>
      </c>
      <c r="CL283" s="239">
        <v>-16997</v>
      </c>
      <c r="CM283" s="239">
        <v>0</v>
      </c>
      <c r="CN283" s="239">
        <v>0</v>
      </c>
      <c r="CO283" s="239">
        <v>0</v>
      </c>
      <c r="CP283" s="239">
        <v>-55854</v>
      </c>
      <c r="CQ283" s="239">
        <v>0</v>
      </c>
      <c r="CR283" s="239">
        <v>-55854</v>
      </c>
      <c r="CS283" s="239">
        <v>-28069</v>
      </c>
      <c r="CT283" s="239">
        <v>0</v>
      </c>
      <c r="CU283" s="239">
        <v>-28069</v>
      </c>
      <c r="CV283" s="239">
        <v>-30583</v>
      </c>
      <c r="CW283" s="239">
        <v>0</v>
      </c>
      <c r="CX283" s="239">
        <v>-30583</v>
      </c>
      <c r="CY283" s="239">
        <v>234</v>
      </c>
      <c r="CZ283" s="239">
        <v>0</v>
      </c>
      <c r="DA283" s="239">
        <v>234</v>
      </c>
      <c r="DB283" s="239">
        <v>0</v>
      </c>
      <c r="DC283" s="239">
        <v>0</v>
      </c>
      <c r="DD283" s="239">
        <v>0</v>
      </c>
      <c r="DE283" s="239">
        <v>0</v>
      </c>
      <c r="DF283" s="239">
        <v>0</v>
      </c>
      <c r="DG283" s="239">
        <v>0</v>
      </c>
      <c r="DH283" s="239">
        <v>0</v>
      </c>
      <c r="DI283" s="239">
        <v>0</v>
      </c>
      <c r="DJ283" s="239">
        <v>-406737</v>
      </c>
      <c r="DK283" s="239">
        <v>0</v>
      </c>
      <c r="DL283" s="239">
        <v>-406737</v>
      </c>
      <c r="DM283" s="239">
        <v>-43526</v>
      </c>
      <c r="DN283" s="239">
        <v>0</v>
      </c>
      <c r="DO283" s="239">
        <v>-43526</v>
      </c>
      <c r="DP283" s="239">
        <v>0</v>
      </c>
      <c r="DQ283" s="239">
        <v>0</v>
      </c>
      <c r="DR283" s="239">
        <v>0</v>
      </c>
      <c r="DS283" s="239">
        <v>-7067</v>
      </c>
      <c r="DT283" s="239">
        <v>0</v>
      </c>
      <c r="DU283" s="239">
        <v>-7067</v>
      </c>
      <c r="DV283" s="239">
        <v>-10242</v>
      </c>
      <c r="DW283" s="239">
        <v>0</v>
      </c>
      <c r="DX283" s="239">
        <v>-10242</v>
      </c>
      <c r="DY283" s="239">
        <v>0</v>
      </c>
      <c r="DZ283" s="239">
        <v>0</v>
      </c>
      <c r="EA283" s="239">
        <v>0</v>
      </c>
      <c r="EB283" s="239">
        <v>-22969</v>
      </c>
      <c r="EC283" s="239">
        <v>0</v>
      </c>
      <c r="ED283" s="239">
        <v>-22969</v>
      </c>
      <c r="EE283" s="239">
        <v>0</v>
      </c>
      <c r="EF283" s="239">
        <v>0</v>
      </c>
      <c r="EG283" s="239">
        <v>0</v>
      </c>
      <c r="EH283" s="239">
        <v>0</v>
      </c>
      <c r="EI283" s="239">
        <v>0</v>
      </c>
      <c r="EJ283" s="239">
        <v>0</v>
      </c>
      <c r="EK283" s="239">
        <v>0</v>
      </c>
      <c r="EL283" s="239">
        <v>0</v>
      </c>
      <c r="EM283" s="239">
        <v>0</v>
      </c>
      <c r="EN283" s="239">
        <v>0</v>
      </c>
      <c r="EO283" s="239">
        <v>0</v>
      </c>
      <c r="EP283" s="239">
        <v>0</v>
      </c>
      <c r="EQ283" s="239">
        <v>-83804</v>
      </c>
      <c r="ER283" s="239">
        <v>0</v>
      </c>
      <c r="ES283" s="239">
        <v>-83804</v>
      </c>
      <c r="ET283" s="239">
        <v>-7746</v>
      </c>
      <c r="EU283" s="239">
        <v>0</v>
      </c>
      <c r="EV283" s="239">
        <v>-7746</v>
      </c>
      <c r="EW283" s="239">
        <v>-3858</v>
      </c>
      <c r="EX283" s="239">
        <v>0</v>
      </c>
      <c r="EY283" s="239">
        <v>-3858</v>
      </c>
      <c r="EZ283" s="239">
        <v>-11604</v>
      </c>
      <c r="FA283" s="239">
        <v>0</v>
      </c>
      <c r="FB283" s="239">
        <v>-11604</v>
      </c>
      <c r="FC283" s="239">
        <v>57621032</v>
      </c>
      <c r="FD283" s="239">
        <v>0</v>
      </c>
      <c r="FE283" s="239">
        <v>57621032</v>
      </c>
      <c r="FF283" s="239">
        <v>474141</v>
      </c>
      <c r="FG283" s="239">
        <v>0</v>
      </c>
      <c r="FH283" s="239">
        <v>474141</v>
      </c>
      <c r="FI283" s="239">
        <v>-4391574</v>
      </c>
      <c r="FJ283" s="239">
        <v>0</v>
      </c>
      <c r="FK283" s="239">
        <v>-4391574</v>
      </c>
      <c r="FL283" s="239">
        <v>-1222003</v>
      </c>
      <c r="FM283" s="239">
        <v>0</v>
      </c>
      <c r="FN283" s="239">
        <v>-1222003</v>
      </c>
      <c r="FO283" s="239">
        <v>-406737</v>
      </c>
      <c r="FP283" s="239">
        <v>0</v>
      </c>
      <c r="FQ283" s="239">
        <v>-406737</v>
      </c>
      <c r="FR283" s="239">
        <v>-83804</v>
      </c>
      <c r="FS283" s="239">
        <v>0</v>
      </c>
      <c r="FT283" s="239">
        <v>-83804</v>
      </c>
      <c r="FU283" s="239">
        <v>-11604</v>
      </c>
      <c r="FV283" s="239">
        <v>0</v>
      </c>
      <c r="FW283" s="239">
        <v>-11604</v>
      </c>
      <c r="FX283" s="239">
        <v>-5641581</v>
      </c>
      <c r="FY283" s="239">
        <v>0</v>
      </c>
      <c r="FZ283" s="239">
        <v>-5641581</v>
      </c>
      <c r="GA283" s="239">
        <v>51979451</v>
      </c>
      <c r="GB283" s="239">
        <v>0</v>
      </c>
      <c r="GC283" s="239">
        <v>51979451</v>
      </c>
      <c r="GD283" s="214" t="s">
        <v>1190</v>
      </c>
    </row>
    <row r="284" spans="2:186" s="214" customFormat="1" x14ac:dyDescent="0.2">
      <c r="B284" s="609" t="s">
        <v>650</v>
      </c>
      <c r="C284" s="609" t="s">
        <v>649</v>
      </c>
      <c r="D284" s="239">
        <v>0</v>
      </c>
      <c r="E284" s="239">
        <v>0</v>
      </c>
      <c r="F284" s="239">
        <v>0</v>
      </c>
      <c r="G284" s="239">
        <v>0</v>
      </c>
      <c r="H284" s="239">
        <v>0</v>
      </c>
      <c r="I284" s="239">
        <v>0</v>
      </c>
      <c r="J284" s="239">
        <v>0</v>
      </c>
      <c r="K284" s="239">
        <v>0</v>
      </c>
      <c r="L284" s="239">
        <v>0</v>
      </c>
      <c r="M284" s="239">
        <v>62068</v>
      </c>
      <c r="N284" s="239">
        <v>0</v>
      </c>
      <c r="O284" s="239">
        <v>62068</v>
      </c>
      <c r="P284" s="239">
        <v>62068</v>
      </c>
      <c r="Q284" s="239">
        <v>0</v>
      </c>
      <c r="R284" s="239">
        <v>62068</v>
      </c>
      <c r="S284" s="239">
        <v>-1895957</v>
      </c>
      <c r="T284" s="239">
        <v>0</v>
      </c>
      <c r="U284" s="239">
        <v>-1895957</v>
      </c>
      <c r="V284" s="239">
        <v>0</v>
      </c>
      <c r="W284" s="239">
        <v>0</v>
      </c>
      <c r="X284" s="239">
        <v>0</v>
      </c>
      <c r="Y284" s="239">
        <v>-180689</v>
      </c>
      <c r="Z284" s="239">
        <v>0</v>
      </c>
      <c r="AA284" s="239">
        <v>-180689</v>
      </c>
      <c r="AB284" s="239">
        <v>-112609</v>
      </c>
      <c r="AC284" s="239">
        <v>0</v>
      </c>
      <c r="AD284" s="239">
        <v>-112609</v>
      </c>
      <c r="AE284" s="239">
        <v>0</v>
      </c>
      <c r="AF284" s="239">
        <v>0</v>
      </c>
      <c r="AG284" s="239">
        <v>0</v>
      </c>
      <c r="AH284" s="239">
        <v>926846</v>
      </c>
      <c r="AI284" s="239">
        <v>0</v>
      </c>
      <c r="AJ284" s="239">
        <v>926846</v>
      </c>
      <c r="AK284" s="239">
        <v>-3442</v>
      </c>
      <c r="AL284" s="239">
        <v>0</v>
      </c>
      <c r="AM284" s="239">
        <v>-3442</v>
      </c>
      <c r="AN284" s="239">
        <v>-1248712</v>
      </c>
      <c r="AO284" s="239">
        <v>0</v>
      </c>
      <c r="AP284" s="239">
        <v>-1248712</v>
      </c>
      <c r="AQ284" s="239">
        <v>3456</v>
      </c>
      <c r="AR284" s="239">
        <v>0</v>
      </c>
      <c r="AS284" s="239">
        <v>3456</v>
      </c>
      <c r="AT284" s="239">
        <v>-33256</v>
      </c>
      <c r="AU284" s="239">
        <v>0</v>
      </c>
      <c r="AV284" s="239">
        <v>-33256</v>
      </c>
      <c r="AW284" s="239">
        <v>0</v>
      </c>
      <c r="AX284" s="239">
        <v>0</v>
      </c>
      <c r="AY284" s="239">
        <v>0</v>
      </c>
      <c r="AZ284" s="239">
        <v>-10168</v>
      </c>
      <c r="BA284" s="239">
        <v>0</v>
      </c>
      <c r="BB284" s="239">
        <v>-10168</v>
      </c>
      <c r="BC284" s="239">
        <v>0</v>
      </c>
      <c r="BD284" s="239">
        <v>0</v>
      </c>
      <c r="BE284" s="239">
        <v>0</v>
      </c>
      <c r="BF284" s="239">
        <v>-2441922</v>
      </c>
      <c r="BG284" s="239">
        <v>0</v>
      </c>
      <c r="BH284" s="239">
        <v>-2441922</v>
      </c>
      <c r="BI284" s="239">
        <v>-32156</v>
      </c>
      <c r="BJ284" s="239">
        <v>0</v>
      </c>
      <c r="BK284" s="239">
        <v>-32156</v>
      </c>
      <c r="BL284" s="239">
        <v>0</v>
      </c>
      <c r="BM284" s="239">
        <v>0</v>
      </c>
      <c r="BN284" s="239">
        <v>0</v>
      </c>
      <c r="BO284" s="239">
        <v>-898428</v>
      </c>
      <c r="BP284" s="239">
        <v>0</v>
      </c>
      <c r="BQ284" s="239">
        <v>-898428</v>
      </c>
      <c r="BR284" s="239">
        <v>-2180</v>
      </c>
      <c r="BS284" s="239">
        <v>0</v>
      </c>
      <c r="BT284" s="239">
        <v>-2180</v>
      </c>
      <c r="BU284" s="239">
        <v>-932764</v>
      </c>
      <c r="BV284" s="239">
        <v>0</v>
      </c>
      <c r="BW284" s="239">
        <v>-932764</v>
      </c>
      <c r="BX284" s="239">
        <v>-39331</v>
      </c>
      <c r="BY284" s="239">
        <v>0</v>
      </c>
      <c r="BZ284" s="239">
        <v>-39331</v>
      </c>
      <c r="CA284" s="239">
        <v>-144</v>
      </c>
      <c r="CB284" s="239">
        <v>0</v>
      </c>
      <c r="CC284" s="239">
        <v>-144</v>
      </c>
      <c r="CD284" s="239">
        <v>-27219</v>
      </c>
      <c r="CE284" s="239">
        <v>0</v>
      </c>
      <c r="CF284" s="239">
        <v>-27219</v>
      </c>
      <c r="CG284" s="239">
        <v>-943</v>
      </c>
      <c r="CH284" s="239">
        <v>0</v>
      </c>
      <c r="CI284" s="239">
        <v>-943</v>
      </c>
      <c r="CJ284" s="239">
        <v>-378</v>
      </c>
      <c r="CK284" s="239">
        <v>0</v>
      </c>
      <c r="CL284" s="239">
        <v>-378</v>
      </c>
      <c r="CM284" s="239">
        <v>0</v>
      </c>
      <c r="CN284" s="239">
        <v>0</v>
      </c>
      <c r="CO284" s="239">
        <v>0</v>
      </c>
      <c r="CP284" s="239">
        <v>-7351</v>
      </c>
      <c r="CQ284" s="239">
        <v>0</v>
      </c>
      <c r="CR284" s="239">
        <v>-7351</v>
      </c>
      <c r="CS284" s="239">
        <v>50</v>
      </c>
      <c r="CT284" s="239">
        <v>0</v>
      </c>
      <c r="CU284" s="239">
        <v>50</v>
      </c>
      <c r="CV284" s="239">
        <v>0</v>
      </c>
      <c r="CW284" s="239">
        <v>0</v>
      </c>
      <c r="CX284" s="239">
        <v>0</v>
      </c>
      <c r="CY284" s="239">
        <v>0</v>
      </c>
      <c r="CZ284" s="239">
        <v>0</v>
      </c>
      <c r="DA284" s="239">
        <v>0</v>
      </c>
      <c r="DB284" s="239">
        <v>0</v>
      </c>
      <c r="DC284" s="239">
        <v>0</v>
      </c>
      <c r="DD284" s="239">
        <v>0</v>
      </c>
      <c r="DE284" s="239">
        <v>0</v>
      </c>
      <c r="DF284" s="239">
        <v>0</v>
      </c>
      <c r="DG284" s="239">
        <v>0</v>
      </c>
      <c r="DH284" s="239">
        <v>0</v>
      </c>
      <c r="DI284" s="239">
        <v>0</v>
      </c>
      <c r="DJ284" s="239">
        <v>-75316</v>
      </c>
      <c r="DK284" s="239">
        <v>0</v>
      </c>
      <c r="DL284" s="239">
        <v>-75316</v>
      </c>
      <c r="DM284" s="239">
        <v>0</v>
      </c>
      <c r="DN284" s="239">
        <v>0</v>
      </c>
      <c r="DO284" s="239">
        <v>0</v>
      </c>
      <c r="DP284" s="239">
        <v>0</v>
      </c>
      <c r="DQ284" s="239">
        <v>0</v>
      </c>
      <c r="DR284" s="239">
        <v>0</v>
      </c>
      <c r="DS284" s="239">
        <v>-4038</v>
      </c>
      <c r="DT284" s="239">
        <v>0</v>
      </c>
      <c r="DU284" s="239">
        <v>-4038</v>
      </c>
      <c r="DV284" s="239">
        <v>0</v>
      </c>
      <c r="DW284" s="239">
        <v>0</v>
      </c>
      <c r="DX284" s="239">
        <v>0</v>
      </c>
      <c r="DY284" s="239">
        <v>0</v>
      </c>
      <c r="DZ284" s="239">
        <v>0</v>
      </c>
      <c r="EA284" s="239">
        <v>0</v>
      </c>
      <c r="EB284" s="239">
        <v>1616</v>
      </c>
      <c r="EC284" s="239">
        <v>0</v>
      </c>
      <c r="ED284" s="239">
        <v>1616</v>
      </c>
      <c r="EE284" s="239">
        <v>0</v>
      </c>
      <c r="EF284" s="239">
        <v>0</v>
      </c>
      <c r="EG284" s="239">
        <v>0</v>
      </c>
      <c r="EH284" s="239">
        <v>0</v>
      </c>
      <c r="EI284" s="239">
        <v>0</v>
      </c>
      <c r="EJ284" s="239">
        <v>0</v>
      </c>
      <c r="EK284" s="239">
        <v>0</v>
      </c>
      <c r="EL284" s="239">
        <v>0</v>
      </c>
      <c r="EM284" s="239">
        <v>0</v>
      </c>
      <c r="EN284" s="239">
        <v>0</v>
      </c>
      <c r="EO284" s="239">
        <v>0</v>
      </c>
      <c r="EP284" s="239">
        <v>0</v>
      </c>
      <c r="EQ284" s="239">
        <v>-2422</v>
      </c>
      <c r="ER284" s="239">
        <v>0</v>
      </c>
      <c r="ES284" s="239">
        <v>-2422</v>
      </c>
      <c r="ET284" s="239">
        <v>0</v>
      </c>
      <c r="EU284" s="239">
        <v>0</v>
      </c>
      <c r="EV284" s="239">
        <v>0</v>
      </c>
      <c r="EW284" s="239">
        <v>0</v>
      </c>
      <c r="EX284" s="239">
        <v>0</v>
      </c>
      <c r="EY284" s="239">
        <v>0</v>
      </c>
      <c r="EZ284" s="239">
        <v>0</v>
      </c>
      <c r="FA284" s="239">
        <v>0</v>
      </c>
      <c r="FB284" s="239">
        <v>0</v>
      </c>
      <c r="FC284" s="239">
        <v>39162150</v>
      </c>
      <c r="FD284" s="239">
        <v>0</v>
      </c>
      <c r="FE284" s="239">
        <v>39162150</v>
      </c>
      <c r="FF284" s="239">
        <v>62068</v>
      </c>
      <c r="FG284" s="239">
        <v>0</v>
      </c>
      <c r="FH284" s="239">
        <v>62068</v>
      </c>
      <c r="FI284" s="239">
        <v>-2441922</v>
      </c>
      <c r="FJ284" s="239">
        <v>0</v>
      </c>
      <c r="FK284" s="239">
        <v>-2441922</v>
      </c>
      <c r="FL284" s="239">
        <v>-932764</v>
      </c>
      <c r="FM284" s="239">
        <v>0</v>
      </c>
      <c r="FN284" s="239">
        <v>-932764</v>
      </c>
      <c r="FO284" s="239">
        <v>-75316</v>
      </c>
      <c r="FP284" s="239">
        <v>0</v>
      </c>
      <c r="FQ284" s="239">
        <v>-75316</v>
      </c>
      <c r="FR284" s="239">
        <v>-2422</v>
      </c>
      <c r="FS284" s="239">
        <v>0</v>
      </c>
      <c r="FT284" s="239">
        <v>-2422</v>
      </c>
      <c r="FU284" s="239">
        <v>0</v>
      </c>
      <c r="FV284" s="239">
        <v>0</v>
      </c>
      <c r="FW284" s="239">
        <v>0</v>
      </c>
      <c r="FX284" s="239">
        <v>-3390356</v>
      </c>
      <c r="FY284" s="239">
        <v>0</v>
      </c>
      <c r="FZ284" s="239">
        <v>-3390356</v>
      </c>
      <c r="GA284" s="239">
        <v>35771794</v>
      </c>
      <c r="GB284" s="239">
        <v>0</v>
      </c>
      <c r="GC284" s="239">
        <v>35771794</v>
      </c>
      <c r="GD284" s="214" t="s">
        <v>1190</v>
      </c>
    </row>
    <row r="285" spans="2:186" s="214" customFormat="1" x14ac:dyDescent="0.2">
      <c r="B285" s="609" t="s">
        <v>652</v>
      </c>
      <c r="C285" s="609" t="s">
        <v>651</v>
      </c>
      <c r="D285" s="239">
        <v>0</v>
      </c>
      <c r="E285" s="239">
        <v>0</v>
      </c>
      <c r="F285" s="239">
        <v>0</v>
      </c>
      <c r="G285" s="239">
        <v>32415</v>
      </c>
      <c r="H285" s="239">
        <v>0</v>
      </c>
      <c r="I285" s="239">
        <v>32415</v>
      </c>
      <c r="J285" s="239">
        <v>0</v>
      </c>
      <c r="K285" s="239">
        <v>0</v>
      </c>
      <c r="L285" s="239">
        <v>0</v>
      </c>
      <c r="M285" s="239">
        <v>11967</v>
      </c>
      <c r="N285" s="239">
        <v>0</v>
      </c>
      <c r="O285" s="239">
        <v>11967</v>
      </c>
      <c r="P285" s="239">
        <v>44382</v>
      </c>
      <c r="Q285" s="239">
        <v>0</v>
      </c>
      <c r="R285" s="239">
        <v>44382</v>
      </c>
      <c r="S285" s="239">
        <v>-4153604</v>
      </c>
      <c r="T285" s="239">
        <v>0</v>
      </c>
      <c r="U285" s="239">
        <v>-4153604</v>
      </c>
      <c r="V285" s="239">
        <v>-4708</v>
      </c>
      <c r="W285" s="239">
        <v>0</v>
      </c>
      <c r="X285" s="239">
        <v>-4708</v>
      </c>
      <c r="Y285" s="239">
        <v>-241907</v>
      </c>
      <c r="Z285" s="239">
        <v>0</v>
      </c>
      <c r="AA285" s="239">
        <v>-241907</v>
      </c>
      <c r="AB285" s="239">
        <v>-191314</v>
      </c>
      <c r="AC285" s="239">
        <v>0</v>
      </c>
      <c r="AD285" s="239">
        <v>-191314</v>
      </c>
      <c r="AE285" s="239">
        <v>0</v>
      </c>
      <c r="AF285" s="239">
        <v>0</v>
      </c>
      <c r="AG285" s="239">
        <v>0</v>
      </c>
      <c r="AH285" s="239">
        <v>934524</v>
      </c>
      <c r="AI285" s="239">
        <v>0</v>
      </c>
      <c r="AJ285" s="239">
        <v>934524</v>
      </c>
      <c r="AK285" s="239">
        <v>-25308</v>
      </c>
      <c r="AL285" s="239">
        <v>0</v>
      </c>
      <c r="AM285" s="239">
        <v>-25308</v>
      </c>
      <c r="AN285" s="239">
        <v>-3848991</v>
      </c>
      <c r="AO285" s="239">
        <v>0</v>
      </c>
      <c r="AP285" s="239">
        <v>-3848991</v>
      </c>
      <c r="AQ285" s="239">
        <v>-8009</v>
      </c>
      <c r="AR285" s="239">
        <v>0</v>
      </c>
      <c r="AS285" s="239">
        <v>-8009</v>
      </c>
      <c r="AT285" s="239">
        <v>-39794</v>
      </c>
      <c r="AU285" s="239">
        <v>0</v>
      </c>
      <c r="AV285" s="239">
        <v>-39794</v>
      </c>
      <c r="AW285" s="239">
        <v>0</v>
      </c>
      <c r="AX285" s="239">
        <v>0</v>
      </c>
      <c r="AY285" s="239">
        <v>0</v>
      </c>
      <c r="AZ285" s="239">
        <v>-5107</v>
      </c>
      <c r="BA285" s="239">
        <v>0</v>
      </c>
      <c r="BB285" s="239">
        <v>-5107</v>
      </c>
      <c r="BC285" s="239">
        <v>0</v>
      </c>
      <c r="BD285" s="239">
        <v>0</v>
      </c>
      <c r="BE285" s="239">
        <v>0</v>
      </c>
      <c r="BF285" s="239">
        <v>-7388196</v>
      </c>
      <c r="BG285" s="239">
        <v>0</v>
      </c>
      <c r="BH285" s="239">
        <v>-7388196</v>
      </c>
      <c r="BI285" s="239">
        <v>-2745</v>
      </c>
      <c r="BJ285" s="239">
        <v>0</v>
      </c>
      <c r="BK285" s="239">
        <v>-2745</v>
      </c>
      <c r="BL285" s="239">
        <v>805</v>
      </c>
      <c r="BM285" s="239">
        <v>0</v>
      </c>
      <c r="BN285" s="239">
        <v>805</v>
      </c>
      <c r="BO285" s="239">
        <v>-1445183</v>
      </c>
      <c r="BP285" s="239">
        <v>0</v>
      </c>
      <c r="BQ285" s="239">
        <v>-1445183</v>
      </c>
      <c r="BR285" s="239">
        <v>-115289</v>
      </c>
      <c r="BS285" s="239">
        <v>0</v>
      </c>
      <c r="BT285" s="239">
        <v>-115289</v>
      </c>
      <c r="BU285" s="239">
        <v>-1562412</v>
      </c>
      <c r="BV285" s="239">
        <v>0</v>
      </c>
      <c r="BW285" s="239">
        <v>-1562412</v>
      </c>
      <c r="BX285" s="239">
        <v>-151002</v>
      </c>
      <c r="BY285" s="239">
        <v>0</v>
      </c>
      <c r="BZ285" s="239">
        <v>-151002</v>
      </c>
      <c r="CA285" s="239">
        <v>-49</v>
      </c>
      <c r="CB285" s="239">
        <v>0</v>
      </c>
      <c r="CC285" s="239">
        <v>-49</v>
      </c>
      <c r="CD285" s="239">
        <v>-45620</v>
      </c>
      <c r="CE285" s="239">
        <v>0</v>
      </c>
      <c r="CF285" s="239">
        <v>-45620</v>
      </c>
      <c r="CG285" s="239">
        <v>-11890</v>
      </c>
      <c r="CH285" s="239">
        <v>0</v>
      </c>
      <c r="CI285" s="239">
        <v>-11890</v>
      </c>
      <c r="CJ285" s="239">
        <v>0</v>
      </c>
      <c r="CK285" s="239">
        <v>0</v>
      </c>
      <c r="CL285" s="239">
        <v>0</v>
      </c>
      <c r="CM285" s="239">
        <v>0</v>
      </c>
      <c r="CN285" s="239">
        <v>0</v>
      </c>
      <c r="CO285" s="239">
        <v>0</v>
      </c>
      <c r="CP285" s="239">
        <v>-758</v>
      </c>
      <c r="CQ285" s="239">
        <v>0</v>
      </c>
      <c r="CR285" s="239">
        <v>-758</v>
      </c>
      <c r="CS285" s="239">
        <v>0</v>
      </c>
      <c r="CT285" s="239">
        <v>0</v>
      </c>
      <c r="CU285" s="239">
        <v>0</v>
      </c>
      <c r="CV285" s="239">
        <v>0</v>
      </c>
      <c r="CW285" s="239">
        <v>0</v>
      </c>
      <c r="CX285" s="239">
        <v>0</v>
      </c>
      <c r="CY285" s="239">
        <v>0</v>
      </c>
      <c r="CZ285" s="239">
        <v>0</v>
      </c>
      <c r="DA285" s="239">
        <v>0</v>
      </c>
      <c r="DB285" s="239">
        <v>0</v>
      </c>
      <c r="DC285" s="239">
        <v>0</v>
      </c>
      <c r="DD285" s="239">
        <v>0</v>
      </c>
      <c r="DE285" s="239">
        <v>0</v>
      </c>
      <c r="DF285" s="239">
        <v>0</v>
      </c>
      <c r="DG285" s="239">
        <v>0</v>
      </c>
      <c r="DH285" s="239">
        <v>0</v>
      </c>
      <c r="DI285" s="239">
        <v>0</v>
      </c>
      <c r="DJ285" s="239">
        <v>-209319</v>
      </c>
      <c r="DK285" s="239">
        <v>0</v>
      </c>
      <c r="DL285" s="239">
        <v>-209319</v>
      </c>
      <c r="DM285" s="239">
        <v>-36685</v>
      </c>
      <c r="DN285" s="239">
        <v>0</v>
      </c>
      <c r="DO285" s="239">
        <v>-36685</v>
      </c>
      <c r="DP285" s="239">
        <v>-617</v>
      </c>
      <c r="DQ285" s="239">
        <v>0</v>
      </c>
      <c r="DR285" s="239">
        <v>-617</v>
      </c>
      <c r="DS285" s="239">
        <v>-30949</v>
      </c>
      <c r="DT285" s="239">
        <v>0</v>
      </c>
      <c r="DU285" s="239">
        <v>-30949</v>
      </c>
      <c r="DV285" s="239">
        <v>-763</v>
      </c>
      <c r="DW285" s="239">
        <v>0</v>
      </c>
      <c r="DX285" s="239">
        <v>-763</v>
      </c>
      <c r="DY285" s="239">
        <v>0</v>
      </c>
      <c r="DZ285" s="239">
        <v>0</v>
      </c>
      <c r="EA285" s="239">
        <v>0</v>
      </c>
      <c r="EB285" s="239">
        <v>37569</v>
      </c>
      <c r="EC285" s="239">
        <v>0</v>
      </c>
      <c r="ED285" s="239">
        <v>37569</v>
      </c>
      <c r="EE285" s="239">
        <v>0</v>
      </c>
      <c r="EF285" s="239">
        <v>0</v>
      </c>
      <c r="EG285" s="239">
        <v>0</v>
      </c>
      <c r="EH285" s="239">
        <v>0</v>
      </c>
      <c r="EI285" s="239">
        <v>0</v>
      </c>
      <c r="EJ285" s="239">
        <v>0</v>
      </c>
      <c r="EK285" s="239">
        <v>-10236</v>
      </c>
      <c r="EL285" s="239">
        <v>0</v>
      </c>
      <c r="EM285" s="239">
        <v>-10236</v>
      </c>
      <c r="EN285" s="239">
        <v>0</v>
      </c>
      <c r="EO285" s="239">
        <v>0</v>
      </c>
      <c r="EP285" s="239">
        <v>0</v>
      </c>
      <c r="EQ285" s="239">
        <v>-41681</v>
      </c>
      <c r="ER285" s="239">
        <v>0</v>
      </c>
      <c r="ES285" s="239">
        <v>-41681</v>
      </c>
      <c r="ET285" s="239">
        <v>0</v>
      </c>
      <c r="EU285" s="239">
        <v>0</v>
      </c>
      <c r="EV285" s="239">
        <v>0</v>
      </c>
      <c r="EW285" s="239">
        <v>0</v>
      </c>
      <c r="EX285" s="239">
        <v>0</v>
      </c>
      <c r="EY285" s="239">
        <v>0</v>
      </c>
      <c r="EZ285" s="239">
        <v>0</v>
      </c>
      <c r="FA285" s="239">
        <v>0</v>
      </c>
      <c r="FB285" s="239">
        <v>0</v>
      </c>
      <c r="FC285" s="239">
        <v>42432338</v>
      </c>
      <c r="FD285" s="239">
        <v>0</v>
      </c>
      <c r="FE285" s="239">
        <v>42432338</v>
      </c>
      <c r="FF285" s="239">
        <v>44382</v>
      </c>
      <c r="FG285" s="239">
        <v>0</v>
      </c>
      <c r="FH285" s="239">
        <v>44382</v>
      </c>
      <c r="FI285" s="239">
        <v>-7388196</v>
      </c>
      <c r="FJ285" s="239">
        <v>0</v>
      </c>
      <c r="FK285" s="239">
        <v>-7388196</v>
      </c>
      <c r="FL285" s="239">
        <v>-1562412</v>
      </c>
      <c r="FM285" s="239">
        <v>0</v>
      </c>
      <c r="FN285" s="239">
        <v>-1562412</v>
      </c>
      <c r="FO285" s="239">
        <v>-209319</v>
      </c>
      <c r="FP285" s="239">
        <v>0</v>
      </c>
      <c r="FQ285" s="239">
        <v>-209319</v>
      </c>
      <c r="FR285" s="239">
        <v>-41681</v>
      </c>
      <c r="FS285" s="239">
        <v>0</v>
      </c>
      <c r="FT285" s="239">
        <v>-41681</v>
      </c>
      <c r="FU285" s="239">
        <v>0</v>
      </c>
      <c r="FV285" s="239">
        <v>0</v>
      </c>
      <c r="FW285" s="239">
        <v>0</v>
      </c>
      <c r="FX285" s="239">
        <v>-9157226</v>
      </c>
      <c r="FY285" s="239">
        <v>0</v>
      </c>
      <c r="FZ285" s="239">
        <v>-9157226</v>
      </c>
      <c r="GA285" s="239">
        <v>33275112</v>
      </c>
      <c r="GB285" s="239">
        <v>0</v>
      </c>
      <c r="GC285" s="239">
        <v>33275112</v>
      </c>
      <c r="GD285" s="214" t="s">
        <v>1190</v>
      </c>
    </row>
    <row r="286" spans="2:186" s="214" customFormat="1" x14ac:dyDescent="0.2">
      <c r="B286" s="609" t="s">
        <v>654</v>
      </c>
      <c r="C286" s="609" t="s">
        <v>653</v>
      </c>
      <c r="D286" s="239">
        <v>0</v>
      </c>
      <c r="E286" s="239">
        <v>0</v>
      </c>
      <c r="F286" s="239">
        <v>0</v>
      </c>
      <c r="G286" s="239">
        <v>29584</v>
      </c>
      <c r="H286" s="239">
        <v>0</v>
      </c>
      <c r="I286" s="239">
        <v>29584</v>
      </c>
      <c r="J286" s="239">
        <v>0</v>
      </c>
      <c r="K286" s="239">
        <v>0</v>
      </c>
      <c r="L286" s="239">
        <v>0</v>
      </c>
      <c r="M286" s="239">
        <v>38213</v>
      </c>
      <c r="N286" s="239">
        <v>0</v>
      </c>
      <c r="O286" s="239">
        <v>38213</v>
      </c>
      <c r="P286" s="239">
        <v>67797</v>
      </c>
      <c r="Q286" s="239">
        <v>0</v>
      </c>
      <c r="R286" s="239">
        <v>67797</v>
      </c>
      <c r="S286" s="239">
        <v>-988486</v>
      </c>
      <c r="T286" s="239">
        <v>0</v>
      </c>
      <c r="U286" s="239">
        <v>-988486</v>
      </c>
      <c r="V286" s="239">
        <v>0</v>
      </c>
      <c r="W286" s="239">
        <v>0</v>
      </c>
      <c r="X286" s="239">
        <v>0</v>
      </c>
      <c r="Y286" s="239">
        <v>-70680</v>
      </c>
      <c r="Z286" s="239">
        <v>0</v>
      </c>
      <c r="AA286" s="239">
        <v>-70680</v>
      </c>
      <c r="AB286" s="239">
        <v>-43285</v>
      </c>
      <c r="AC286" s="239">
        <v>0</v>
      </c>
      <c r="AD286" s="239">
        <v>-43285</v>
      </c>
      <c r="AE286" s="239">
        <v>0</v>
      </c>
      <c r="AF286" s="239">
        <v>0</v>
      </c>
      <c r="AG286" s="239">
        <v>0</v>
      </c>
      <c r="AH286" s="239">
        <v>759964</v>
      </c>
      <c r="AI286" s="239">
        <v>0</v>
      </c>
      <c r="AJ286" s="239">
        <v>759964</v>
      </c>
      <c r="AK286" s="239">
        <v>-30708</v>
      </c>
      <c r="AL286" s="239">
        <v>0</v>
      </c>
      <c r="AM286" s="239">
        <v>-30708</v>
      </c>
      <c r="AN286" s="239">
        <v>-2353617</v>
      </c>
      <c r="AO286" s="239">
        <v>0</v>
      </c>
      <c r="AP286" s="239">
        <v>-2353617</v>
      </c>
      <c r="AQ286" s="239">
        <v>-5980</v>
      </c>
      <c r="AR286" s="239">
        <v>0</v>
      </c>
      <c r="AS286" s="239">
        <v>-5980</v>
      </c>
      <c r="AT286" s="239">
        <v>-28464</v>
      </c>
      <c r="AU286" s="239">
        <v>0</v>
      </c>
      <c r="AV286" s="239">
        <v>-28464</v>
      </c>
      <c r="AW286" s="239">
        <v>0</v>
      </c>
      <c r="AX286" s="239">
        <v>0</v>
      </c>
      <c r="AY286" s="239">
        <v>0</v>
      </c>
      <c r="AZ286" s="239">
        <v>-1864</v>
      </c>
      <c r="BA286" s="239">
        <v>0</v>
      </c>
      <c r="BB286" s="239">
        <v>-1864</v>
      </c>
      <c r="BC286" s="239">
        <v>0</v>
      </c>
      <c r="BD286" s="239">
        <v>0</v>
      </c>
      <c r="BE286" s="239">
        <v>0</v>
      </c>
      <c r="BF286" s="239">
        <v>-2719835</v>
      </c>
      <c r="BG286" s="239">
        <v>0</v>
      </c>
      <c r="BH286" s="239">
        <v>-2719835</v>
      </c>
      <c r="BI286" s="239">
        <v>-115569</v>
      </c>
      <c r="BJ286" s="239">
        <v>0</v>
      </c>
      <c r="BK286" s="239">
        <v>-115569</v>
      </c>
      <c r="BL286" s="239">
        <v>1666</v>
      </c>
      <c r="BM286" s="239">
        <v>0</v>
      </c>
      <c r="BN286" s="239">
        <v>1666</v>
      </c>
      <c r="BO286" s="239">
        <v>-549136</v>
      </c>
      <c r="BP286" s="239">
        <v>0</v>
      </c>
      <c r="BQ286" s="239">
        <v>-549136</v>
      </c>
      <c r="BR286" s="239">
        <v>-40181</v>
      </c>
      <c r="BS286" s="239">
        <v>0</v>
      </c>
      <c r="BT286" s="239">
        <v>-40181</v>
      </c>
      <c r="BU286" s="239">
        <v>-703220</v>
      </c>
      <c r="BV286" s="239">
        <v>0</v>
      </c>
      <c r="BW286" s="239">
        <v>-703220</v>
      </c>
      <c r="BX286" s="239">
        <v>-10574</v>
      </c>
      <c r="BY286" s="239">
        <v>0</v>
      </c>
      <c r="BZ286" s="239">
        <v>-10574</v>
      </c>
      <c r="CA286" s="239">
        <v>2454</v>
      </c>
      <c r="CB286" s="239">
        <v>0</v>
      </c>
      <c r="CC286" s="239">
        <v>2454</v>
      </c>
      <c r="CD286" s="239">
        <v>-124057</v>
      </c>
      <c r="CE286" s="239">
        <v>0</v>
      </c>
      <c r="CF286" s="239">
        <v>-124057</v>
      </c>
      <c r="CG286" s="239">
        <v>0</v>
      </c>
      <c r="CH286" s="239">
        <v>0</v>
      </c>
      <c r="CI286" s="239">
        <v>0</v>
      </c>
      <c r="CJ286" s="239">
        <v>0</v>
      </c>
      <c r="CK286" s="239">
        <v>0</v>
      </c>
      <c r="CL286" s="239">
        <v>0</v>
      </c>
      <c r="CM286" s="239">
        <v>0</v>
      </c>
      <c r="CN286" s="239">
        <v>0</v>
      </c>
      <c r="CO286" s="239">
        <v>0</v>
      </c>
      <c r="CP286" s="239">
        <v>-1864</v>
      </c>
      <c r="CQ286" s="239">
        <v>0</v>
      </c>
      <c r="CR286" s="239">
        <v>-1864</v>
      </c>
      <c r="CS286" s="239">
        <v>0</v>
      </c>
      <c r="CT286" s="239">
        <v>0</v>
      </c>
      <c r="CU286" s="239">
        <v>0</v>
      </c>
      <c r="CV286" s="239">
        <v>0</v>
      </c>
      <c r="CW286" s="239">
        <v>0</v>
      </c>
      <c r="CX286" s="239">
        <v>0</v>
      </c>
      <c r="CY286" s="239">
        <v>0</v>
      </c>
      <c r="CZ286" s="239">
        <v>0</v>
      </c>
      <c r="DA286" s="239">
        <v>0</v>
      </c>
      <c r="DB286" s="239">
        <v>0</v>
      </c>
      <c r="DC286" s="239">
        <v>0</v>
      </c>
      <c r="DD286" s="239">
        <v>0</v>
      </c>
      <c r="DE286" s="239">
        <v>0</v>
      </c>
      <c r="DF286" s="239">
        <v>0</v>
      </c>
      <c r="DG286" s="239">
        <v>0</v>
      </c>
      <c r="DH286" s="239">
        <v>0</v>
      </c>
      <c r="DI286" s="239">
        <v>0</v>
      </c>
      <c r="DJ286" s="239">
        <v>-134041</v>
      </c>
      <c r="DK286" s="239">
        <v>0</v>
      </c>
      <c r="DL286" s="239">
        <v>-134041</v>
      </c>
      <c r="DM286" s="239">
        <v>0</v>
      </c>
      <c r="DN286" s="239">
        <v>0</v>
      </c>
      <c r="DO286" s="239">
        <v>0</v>
      </c>
      <c r="DP286" s="239">
        <v>0</v>
      </c>
      <c r="DQ286" s="239">
        <v>0</v>
      </c>
      <c r="DR286" s="239">
        <v>0</v>
      </c>
      <c r="DS286" s="239">
        <v>0</v>
      </c>
      <c r="DT286" s="239">
        <v>0</v>
      </c>
      <c r="DU286" s="239">
        <v>0</v>
      </c>
      <c r="DV286" s="239">
        <v>0</v>
      </c>
      <c r="DW286" s="239">
        <v>0</v>
      </c>
      <c r="DX286" s="239">
        <v>0</v>
      </c>
      <c r="DY286" s="239">
        <v>0</v>
      </c>
      <c r="DZ286" s="239">
        <v>0</v>
      </c>
      <c r="EA286" s="239">
        <v>0</v>
      </c>
      <c r="EB286" s="239">
        <v>8319</v>
      </c>
      <c r="EC286" s="239">
        <v>0</v>
      </c>
      <c r="ED286" s="239">
        <v>8319</v>
      </c>
      <c r="EE286" s="239">
        <v>0</v>
      </c>
      <c r="EF286" s="239">
        <v>0</v>
      </c>
      <c r="EG286" s="239">
        <v>0</v>
      </c>
      <c r="EH286" s="239">
        <v>0</v>
      </c>
      <c r="EI286" s="239">
        <v>0</v>
      </c>
      <c r="EJ286" s="239">
        <v>0</v>
      </c>
      <c r="EK286" s="239">
        <v>-5054</v>
      </c>
      <c r="EL286" s="239">
        <v>0</v>
      </c>
      <c r="EM286" s="239">
        <v>-5054</v>
      </c>
      <c r="EN286" s="239">
        <v>0</v>
      </c>
      <c r="EO286" s="239">
        <v>0</v>
      </c>
      <c r="EP286" s="239">
        <v>0</v>
      </c>
      <c r="EQ286" s="239">
        <v>3265</v>
      </c>
      <c r="ER286" s="239">
        <v>0</v>
      </c>
      <c r="ES286" s="239">
        <v>3265</v>
      </c>
      <c r="ET286" s="239">
        <v>0</v>
      </c>
      <c r="EU286" s="239">
        <v>0</v>
      </c>
      <c r="EV286" s="239">
        <v>0</v>
      </c>
      <c r="EW286" s="239">
        <v>-1561</v>
      </c>
      <c r="EX286" s="239">
        <v>0</v>
      </c>
      <c r="EY286" s="239">
        <v>-1561</v>
      </c>
      <c r="EZ286" s="239">
        <v>-1561</v>
      </c>
      <c r="FA286" s="239">
        <v>0</v>
      </c>
      <c r="FB286" s="239">
        <v>-1561</v>
      </c>
      <c r="FC286" s="239">
        <v>31354052</v>
      </c>
      <c r="FD286" s="239">
        <v>0</v>
      </c>
      <c r="FE286" s="239">
        <v>31354052</v>
      </c>
      <c r="FF286" s="239">
        <v>67797</v>
      </c>
      <c r="FG286" s="239">
        <v>0</v>
      </c>
      <c r="FH286" s="239">
        <v>67797</v>
      </c>
      <c r="FI286" s="239">
        <v>-2719835</v>
      </c>
      <c r="FJ286" s="239">
        <v>0</v>
      </c>
      <c r="FK286" s="239">
        <v>-2719835</v>
      </c>
      <c r="FL286" s="239">
        <v>-703220</v>
      </c>
      <c r="FM286" s="239">
        <v>0</v>
      </c>
      <c r="FN286" s="239">
        <v>-703220</v>
      </c>
      <c r="FO286" s="239">
        <v>-134041</v>
      </c>
      <c r="FP286" s="239">
        <v>0</v>
      </c>
      <c r="FQ286" s="239">
        <v>-134041</v>
      </c>
      <c r="FR286" s="239">
        <v>3265</v>
      </c>
      <c r="FS286" s="239">
        <v>0</v>
      </c>
      <c r="FT286" s="239">
        <v>3265</v>
      </c>
      <c r="FU286" s="239">
        <v>-1561</v>
      </c>
      <c r="FV286" s="239">
        <v>0</v>
      </c>
      <c r="FW286" s="239">
        <v>-1561</v>
      </c>
      <c r="FX286" s="239">
        <v>-3487595</v>
      </c>
      <c r="FY286" s="239">
        <v>0</v>
      </c>
      <c r="FZ286" s="239">
        <v>-3487595</v>
      </c>
      <c r="GA286" s="239">
        <v>27866457</v>
      </c>
      <c r="GB286" s="239">
        <v>0</v>
      </c>
      <c r="GC286" s="239">
        <v>27866457</v>
      </c>
      <c r="GD286" s="214" t="s">
        <v>1190</v>
      </c>
    </row>
    <row r="287" spans="2:186" s="214" customFormat="1" x14ac:dyDescent="0.2">
      <c r="B287" s="609" t="s">
        <v>656</v>
      </c>
      <c r="C287" s="609" t="s">
        <v>655</v>
      </c>
      <c r="D287" s="239">
        <v>0</v>
      </c>
      <c r="E287" s="239">
        <v>0</v>
      </c>
      <c r="F287" s="239">
        <v>0</v>
      </c>
      <c r="G287" s="239">
        <v>414144</v>
      </c>
      <c r="H287" s="239">
        <v>0</v>
      </c>
      <c r="I287" s="239">
        <v>414144</v>
      </c>
      <c r="J287" s="239">
        <v>0</v>
      </c>
      <c r="K287" s="239">
        <v>0</v>
      </c>
      <c r="L287" s="239">
        <v>0</v>
      </c>
      <c r="M287" s="239">
        <v>37170</v>
      </c>
      <c r="N287" s="239">
        <v>0</v>
      </c>
      <c r="O287" s="239">
        <v>37170</v>
      </c>
      <c r="P287" s="239">
        <v>451314</v>
      </c>
      <c r="Q287" s="239">
        <v>0</v>
      </c>
      <c r="R287" s="239">
        <v>451314</v>
      </c>
      <c r="S287" s="239">
        <v>-2434680</v>
      </c>
      <c r="T287" s="239">
        <v>0</v>
      </c>
      <c r="U287" s="239">
        <v>-2434680</v>
      </c>
      <c r="V287" s="239">
        <v>-9416</v>
      </c>
      <c r="W287" s="239">
        <v>0</v>
      </c>
      <c r="X287" s="239">
        <v>-9416</v>
      </c>
      <c r="Y287" s="239">
        <v>-182973</v>
      </c>
      <c r="Z287" s="239">
        <v>0</v>
      </c>
      <c r="AA287" s="239">
        <v>-182973</v>
      </c>
      <c r="AB287" s="239">
        <v>-126158</v>
      </c>
      <c r="AC287" s="239">
        <v>0</v>
      </c>
      <c r="AD287" s="239">
        <v>-126158</v>
      </c>
      <c r="AE287" s="239">
        <v>-113</v>
      </c>
      <c r="AF287" s="239">
        <v>0</v>
      </c>
      <c r="AG287" s="239">
        <v>-113</v>
      </c>
      <c r="AH287" s="239">
        <v>3090465</v>
      </c>
      <c r="AI287" s="239">
        <v>0</v>
      </c>
      <c r="AJ287" s="239">
        <v>3090465</v>
      </c>
      <c r="AK287" s="239">
        <v>35105</v>
      </c>
      <c r="AL287" s="239">
        <v>0</v>
      </c>
      <c r="AM287" s="239">
        <v>35105</v>
      </c>
      <c r="AN287" s="239">
        <v>-4026219</v>
      </c>
      <c r="AO287" s="239">
        <v>0</v>
      </c>
      <c r="AP287" s="239">
        <v>-4026219</v>
      </c>
      <c r="AQ287" s="239">
        <v>-10034</v>
      </c>
      <c r="AR287" s="239">
        <v>0</v>
      </c>
      <c r="AS287" s="239">
        <v>-10034</v>
      </c>
      <c r="AT287" s="239">
        <v>-34939</v>
      </c>
      <c r="AU287" s="239">
        <v>0</v>
      </c>
      <c r="AV287" s="239">
        <v>-34939</v>
      </c>
      <c r="AW287" s="239">
        <v>0</v>
      </c>
      <c r="AX287" s="239">
        <v>0</v>
      </c>
      <c r="AY287" s="239">
        <v>0</v>
      </c>
      <c r="AZ287" s="239">
        <v>0</v>
      </c>
      <c r="BA287" s="239">
        <v>0</v>
      </c>
      <c r="BB287" s="239">
        <v>0</v>
      </c>
      <c r="BC287" s="239">
        <v>0</v>
      </c>
      <c r="BD287" s="239">
        <v>0</v>
      </c>
      <c r="BE287" s="239">
        <v>0</v>
      </c>
      <c r="BF287" s="239">
        <v>-3563275</v>
      </c>
      <c r="BG287" s="239">
        <v>0</v>
      </c>
      <c r="BH287" s="239">
        <v>-3563275</v>
      </c>
      <c r="BI287" s="239">
        <v>-3556</v>
      </c>
      <c r="BJ287" s="239">
        <v>0</v>
      </c>
      <c r="BK287" s="239">
        <v>-3556</v>
      </c>
      <c r="BL287" s="239">
        <v>-136552</v>
      </c>
      <c r="BM287" s="239">
        <v>0</v>
      </c>
      <c r="BN287" s="239">
        <v>-136552</v>
      </c>
      <c r="BO287" s="239">
        <v>-5294577</v>
      </c>
      <c r="BP287" s="239">
        <v>0</v>
      </c>
      <c r="BQ287" s="239">
        <v>-5294577</v>
      </c>
      <c r="BR287" s="239">
        <v>1351916</v>
      </c>
      <c r="BS287" s="239">
        <v>0</v>
      </c>
      <c r="BT287" s="239">
        <v>1351916</v>
      </c>
      <c r="BU287" s="239">
        <v>-4082769</v>
      </c>
      <c r="BV287" s="239">
        <v>0</v>
      </c>
      <c r="BW287" s="239">
        <v>-4082769</v>
      </c>
      <c r="BX287" s="239">
        <v>-46161</v>
      </c>
      <c r="BY287" s="239">
        <v>0</v>
      </c>
      <c r="BZ287" s="239">
        <v>-46161</v>
      </c>
      <c r="CA287" s="239">
        <v>-41</v>
      </c>
      <c r="CB287" s="239">
        <v>0</v>
      </c>
      <c r="CC287" s="239">
        <v>-41</v>
      </c>
      <c r="CD287" s="239">
        <v>-32700</v>
      </c>
      <c r="CE287" s="239">
        <v>0</v>
      </c>
      <c r="CF287" s="239">
        <v>-32700</v>
      </c>
      <c r="CG287" s="239">
        <v>-5005</v>
      </c>
      <c r="CH287" s="239">
        <v>0</v>
      </c>
      <c r="CI287" s="239">
        <v>-5005</v>
      </c>
      <c r="CJ287" s="239">
        <v>-941</v>
      </c>
      <c r="CK287" s="239">
        <v>0</v>
      </c>
      <c r="CL287" s="239">
        <v>-941</v>
      </c>
      <c r="CM287" s="239">
        <v>0</v>
      </c>
      <c r="CN287" s="239">
        <v>0</v>
      </c>
      <c r="CO287" s="239">
        <v>0</v>
      </c>
      <c r="CP287" s="239">
        <v>0</v>
      </c>
      <c r="CQ287" s="239">
        <v>0</v>
      </c>
      <c r="CR287" s="239">
        <v>0</v>
      </c>
      <c r="CS287" s="239">
        <v>0</v>
      </c>
      <c r="CT287" s="239">
        <v>0</v>
      </c>
      <c r="CU287" s="239">
        <v>0</v>
      </c>
      <c r="CV287" s="239">
        <v>0</v>
      </c>
      <c r="CW287" s="239">
        <v>0</v>
      </c>
      <c r="CX287" s="239">
        <v>0</v>
      </c>
      <c r="CY287" s="239">
        <v>0</v>
      </c>
      <c r="CZ287" s="239">
        <v>0</v>
      </c>
      <c r="DA287" s="239">
        <v>0</v>
      </c>
      <c r="DB287" s="239">
        <v>0</v>
      </c>
      <c r="DC287" s="239">
        <v>0</v>
      </c>
      <c r="DD287" s="239">
        <v>0</v>
      </c>
      <c r="DE287" s="239">
        <v>0</v>
      </c>
      <c r="DF287" s="239">
        <v>0</v>
      </c>
      <c r="DG287" s="239">
        <v>0</v>
      </c>
      <c r="DH287" s="239">
        <v>0</v>
      </c>
      <c r="DI287" s="239">
        <v>0</v>
      </c>
      <c r="DJ287" s="239">
        <v>-84848</v>
      </c>
      <c r="DK287" s="239">
        <v>0</v>
      </c>
      <c r="DL287" s="239">
        <v>-84848</v>
      </c>
      <c r="DM287" s="239">
        <v>0</v>
      </c>
      <c r="DN287" s="239">
        <v>0</v>
      </c>
      <c r="DO287" s="239">
        <v>0</v>
      </c>
      <c r="DP287" s="239">
        <v>0</v>
      </c>
      <c r="DQ287" s="239">
        <v>0</v>
      </c>
      <c r="DR287" s="239">
        <v>0</v>
      </c>
      <c r="DS287" s="239">
        <v>-38817</v>
      </c>
      <c r="DT287" s="239">
        <v>0</v>
      </c>
      <c r="DU287" s="239">
        <v>-38817</v>
      </c>
      <c r="DV287" s="239">
        <v>-66366</v>
      </c>
      <c r="DW287" s="239">
        <v>0</v>
      </c>
      <c r="DX287" s="239">
        <v>-66366</v>
      </c>
      <c r="DY287" s="239">
        <v>0</v>
      </c>
      <c r="DZ287" s="239">
        <v>0</v>
      </c>
      <c r="EA287" s="239">
        <v>0</v>
      </c>
      <c r="EB287" s="239">
        <v>-18468</v>
      </c>
      <c r="EC287" s="239">
        <v>0</v>
      </c>
      <c r="ED287" s="239">
        <v>-18468</v>
      </c>
      <c r="EE287" s="239">
        <v>0</v>
      </c>
      <c r="EF287" s="239">
        <v>0</v>
      </c>
      <c r="EG287" s="239">
        <v>0</v>
      </c>
      <c r="EH287" s="239">
        <v>0</v>
      </c>
      <c r="EI287" s="239">
        <v>0</v>
      </c>
      <c r="EJ287" s="239">
        <v>0</v>
      </c>
      <c r="EK287" s="239">
        <v>-5639</v>
      </c>
      <c r="EL287" s="239">
        <v>0</v>
      </c>
      <c r="EM287" s="239">
        <v>-5639</v>
      </c>
      <c r="EN287" s="239">
        <v>-2654</v>
      </c>
      <c r="EO287" s="239">
        <v>0</v>
      </c>
      <c r="EP287" s="239">
        <v>-2654</v>
      </c>
      <c r="EQ287" s="239">
        <v>-131944</v>
      </c>
      <c r="ER287" s="239">
        <v>0</v>
      </c>
      <c r="ES287" s="239">
        <v>-131944</v>
      </c>
      <c r="ET287" s="239">
        <v>0</v>
      </c>
      <c r="EU287" s="239">
        <v>0</v>
      </c>
      <c r="EV287" s="239">
        <v>0</v>
      </c>
      <c r="EW287" s="239">
        <v>0</v>
      </c>
      <c r="EX287" s="239">
        <v>0</v>
      </c>
      <c r="EY287" s="239">
        <v>0</v>
      </c>
      <c r="EZ287" s="239">
        <v>0</v>
      </c>
      <c r="FA287" s="239">
        <v>0</v>
      </c>
      <c r="FB287" s="239">
        <v>0</v>
      </c>
      <c r="FC287" s="239">
        <v>119592698</v>
      </c>
      <c r="FD287" s="239">
        <v>0</v>
      </c>
      <c r="FE287" s="239">
        <v>119592698</v>
      </c>
      <c r="FF287" s="239">
        <v>451314</v>
      </c>
      <c r="FG287" s="239">
        <v>0</v>
      </c>
      <c r="FH287" s="239">
        <v>451314</v>
      </c>
      <c r="FI287" s="239">
        <v>-3563275</v>
      </c>
      <c r="FJ287" s="239">
        <v>0</v>
      </c>
      <c r="FK287" s="239">
        <v>-3563275</v>
      </c>
      <c r="FL287" s="239">
        <v>-4082769</v>
      </c>
      <c r="FM287" s="239">
        <v>0</v>
      </c>
      <c r="FN287" s="239">
        <v>-4082769</v>
      </c>
      <c r="FO287" s="239">
        <v>-84848</v>
      </c>
      <c r="FP287" s="239">
        <v>0</v>
      </c>
      <c r="FQ287" s="239">
        <v>-84848</v>
      </c>
      <c r="FR287" s="239">
        <v>-131944</v>
      </c>
      <c r="FS287" s="239">
        <v>0</v>
      </c>
      <c r="FT287" s="239">
        <v>-131944</v>
      </c>
      <c r="FU287" s="239">
        <v>0</v>
      </c>
      <c r="FV287" s="239">
        <v>0</v>
      </c>
      <c r="FW287" s="239">
        <v>0</v>
      </c>
      <c r="FX287" s="239">
        <v>-7411522</v>
      </c>
      <c r="FY287" s="239">
        <v>0</v>
      </c>
      <c r="FZ287" s="239">
        <v>-7411522</v>
      </c>
      <c r="GA287" s="239">
        <v>112181176</v>
      </c>
      <c r="GB287" s="239">
        <v>0</v>
      </c>
      <c r="GC287" s="239">
        <v>112181176</v>
      </c>
      <c r="GD287" s="214" t="s">
        <v>747</v>
      </c>
    </row>
    <row r="288" spans="2:186" s="214" customFormat="1" x14ac:dyDescent="0.2">
      <c r="B288" s="609" t="s">
        <v>658</v>
      </c>
      <c r="C288" s="609" t="s">
        <v>657</v>
      </c>
      <c r="D288" s="239">
        <v>0</v>
      </c>
      <c r="E288" s="239">
        <v>0</v>
      </c>
      <c r="F288" s="239">
        <v>0</v>
      </c>
      <c r="G288" s="239">
        <v>217484</v>
      </c>
      <c r="H288" s="239">
        <v>0</v>
      </c>
      <c r="I288" s="239">
        <v>217484</v>
      </c>
      <c r="J288" s="239">
        <v>0</v>
      </c>
      <c r="K288" s="239">
        <v>0</v>
      </c>
      <c r="L288" s="239">
        <v>0</v>
      </c>
      <c r="M288" s="239">
        <v>183903</v>
      </c>
      <c r="N288" s="239">
        <v>0</v>
      </c>
      <c r="O288" s="239">
        <v>183903</v>
      </c>
      <c r="P288" s="239">
        <v>401387</v>
      </c>
      <c r="Q288" s="239">
        <v>0</v>
      </c>
      <c r="R288" s="239">
        <v>401387</v>
      </c>
      <c r="S288" s="239">
        <v>-1844945</v>
      </c>
      <c r="T288" s="239">
        <v>0</v>
      </c>
      <c r="U288" s="239">
        <v>-1844945</v>
      </c>
      <c r="V288" s="239">
        <v>0</v>
      </c>
      <c r="W288" s="239">
        <v>0</v>
      </c>
      <c r="X288" s="239">
        <v>0</v>
      </c>
      <c r="Y288" s="239">
        <v>-120397</v>
      </c>
      <c r="Z288" s="239">
        <v>0</v>
      </c>
      <c r="AA288" s="239">
        <v>-120397</v>
      </c>
      <c r="AB288" s="239">
        <v>-89767</v>
      </c>
      <c r="AC288" s="239">
        <v>0</v>
      </c>
      <c r="AD288" s="239">
        <v>-89767</v>
      </c>
      <c r="AE288" s="239">
        <v>0</v>
      </c>
      <c r="AF288" s="239">
        <v>0</v>
      </c>
      <c r="AG288" s="239">
        <v>0</v>
      </c>
      <c r="AH288" s="239">
        <v>1573388</v>
      </c>
      <c r="AI288" s="239">
        <v>0</v>
      </c>
      <c r="AJ288" s="239">
        <v>1573388</v>
      </c>
      <c r="AK288" s="239">
        <v>-41757</v>
      </c>
      <c r="AL288" s="239">
        <v>0</v>
      </c>
      <c r="AM288" s="239">
        <v>-41757</v>
      </c>
      <c r="AN288" s="239">
        <v>-4769582</v>
      </c>
      <c r="AO288" s="239">
        <v>0</v>
      </c>
      <c r="AP288" s="239">
        <v>-4769582</v>
      </c>
      <c r="AQ288" s="239">
        <v>258086</v>
      </c>
      <c r="AR288" s="239">
        <v>0</v>
      </c>
      <c r="AS288" s="239">
        <v>258086</v>
      </c>
      <c r="AT288" s="239">
        <v>-70859</v>
      </c>
      <c r="AU288" s="239">
        <v>0</v>
      </c>
      <c r="AV288" s="239">
        <v>-70859</v>
      </c>
      <c r="AW288" s="239">
        <v>0</v>
      </c>
      <c r="AX288" s="239">
        <v>0</v>
      </c>
      <c r="AY288" s="239">
        <v>0</v>
      </c>
      <c r="AZ288" s="239">
        <v>-7447</v>
      </c>
      <c r="BA288" s="239">
        <v>0</v>
      </c>
      <c r="BB288" s="239">
        <v>-7447</v>
      </c>
      <c r="BC288" s="239">
        <v>28</v>
      </c>
      <c r="BD288" s="239">
        <v>0</v>
      </c>
      <c r="BE288" s="239">
        <v>28</v>
      </c>
      <c r="BF288" s="239">
        <v>-5023485</v>
      </c>
      <c r="BG288" s="239">
        <v>0</v>
      </c>
      <c r="BH288" s="239">
        <v>-5023485</v>
      </c>
      <c r="BI288" s="239">
        <v>-84880</v>
      </c>
      <c r="BJ288" s="239">
        <v>0</v>
      </c>
      <c r="BK288" s="239">
        <v>-84880</v>
      </c>
      <c r="BL288" s="239">
        <v>-2619</v>
      </c>
      <c r="BM288" s="239">
        <v>0</v>
      </c>
      <c r="BN288" s="239">
        <v>-2619</v>
      </c>
      <c r="BO288" s="239">
        <v>-3245623</v>
      </c>
      <c r="BP288" s="239">
        <v>0</v>
      </c>
      <c r="BQ288" s="239">
        <v>-3245623</v>
      </c>
      <c r="BR288" s="239">
        <v>189875</v>
      </c>
      <c r="BS288" s="239">
        <v>0</v>
      </c>
      <c r="BT288" s="239">
        <v>189875</v>
      </c>
      <c r="BU288" s="239">
        <v>-3143247</v>
      </c>
      <c r="BV288" s="239">
        <v>0</v>
      </c>
      <c r="BW288" s="239">
        <v>-3143247</v>
      </c>
      <c r="BX288" s="239">
        <v>-135113</v>
      </c>
      <c r="BY288" s="239">
        <v>0</v>
      </c>
      <c r="BZ288" s="239">
        <v>-135113</v>
      </c>
      <c r="CA288" s="239">
        <v>-611</v>
      </c>
      <c r="CB288" s="239">
        <v>0</v>
      </c>
      <c r="CC288" s="239">
        <v>-611</v>
      </c>
      <c r="CD288" s="239">
        <v>-47477</v>
      </c>
      <c r="CE288" s="239">
        <v>0</v>
      </c>
      <c r="CF288" s="239">
        <v>-47477</v>
      </c>
      <c r="CG288" s="239">
        <v>-2976</v>
      </c>
      <c r="CH288" s="239">
        <v>0</v>
      </c>
      <c r="CI288" s="239">
        <v>-2976</v>
      </c>
      <c r="CJ288" s="239">
        <v>-17408</v>
      </c>
      <c r="CK288" s="239">
        <v>0</v>
      </c>
      <c r="CL288" s="239">
        <v>-17408</v>
      </c>
      <c r="CM288" s="239">
        <v>-2091</v>
      </c>
      <c r="CN288" s="239">
        <v>0</v>
      </c>
      <c r="CO288" s="239">
        <v>-2091</v>
      </c>
      <c r="CP288" s="239">
        <v>-1558</v>
      </c>
      <c r="CQ288" s="239">
        <v>0</v>
      </c>
      <c r="CR288" s="239">
        <v>-1558</v>
      </c>
      <c r="CS288" s="239">
        <v>-1153</v>
      </c>
      <c r="CT288" s="239">
        <v>0</v>
      </c>
      <c r="CU288" s="239">
        <v>-1153</v>
      </c>
      <c r="CV288" s="239">
        <v>-12899</v>
      </c>
      <c r="CW288" s="239">
        <v>0</v>
      </c>
      <c r="CX288" s="239">
        <v>-12899</v>
      </c>
      <c r="CY288" s="239">
        <v>0</v>
      </c>
      <c r="CZ288" s="239">
        <v>0</v>
      </c>
      <c r="DA288" s="239">
        <v>0</v>
      </c>
      <c r="DB288" s="239">
        <v>0</v>
      </c>
      <c r="DC288" s="239">
        <v>0</v>
      </c>
      <c r="DD288" s="239">
        <v>0</v>
      </c>
      <c r="DE288" s="239">
        <v>0</v>
      </c>
      <c r="DF288" s="239">
        <v>0</v>
      </c>
      <c r="DG288" s="239">
        <v>0</v>
      </c>
      <c r="DH288" s="239">
        <v>0</v>
      </c>
      <c r="DI288" s="239">
        <v>0</v>
      </c>
      <c r="DJ288" s="239">
        <v>-221286</v>
      </c>
      <c r="DK288" s="239">
        <v>0</v>
      </c>
      <c r="DL288" s="239">
        <v>-221286</v>
      </c>
      <c r="DM288" s="239">
        <v>-170022</v>
      </c>
      <c r="DN288" s="239">
        <v>0</v>
      </c>
      <c r="DO288" s="239">
        <v>-170022</v>
      </c>
      <c r="DP288" s="239">
        <v>0</v>
      </c>
      <c r="DQ288" s="239">
        <v>0</v>
      </c>
      <c r="DR288" s="239">
        <v>0</v>
      </c>
      <c r="DS288" s="239">
        <v>-8135</v>
      </c>
      <c r="DT288" s="239">
        <v>0</v>
      </c>
      <c r="DU288" s="239">
        <v>-8135</v>
      </c>
      <c r="DV288" s="239">
        <v>0</v>
      </c>
      <c r="DW288" s="239">
        <v>0</v>
      </c>
      <c r="DX288" s="239">
        <v>0</v>
      </c>
      <c r="DY288" s="239">
        <v>0</v>
      </c>
      <c r="DZ288" s="239">
        <v>0</v>
      </c>
      <c r="EA288" s="239">
        <v>0</v>
      </c>
      <c r="EB288" s="239">
        <v>-7265</v>
      </c>
      <c r="EC288" s="239">
        <v>0</v>
      </c>
      <c r="ED288" s="239">
        <v>-7265</v>
      </c>
      <c r="EE288" s="239">
        <v>0</v>
      </c>
      <c r="EF288" s="239">
        <v>0</v>
      </c>
      <c r="EG288" s="239">
        <v>0</v>
      </c>
      <c r="EH288" s="239">
        <v>581</v>
      </c>
      <c r="EI288" s="239">
        <v>0</v>
      </c>
      <c r="EJ288" s="239">
        <v>581</v>
      </c>
      <c r="EK288" s="239">
        <v>0</v>
      </c>
      <c r="EL288" s="239">
        <v>0</v>
      </c>
      <c r="EM288" s="239">
        <v>0</v>
      </c>
      <c r="EN288" s="239">
        <v>0</v>
      </c>
      <c r="EO288" s="239">
        <v>0</v>
      </c>
      <c r="EP288" s="239">
        <v>0</v>
      </c>
      <c r="EQ288" s="239">
        <v>-184841</v>
      </c>
      <c r="ER288" s="239">
        <v>0</v>
      </c>
      <c r="ES288" s="239">
        <v>-184841</v>
      </c>
      <c r="ET288" s="239">
        <v>0</v>
      </c>
      <c r="EU288" s="239">
        <v>0</v>
      </c>
      <c r="EV288" s="239">
        <v>0</v>
      </c>
      <c r="EW288" s="239">
        <v>0</v>
      </c>
      <c r="EX288" s="239">
        <v>0</v>
      </c>
      <c r="EY288" s="239">
        <v>0</v>
      </c>
      <c r="EZ288" s="239">
        <v>0</v>
      </c>
      <c r="FA288" s="239">
        <v>0</v>
      </c>
      <c r="FB288" s="239">
        <v>0</v>
      </c>
      <c r="FC288" s="239">
        <v>61922839</v>
      </c>
      <c r="FD288" s="239">
        <v>0</v>
      </c>
      <c r="FE288" s="239">
        <v>61922839</v>
      </c>
      <c r="FF288" s="239">
        <v>401387</v>
      </c>
      <c r="FG288" s="239">
        <v>0</v>
      </c>
      <c r="FH288" s="239">
        <v>401387</v>
      </c>
      <c r="FI288" s="239">
        <v>-5023485</v>
      </c>
      <c r="FJ288" s="239">
        <v>0</v>
      </c>
      <c r="FK288" s="239">
        <v>-5023485</v>
      </c>
      <c r="FL288" s="239">
        <v>-3143247</v>
      </c>
      <c r="FM288" s="239">
        <v>0</v>
      </c>
      <c r="FN288" s="239">
        <v>-3143247</v>
      </c>
      <c r="FO288" s="239">
        <v>-221286</v>
      </c>
      <c r="FP288" s="239">
        <v>0</v>
      </c>
      <c r="FQ288" s="239">
        <v>-221286</v>
      </c>
      <c r="FR288" s="239">
        <v>-184841</v>
      </c>
      <c r="FS288" s="239">
        <v>0</v>
      </c>
      <c r="FT288" s="239">
        <v>-184841</v>
      </c>
      <c r="FU288" s="239">
        <v>0</v>
      </c>
      <c r="FV288" s="239">
        <v>0</v>
      </c>
      <c r="FW288" s="239">
        <v>0</v>
      </c>
      <c r="FX288" s="239">
        <v>-8171472</v>
      </c>
      <c r="FY288" s="239">
        <v>0</v>
      </c>
      <c r="FZ288" s="239">
        <v>-8171472</v>
      </c>
      <c r="GA288" s="239">
        <v>53751367</v>
      </c>
      <c r="GB288" s="239">
        <v>0</v>
      </c>
      <c r="GC288" s="239">
        <v>53751367</v>
      </c>
      <c r="GD288" s="214" t="s">
        <v>1190</v>
      </c>
    </row>
    <row r="289" spans="2:186" s="214" customFormat="1" x14ac:dyDescent="0.2">
      <c r="B289" s="609" t="s">
        <v>660</v>
      </c>
      <c r="C289" s="609" t="s">
        <v>659</v>
      </c>
      <c r="D289" s="239">
        <v>0</v>
      </c>
      <c r="E289" s="239">
        <v>0</v>
      </c>
      <c r="F289" s="239">
        <v>0</v>
      </c>
      <c r="G289" s="239">
        <v>227709</v>
      </c>
      <c r="H289" s="239">
        <v>0</v>
      </c>
      <c r="I289" s="239">
        <v>227709</v>
      </c>
      <c r="J289" s="239">
        <v>0</v>
      </c>
      <c r="K289" s="239">
        <v>0</v>
      </c>
      <c r="L289" s="239">
        <v>0</v>
      </c>
      <c r="M289" s="239">
        <v>16381</v>
      </c>
      <c r="N289" s="239">
        <v>0</v>
      </c>
      <c r="O289" s="239">
        <v>16381</v>
      </c>
      <c r="P289" s="239">
        <v>244090</v>
      </c>
      <c r="Q289" s="239">
        <v>0</v>
      </c>
      <c r="R289" s="239">
        <v>244090</v>
      </c>
      <c r="S289" s="239">
        <v>-4386286</v>
      </c>
      <c r="T289" s="239">
        <v>0</v>
      </c>
      <c r="U289" s="239">
        <v>-4386286</v>
      </c>
      <c r="V289" s="239">
        <v>-258618</v>
      </c>
      <c r="W289" s="239">
        <v>0</v>
      </c>
      <c r="X289" s="239">
        <v>-258618</v>
      </c>
      <c r="Y289" s="239">
        <v>-166392</v>
      </c>
      <c r="Z289" s="239">
        <v>0</v>
      </c>
      <c r="AA289" s="239">
        <v>-166392</v>
      </c>
      <c r="AB289" s="239">
        <v>-142079</v>
      </c>
      <c r="AC289" s="239">
        <v>0</v>
      </c>
      <c r="AD289" s="239">
        <v>-142079</v>
      </c>
      <c r="AE289" s="239">
        <v>-17814</v>
      </c>
      <c r="AF289" s="239">
        <v>0</v>
      </c>
      <c r="AG289" s="239">
        <v>-17814</v>
      </c>
      <c r="AH289" s="239">
        <v>1005147</v>
      </c>
      <c r="AI289" s="239">
        <v>0</v>
      </c>
      <c r="AJ289" s="239">
        <v>1005147</v>
      </c>
      <c r="AK289" s="239">
        <v>-24974</v>
      </c>
      <c r="AL289" s="239">
        <v>0</v>
      </c>
      <c r="AM289" s="239">
        <v>-24974</v>
      </c>
      <c r="AN289" s="239">
        <v>-3656907</v>
      </c>
      <c r="AO289" s="239">
        <v>0</v>
      </c>
      <c r="AP289" s="239">
        <v>-3656907</v>
      </c>
      <c r="AQ289" s="239">
        <v>-36004</v>
      </c>
      <c r="AR289" s="239">
        <v>0</v>
      </c>
      <c r="AS289" s="239">
        <v>-36004</v>
      </c>
      <c r="AT289" s="239">
        <v>-137454</v>
      </c>
      <c r="AU289" s="239">
        <v>0</v>
      </c>
      <c r="AV289" s="239">
        <v>-137454</v>
      </c>
      <c r="AW289" s="239">
        <v>642</v>
      </c>
      <c r="AX289" s="239">
        <v>0</v>
      </c>
      <c r="AY289" s="239">
        <v>642</v>
      </c>
      <c r="AZ289" s="239">
        <v>0</v>
      </c>
      <c r="BA289" s="239">
        <v>0</v>
      </c>
      <c r="BB289" s="239">
        <v>0</v>
      </c>
      <c r="BC289" s="239">
        <v>0</v>
      </c>
      <c r="BD289" s="239">
        <v>0</v>
      </c>
      <c r="BE289" s="239">
        <v>0</v>
      </c>
      <c r="BF289" s="239">
        <v>-7402228</v>
      </c>
      <c r="BG289" s="239">
        <v>0</v>
      </c>
      <c r="BH289" s="239">
        <v>-7402228</v>
      </c>
      <c r="BI289" s="239">
        <v>-9569</v>
      </c>
      <c r="BJ289" s="239">
        <v>0</v>
      </c>
      <c r="BK289" s="239">
        <v>-9569</v>
      </c>
      <c r="BL289" s="239">
        <v>300</v>
      </c>
      <c r="BM289" s="239">
        <v>0</v>
      </c>
      <c r="BN289" s="239">
        <v>300</v>
      </c>
      <c r="BO289" s="239">
        <v>-1232178</v>
      </c>
      <c r="BP289" s="239">
        <v>0</v>
      </c>
      <c r="BQ289" s="239">
        <v>-1232178</v>
      </c>
      <c r="BR289" s="239">
        <v>-60125</v>
      </c>
      <c r="BS289" s="239">
        <v>0</v>
      </c>
      <c r="BT289" s="239">
        <v>-60125</v>
      </c>
      <c r="BU289" s="239">
        <v>-1301572</v>
      </c>
      <c r="BV289" s="239">
        <v>0</v>
      </c>
      <c r="BW289" s="239">
        <v>-1301572</v>
      </c>
      <c r="BX289" s="239">
        <v>-67209</v>
      </c>
      <c r="BY289" s="239">
        <v>0</v>
      </c>
      <c r="BZ289" s="239">
        <v>-67209</v>
      </c>
      <c r="CA289" s="239">
        <v>444</v>
      </c>
      <c r="CB289" s="239">
        <v>0</v>
      </c>
      <c r="CC289" s="239">
        <v>444</v>
      </c>
      <c r="CD289" s="239">
        <v>-294024</v>
      </c>
      <c r="CE289" s="239">
        <v>0</v>
      </c>
      <c r="CF289" s="239">
        <v>-294024</v>
      </c>
      <c r="CG289" s="239">
        <v>109</v>
      </c>
      <c r="CH289" s="239">
        <v>0</v>
      </c>
      <c r="CI289" s="239">
        <v>109</v>
      </c>
      <c r="CJ289" s="239">
        <v>-4968</v>
      </c>
      <c r="CK289" s="239">
        <v>0</v>
      </c>
      <c r="CL289" s="239">
        <v>-4968</v>
      </c>
      <c r="CM289" s="239">
        <v>0</v>
      </c>
      <c r="CN289" s="239">
        <v>0</v>
      </c>
      <c r="CO289" s="239">
        <v>0</v>
      </c>
      <c r="CP289" s="239">
        <v>0</v>
      </c>
      <c r="CQ289" s="239">
        <v>0</v>
      </c>
      <c r="CR289" s="239">
        <v>0</v>
      </c>
      <c r="CS289" s="239">
        <v>0</v>
      </c>
      <c r="CT289" s="239">
        <v>0</v>
      </c>
      <c r="CU289" s="239">
        <v>0</v>
      </c>
      <c r="CV289" s="239">
        <v>0</v>
      </c>
      <c r="CW289" s="239">
        <v>0</v>
      </c>
      <c r="CX289" s="239">
        <v>0</v>
      </c>
      <c r="CY289" s="239">
        <v>0</v>
      </c>
      <c r="CZ289" s="239">
        <v>0</v>
      </c>
      <c r="DA289" s="239">
        <v>0</v>
      </c>
      <c r="DB289" s="239">
        <v>0</v>
      </c>
      <c r="DC289" s="239">
        <v>0</v>
      </c>
      <c r="DD289" s="239">
        <v>0</v>
      </c>
      <c r="DE289" s="239">
        <v>0</v>
      </c>
      <c r="DF289" s="239">
        <v>0</v>
      </c>
      <c r="DG289" s="239">
        <v>0</v>
      </c>
      <c r="DH289" s="239">
        <v>0</v>
      </c>
      <c r="DI289" s="239">
        <v>0</v>
      </c>
      <c r="DJ289" s="239">
        <v>-365648</v>
      </c>
      <c r="DK289" s="239">
        <v>0</v>
      </c>
      <c r="DL289" s="239">
        <v>-365648</v>
      </c>
      <c r="DM289" s="239">
        <v>-37290</v>
      </c>
      <c r="DN289" s="239">
        <v>0</v>
      </c>
      <c r="DO289" s="239">
        <v>-37290</v>
      </c>
      <c r="DP289" s="239">
        <v>-12830</v>
      </c>
      <c r="DQ289" s="239">
        <v>0</v>
      </c>
      <c r="DR289" s="239">
        <v>-12830</v>
      </c>
      <c r="DS289" s="239">
        <v>-106472</v>
      </c>
      <c r="DT289" s="239">
        <v>0</v>
      </c>
      <c r="DU289" s="239">
        <v>-106472</v>
      </c>
      <c r="DV289" s="239">
        <v>-35740</v>
      </c>
      <c r="DW289" s="239">
        <v>0</v>
      </c>
      <c r="DX289" s="239">
        <v>-35740</v>
      </c>
      <c r="DY289" s="239">
        <v>0</v>
      </c>
      <c r="DZ289" s="239">
        <v>0</v>
      </c>
      <c r="EA289" s="239">
        <v>0</v>
      </c>
      <c r="EB289" s="239">
        <v>-24055</v>
      </c>
      <c r="EC289" s="239">
        <v>0</v>
      </c>
      <c r="ED289" s="239">
        <v>-24055</v>
      </c>
      <c r="EE289" s="239">
        <v>0</v>
      </c>
      <c r="EF289" s="239">
        <v>0</v>
      </c>
      <c r="EG289" s="239">
        <v>0</v>
      </c>
      <c r="EH289" s="239">
        <v>0</v>
      </c>
      <c r="EI289" s="239">
        <v>0</v>
      </c>
      <c r="EJ289" s="239">
        <v>0</v>
      </c>
      <c r="EK289" s="239">
        <v>-10803</v>
      </c>
      <c r="EL289" s="239">
        <v>0</v>
      </c>
      <c r="EM289" s="239">
        <v>-10803</v>
      </c>
      <c r="EN289" s="239">
        <v>2771</v>
      </c>
      <c r="EO289" s="239">
        <v>0</v>
      </c>
      <c r="EP289" s="239">
        <v>2771</v>
      </c>
      <c r="EQ289" s="239">
        <v>-224419</v>
      </c>
      <c r="ER289" s="239">
        <v>0</v>
      </c>
      <c r="ES289" s="239">
        <v>-224419</v>
      </c>
      <c r="ET289" s="239">
        <v>0</v>
      </c>
      <c r="EU289" s="239">
        <v>0</v>
      </c>
      <c r="EV289" s="239">
        <v>0</v>
      </c>
      <c r="EW289" s="239">
        <v>0</v>
      </c>
      <c r="EX289" s="239">
        <v>0</v>
      </c>
      <c r="EY289" s="239">
        <v>0</v>
      </c>
      <c r="EZ289" s="239">
        <v>0</v>
      </c>
      <c r="FA289" s="239">
        <v>0</v>
      </c>
      <c r="FB289" s="239">
        <v>0</v>
      </c>
      <c r="FC289" s="239">
        <v>46427662</v>
      </c>
      <c r="FD289" s="239">
        <v>0</v>
      </c>
      <c r="FE289" s="239">
        <v>46427662</v>
      </c>
      <c r="FF289" s="239">
        <v>244090</v>
      </c>
      <c r="FG289" s="239">
        <v>0</v>
      </c>
      <c r="FH289" s="239">
        <v>244090</v>
      </c>
      <c r="FI289" s="239">
        <v>-7402228</v>
      </c>
      <c r="FJ289" s="239">
        <v>0</v>
      </c>
      <c r="FK289" s="239">
        <v>-7402228</v>
      </c>
      <c r="FL289" s="239">
        <v>-1301572</v>
      </c>
      <c r="FM289" s="239">
        <v>0</v>
      </c>
      <c r="FN289" s="239">
        <v>-1301572</v>
      </c>
      <c r="FO289" s="239">
        <v>-365648</v>
      </c>
      <c r="FP289" s="239">
        <v>0</v>
      </c>
      <c r="FQ289" s="239">
        <v>-365648</v>
      </c>
      <c r="FR289" s="239">
        <v>-224419</v>
      </c>
      <c r="FS289" s="239">
        <v>0</v>
      </c>
      <c r="FT289" s="239">
        <v>-224419</v>
      </c>
      <c r="FU289" s="239">
        <v>0</v>
      </c>
      <c r="FV289" s="239">
        <v>0</v>
      </c>
      <c r="FW289" s="239">
        <v>0</v>
      </c>
      <c r="FX289" s="239">
        <v>-9049777</v>
      </c>
      <c r="FY289" s="239">
        <v>0</v>
      </c>
      <c r="FZ289" s="239">
        <v>-9049777</v>
      </c>
      <c r="GA289" s="239">
        <v>37377885</v>
      </c>
      <c r="GB289" s="239">
        <v>0</v>
      </c>
      <c r="GC289" s="239">
        <v>37377885</v>
      </c>
      <c r="GD289" s="214" t="s">
        <v>747</v>
      </c>
    </row>
    <row r="290" spans="2:186" s="214" customFormat="1" x14ac:dyDescent="0.2">
      <c r="B290" s="609" t="s">
        <v>662</v>
      </c>
      <c r="C290" s="609" t="s">
        <v>661</v>
      </c>
      <c r="D290" s="239">
        <v>0</v>
      </c>
      <c r="E290" s="239">
        <v>0</v>
      </c>
      <c r="F290" s="239">
        <v>0</v>
      </c>
      <c r="G290" s="239">
        <v>203520</v>
      </c>
      <c r="H290" s="239">
        <v>0</v>
      </c>
      <c r="I290" s="239">
        <v>203520</v>
      </c>
      <c r="J290" s="239">
        <v>0</v>
      </c>
      <c r="K290" s="239">
        <v>0</v>
      </c>
      <c r="L290" s="239">
        <v>0</v>
      </c>
      <c r="M290" s="239">
        <v>9518</v>
      </c>
      <c r="N290" s="239">
        <v>0</v>
      </c>
      <c r="O290" s="239">
        <v>9518</v>
      </c>
      <c r="P290" s="239">
        <v>213038</v>
      </c>
      <c r="Q290" s="239">
        <v>0</v>
      </c>
      <c r="R290" s="239">
        <v>213038</v>
      </c>
      <c r="S290" s="239">
        <v>-3083690</v>
      </c>
      <c r="T290" s="239">
        <v>0</v>
      </c>
      <c r="U290" s="239">
        <v>-3083690</v>
      </c>
      <c r="V290" s="239">
        <v>-7008</v>
      </c>
      <c r="W290" s="239">
        <v>0</v>
      </c>
      <c r="X290" s="239">
        <v>-7008</v>
      </c>
      <c r="Y290" s="239">
        <v>-153497</v>
      </c>
      <c r="Z290" s="239">
        <v>0</v>
      </c>
      <c r="AA290" s="239">
        <v>-153497</v>
      </c>
      <c r="AB290" s="239">
        <v>-152430</v>
      </c>
      <c r="AC290" s="239">
        <v>0</v>
      </c>
      <c r="AD290" s="239">
        <v>-152430</v>
      </c>
      <c r="AE290" s="239">
        <v>-1067</v>
      </c>
      <c r="AF290" s="239">
        <v>0</v>
      </c>
      <c r="AG290" s="239">
        <v>-1067</v>
      </c>
      <c r="AH290" s="239">
        <v>273801</v>
      </c>
      <c r="AI290" s="239">
        <v>0</v>
      </c>
      <c r="AJ290" s="239">
        <v>273801</v>
      </c>
      <c r="AK290" s="239">
        <v>-24098</v>
      </c>
      <c r="AL290" s="239">
        <v>0</v>
      </c>
      <c r="AM290" s="239">
        <v>-24098</v>
      </c>
      <c r="AN290" s="239">
        <v>-1311683</v>
      </c>
      <c r="AO290" s="239">
        <v>0</v>
      </c>
      <c r="AP290" s="239">
        <v>-1311683</v>
      </c>
      <c r="AQ290" s="239">
        <v>-9860</v>
      </c>
      <c r="AR290" s="239">
        <v>0</v>
      </c>
      <c r="AS290" s="239">
        <v>-9860</v>
      </c>
      <c r="AT290" s="239">
        <v>-30662</v>
      </c>
      <c r="AU290" s="239">
        <v>0</v>
      </c>
      <c r="AV290" s="239">
        <v>-30662</v>
      </c>
      <c r="AW290" s="239">
        <v>-81</v>
      </c>
      <c r="AX290" s="239">
        <v>0</v>
      </c>
      <c r="AY290" s="239">
        <v>-81</v>
      </c>
      <c r="AZ290" s="239">
        <v>-57724</v>
      </c>
      <c r="BA290" s="239">
        <v>0</v>
      </c>
      <c r="BB290" s="239">
        <v>-57724</v>
      </c>
      <c r="BC290" s="239">
        <v>3255</v>
      </c>
      <c r="BD290" s="239">
        <v>0</v>
      </c>
      <c r="BE290" s="239">
        <v>3255</v>
      </c>
      <c r="BF290" s="239">
        <v>-4394239</v>
      </c>
      <c r="BG290" s="239">
        <v>0</v>
      </c>
      <c r="BH290" s="239">
        <v>-4394239</v>
      </c>
      <c r="BI290" s="239">
        <v>0</v>
      </c>
      <c r="BJ290" s="239">
        <v>0</v>
      </c>
      <c r="BK290" s="239">
        <v>0</v>
      </c>
      <c r="BL290" s="239">
        <v>0</v>
      </c>
      <c r="BM290" s="239">
        <v>0</v>
      </c>
      <c r="BN290" s="239">
        <v>0</v>
      </c>
      <c r="BO290" s="239">
        <v>-334507</v>
      </c>
      <c r="BP290" s="239">
        <v>0</v>
      </c>
      <c r="BQ290" s="239">
        <v>-334507</v>
      </c>
      <c r="BR290" s="239">
        <v>-27544</v>
      </c>
      <c r="BS290" s="239">
        <v>0</v>
      </c>
      <c r="BT290" s="239">
        <v>-27544</v>
      </c>
      <c r="BU290" s="239">
        <v>-362051</v>
      </c>
      <c r="BV290" s="239">
        <v>0</v>
      </c>
      <c r="BW290" s="239">
        <v>-362051</v>
      </c>
      <c r="BX290" s="239">
        <v>-85024</v>
      </c>
      <c r="BY290" s="239">
        <v>0</v>
      </c>
      <c r="BZ290" s="239">
        <v>-85024</v>
      </c>
      <c r="CA290" s="239">
        <v>-155</v>
      </c>
      <c r="CB290" s="239">
        <v>0</v>
      </c>
      <c r="CC290" s="239">
        <v>-155</v>
      </c>
      <c r="CD290" s="239">
        <v>-20124</v>
      </c>
      <c r="CE290" s="239">
        <v>0</v>
      </c>
      <c r="CF290" s="239">
        <v>-20124</v>
      </c>
      <c r="CG290" s="239">
        <v>3544</v>
      </c>
      <c r="CH290" s="239">
        <v>0</v>
      </c>
      <c r="CI290" s="239">
        <v>3544</v>
      </c>
      <c r="CJ290" s="239">
        <v>-3508</v>
      </c>
      <c r="CK290" s="239">
        <v>0</v>
      </c>
      <c r="CL290" s="239">
        <v>-3508</v>
      </c>
      <c r="CM290" s="239">
        <v>0</v>
      </c>
      <c r="CN290" s="239">
        <v>0</v>
      </c>
      <c r="CO290" s="239">
        <v>0</v>
      </c>
      <c r="CP290" s="239">
        <v>-19390</v>
      </c>
      <c r="CQ290" s="239">
        <v>0</v>
      </c>
      <c r="CR290" s="239">
        <v>-19390</v>
      </c>
      <c r="CS290" s="239">
        <v>-495</v>
      </c>
      <c r="CT290" s="239">
        <v>0</v>
      </c>
      <c r="CU290" s="239">
        <v>-495</v>
      </c>
      <c r="CV290" s="239">
        <v>-10361</v>
      </c>
      <c r="CW290" s="239">
        <v>0</v>
      </c>
      <c r="CX290" s="239">
        <v>-10361</v>
      </c>
      <c r="CY290" s="239">
        <v>-85</v>
      </c>
      <c r="CZ290" s="239">
        <v>0</v>
      </c>
      <c r="DA290" s="239">
        <v>-85</v>
      </c>
      <c r="DB290" s="239">
        <v>0</v>
      </c>
      <c r="DC290" s="239">
        <v>0</v>
      </c>
      <c r="DD290" s="239">
        <v>0</v>
      </c>
      <c r="DE290" s="239">
        <v>0</v>
      </c>
      <c r="DF290" s="239">
        <v>0</v>
      </c>
      <c r="DG290" s="239">
        <v>0</v>
      </c>
      <c r="DH290" s="239">
        <v>0</v>
      </c>
      <c r="DI290" s="239">
        <v>0</v>
      </c>
      <c r="DJ290" s="239">
        <v>-135598</v>
      </c>
      <c r="DK290" s="239">
        <v>0</v>
      </c>
      <c r="DL290" s="239">
        <v>-135598</v>
      </c>
      <c r="DM290" s="239">
        <v>0</v>
      </c>
      <c r="DN290" s="239">
        <v>0</v>
      </c>
      <c r="DO290" s="239">
        <v>0</v>
      </c>
      <c r="DP290" s="239">
        <v>0</v>
      </c>
      <c r="DQ290" s="239">
        <v>0</v>
      </c>
      <c r="DR290" s="239">
        <v>0</v>
      </c>
      <c r="DS290" s="239">
        <v>-7044</v>
      </c>
      <c r="DT290" s="239">
        <v>0</v>
      </c>
      <c r="DU290" s="239">
        <v>-7044</v>
      </c>
      <c r="DV290" s="239">
        <v>0</v>
      </c>
      <c r="DW290" s="239">
        <v>0</v>
      </c>
      <c r="DX290" s="239">
        <v>0</v>
      </c>
      <c r="DY290" s="239">
        <v>0</v>
      </c>
      <c r="DZ290" s="239">
        <v>0</v>
      </c>
      <c r="EA290" s="239">
        <v>0</v>
      </c>
      <c r="EB290" s="239">
        <v>-5833</v>
      </c>
      <c r="EC290" s="239">
        <v>0</v>
      </c>
      <c r="ED290" s="239">
        <v>-5833</v>
      </c>
      <c r="EE290" s="239">
        <v>0</v>
      </c>
      <c r="EF290" s="239">
        <v>0</v>
      </c>
      <c r="EG290" s="239">
        <v>0</v>
      </c>
      <c r="EH290" s="239">
        <v>0</v>
      </c>
      <c r="EI290" s="239">
        <v>0</v>
      </c>
      <c r="EJ290" s="239">
        <v>0</v>
      </c>
      <c r="EK290" s="239">
        <v>-6634</v>
      </c>
      <c r="EL290" s="239">
        <v>0</v>
      </c>
      <c r="EM290" s="239">
        <v>-6634</v>
      </c>
      <c r="EN290" s="239">
        <v>0</v>
      </c>
      <c r="EO290" s="239">
        <v>0</v>
      </c>
      <c r="EP290" s="239">
        <v>0</v>
      </c>
      <c r="EQ290" s="239">
        <v>-19511</v>
      </c>
      <c r="ER290" s="239">
        <v>0</v>
      </c>
      <c r="ES290" s="239">
        <v>-19511</v>
      </c>
      <c r="ET290" s="239">
        <v>0</v>
      </c>
      <c r="EU290" s="239">
        <v>0</v>
      </c>
      <c r="EV290" s="239">
        <v>0</v>
      </c>
      <c r="EW290" s="239">
        <v>0</v>
      </c>
      <c r="EX290" s="239">
        <v>0</v>
      </c>
      <c r="EY290" s="239">
        <v>0</v>
      </c>
      <c r="EZ290" s="239">
        <v>0</v>
      </c>
      <c r="FA290" s="239">
        <v>0</v>
      </c>
      <c r="FB290" s="239">
        <v>0</v>
      </c>
      <c r="FC290" s="239">
        <v>15289287</v>
      </c>
      <c r="FD290" s="239">
        <v>0</v>
      </c>
      <c r="FE290" s="239">
        <v>15289287</v>
      </c>
      <c r="FF290" s="239">
        <v>213038</v>
      </c>
      <c r="FG290" s="239">
        <v>0</v>
      </c>
      <c r="FH290" s="239">
        <v>213038</v>
      </c>
      <c r="FI290" s="239">
        <v>-4394239</v>
      </c>
      <c r="FJ290" s="239">
        <v>0</v>
      </c>
      <c r="FK290" s="239">
        <v>-4394239</v>
      </c>
      <c r="FL290" s="239">
        <v>-362051</v>
      </c>
      <c r="FM290" s="239">
        <v>0</v>
      </c>
      <c r="FN290" s="239">
        <v>-362051</v>
      </c>
      <c r="FO290" s="239">
        <v>-135598</v>
      </c>
      <c r="FP290" s="239">
        <v>0</v>
      </c>
      <c r="FQ290" s="239">
        <v>-135598</v>
      </c>
      <c r="FR290" s="239">
        <v>-19511</v>
      </c>
      <c r="FS290" s="239">
        <v>0</v>
      </c>
      <c r="FT290" s="239">
        <v>-19511</v>
      </c>
      <c r="FU290" s="239">
        <v>0</v>
      </c>
      <c r="FV290" s="239">
        <v>0</v>
      </c>
      <c r="FW290" s="239">
        <v>0</v>
      </c>
      <c r="FX290" s="239">
        <v>-4698361</v>
      </c>
      <c r="FY290" s="239">
        <v>0</v>
      </c>
      <c r="FZ290" s="239">
        <v>-4698361</v>
      </c>
      <c r="GA290" s="239">
        <v>10590926</v>
      </c>
      <c r="GB290" s="239">
        <v>0</v>
      </c>
      <c r="GC290" s="239">
        <v>10590926</v>
      </c>
      <c r="GD290" s="214" t="s">
        <v>1190</v>
      </c>
    </row>
    <row r="291" spans="2:186" s="214" customFormat="1" x14ac:dyDescent="0.2">
      <c r="B291" s="609" t="s">
        <v>664</v>
      </c>
      <c r="C291" s="609" t="s">
        <v>663</v>
      </c>
      <c r="D291" s="239">
        <v>0</v>
      </c>
      <c r="E291" s="239">
        <v>0</v>
      </c>
      <c r="F291" s="239">
        <v>0</v>
      </c>
      <c r="G291" s="239">
        <v>648815</v>
      </c>
      <c r="H291" s="239">
        <v>0</v>
      </c>
      <c r="I291" s="239">
        <v>648815</v>
      </c>
      <c r="J291" s="239">
        <v>0</v>
      </c>
      <c r="K291" s="239">
        <v>0</v>
      </c>
      <c r="L291" s="239">
        <v>0</v>
      </c>
      <c r="M291" s="239">
        <v>106323</v>
      </c>
      <c r="N291" s="239">
        <v>0</v>
      </c>
      <c r="O291" s="239">
        <v>106323</v>
      </c>
      <c r="P291" s="239">
        <v>755138</v>
      </c>
      <c r="Q291" s="239">
        <v>0</v>
      </c>
      <c r="R291" s="239">
        <v>755138</v>
      </c>
      <c r="S291" s="239">
        <v>-6700974</v>
      </c>
      <c r="T291" s="239">
        <v>0</v>
      </c>
      <c r="U291" s="239">
        <v>-6700974</v>
      </c>
      <c r="V291" s="239">
        <v>0</v>
      </c>
      <c r="W291" s="239">
        <v>0</v>
      </c>
      <c r="X291" s="239">
        <v>0</v>
      </c>
      <c r="Y291" s="239">
        <v>-491262</v>
      </c>
      <c r="Z291" s="239">
        <v>0</v>
      </c>
      <c r="AA291" s="239">
        <v>-491262</v>
      </c>
      <c r="AB291" s="239">
        <v>-382832</v>
      </c>
      <c r="AC291" s="239">
        <v>0</v>
      </c>
      <c r="AD291" s="239">
        <v>-382832</v>
      </c>
      <c r="AE291" s="239">
        <v>0</v>
      </c>
      <c r="AF291" s="239">
        <v>0</v>
      </c>
      <c r="AG291" s="239">
        <v>0</v>
      </c>
      <c r="AH291" s="239">
        <v>10340539</v>
      </c>
      <c r="AI291" s="239">
        <v>0</v>
      </c>
      <c r="AJ291" s="239">
        <v>10340539</v>
      </c>
      <c r="AK291" s="239">
        <v>71381</v>
      </c>
      <c r="AL291" s="239">
        <v>0</v>
      </c>
      <c r="AM291" s="239">
        <v>71381</v>
      </c>
      <c r="AN291" s="239">
        <v>-13115228</v>
      </c>
      <c r="AO291" s="239">
        <v>0</v>
      </c>
      <c r="AP291" s="239">
        <v>-13115228</v>
      </c>
      <c r="AQ291" s="239">
        <v>-488266</v>
      </c>
      <c r="AR291" s="239">
        <v>0</v>
      </c>
      <c r="AS291" s="239">
        <v>-488266</v>
      </c>
      <c r="AT291" s="239">
        <v>0</v>
      </c>
      <c r="AU291" s="239">
        <v>0</v>
      </c>
      <c r="AV291" s="239">
        <v>0</v>
      </c>
      <c r="AW291" s="239">
        <v>0</v>
      </c>
      <c r="AX291" s="239">
        <v>0</v>
      </c>
      <c r="AY291" s="239">
        <v>0</v>
      </c>
      <c r="AZ291" s="239">
        <v>0</v>
      </c>
      <c r="BA291" s="239">
        <v>0</v>
      </c>
      <c r="BB291" s="239">
        <v>0</v>
      </c>
      <c r="BC291" s="239">
        <v>0</v>
      </c>
      <c r="BD291" s="239">
        <v>0</v>
      </c>
      <c r="BE291" s="239">
        <v>0</v>
      </c>
      <c r="BF291" s="239">
        <v>-10383810</v>
      </c>
      <c r="BG291" s="239">
        <v>0</v>
      </c>
      <c r="BH291" s="239">
        <v>-10383810</v>
      </c>
      <c r="BI291" s="239">
        <v>-97</v>
      </c>
      <c r="BJ291" s="239">
        <v>0</v>
      </c>
      <c r="BK291" s="239">
        <v>-97</v>
      </c>
      <c r="BL291" s="239">
        <v>18717</v>
      </c>
      <c r="BM291" s="239">
        <v>0</v>
      </c>
      <c r="BN291" s="239">
        <v>18717</v>
      </c>
      <c r="BO291" s="239">
        <v>-13340648</v>
      </c>
      <c r="BP291" s="239">
        <v>0</v>
      </c>
      <c r="BQ291" s="239">
        <v>-13340648</v>
      </c>
      <c r="BR291" s="239">
        <v>-1926747</v>
      </c>
      <c r="BS291" s="239">
        <v>0</v>
      </c>
      <c r="BT291" s="239">
        <v>-1926747</v>
      </c>
      <c r="BU291" s="239">
        <v>-15248775</v>
      </c>
      <c r="BV291" s="239">
        <v>0</v>
      </c>
      <c r="BW291" s="239">
        <v>-15248775</v>
      </c>
      <c r="BX291" s="239">
        <v>-361285</v>
      </c>
      <c r="BY291" s="239">
        <v>0</v>
      </c>
      <c r="BZ291" s="239">
        <v>-361285</v>
      </c>
      <c r="CA291" s="239">
        <v>-42382</v>
      </c>
      <c r="CB291" s="239">
        <v>0</v>
      </c>
      <c r="CC291" s="239">
        <v>-42382</v>
      </c>
      <c r="CD291" s="239">
        <v>-46569</v>
      </c>
      <c r="CE291" s="239">
        <v>0</v>
      </c>
      <c r="CF291" s="239">
        <v>-46569</v>
      </c>
      <c r="CG291" s="239">
        <v>21811</v>
      </c>
      <c r="CH291" s="239">
        <v>0</v>
      </c>
      <c r="CI291" s="239">
        <v>21811</v>
      </c>
      <c r="CJ291" s="239">
        <v>0</v>
      </c>
      <c r="CK291" s="239">
        <v>0</v>
      </c>
      <c r="CL291" s="239">
        <v>0</v>
      </c>
      <c r="CM291" s="239">
        <v>0</v>
      </c>
      <c r="CN291" s="239">
        <v>0</v>
      </c>
      <c r="CO291" s="239">
        <v>0</v>
      </c>
      <c r="CP291" s="239">
        <v>0</v>
      </c>
      <c r="CQ291" s="239">
        <v>0</v>
      </c>
      <c r="CR291" s="239">
        <v>0</v>
      </c>
      <c r="CS291" s="239">
        <v>0</v>
      </c>
      <c r="CT291" s="239">
        <v>0</v>
      </c>
      <c r="CU291" s="239">
        <v>0</v>
      </c>
      <c r="CV291" s="239">
        <v>0</v>
      </c>
      <c r="CW291" s="239">
        <v>0</v>
      </c>
      <c r="CX291" s="239">
        <v>0</v>
      </c>
      <c r="CY291" s="239">
        <v>0</v>
      </c>
      <c r="CZ291" s="239">
        <v>0</v>
      </c>
      <c r="DA291" s="239">
        <v>0</v>
      </c>
      <c r="DB291" s="239">
        <v>0</v>
      </c>
      <c r="DC291" s="239">
        <v>0</v>
      </c>
      <c r="DD291" s="239">
        <v>0</v>
      </c>
      <c r="DE291" s="239">
        <v>0</v>
      </c>
      <c r="DF291" s="239">
        <v>0</v>
      </c>
      <c r="DG291" s="239">
        <v>0</v>
      </c>
      <c r="DH291" s="239">
        <v>0</v>
      </c>
      <c r="DI291" s="239">
        <v>0</v>
      </c>
      <c r="DJ291" s="239">
        <v>-428425</v>
      </c>
      <c r="DK291" s="239">
        <v>0</v>
      </c>
      <c r="DL291" s="239">
        <v>-428425</v>
      </c>
      <c r="DM291" s="239">
        <v>-390860</v>
      </c>
      <c r="DN291" s="239">
        <v>0</v>
      </c>
      <c r="DO291" s="239">
        <v>-390860</v>
      </c>
      <c r="DP291" s="239">
        <v>388</v>
      </c>
      <c r="DQ291" s="239">
        <v>0</v>
      </c>
      <c r="DR291" s="239">
        <v>388</v>
      </c>
      <c r="DS291" s="239">
        <v>-23936</v>
      </c>
      <c r="DT291" s="239">
        <v>0</v>
      </c>
      <c r="DU291" s="239">
        <v>-23936</v>
      </c>
      <c r="DV291" s="239">
        <v>-4263</v>
      </c>
      <c r="DW291" s="239">
        <v>0</v>
      </c>
      <c r="DX291" s="239">
        <v>-4263</v>
      </c>
      <c r="DY291" s="239">
        <v>0</v>
      </c>
      <c r="DZ291" s="239">
        <v>0</v>
      </c>
      <c r="EA291" s="239">
        <v>0</v>
      </c>
      <c r="EB291" s="239">
        <v>-4897</v>
      </c>
      <c r="EC291" s="239">
        <v>0</v>
      </c>
      <c r="ED291" s="239">
        <v>-4897</v>
      </c>
      <c r="EE291" s="239">
        <v>0</v>
      </c>
      <c r="EF291" s="239">
        <v>0</v>
      </c>
      <c r="EG291" s="239">
        <v>0</v>
      </c>
      <c r="EH291" s="239">
        <v>0</v>
      </c>
      <c r="EI291" s="239">
        <v>0</v>
      </c>
      <c r="EJ291" s="239">
        <v>0</v>
      </c>
      <c r="EK291" s="239">
        <v>-61666</v>
      </c>
      <c r="EL291" s="239">
        <v>0</v>
      </c>
      <c r="EM291" s="239">
        <v>-61666</v>
      </c>
      <c r="EN291" s="239">
        <v>8175</v>
      </c>
      <c r="EO291" s="239">
        <v>0</v>
      </c>
      <c r="EP291" s="239">
        <v>8175</v>
      </c>
      <c r="EQ291" s="239">
        <v>-477059</v>
      </c>
      <c r="ER291" s="239">
        <v>0</v>
      </c>
      <c r="ES291" s="239">
        <v>-477059</v>
      </c>
      <c r="ET291" s="239">
        <v>0</v>
      </c>
      <c r="EU291" s="239">
        <v>0</v>
      </c>
      <c r="EV291" s="239">
        <v>0</v>
      </c>
      <c r="EW291" s="239">
        <v>0</v>
      </c>
      <c r="EX291" s="239">
        <v>0</v>
      </c>
      <c r="EY291" s="239">
        <v>0</v>
      </c>
      <c r="EZ291" s="239">
        <v>0</v>
      </c>
      <c r="FA291" s="239">
        <v>0</v>
      </c>
      <c r="FB291" s="239">
        <v>0</v>
      </c>
      <c r="FC291" s="239">
        <v>425301584</v>
      </c>
      <c r="FD291" s="239">
        <v>0</v>
      </c>
      <c r="FE291" s="239">
        <v>425301584</v>
      </c>
      <c r="FF291" s="239">
        <v>755138</v>
      </c>
      <c r="FG291" s="239">
        <v>0</v>
      </c>
      <c r="FH291" s="239">
        <v>755138</v>
      </c>
      <c r="FI291" s="239">
        <v>-10383810</v>
      </c>
      <c r="FJ291" s="239">
        <v>0</v>
      </c>
      <c r="FK291" s="239">
        <v>-10383810</v>
      </c>
      <c r="FL291" s="239">
        <v>-15248775</v>
      </c>
      <c r="FM291" s="239">
        <v>0</v>
      </c>
      <c r="FN291" s="239">
        <v>-15248775</v>
      </c>
      <c r="FO291" s="239">
        <v>-428425</v>
      </c>
      <c r="FP291" s="239">
        <v>0</v>
      </c>
      <c r="FQ291" s="239">
        <v>-428425</v>
      </c>
      <c r="FR291" s="239">
        <v>-477059</v>
      </c>
      <c r="FS291" s="239">
        <v>0</v>
      </c>
      <c r="FT291" s="239">
        <v>-477059</v>
      </c>
      <c r="FU291" s="239">
        <v>0</v>
      </c>
      <c r="FV291" s="239">
        <v>0</v>
      </c>
      <c r="FW291" s="239">
        <v>0</v>
      </c>
      <c r="FX291" s="239">
        <v>-25782931</v>
      </c>
      <c r="FY291" s="239">
        <v>0</v>
      </c>
      <c r="FZ291" s="239">
        <v>-25782931</v>
      </c>
      <c r="GA291" s="239">
        <v>399518653</v>
      </c>
      <c r="GB291" s="239">
        <v>0</v>
      </c>
      <c r="GC291" s="239">
        <v>399518653</v>
      </c>
      <c r="GD291" s="214" t="s">
        <v>1193</v>
      </c>
    </row>
    <row r="292" spans="2:186" s="214" customFormat="1" x14ac:dyDescent="0.2">
      <c r="B292" s="609" t="s">
        <v>666</v>
      </c>
      <c r="C292" s="609" t="s">
        <v>665</v>
      </c>
      <c r="D292" s="239">
        <v>0</v>
      </c>
      <c r="E292" s="239">
        <v>0</v>
      </c>
      <c r="F292" s="239">
        <v>0</v>
      </c>
      <c r="G292" s="239">
        <v>297345</v>
      </c>
      <c r="H292" s="239">
        <v>0</v>
      </c>
      <c r="I292" s="239">
        <v>297345</v>
      </c>
      <c r="J292" s="239">
        <v>0</v>
      </c>
      <c r="K292" s="239">
        <v>0</v>
      </c>
      <c r="L292" s="239">
        <v>0</v>
      </c>
      <c r="M292" s="239">
        <v>321117</v>
      </c>
      <c r="N292" s="239">
        <v>0</v>
      </c>
      <c r="O292" s="239">
        <v>321117</v>
      </c>
      <c r="P292" s="239">
        <v>618462</v>
      </c>
      <c r="Q292" s="239">
        <v>0</v>
      </c>
      <c r="R292" s="239">
        <v>618462</v>
      </c>
      <c r="S292" s="239">
        <v>-4636836</v>
      </c>
      <c r="T292" s="239">
        <v>0</v>
      </c>
      <c r="U292" s="239">
        <v>-4636836</v>
      </c>
      <c r="V292" s="239">
        <v>0</v>
      </c>
      <c r="W292" s="239">
        <v>0</v>
      </c>
      <c r="X292" s="239">
        <v>0</v>
      </c>
      <c r="Y292" s="239">
        <v>-227869</v>
      </c>
      <c r="Z292" s="239">
        <v>0</v>
      </c>
      <c r="AA292" s="239">
        <v>-227869</v>
      </c>
      <c r="AB292" s="239">
        <v>-170873</v>
      </c>
      <c r="AC292" s="239">
        <v>0</v>
      </c>
      <c r="AD292" s="239">
        <v>-170873</v>
      </c>
      <c r="AE292" s="239">
        <v>0</v>
      </c>
      <c r="AF292" s="239">
        <v>0</v>
      </c>
      <c r="AG292" s="239">
        <v>0</v>
      </c>
      <c r="AH292" s="239">
        <v>4574294</v>
      </c>
      <c r="AI292" s="239">
        <v>0</v>
      </c>
      <c r="AJ292" s="239">
        <v>4574294</v>
      </c>
      <c r="AK292" s="239">
        <v>-89118</v>
      </c>
      <c r="AL292" s="239">
        <v>0</v>
      </c>
      <c r="AM292" s="239">
        <v>-89118</v>
      </c>
      <c r="AN292" s="239">
        <v>-4683907</v>
      </c>
      <c r="AO292" s="239">
        <v>0</v>
      </c>
      <c r="AP292" s="239">
        <v>-4683907</v>
      </c>
      <c r="AQ292" s="239">
        <v>108129</v>
      </c>
      <c r="AR292" s="239">
        <v>0</v>
      </c>
      <c r="AS292" s="239">
        <v>108129</v>
      </c>
      <c r="AT292" s="239">
        <v>-67569</v>
      </c>
      <c r="AU292" s="239">
        <v>0</v>
      </c>
      <c r="AV292" s="239">
        <v>-67569</v>
      </c>
      <c r="AW292" s="239">
        <v>0</v>
      </c>
      <c r="AX292" s="239">
        <v>0</v>
      </c>
      <c r="AY292" s="239">
        <v>0</v>
      </c>
      <c r="AZ292" s="239">
        <v>-509</v>
      </c>
      <c r="BA292" s="239">
        <v>0</v>
      </c>
      <c r="BB292" s="239">
        <v>-509</v>
      </c>
      <c r="BC292" s="239">
        <v>0</v>
      </c>
      <c r="BD292" s="239">
        <v>0</v>
      </c>
      <c r="BE292" s="239">
        <v>0</v>
      </c>
      <c r="BF292" s="239">
        <v>-5023385</v>
      </c>
      <c r="BG292" s="239">
        <v>0</v>
      </c>
      <c r="BH292" s="239">
        <v>-5023385</v>
      </c>
      <c r="BI292" s="239">
        <v>0</v>
      </c>
      <c r="BJ292" s="239">
        <v>0</v>
      </c>
      <c r="BK292" s="239">
        <v>0</v>
      </c>
      <c r="BL292" s="239">
        <v>0</v>
      </c>
      <c r="BM292" s="239">
        <v>0</v>
      </c>
      <c r="BN292" s="239">
        <v>0</v>
      </c>
      <c r="BO292" s="239">
        <v>-6486639</v>
      </c>
      <c r="BP292" s="239">
        <v>0</v>
      </c>
      <c r="BQ292" s="239">
        <v>-6486639</v>
      </c>
      <c r="BR292" s="239">
        <v>-379297</v>
      </c>
      <c r="BS292" s="239">
        <v>0</v>
      </c>
      <c r="BT292" s="239">
        <v>-379297</v>
      </c>
      <c r="BU292" s="239">
        <v>-6865936</v>
      </c>
      <c r="BV292" s="239">
        <v>0</v>
      </c>
      <c r="BW292" s="239">
        <v>-6865936</v>
      </c>
      <c r="BX292" s="239">
        <v>-49275</v>
      </c>
      <c r="BY292" s="239">
        <v>0</v>
      </c>
      <c r="BZ292" s="239">
        <v>-49275</v>
      </c>
      <c r="CA292" s="239">
        <v>47524</v>
      </c>
      <c r="CB292" s="239">
        <v>0</v>
      </c>
      <c r="CC292" s="239">
        <v>47524</v>
      </c>
      <c r="CD292" s="239">
        <v>-801407</v>
      </c>
      <c r="CE292" s="239">
        <v>0</v>
      </c>
      <c r="CF292" s="239">
        <v>-801407</v>
      </c>
      <c r="CG292" s="239">
        <v>-241818</v>
      </c>
      <c r="CH292" s="239">
        <v>0</v>
      </c>
      <c r="CI292" s="239">
        <v>-241818</v>
      </c>
      <c r="CJ292" s="239">
        <v>-12494</v>
      </c>
      <c r="CK292" s="239">
        <v>0</v>
      </c>
      <c r="CL292" s="239">
        <v>-12494</v>
      </c>
      <c r="CM292" s="239">
        <v>0</v>
      </c>
      <c r="CN292" s="239">
        <v>0</v>
      </c>
      <c r="CO292" s="239">
        <v>0</v>
      </c>
      <c r="CP292" s="239">
        <v>-509</v>
      </c>
      <c r="CQ292" s="239">
        <v>0</v>
      </c>
      <c r="CR292" s="239">
        <v>-509</v>
      </c>
      <c r="CS292" s="239">
        <v>0</v>
      </c>
      <c r="CT292" s="239">
        <v>0</v>
      </c>
      <c r="CU292" s="239">
        <v>0</v>
      </c>
      <c r="CV292" s="239">
        <v>0</v>
      </c>
      <c r="CW292" s="239">
        <v>0</v>
      </c>
      <c r="CX292" s="239">
        <v>0</v>
      </c>
      <c r="CY292" s="239">
        <v>0</v>
      </c>
      <c r="CZ292" s="239">
        <v>0</v>
      </c>
      <c r="DA292" s="239">
        <v>0</v>
      </c>
      <c r="DB292" s="239">
        <v>0</v>
      </c>
      <c r="DC292" s="239">
        <v>0</v>
      </c>
      <c r="DD292" s="239">
        <v>0</v>
      </c>
      <c r="DE292" s="239">
        <v>0</v>
      </c>
      <c r="DF292" s="239">
        <v>0</v>
      </c>
      <c r="DG292" s="239">
        <v>0</v>
      </c>
      <c r="DH292" s="239">
        <v>0</v>
      </c>
      <c r="DI292" s="239">
        <v>0</v>
      </c>
      <c r="DJ292" s="239">
        <v>-1057979</v>
      </c>
      <c r="DK292" s="239">
        <v>0</v>
      </c>
      <c r="DL292" s="239">
        <v>-1057979</v>
      </c>
      <c r="DM292" s="239">
        <v>-388</v>
      </c>
      <c r="DN292" s="239">
        <v>0</v>
      </c>
      <c r="DO292" s="239">
        <v>-388</v>
      </c>
      <c r="DP292" s="239">
        <v>-2419</v>
      </c>
      <c r="DQ292" s="239">
        <v>0</v>
      </c>
      <c r="DR292" s="239">
        <v>-2419</v>
      </c>
      <c r="DS292" s="239">
        <v>-164137</v>
      </c>
      <c r="DT292" s="239">
        <v>0</v>
      </c>
      <c r="DU292" s="239">
        <v>-164137</v>
      </c>
      <c r="DV292" s="239">
        <v>-8760</v>
      </c>
      <c r="DW292" s="239">
        <v>0</v>
      </c>
      <c r="DX292" s="239">
        <v>-8760</v>
      </c>
      <c r="DY292" s="239">
        <v>0</v>
      </c>
      <c r="DZ292" s="239">
        <v>0</v>
      </c>
      <c r="EA292" s="239">
        <v>0</v>
      </c>
      <c r="EB292" s="239">
        <v>-63699</v>
      </c>
      <c r="EC292" s="239">
        <v>0</v>
      </c>
      <c r="ED292" s="239">
        <v>-63699</v>
      </c>
      <c r="EE292" s="239">
        <v>0</v>
      </c>
      <c r="EF292" s="239">
        <v>0</v>
      </c>
      <c r="EG292" s="239">
        <v>0</v>
      </c>
      <c r="EH292" s="239">
        <v>0</v>
      </c>
      <c r="EI292" s="239">
        <v>0</v>
      </c>
      <c r="EJ292" s="239">
        <v>0</v>
      </c>
      <c r="EK292" s="239">
        <v>-3284</v>
      </c>
      <c r="EL292" s="239">
        <v>0</v>
      </c>
      <c r="EM292" s="239">
        <v>-3284</v>
      </c>
      <c r="EN292" s="239">
        <v>240</v>
      </c>
      <c r="EO292" s="239">
        <v>0</v>
      </c>
      <c r="EP292" s="239">
        <v>240</v>
      </c>
      <c r="EQ292" s="239">
        <v>-242447</v>
      </c>
      <c r="ER292" s="239">
        <v>0</v>
      </c>
      <c r="ES292" s="239">
        <v>-242447</v>
      </c>
      <c r="ET292" s="239">
        <v>0</v>
      </c>
      <c r="EU292" s="239">
        <v>0</v>
      </c>
      <c r="EV292" s="239">
        <v>0</v>
      </c>
      <c r="EW292" s="239">
        <v>0</v>
      </c>
      <c r="EX292" s="239">
        <v>0</v>
      </c>
      <c r="EY292" s="239">
        <v>0</v>
      </c>
      <c r="EZ292" s="239">
        <v>0</v>
      </c>
      <c r="FA292" s="239">
        <v>0</v>
      </c>
      <c r="FB292" s="239">
        <v>0</v>
      </c>
      <c r="FC292" s="239">
        <v>182087309</v>
      </c>
      <c r="FD292" s="239">
        <v>0</v>
      </c>
      <c r="FE292" s="239">
        <v>182087309</v>
      </c>
      <c r="FF292" s="239">
        <v>618462</v>
      </c>
      <c r="FG292" s="239">
        <v>0</v>
      </c>
      <c r="FH292" s="239">
        <v>618462</v>
      </c>
      <c r="FI292" s="239">
        <v>-5023385</v>
      </c>
      <c r="FJ292" s="239">
        <v>0</v>
      </c>
      <c r="FK292" s="239">
        <v>-5023385</v>
      </c>
      <c r="FL292" s="239">
        <v>-6865936</v>
      </c>
      <c r="FM292" s="239">
        <v>0</v>
      </c>
      <c r="FN292" s="239">
        <v>-6865936</v>
      </c>
      <c r="FO292" s="239">
        <v>-1057979</v>
      </c>
      <c r="FP292" s="239">
        <v>0</v>
      </c>
      <c r="FQ292" s="239">
        <v>-1057979</v>
      </c>
      <c r="FR292" s="239">
        <v>-242447</v>
      </c>
      <c r="FS292" s="239">
        <v>0</v>
      </c>
      <c r="FT292" s="239">
        <v>-242447</v>
      </c>
      <c r="FU292" s="239">
        <v>0</v>
      </c>
      <c r="FV292" s="239">
        <v>0</v>
      </c>
      <c r="FW292" s="239">
        <v>0</v>
      </c>
      <c r="FX292" s="239">
        <v>-12571285</v>
      </c>
      <c r="FY292" s="239">
        <v>0</v>
      </c>
      <c r="FZ292" s="239">
        <v>-12571285</v>
      </c>
      <c r="GA292" s="239">
        <v>169516024</v>
      </c>
      <c r="GB292" s="239">
        <v>0</v>
      </c>
      <c r="GC292" s="239">
        <v>169516024</v>
      </c>
      <c r="GD292" s="214" t="s">
        <v>1192</v>
      </c>
    </row>
    <row r="293" spans="2:186" s="214" customFormat="1" x14ac:dyDescent="0.2">
      <c r="B293" s="609" t="s">
        <v>668</v>
      </c>
      <c r="C293" s="609" t="s">
        <v>667</v>
      </c>
      <c r="D293" s="239">
        <v>0</v>
      </c>
      <c r="E293" s="239">
        <v>0</v>
      </c>
      <c r="F293" s="239">
        <v>0</v>
      </c>
      <c r="G293" s="239">
        <v>87052</v>
      </c>
      <c r="H293" s="239">
        <v>0</v>
      </c>
      <c r="I293" s="239">
        <v>87052</v>
      </c>
      <c r="J293" s="239">
        <v>0</v>
      </c>
      <c r="K293" s="239">
        <v>0</v>
      </c>
      <c r="L293" s="239">
        <v>0</v>
      </c>
      <c r="M293" s="239">
        <v>115400</v>
      </c>
      <c r="N293" s="239">
        <v>0</v>
      </c>
      <c r="O293" s="239">
        <v>115400</v>
      </c>
      <c r="P293" s="239">
        <v>202452</v>
      </c>
      <c r="Q293" s="239">
        <v>0</v>
      </c>
      <c r="R293" s="239">
        <v>202452</v>
      </c>
      <c r="S293" s="239">
        <v>-2228564</v>
      </c>
      <c r="T293" s="239">
        <v>0</v>
      </c>
      <c r="U293" s="239">
        <v>-2228564</v>
      </c>
      <c r="V293" s="239">
        <v>-2574</v>
      </c>
      <c r="W293" s="239">
        <v>0</v>
      </c>
      <c r="X293" s="239">
        <v>-2574</v>
      </c>
      <c r="Y293" s="239">
        <v>-116947</v>
      </c>
      <c r="Z293" s="239">
        <v>0</v>
      </c>
      <c r="AA293" s="239">
        <v>-116947</v>
      </c>
      <c r="AB293" s="239">
        <v>-69632</v>
      </c>
      <c r="AC293" s="239">
        <v>0</v>
      </c>
      <c r="AD293" s="239">
        <v>-69632</v>
      </c>
      <c r="AE293" s="239">
        <v>0</v>
      </c>
      <c r="AF293" s="239">
        <v>0</v>
      </c>
      <c r="AG293" s="239">
        <v>0</v>
      </c>
      <c r="AH293" s="239">
        <v>1443942</v>
      </c>
      <c r="AI293" s="239">
        <v>0</v>
      </c>
      <c r="AJ293" s="239">
        <v>1443942</v>
      </c>
      <c r="AK293" s="239">
        <v>-41491</v>
      </c>
      <c r="AL293" s="239">
        <v>0</v>
      </c>
      <c r="AM293" s="239">
        <v>-41491</v>
      </c>
      <c r="AN293" s="239">
        <v>-4292233</v>
      </c>
      <c r="AO293" s="239">
        <v>0</v>
      </c>
      <c r="AP293" s="239">
        <v>-4292233</v>
      </c>
      <c r="AQ293" s="239">
        <v>-18569</v>
      </c>
      <c r="AR293" s="239">
        <v>0</v>
      </c>
      <c r="AS293" s="239">
        <v>-18569</v>
      </c>
      <c r="AT293" s="239">
        <v>-27325</v>
      </c>
      <c r="AU293" s="239">
        <v>0</v>
      </c>
      <c r="AV293" s="239">
        <v>-27325</v>
      </c>
      <c r="AW293" s="239">
        <v>-2375</v>
      </c>
      <c r="AX293" s="239">
        <v>0</v>
      </c>
      <c r="AY293" s="239">
        <v>-2375</v>
      </c>
      <c r="AZ293" s="239">
        <v>-7424</v>
      </c>
      <c r="BA293" s="239">
        <v>0</v>
      </c>
      <c r="BB293" s="239">
        <v>-7424</v>
      </c>
      <c r="BC293" s="239">
        <v>939</v>
      </c>
      <c r="BD293" s="239">
        <v>0</v>
      </c>
      <c r="BE293" s="239">
        <v>939</v>
      </c>
      <c r="BF293" s="239">
        <v>-5290047</v>
      </c>
      <c r="BG293" s="239">
        <v>0</v>
      </c>
      <c r="BH293" s="239">
        <v>-5290047</v>
      </c>
      <c r="BI293" s="239">
        <v>0</v>
      </c>
      <c r="BJ293" s="239">
        <v>0</v>
      </c>
      <c r="BK293" s="239">
        <v>0</v>
      </c>
      <c r="BL293" s="239">
        <v>-5880</v>
      </c>
      <c r="BM293" s="239">
        <v>0</v>
      </c>
      <c r="BN293" s="239">
        <v>-5880</v>
      </c>
      <c r="BO293" s="239">
        <v>-1528140</v>
      </c>
      <c r="BP293" s="239">
        <v>0</v>
      </c>
      <c r="BQ293" s="239">
        <v>-1528140</v>
      </c>
      <c r="BR293" s="239">
        <v>-70575</v>
      </c>
      <c r="BS293" s="239">
        <v>0</v>
      </c>
      <c r="BT293" s="239">
        <v>-70575</v>
      </c>
      <c r="BU293" s="239">
        <v>-1604595</v>
      </c>
      <c r="BV293" s="239">
        <v>0</v>
      </c>
      <c r="BW293" s="239">
        <v>-1604595</v>
      </c>
      <c r="BX293" s="239">
        <v>-24878</v>
      </c>
      <c r="BY293" s="239">
        <v>0</v>
      </c>
      <c r="BZ293" s="239">
        <v>-24878</v>
      </c>
      <c r="CA293" s="239">
        <v>-354</v>
      </c>
      <c r="CB293" s="239">
        <v>0</v>
      </c>
      <c r="CC293" s="239">
        <v>-354</v>
      </c>
      <c r="CD293" s="239">
        <v>-12848</v>
      </c>
      <c r="CE293" s="239">
        <v>0</v>
      </c>
      <c r="CF293" s="239">
        <v>-12848</v>
      </c>
      <c r="CG293" s="239">
        <v>0</v>
      </c>
      <c r="CH293" s="239">
        <v>0</v>
      </c>
      <c r="CI293" s="239">
        <v>0</v>
      </c>
      <c r="CJ293" s="239">
        <v>-987</v>
      </c>
      <c r="CK293" s="239">
        <v>0</v>
      </c>
      <c r="CL293" s="239">
        <v>-987</v>
      </c>
      <c r="CM293" s="239">
        <v>0</v>
      </c>
      <c r="CN293" s="239">
        <v>0</v>
      </c>
      <c r="CO293" s="239">
        <v>0</v>
      </c>
      <c r="CP293" s="239">
        <v>-4541</v>
      </c>
      <c r="CQ293" s="239">
        <v>0</v>
      </c>
      <c r="CR293" s="239">
        <v>-4541</v>
      </c>
      <c r="CS293" s="239">
        <v>0</v>
      </c>
      <c r="CT293" s="239">
        <v>0</v>
      </c>
      <c r="CU293" s="239">
        <v>0</v>
      </c>
      <c r="CV293" s="239">
        <v>-21788</v>
      </c>
      <c r="CW293" s="239">
        <v>0</v>
      </c>
      <c r="CX293" s="239">
        <v>-21788</v>
      </c>
      <c r="CY293" s="239">
        <v>0</v>
      </c>
      <c r="CZ293" s="239">
        <v>0</v>
      </c>
      <c r="DA293" s="239">
        <v>0</v>
      </c>
      <c r="DB293" s="239">
        <v>0</v>
      </c>
      <c r="DC293" s="239">
        <v>0</v>
      </c>
      <c r="DD293" s="239">
        <v>0</v>
      </c>
      <c r="DE293" s="239">
        <v>0</v>
      </c>
      <c r="DF293" s="239">
        <v>0</v>
      </c>
      <c r="DG293" s="239">
        <v>0</v>
      </c>
      <c r="DH293" s="239">
        <v>0</v>
      </c>
      <c r="DI293" s="239">
        <v>0</v>
      </c>
      <c r="DJ293" s="239">
        <v>-65396</v>
      </c>
      <c r="DK293" s="239">
        <v>0</v>
      </c>
      <c r="DL293" s="239">
        <v>-65396</v>
      </c>
      <c r="DM293" s="239">
        <v>0</v>
      </c>
      <c r="DN293" s="239">
        <v>0</v>
      </c>
      <c r="DO293" s="239">
        <v>0</v>
      </c>
      <c r="DP293" s="239">
        <v>0</v>
      </c>
      <c r="DQ293" s="239">
        <v>0</v>
      </c>
      <c r="DR293" s="239">
        <v>0</v>
      </c>
      <c r="DS293" s="239">
        <v>-35982</v>
      </c>
      <c r="DT293" s="239">
        <v>0</v>
      </c>
      <c r="DU293" s="239">
        <v>-35982</v>
      </c>
      <c r="DV293" s="239">
        <v>-33220</v>
      </c>
      <c r="DW293" s="239">
        <v>0</v>
      </c>
      <c r="DX293" s="239">
        <v>-33220</v>
      </c>
      <c r="DY293" s="239">
        <v>0</v>
      </c>
      <c r="DZ293" s="239">
        <v>0</v>
      </c>
      <c r="EA293" s="239">
        <v>0</v>
      </c>
      <c r="EB293" s="239">
        <v>19605</v>
      </c>
      <c r="EC293" s="239">
        <v>0</v>
      </c>
      <c r="ED293" s="239">
        <v>19605</v>
      </c>
      <c r="EE293" s="239">
        <v>0</v>
      </c>
      <c r="EF293" s="239">
        <v>0</v>
      </c>
      <c r="EG293" s="239">
        <v>0</v>
      </c>
      <c r="EH293" s="239">
        <v>0</v>
      </c>
      <c r="EI293" s="239">
        <v>0</v>
      </c>
      <c r="EJ293" s="239">
        <v>0</v>
      </c>
      <c r="EK293" s="239">
        <v>-1918</v>
      </c>
      <c r="EL293" s="239">
        <v>0</v>
      </c>
      <c r="EM293" s="239">
        <v>-1918</v>
      </c>
      <c r="EN293" s="239">
        <v>0</v>
      </c>
      <c r="EO293" s="239">
        <v>0</v>
      </c>
      <c r="EP293" s="239">
        <v>0</v>
      </c>
      <c r="EQ293" s="239">
        <v>-51515</v>
      </c>
      <c r="ER293" s="239">
        <v>0</v>
      </c>
      <c r="ES293" s="239">
        <v>-51515</v>
      </c>
      <c r="ET293" s="239">
        <v>0</v>
      </c>
      <c r="EU293" s="239">
        <v>0</v>
      </c>
      <c r="EV293" s="239">
        <v>0</v>
      </c>
      <c r="EW293" s="239">
        <v>0</v>
      </c>
      <c r="EX293" s="239">
        <v>0</v>
      </c>
      <c r="EY293" s="239">
        <v>0</v>
      </c>
      <c r="EZ293" s="239">
        <v>0</v>
      </c>
      <c r="FA293" s="239">
        <v>0</v>
      </c>
      <c r="FB293" s="239">
        <v>0</v>
      </c>
      <c r="FC293" s="239">
        <v>59546463</v>
      </c>
      <c r="FD293" s="239">
        <v>0</v>
      </c>
      <c r="FE293" s="239">
        <v>59546463</v>
      </c>
      <c r="FF293" s="239">
        <v>202452</v>
      </c>
      <c r="FG293" s="239">
        <v>0</v>
      </c>
      <c r="FH293" s="239">
        <v>202452</v>
      </c>
      <c r="FI293" s="239">
        <v>-5290047</v>
      </c>
      <c r="FJ293" s="239">
        <v>0</v>
      </c>
      <c r="FK293" s="239">
        <v>-5290047</v>
      </c>
      <c r="FL293" s="239">
        <v>-1604595</v>
      </c>
      <c r="FM293" s="239">
        <v>0</v>
      </c>
      <c r="FN293" s="239">
        <v>-1604595</v>
      </c>
      <c r="FO293" s="239">
        <v>-65396</v>
      </c>
      <c r="FP293" s="239">
        <v>0</v>
      </c>
      <c r="FQ293" s="239">
        <v>-65396</v>
      </c>
      <c r="FR293" s="239">
        <v>-51515</v>
      </c>
      <c r="FS293" s="239">
        <v>0</v>
      </c>
      <c r="FT293" s="239">
        <v>-51515</v>
      </c>
      <c r="FU293" s="239">
        <v>0</v>
      </c>
      <c r="FV293" s="239">
        <v>0</v>
      </c>
      <c r="FW293" s="239">
        <v>0</v>
      </c>
      <c r="FX293" s="239">
        <v>-6809101</v>
      </c>
      <c r="FY293" s="239">
        <v>0</v>
      </c>
      <c r="FZ293" s="239">
        <v>-6809101</v>
      </c>
      <c r="GA293" s="239">
        <v>52737362</v>
      </c>
      <c r="GB293" s="239">
        <v>0</v>
      </c>
      <c r="GC293" s="239">
        <v>52737362</v>
      </c>
      <c r="GD293" s="214" t="s">
        <v>1190</v>
      </c>
    </row>
    <row r="294" spans="2:186" s="214" customFormat="1" x14ac:dyDescent="0.2">
      <c r="B294" s="609" t="s">
        <v>670</v>
      </c>
      <c r="C294" s="609" t="s">
        <v>669</v>
      </c>
      <c r="D294" s="239">
        <v>0</v>
      </c>
      <c r="E294" s="239">
        <v>0</v>
      </c>
      <c r="F294" s="239">
        <v>0</v>
      </c>
      <c r="G294" s="239">
        <v>10288</v>
      </c>
      <c r="H294" s="239">
        <v>0</v>
      </c>
      <c r="I294" s="239">
        <v>10288</v>
      </c>
      <c r="J294" s="239">
        <v>0</v>
      </c>
      <c r="K294" s="239">
        <v>0</v>
      </c>
      <c r="L294" s="239">
        <v>0</v>
      </c>
      <c r="M294" s="239">
        <v>466125</v>
      </c>
      <c r="N294" s="239">
        <v>0</v>
      </c>
      <c r="O294" s="239">
        <v>466125</v>
      </c>
      <c r="P294" s="239">
        <v>476413</v>
      </c>
      <c r="Q294" s="239">
        <v>0</v>
      </c>
      <c r="R294" s="239">
        <v>476413</v>
      </c>
      <c r="S294" s="239">
        <v>-2184257</v>
      </c>
      <c r="T294" s="239">
        <v>0</v>
      </c>
      <c r="U294" s="239">
        <v>-2184257</v>
      </c>
      <c r="V294" s="239">
        <v>-11199</v>
      </c>
      <c r="W294" s="239">
        <v>0</v>
      </c>
      <c r="X294" s="239">
        <v>-11199</v>
      </c>
      <c r="Y294" s="239">
        <v>-273383</v>
      </c>
      <c r="Z294" s="239">
        <v>0</v>
      </c>
      <c r="AA294" s="239">
        <v>-273383</v>
      </c>
      <c r="AB294" s="239">
        <v>-210227</v>
      </c>
      <c r="AC294" s="239">
        <v>0</v>
      </c>
      <c r="AD294" s="239">
        <v>-210227</v>
      </c>
      <c r="AE294" s="239">
        <v>-1566</v>
      </c>
      <c r="AF294" s="239">
        <v>0</v>
      </c>
      <c r="AG294" s="239">
        <v>-1566</v>
      </c>
      <c r="AH294" s="239">
        <v>1113368</v>
      </c>
      <c r="AI294" s="239">
        <v>0</v>
      </c>
      <c r="AJ294" s="239">
        <v>1113368</v>
      </c>
      <c r="AK294" s="239">
        <v>-224724</v>
      </c>
      <c r="AL294" s="239">
        <v>0</v>
      </c>
      <c r="AM294" s="239">
        <v>-224724</v>
      </c>
      <c r="AN294" s="239">
        <v>-1933096</v>
      </c>
      <c r="AO294" s="239">
        <v>0</v>
      </c>
      <c r="AP294" s="239">
        <v>-1933096</v>
      </c>
      <c r="AQ294" s="239">
        <v>2566</v>
      </c>
      <c r="AR294" s="239">
        <v>0</v>
      </c>
      <c r="AS294" s="239">
        <v>2566</v>
      </c>
      <c r="AT294" s="239">
        <v>-16282</v>
      </c>
      <c r="AU294" s="239">
        <v>0</v>
      </c>
      <c r="AV294" s="239">
        <v>-16282</v>
      </c>
      <c r="AW294" s="239">
        <v>0</v>
      </c>
      <c r="AX294" s="239">
        <v>0</v>
      </c>
      <c r="AY294" s="239">
        <v>0</v>
      </c>
      <c r="AZ294" s="239">
        <v>-48148</v>
      </c>
      <c r="BA294" s="239">
        <v>0</v>
      </c>
      <c r="BB294" s="239">
        <v>-48148</v>
      </c>
      <c r="BC294" s="239">
        <v>557</v>
      </c>
      <c r="BD294" s="239">
        <v>0</v>
      </c>
      <c r="BE294" s="239">
        <v>557</v>
      </c>
      <c r="BF294" s="239">
        <v>-3563399</v>
      </c>
      <c r="BG294" s="239">
        <v>0</v>
      </c>
      <c r="BH294" s="239">
        <v>-3563399</v>
      </c>
      <c r="BI294" s="239">
        <v>-78515</v>
      </c>
      <c r="BJ294" s="239">
        <v>0</v>
      </c>
      <c r="BK294" s="239">
        <v>-78515</v>
      </c>
      <c r="BL294" s="239">
        <v>658</v>
      </c>
      <c r="BM294" s="239">
        <v>0</v>
      </c>
      <c r="BN294" s="239">
        <v>658</v>
      </c>
      <c r="BO294" s="239">
        <v>-923224</v>
      </c>
      <c r="BP294" s="239">
        <v>0</v>
      </c>
      <c r="BQ294" s="239">
        <v>-923224</v>
      </c>
      <c r="BR294" s="239">
        <v>33122</v>
      </c>
      <c r="BS294" s="239">
        <v>0</v>
      </c>
      <c r="BT294" s="239">
        <v>33122</v>
      </c>
      <c r="BU294" s="239">
        <v>-967959</v>
      </c>
      <c r="BV294" s="239">
        <v>0</v>
      </c>
      <c r="BW294" s="239">
        <v>-967959</v>
      </c>
      <c r="BX294" s="239">
        <v>-46318</v>
      </c>
      <c r="BY294" s="239">
        <v>0</v>
      </c>
      <c r="BZ294" s="239">
        <v>-46318</v>
      </c>
      <c r="CA294" s="239">
        <v>90</v>
      </c>
      <c r="CB294" s="239">
        <v>0</v>
      </c>
      <c r="CC294" s="239">
        <v>90</v>
      </c>
      <c r="CD294" s="239">
        <v>-122536</v>
      </c>
      <c r="CE294" s="239">
        <v>0</v>
      </c>
      <c r="CF294" s="239">
        <v>-122536</v>
      </c>
      <c r="CG294" s="239">
        <v>72</v>
      </c>
      <c r="CH294" s="239">
        <v>0</v>
      </c>
      <c r="CI294" s="239">
        <v>72</v>
      </c>
      <c r="CJ294" s="239">
        <v>-169</v>
      </c>
      <c r="CK294" s="239">
        <v>0</v>
      </c>
      <c r="CL294" s="239">
        <v>-169</v>
      </c>
      <c r="CM294" s="239">
        <v>0</v>
      </c>
      <c r="CN294" s="239">
        <v>0</v>
      </c>
      <c r="CO294" s="239">
        <v>0</v>
      </c>
      <c r="CP294" s="239">
        <v>-44657</v>
      </c>
      <c r="CQ294" s="239">
        <v>0</v>
      </c>
      <c r="CR294" s="239">
        <v>-44657</v>
      </c>
      <c r="CS294" s="239">
        <v>272</v>
      </c>
      <c r="CT294" s="239">
        <v>0</v>
      </c>
      <c r="CU294" s="239">
        <v>272</v>
      </c>
      <c r="CV294" s="239">
        <v>-120451</v>
      </c>
      <c r="CW294" s="239">
        <v>0</v>
      </c>
      <c r="CX294" s="239">
        <v>-120451</v>
      </c>
      <c r="CY294" s="239">
        <v>-1929</v>
      </c>
      <c r="CZ294" s="239">
        <v>0</v>
      </c>
      <c r="DA294" s="239">
        <v>-1929</v>
      </c>
      <c r="DB294" s="239">
        <v>-56883</v>
      </c>
      <c r="DC294" s="239">
        <v>0</v>
      </c>
      <c r="DD294" s="239">
        <v>-56883</v>
      </c>
      <c r="DE294" s="239">
        <v>0</v>
      </c>
      <c r="DF294" s="239">
        <v>0</v>
      </c>
      <c r="DG294" s="239">
        <v>0</v>
      </c>
      <c r="DH294" s="239">
        <v>0</v>
      </c>
      <c r="DI294" s="239">
        <v>0</v>
      </c>
      <c r="DJ294" s="239">
        <v>-392509</v>
      </c>
      <c r="DK294" s="239">
        <v>0</v>
      </c>
      <c r="DL294" s="239">
        <v>-392509</v>
      </c>
      <c r="DM294" s="239">
        <v>-16052</v>
      </c>
      <c r="DN294" s="239">
        <v>0</v>
      </c>
      <c r="DO294" s="239">
        <v>-16052</v>
      </c>
      <c r="DP294" s="239">
        <v>-2217</v>
      </c>
      <c r="DQ294" s="239">
        <v>0</v>
      </c>
      <c r="DR294" s="239">
        <v>-2217</v>
      </c>
      <c r="DS294" s="239">
        <v>-5675</v>
      </c>
      <c r="DT294" s="239">
        <v>0</v>
      </c>
      <c r="DU294" s="239">
        <v>-5675</v>
      </c>
      <c r="DV294" s="239">
        <v>-8</v>
      </c>
      <c r="DW294" s="239">
        <v>0</v>
      </c>
      <c r="DX294" s="239">
        <v>-8</v>
      </c>
      <c r="DY294" s="239">
        <v>0</v>
      </c>
      <c r="DZ294" s="239">
        <v>0</v>
      </c>
      <c r="EA294" s="239">
        <v>0</v>
      </c>
      <c r="EB294" s="239">
        <v>2057</v>
      </c>
      <c r="EC294" s="239">
        <v>0</v>
      </c>
      <c r="ED294" s="239">
        <v>2057</v>
      </c>
      <c r="EE294" s="239">
        <v>0</v>
      </c>
      <c r="EF294" s="239">
        <v>0</v>
      </c>
      <c r="EG294" s="239">
        <v>0</v>
      </c>
      <c r="EH294" s="239">
        <v>0</v>
      </c>
      <c r="EI294" s="239">
        <v>0</v>
      </c>
      <c r="EJ294" s="239">
        <v>0</v>
      </c>
      <c r="EK294" s="239">
        <v>-512</v>
      </c>
      <c r="EL294" s="239">
        <v>0</v>
      </c>
      <c r="EM294" s="239">
        <v>-512</v>
      </c>
      <c r="EN294" s="239">
        <v>0</v>
      </c>
      <c r="EO294" s="239">
        <v>0</v>
      </c>
      <c r="EP294" s="239">
        <v>0</v>
      </c>
      <c r="EQ294" s="239">
        <v>-22407</v>
      </c>
      <c r="ER294" s="239">
        <v>0</v>
      </c>
      <c r="ES294" s="239">
        <v>-22407</v>
      </c>
      <c r="ET294" s="239">
        <v>0</v>
      </c>
      <c r="EU294" s="239">
        <v>0</v>
      </c>
      <c r="EV294" s="239">
        <v>0</v>
      </c>
      <c r="EW294" s="239">
        <v>0</v>
      </c>
      <c r="EX294" s="239">
        <v>0</v>
      </c>
      <c r="EY294" s="239">
        <v>0</v>
      </c>
      <c r="EZ294" s="239">
        <v>0</v>
      </c>
      <c r="FA294" s="239">
        <v>0</v>
      </c>
      <c r="FB294" s="239">
        <v>0</v>
      </c>
      <c r="FC294" s="239">
        <v>36932464</v>
      </c>
      <c r="FD294" s="239">
        <v>0</v>
      </c>
      <c r="FE294" s="239">
        <v>36932464</v>
      </c>
      <c r="FF294" s="239">
        <v>476413</v>
      </c>
      <c r="FG294" s="239">
        <v>0</v>
      </c>
      <c r="FH294" s="239">
        <v>476413</v>
      </c>
      <c r="FI294" s="239">
        <v>-3563399</v>
      </c>
      <c r="FJ294" s="239">
        <v>0</v>
      </c>
      <c r="FK294" s="239">
        <v>-3563399</v>
      </c>
      <c r="FL294" s="239">
        <v>-967959</v>
      </c>
      <c r="FM294" s="239">
        <v>0</v>
      </c>
      <c r="FN294" s="239">
        <v>-967959</v>
      </c>
      <c r="FO294" s="239">
        <v>-392509</v>
      </c>
      <c r="FP294" s="239">
        <v>0</v>
      </c>
      <c r="FQ294" s="239">
        <v>-392509</v>
      </c>
      <c r="FR294" s="239">
        <v>-22407</v>
      </c>
      <c r="FS294" s="239">
        <v>0</v>
      </c>
      <c r="FT294" s="239">
        <v>-22407</v>
      </c>
      <c r="FU294" s="239">
        <v>0</v>
      </c>
      <c r="FV294" s="239">
        <v>0</v>
      </c>
      <c r="FW294" s="239">
        <v>0</v>
      </c>
      <c r="FX294" s="239">
        <v>-4469861</v>
      </c>
      <c r="FY294" s="239">
        <v>0</v>
      </c>
      <c r="FZ294" s="239">
        <v>-4469861</v>
      </c>
      <c r="GA294" s="239">
        <v>32462603</v>
      </c>
      <c r="GB294" s="239">
        <v>0</v>
      </c>
      <c r="GC294" s="239">
        <v>32462603</v>
      </c>
      <c r="GD294" s="214" t="s">
        <v>1190</v>
      </c>
    </row>
    <row r="295" spans="2:186" s="214" customFormat="1" x14ac:dyDescent="0.2">
      <c r="B295" s="609" t="s">
        <v>672</v>
      </c>
      <c r="C295" s="609" t="s">
        <v>671</v>
      </c>
      <c r="D295" s="239">
        <v>0</v>
      </c>
      <c r="E295" s="239">
        <v>0</v>
      </c>
      <c r="F295" s="239">
        <v>0</v>
      </c>
      <c r="G295" s="239">
        <v>595</v>
      </c>
      <c r="H295" s="239">
        <v>0</v>
      </c>
      <c r="I295" s="239">
        <v>595</v>
      </c>
      <c r="J295" s="239">
        <v>0</v>
      </c>
      <c r="K295" s="239">
        <v>0</v>
      </c>
      <c r="L295" s="239">
        <v>0</v>
      </c>
      <c r="M295" s="239">
        <v>102134</v>
      </c>
      <c r="N295" s="239">
        <v>0</v>
      </c>
      <c r="O295" s="239">
        <v>102134</v>
      </c>
      <c r="P295" s="239">
        <v>102729</v>
      </c>
      <c r="Q295" s="239">
        <v>0</v>
      </c>
      <c r="R295" s="239">
        <v>102729</v>
      </c>
      <c r="S295" s="239">
        <v>-1728345</v>
      </c>
      <c r="T295" s="239">
        <v>-41155</v>
      </c>
      <c r="U295" s="239">
        <v>-1769500</v>
      </c>
      <c r="V295" s="239">
        <v>-2267</v>
      </c>
      <c r="W295" s="239">
        <v>0</v>
      </c>
      <c r="X295" s="239">
        <v>-2267</v>
      </c>
      <c r="Y295" s="239">
        <v>-86264</v>
      </c>
      <c r="Z295" s="239">
        <v>-569</v>
      </c>
      <c r="AA295" s="239">
        <v>-86833</v>
      </c>
      <c r="AB295" s="239">
        <v>-63438</v>
      </c>
      <c r="AC295" s="239">
        <v>-569</v>
      </c>
      <c r="AD295" s="239">
        <v>-64007</v>
      </c>
      <c r="AE295" s="239">
        <v>0</v>
      </c>
      <c r="AF295" s="239">
        <v>0</v>
      </c>
      <c r="AG295" s="239">
        <v>0</v>
      </c>
      <c r="AH295" s="239">
        <v>1593196</v>
      </c>
      <c r="AI295" s="239">
        <v>90185</v>
      </c>
      <c r="AJ295" s="239">
        <v>1683381</v>
      </c>
      <c r="AK295" s="239">
        <v>-25679</v>
      </c>
      <c r="AL295" s="239">
        <v>8651</v>
      </c>
      <c r="AM295" s="239">
        <v>-17028</v>
      </c>
      <c r="AN295" s="239">
        <v>-7142026</v>
      </c>
      <c r="AO295" s="239">
        <v>-208283</v>
      </c>
      <c r="AP295" s="239">
        <v>-7350309</v>
      </c>
      <c r="AQ295" s="239">
        <v>-66864</v>
      </c>
      <c r="AR295" s="239">
        <v>-89193</v>
      </c>
      <c r="AS295" s="239">
        <v>-156057</v>
      </c>
      <c r="AT295" s="239">
        <v>-98410</v>
      </c>
      <c r="AU295" s="239">
        <v>0</v>
      </c>
      <c r="AV295" s="239">
        <v>-98410</v>
      </c>
      <c r="AW295" s="239">
        <v>-2427</v>
      </c>
      <c r="AX295" s="239">
        <v>0</v>
      </c>
      <c r="AY295" s="239">
        <v>-2427</v>
      </c>
      <c r="AZ295" s="239">
        <v>-37071</v>
      </c>
      <c r="BA295" s="239">
        <v>0</v>
      </c>
      <c r="BB295" s="239">
        <v>-37071</v>
      </c>
      <c r="BC295" s="239">
        <v>5877</v>
      </c>
      <c r="BD295" s="239">
        <v>0</v>
      </c>
      <c r="BE295" s="239">
        <v>5877</v>
      </c>
      <c r="BF295" s="239">
        <v>-7588013</v>
      </c>
      <c r="BG295" s="239">
        <v>-240364</v>
      </c>
      <c r="BH295" s="239">
        <v>-7828377</v>
      </c>
      <c r="BI295" s="239">
        <v>0</v>
      </c>
      <c r="BJ295" s="239">
        <v>0</v>
      </c>
      <c r="BK295" s="239">
        <v>0</v>
      </c>
      <c r="BL295" s="239">
        <v>0</v>
      </c>
      <c r="BM295" s="239">
        <v>0</v>
      </c>
      <c r="BN295" s="239">
        <v>0</v>
      </c>
      <c r="BO295" s="239">
        <v>-1415528</v>
      </c>
      <c r="BP295" s="239">
        <v>-181889</v>
      </c>
      <c r="BQ295" s="239">
        <v>-1597417</v>
      </c>
      <c r="BR295" s="239">
        <v>114350</v>
      </c>
      <c r="BS295" s="239">
        <v>-15338</v>
      </c>
      <c r="BT295" s="239">
        <v>99012</v>
      </c>
      <c r="BU295" s="239">
        <v>-1301178</v>
      </c>
      <c r="BV295" s="239">
        <v>-197227</v>
      </c>
      <c r="BW295" s="239">
        <v>-1498405</v>
      </c>
      <c r="BX295" s="239">
        <v>-158233</v>
      </c>
      <c r="BY295" s="239">
        <v>-283</v>
      </c>
      <c r="BZ295" s="239">
        <v>-158516</v>
      </c>
      <c r="CA295" s="239">
        <v>1961</v>
      </c>
      <c r="CB295" s="239">
        <v>0</v>
      </c>
      <c r="CC295" s="239">
        <v>1961</v>
      </c>
      <c r="CD295" s="239">
        <v>-8092</v>
      </c>
      <c r="CE295" s="239">
        <v>0</v>
      </c>
      <c r="CF295" s="239">
        <v>-8092</v>
      </c>
      <c r="CG295" s="239">
        <v>0</v>
      </c>
      <c r="CH295" s="239">
        <v>0</v>
      </c>
      <c r="CI295" s="239">
        <v>0</v>
      </c>
      <c r="CJ295" s="239">
        <v>-6151</v>
      </c>
      <c r="CK295" s="239">
        <v>0</v>
      </c>
      <c r="CL295" s="239">
        <v>-6151</v>
      </c>
      <c r="CM295" s="239">
        <v>-152</v>
      </c>
      <c r="CN295" s="239">
        <v>0</v>
      </c>
      <c r="CO295" s="239">
        <v>-152</v>
      </c>
      <c r="CP295" s="239">
        <v>-15021</v>
      </c>
      <c r="CQ295" s="239">
        <v>0</v>
      </c>
      <c r="CR295" s="239">
        <v>-15021</v>
      </c>
      <c r="CS295" s="239">
        <v>0</v>
      </c>
      <c r="CT295" s="239">
        <v>0</v>
      </c>
      <c r="CU295" s="239">
        <v>0</v>
      </c>
      <c r="CV295" s="239">
        <v>0</v>
      </c>
      <c r="CW295" s="239">
        <v>0</v>
      </c>
      <c r="CX295" s="239">
        <v>0</v>
      </c>
      <c r="CY295" s="239">
        <v>0</v>
      </c>
      <c r="CZ295" s="239">
        <v>0</v>
      </c>
      <c r="DA295" s="239">
        <v>0</v>
      </c>
      <c r="DB295" s="239">
        <v>0</v>
      </c>
      <c r="DC295" s="239">
        <v>-694514</v>
      </c>
      <c r="DD295" s="239">
        <v>-694514</v>
      </c>
      <c r="DE295" s="239">
        <v>0</v>
      </c>
      <c r="DF295" s="239">
        <v>-273933</v>
      </c>
      <c r="DG295" s="239">
        <v>-273933</v>
      </c>
      <c r="DH295" s="239">
        <v>-968447</v>
      </c>
      <c r="DI295" s="239">
        <v>0</v>
      </c>
      <c r="DJ295" s="239">
        <v>-185688</v>
      </c>
      <c r="DK295" s="239">
        <v>-968730</v>
      </c>
      <c r="DL295" s="239">
        <v>-1154418</v>
      </c>
      <c r="DM295" s="239">
        <v>0</v>
      </c>
      <c r="DN295" s="239">
        <v>0</v>
      </c>
      <c r="DO295" s="239">
        <v>0</v>
      </c>
      <c r="DP295" s="239">
        <v>0</v>
      </c>
      <c r="DQ295" s="239">
        <v>0</v>
      </c>
      <c r="DR295" s="239">
        <v>0</v>
      </c>
      <c r="DS295" s="239">
        <v>-10306</v>
      </c>
      <c r="DT295" s="239">
        <v>0</v>
      </c>
      <c r="DU295" s="239">
        <v>-10306</v>
      </c>
      <c r="DV295" s="239">
        <v>-55265</v>
      </c>
      <c r="DW295" s="239">
        <v>0</v>
      </c>
      <c r="DX295" s="239">
        <v>-55265</v>
      </c>
      <c r="DY295" s="239">
        <v>0</v>
      </c>
      <c r="DZ295" s="239">
        <v>0</v>
      </c>
      <c r="EA295" s="239">
        <v>0</v>
      </c>
      <c r="EB295" s="239">
        <v>-6227</v>
      </c>
      <c r="EC295" s="239">
        <v>0</v>
      </c>
      <c r="ED295" s="239">
        <v>-6227</v>
      </c>
      <c r="EE295" s="239">
        <v>0</v>
      </c>
      <c r="EF295" s="239">
        <v>0</v>
      </c>
      <c r="EG295" s="239">
        <v>0</v>
      </c>
      <c r="EH295" s="239">
        <v>0</v>
      </c>
      <c r="EI295" s="239">
        <v>0</v>
      </c>
      <c r="EJ295" s="239">
        <v>0</v>
      </c>
      <c r="EK295" s="239">
        <v>-4093</v>
      </c>
      <c r="EL295" s="239">
        <v>0</v>
      </c>
      <c r="EM295" s="239">
        <v>-4093</v>
      </c>
      <c r="EN295" s="239">
        <v>0</v>
      </c>
      <c r="EO295" s="239">
        <v>0</v>
      </c>
      <c r="EP295" s="239">
        <v>0</v>
      </c>
      <c r="EQ295" s="239">
        <v>-75891</v>
      </c>
      <c r="ER295" s="239">
        <v>0</v>
      </c>
      <c r="ES295" s="239">
        <v>-75891</v>
      </c>
      <c r="ET295" s="239">
        <v>0</v>
      </c>
      <c r="EU295" s="239">
        <v>0</v>
      </c>
      <c r="EV295" s="239">
        <v>0</v>
      </c>
      <c r="EW295" s="239">
        <v>0</v>
      </c>
      <c r="EX295" s="239">
        <v>0</v>
      </c>
      <c r="EY295" s="239">
        <v>0</v>
      </c>
      <c r="EZ295" s="239">
        <v>0</v>
      </c>
      <c r="FA295" s="239">
        <v>0</v>
      </c>
      <c r="FB295" s="239">
        <v>0</v>
      </c>
      <c r="FC295" s="239">
        <v>64534251</v>
      </c>
      <c r="FD295" s="239">
        <v>3965486</v>
      </c>
      <c r="FE295" s="239">
        <v>68499737</v>
      </c>
      <c r="FF295" s="239">
        <v>102729</v>
      </c>
      <c r="FG295" s="239">
        <v>0</v>
      </c>
      <c r="FH295" s="239">
        <v>102729</v>
      </c>
      <c r="FI295" s="239">
        <v>-7588013</v>
      </c>
      <c r="FJ295" s="239">
        <v>-240364</v>
      </c>
      <c r="FK295" s="239">
        <v>-7828377</v>
      </c>
      <c r="FL295" s="239">
        <v>-1301178</v>
      </c>
      <c r="FM295" s="239">
        <v>-197227</v>
      </c>
      <c r="FN295" s="239">
        <v>-1498405</v>
      </c>
      <c r="FO295" s="239">
        <v>-185688</v>
      </c>
      <c r="FP295" s="239">
        <v>-968730</v>
      </c>
      <c r="FQ295" s="239">
        <v>-1154418</v>
      </c>
      <c r="FR295" s="239">
        <v>-75891</v>
      </c>
      <c r="FS295" s="239">
        <v>0</v>
      </c>
      <c r="FT295" s="239">
        <v>-75891</v>
      </c>
      <c r="FU295" s="239">
        <v>0</v>
      </c>
      <c r="FV295" s="239">
        <v>0</v>
      </c>
      <c r="FW295" s="239">
        <v>0</v>
      </c>
      <c r="FX295" s="239">
        <v>-9048041</v>
      </c>
      <c r="FY295" s="239">
        <v>-1406321</v>
      </c>
      <c r="FZ295" s="239">
        <v>-10454362</v>
      </c>
      <c r="GA295" s="239">
        <v>55486210</v>
      </c>
      <c r="GB295" s="239">
        <v>2559165</v>
      </c>
      <c r="GC295" s="239">
        <v>58045375</v>
      </c>
      <c r="GD295" s="214" t="s">
        <v>1190</v>
      </c>
    </row>
    <row r="296" spans="2:186" s="214" customFormat="1" x14ac:dyDescent="0.2">
      <c r="B296" s="609" t="s">
        <v>674</v>
      </c>
      <c r="C296" s="609" t="s">
        <v>673</v>
      </c>
      <c r="D296" s="239">
        <v>0</v>
      </c>
      <c r="E296" s="239">
        <v>0</v>
      </c>
      <c r="F296" s="239">
        <v>0</v>
      </c>
      <c r="G296" s="239">
        <v>-94239</v>
      </c>
      <c r="H296" s="239">
        <v>0</v>
      </c>
      <c r="I296" s="239">
        <v>-94239</v>
      </c>
      <c r="J296" s="239">
        <v>0</v>
      </c>
      <c r="K296" s="239">
        <v>0</v>
      </c>
      <c r="L296" s="239">
        <v>0</v>
      </c>
      <c r="M296" s="239">
        <v>162433</v>
      </c>
      <c r="N296" s="239">
        <v>0</v>
      </c>
      <c r="O296" s="239">
        <v>162433</v>
      </c>
      <c r="P296" s="239">
        <v>68194</v>
      </c>
      <c r="Q296" s="239">
        <v>0</v>
      </c>
      <c r="R296" s="239">
        <v>68194</v>
      </c>
      <c r="S296" s="239">
        <v>-8204154</v>
      </c>
      <c r="T296" s="239">
        <v>0</v>
      </c>
      <c r="U296" s="239">
        <v>-8204154</v>
      </c>
      <c r="V296" s="239">
        <v>-5000</v>
      </c>
      <c r="W296" s="239">
        <v>0</v>
      </c>
      <c r="X296" s="239">
        <v>-5000</v>
      </c>
      <c r="Y296" s="239">
        <v>-292845</v>
      </c>
      <c r="Z296" s="239">
        <v>0</v>
      </c>
      <c r="AA296" s="239">
        <v>-292845</v>
      </c>
      <c r="AB296" s="239">
        <v>-202950</v>
      </c>
      <c r="AC296" s="239">
        <v>0</v>
      </c>
      <c r="AD296" s="239">
        <v>-202950</v>
      </c>
      <c r="AE296" s="239">
        <v>-500</v>
      </c>
      <c r="AF296" s="239">
        <v>0</v>
      </c>
      <c r="AG296" s="239">
        <v>-500</v>
      </c>
      <c r="AH296" s="239">
        <v>3488962</v>
      </c>
      <c r="AI296" s="239">
        <v>0</v>
      </c>
      <c r="AJ296" s="239">
        <v>3488962</v>
      </c>
      <c r="AK296" s="239">
        <v>-71354</v>
      </c>
      <c r="AL296" s="239">
        <v>0</v>
      </c>
      <c r="AM296" s="239">
        <v>-71354</v>
      </c>
      <c r="AN296" s="239">
        <v>-7452163</v>
      </c>
      <c r="AO296" s="239">
        <v>0</v>
      </c>
      <c r="AP296" s="239">
        <v>-7452163</v>
      </c>
      <c r="AQ296" s="239">
        <v>-384282</v>
      </c>
      <c r="AR296" s="239">
        <v>0</v>
      </c>
      <c r="AS296" s="239">
        <v>-384282</v>
      </c>
      <c r="AT296" s="239">
        <v>-73375</v>
      </c>
      <c r="AU296" s="239">
        <v>0</v>
      </c>
      <c r="AV296" s="239">
        <v>-73375</v>
      </c>
      <c r="AW296" s="239">
        <v>0</v>
      </c>
      <c r="AX296" s="239">
        <v>0</v>
      </c>
      <c r="AY296" s="239">
        <v>0</v>
      </c>
      <c r="AZ296" s="239">
        <v>-6572</v>
      </c>
      <c r="BA296" s="239">
        <v>0</v>
      </c>
      <c r="BB296" s="239">
        <v>-6572</v>
      </c>
      <c r="BC296" s="239">
        <v>0</v>
      </c>
      <c r="BD296" s="239">
        <v>0</v>
      </c>
      <c r="BE296" s="239">
        <v>0</v>
      </c>
      <c r="BF296" s="239">
        <v>-12995783</v>
      </c>
      <c r="BG296" s="239">
        <v>0</v>
      </c>
      <c r="BH296" s="239">
        <v>-12995783</v>
      </c>
      <c r="BI296" s="239">
        <v>-67766</v>
      </c>
      <c r="BJ296" s="239">
        <v>0</v>
      </c>
      <c r="BK296" s="239">
        <v>-67766</v>
      </c>
      <c r="BL296" s="239">
        <v>7775</v>
      </c>
      <c r="BM296" s="239">
        <v>0</v>
      </c>
      <c r="BN296" s="239">
        <v>7775</v>
      </c>
      <c r="BO296" s="239">
        <v>-4679217</v>
      </c>
      <c r="BP296" s="239">
        <v>0</v>
      </c>
      <c r="BQ296" s="239">
        <v>-4679217</v>
      </c>
      <c r="BR296" s="239">
        <v>93372</v>
      </c>
      <c r="BS296" s="239">
        <v>0</v>
      </c>
      <c r="BT296" s="239">
        <v>93372</v>
      </c>
      <c r="BU296" s="239">
        <v>-4645836</v>
      </c>
      <c r="BV296" s="239">
        <v>0</v>
      </c>
      <c r="BW296" s="239">
        <v>-4645836</v>
      </c>
      <c r="BX296" s="239">
        <v>-803316</v>
      </c>
      <c r="BY296" s="239">
        <v>0</v>
      </c>
      <c r="BZ296" s="239">
        <v>-803316</v>
      </c>
      <c r="CA296" s="239">
        <v>-620</v>
      </c>
      <c r="CB296" s="239">
        <v>0</v>
      </c>
      <c r="CC296" s="239">
        <v>-620</v>
      </c>
      <c r="CD296" s="239">
        <v>-453822</v>
      </c>
      <c r="CE296" s="239">
        <v>0</v>
      </c>
      <c r="CF296" s="239">
        <v>-453822</v>
      </c>
      <c r="CG296" s="239">
        <v>-7166</v>
      </c>
      <c r="CH296" s="239">
        <v>0</v>
      </c>
      <c r="CI296" s="239">
        <v>-7166</v>
      </c>
      <c r="CJ296" s="239">
        <v>-11783</v>
      </c>
      <c r="CK296" s="239">
        <v>0</v>
      </c>
      <c r="CL296" s="239">
        <v>-11783</v>
      </c>
      <c r="CM296" s="239">
        <v>0</v>
      </c>
      <c r="CN296" s="239">
        <v>0</v>
      </c>
      <c r="CO296" s="239">
        <v>0</v>
      </c>
      <c r="CP296" s="239">
        <v>0</v>
      </c>
      <c r="CQ296" s="239">
        <v>0</v>
      </c>
      <c r="CR296" s="239">
        <v>0</v>
      </c>
      <c r="CS296" s="239">
        <v>0</v>
      </c>
      <c r="CT296" s="239">
        <v>0</v>
      </c>
      <c r="CU296" s="239">
        <v>0</v>
      </c>
      <c r="CV296" s="239">
        <v>0</v>
      </c>
      <c r="CW296" s="239">
        <v>0</v>
      </c>
      <c r="CX296" s="239">
        <v>0</v>
      </c>
      <c r="CY296" s="239">
        <v>0</v>
      </c>
      <c r="CZ296" s="239">
        <v>0</v>
      </c>
      <c r="DA296" s="239">
        <v>0</v>
      </c>
      <c r="DB296" s="239">
        <v>0</v>
      </c>
      <c r="DC296" s="239">
        <v>0</v>
      </c>
      <c r="DD296" s="239">
        <v>0</v>
      </c>
      <c r="DE296" s="239">
        <v>0</v>
      </c>
      <c r="DF296" s="239">
        <v>0</v>
      </c>
      <c r="DG296" s="239">
        <v>0</v>
      </c>
      <c r="DH296" s="239">
        <v>0</v>
      </c>
      <c r="DI296" s="239">
        <v>0</v>
      </c>
      <c r="DJ296" s="239">
        <v>-1276707</v>
      </c>
      <c r="DK296" s="239">
        <v>0</v>
      </c>
      <c r="DL296" s="239">
        <v>-1276707</v>
      </c>
      <c r="DM296" s="239">
        <v>0</v>
      </c>
      <c r="DN296" s="239">
        <v>0</v>
      </c>
      <c r="DO296" s="239">
        <v>0</v>
      </c>
      <c r="DP296" s="239">
        <v>0</v>
      </c>
      <c r="DQ296" s="239">
        <v>0</v>
      </c>
      <c r="DR296" s="239">
        <v>0</v>
      </c>
      <c r="DS296" s="239">
        <v>-71805</v>
      </c>
      <c r="DT296" s="239">
        <v>0</v>
      </c>
      <c r="DU296" s="239">
        <v>-71805</v>
      </c>
      <c r="DV296" s="239">
        <v>0</v>
      </c>
      <c r="DW296" s="239">
        <v>0</v>
      </c>
      <c r="DX296" s="239">
        <v>0</v>
      </c>
      <c r="DY296" s="239">
        <v>0</v>
      </c>
      <c r="DZ296" s="239">
        <v>0</v>
      </c>
      <c r="EA296" s="239">
        <v>0</v>
      </c>
      <c r="EB296" s="239">
        <v>0</v>
      </c>
      <c r="EC296" s="239">
        <v>0</v>
      </c>
      <c r="ED296" s="239">
        <v>0</v>
      </c>
      <c r="EE296" s="239">
        <v>0</v>
      </c>
      <c r="EF296" s="239">
        <v>0</v>
      </c>
      <c r="EG296" s="239">
        <v>0</v>
      </c>
      <c r="EH296" s="239">
        <v>0</v>
      </c>
      <c r="EI296" s="239">
        <v>0</v>
      </c>
      <c r="EJ296" s="239">
        <v>0</v>
      </c>
      <c r="EK296" s="239">
        <v>-14760</v>
      </c>
      <c r="EL296" s="239">
        <v>0</v>
      </c>
      <c r="EM296" s="239">
        <v>-14760</v>
      </c>
      <c r="EN296" s="239">
        <v>0</v>
      </c>
      <c r="EO296" s="239">
        <v>0</v>
      </c>
      <c r="EP296" s="239">
        <v>0</v>
      </c>
      <c r="EQ296" s="239">
        <v>-86565</v>
      </c>
      <c r="ER296" s="239">
        <v>0</v>
      </c>
      <c r="ES296" s="239">
        <v>-86565</v>
      </c>
      <c r="ET296" s="239">
        <v>0</v>
      </c>
      <c r="EU296" s="239">
        <v>0</v>
      </c>
      <c r="EV296" s="239">
        <v>0</v>
      </c>
      <c r="EW296" s="239">
        <v>0</v>
      </c>
      <c r="EX296" s="239">
        <v>0</v>
      </c>
      <c r="EY296" s="239">
        <v>0</v>
      </c>
      <c r="EZ296" s="239">
        <v>0</v>
      </c>
      <c r="FA296" s="239">
        <v>0</v>
      </c>
      <c r="FB296" s="239">
        <v>0</v>
      </c>
      <c r="FC296" s="239">
        <v>146868937</v>
      </c>
      <c r="FD296" s="239">
        <v>0</v>
      </c>
      <c r="FE296" s="239">
        <v>146868937</v>
      </c>
      <c r="FF296" s="239">
        <v>68194</v>
      </c>
      <c r="FG296" s="239">
        <v>0</v>
      </c>
      <c r="FH296" s="239">
        <v>68194</v>
      </c>
      <c r="FI296" s="239">
        <v>-12995783</v>
      </c>
      <c r="FJ296" s="239">
        <v>0</v>
      </c>
      <c r="FK296" s="239">
        <v>-12995783</v>
      </c>
      <c r="FL296" s="239">
        <v>-4645836</v>
      </c>
      <c r="FM296" s="239">
        <v>0</v>
      </c>
      <c r="FN296" s="239">
        <v>-4645836</v>
      </c>
      <c r="FO296" s="239">
        <v>-1276707</v>
      </c>
      <c r="FP296" s="239">
        <v>0</v>
      </c>
      <c r="FQ296" s="239">
        <v>-1276707</v>
      </c>
      <c r="FR296" s="239">
        <v>-86565</v>
      </c>
      <c r="FS296" s="239">
        <v>0</v>
      </c>
      <c r="FT296" s="239">
        <v>-86565</v>
      </c>
      <c r="FU296" s="239">
        <v>0</v>
      </c>
      <c r="FV296" s="239">
        <v>0</v>
      </c>
      <c r="FW296" s="239">
        <v>0</v>
      </c>
      <c r="FX296" s="239">
        <v>-18936697</v>
      </c>
      <c r="FY296" s="239">
        <v>0</v>
      </c>
      <c r="FZ296" s="239">
        <v>-18936697</v>
      </c>
      <c r="GA296" s="239">
        <v>127932240</v>
      </c>
      <c r="GB296" s="239">
        <v>0</v>
      </c>
      <c r="GC296" s="239">
        <v>127932240</v>
      </c>
      <c r="GD296" s="214" t="s">
        <v>1192</v>
      </c>
    </row>
    <row r="297" spans="2:186" s="214" customFormat="1" x14ac:dyDescent="0.2">
      <c r="B297" s="609" t="s">
        <v>676</v>
      </c>
      <c r="C297" s="609" t="s">
        <v>675</v>
      </c>
      <c r="D297" s="239">
        <v>0</v>
      </c>
      <c r="E297" s="239">
        <v>0</v>
      </c>
      <c r="F297" s="239">
        <v>0</v>
      </c>
      <c r="G297" s="239">
        <v>120307</v>
      </c>
      <c r="H297" s="239">
        <v>0</v>
      </c>
      <c r="I297" s="239">
        <v>120307</v>
      </c>
      <c r="J297" s="239">
        <v>0</v>
      </c>
      <c r="K297" s="239">
        <v>0</v>
      </c>
      <c r="L297" s="239">
        <v>0</v>
      </c>
      <c r="M297" s="239">
        <v>-14600</v>
      </c>
      <c r="N297" s="239">
        <v>0</v>
      </c>
      <c r="O297" s="239">
        <v>-14600</v>
      </c>
      <c r="P297" s="239">
        <v>105707</v>
      </c>
      <c r="Q297" s="239">
        <v>0</v>
      </c>
      <c r="R297" s="239">
        <v>105707</v>
      </c>
      <c r="S297" s="239">
        <v>-6131360</v>
      </c>
      <c r="T297" s="239">
        <v>-907</v>
      </c>
      <c r="U297" s="239">
        <v>-6132267</v>
      </c>
      <c r="V297" s="239">
        <v>-26488</v>
      </c>
      <c r="W297" s="239">
        <v>0</v>
      </c>
      <c r="X297" s="239">
        <v>-26488</v>
      </c>
      <c r="Y297" s="239">
        <v>-252255</v>
      </c>
      <c r="Z297" s="239">
        <v>0</v>
      </c>
      <c r="AA297" s="239">
        <v>-252255</v>
      </c>
      <c r="AB297" s="239">
        <v>-177131</v>
      </c>
      <c r="AC297" s="239">
        <v>0</v>
      </c>
      <c r="AD297" s="239">
        <v>-177131</v>
      </c>
      <c r="AE297" s="239">
        <v>1342</v>
      </c>
      <c r="AF297" s="239">
        <v>0</v>
      </c>
      <c r="AG297" s="239">
        <v>1342</v>
      </c>
      <c r="AH297" s="239">
        <v>1865724</v>
      </c>
      <c r="AI297" s="239">
        <v>6562</v>
      </c>
      <c r="AJ297" s="239">
        <v>1872286</v>
      </c>
      <c r="AK297" s="239">
        <v>-25536</v>
      </c>
      <c r="AL297" s="239">
        <v>1</v>
      </c>
      <c r="AM297" s="239">
        <v>-25535</v>
      </c>
      <c r="AN297" s="239">
        <v>-4970911</v>
      </c>
      <c r="AO297" s="239">
        <v>0</v>
      </c>
      <c r="AP297" s="239">
        <v>-4970911</v>
      </c>
      <c r="AQ297" s="239">
        <v>-15237</v>
      </c>
      <c r="AR297" s="239">
        <v>0</v>
      </c>
      <c r="AS297" s="239">
        <v>-15237</v>
      </c>
      <c r="AT297" s="239">
        <v>-44783</v>
      </c>
      <c r="AU297" s="239">
        <v>0</v>
      </c>
      <c r="AV297" s="239">
        <v>-44783</v>
      </c>
      <c r="AW297" s="239">
        <v>-3628</v>
      </c>
      <c r="AX297" s="239">
        <v>0</v>
      </c>
      <c r="AY297" s="239">
        <v>-3628</v>
      </c>
      <c r="AZ297" s="239">
        <v>0</v>
      </c>
      <c r="BA297" s="239">
        <v>0</v>
      </c>
      <c r="BB297" s="239">
        <v>0</v>
      </c>
      <c r="BC297" s="239">
        <v>0</v>
      </c>
      <c r="BD297" s="239">
        <v>0</v>
      </c>
      <c r="BE297" s="239">
        <v>0</v>
      </c>
      <c r="BF297" s="239">
        <v>-9577986</v>
      </c>
      <c r="BG297" s="239">
        <v>5656</v>
      </c>
      <c r="BH297" s="239">
        <v>-9572330</v>
      </c>
      <c r="BI297" s="239">
        <v>-20052</v>
      </c>
      <c r="BJ297" s="239">
        <v>0</v>
      </c>
      <c r="BK297" s="239">
        <v>-20052</v>
      </c>
      <c r="BL297" s="239">
        <v>-2175</v>
      </c>
      <c r="BM297" s="239">
        <v>0</v>
      </c>
      <c r="BN297" s="239">
        <v>-2175</v>
      </c>
      <c r="BO297" s="239">
        <v>-2869423</v>
      </c>
      <c r="BP297" s="239">
        <v>0</v>
      </c>
      <c r="BQ297" s="239">
        <v>-2869423</v>
      </c>
      <c r="BR297" s="239">
        <v>-14728</v>
      </c>
      <c r="BS297" s="239">
        <v>-1</v>
      </c>
      <c r="BT297" s="239">
        <v>-14729</v>
      </c>
      <c r="BU297" s="239">
        <v>-2906378</v>
      </c>
      <c r="BV297" s="239">
        <v>-1</v>
      </c>
      <c r="BW297" s="239">
        <v>-2906379</v>
      </c>
      <c r="BX297" s="239">
        <v>-149489</v>
      </c>
      <c r="BY297" s="239">
        <v>0</v>
      </c>
      <c r="BZ297" s="239">
        <v>-149489</v>
      </c>
      <c r="CA297" s="239">
        <v>1033</v>
      </c>
      <c r="CB297" s="239">
        <v>0</v>
      </c>
      <c r="CC297" s="239">
        <v>1033</v>
      </c>
      <c r="CD297" s="239">
        <v>-46004</v>
      </c>
      <c r="CE297" s="239">
        <v>0</v>
      </c>
      <c r="CF297" s="239">
        <v>-46004</v>
      </c>
      <c r="CG297" s="239">
        <v>16932</v>
      </c>
      <c r="CH297" s="239">
        <v>0</v>
      </c>
      <c r="CI297" s="239">
        <v>16932</v>
      </c>
      <c r="CJ297" s="239">
        <v>-3428</v>
      </c>
      <c r="CK297" s="239">
        <v>0</v>
      </c>
      <c r="CL297" s="239">
        <v>-3428</v>
      </c>
      <c r="CM297" s="239">
        <v>-454</v>
      </c>
      <c r="CN297" s="239">
        <v>0</v>
      </c>
      <c r="CO297" s="239">
        <v>-454</v>
      </c>
      <c r="CP297" s="239">
        <v>0</v>
      </c>
      <c r="CQ297" s="239">
        <v>0</v>
      </c>
      <c r="CR297" s="239">
        <v>0</v>
      </c>
      <c r="CS297" s="239">
        <v>0</v>
      </c>
      <c r="CT297" s="239">
        <v>0</v>
      </c>
      <c r="CU297" s="239">
        <v>0</v>
      </c>
      <c r="CV297" s="239">
        <v>0</v>
      </c>
      <c r="CW297" s="239">
        <v>0</v>
      </c>
      <c r="CX297" s="239">
        <v>0</v>
      </c>
      <c r="CY297" s="239">
        <v>0</v>
      </c>
      <c r="CZ297" s="239">
        <v>0</v>
      </c>
      <c r="DA297" s="239">
        <v>0</v>
      </c>
      <c r="DB297" s="239">
        <v>0</v>
      </c>
      <c r="DC297" s="239">
        <v>0</v>
      </c>
      <c r="DD297" s="239">
        <v>0</v>
      </c>
      <c r="DE297" s="239">
        <v>0</v>
      </c>
      <c r="DF297" s="239">
        <v>0</v>
      </c>
      <c r="DG297" s="239">
        <v>0</v>
      </c>
      <c r="DH297" s="239">
        <v>0</v>
      </c>
      <c r="DI297" s="239">
        <v>0</v>
      </c>
      <c r="DJ297" s="239">
        <v>-181410</v>
      </c>
      <c r="DK297" s="239">
        <v>0</v>
      </c>
      <c r="DL297" s="239">
        <v>-181410</v>
      </c>
      <c r="DM297" s="239">
        <v>0</v>
      </c>
      <c r="DN297" s="239">
        <v>0</v>
      </c>
      <c r="DO297" s="239">
        <v>0</v>
      </c>
      <c r="DP297" s="239">
        <v>0</v>
      </c>
      <c r="DQ297" s="239">
        <v>0</v>
      </c>
      <c r="DR297" s="239">
        <v>0</v>
      </c>
      <c r="DS297" s="239">
        <v>-30518</v>
      </c>
      <c r="DT297" s="239">
        <v>0</v>
      </c>
      <c r="DU297" s="239">
        <v>-30518</v>
      </c>
      <c r="DV297" s="239">
        <v>-20019</v>
      </c>
      <c r="DW297" s="239">
        <v>0</v>
      </c>
      <c r="DX297" s="239">
        <v>-20019</v>
      </c>
      <c r="DY297" s="239">
        <v>0</v>
      </c>
      <c r="DZ297" s="239">
        <v>0</v>
      </c>
      <c r="EA297" s="239">
        <v>0</v>
      </c>
      <c r="EB297" s="239">
        <v>7403</v>
      </c>
      <c r="EC297" s="239">
        <v>0</v>
      </c>
      <c r="ED297" s="239">
        <v>7403</v>
      </c>
      <c r="EE297" s="239">
        <v>0</v>
      </c>
      <c r="EF297" s="239">
        <v>0</v>
      </c>
      <c r="EG297" s="239">
        <v>0</v>
      </c>
      <c r="EH297" s="239">
        <v>0</v>
      </c>
      <c r="EI297" s="239">
        <v>0</v>
      </c>
      <c r="EJ297" s="239">
        <v>0</v>
      </c>
      <c r="EK297" s="239">
        <v>0</v>
      </c>
      <c r="EL297" s="239">
        <v>0</v>
      </c>
      <c r="EM297" s="239">
        <v>0</v>
      </c>
      <c r="EN297" s="239">
        <v>0</v>
      </c>
      <c r="EO297" s="239">
        <v>0</v>
      </c>
      <c r="EP297" s="239">
        <v>0</v>
      </c>
      <c r="EQ297" s="239">
        <v>-43134</v>
      </c>
      <c r="ER297" s="239">
        <v>0</v>
      </c>
      <c r="ES297" s="239">
        <v>-43134</v>
      </c>
      <c r="ET297" s="239">
        <v>0</v>
      </c>
      <c r="EU297" s="239">
        <v>0</v>
      </c>
      <c r="EV297" s="239">
        <v>0</v>
      </c>
      <c r="EW297" s="239">
        <v>0</v>
      </c>
      <c r="EX297" s="239">
        <v>0</v>
      </c>
      <c r="EY297" s="239">
        <v>0</v>
      </c>
      <c r="EZ297" s="239">
        <v>0</v>
      </c>
      <c r="FA297" s="239">
        <v>0</v>
      </c>
      <c r="FB297" s="239">
        <v>0</v>
      </c>
      <c r="FC297" s="239">
        <v>81566862</v>
      </c>
      <c r="FD297" s="239">
        <v>196477</v>
      </c>
      <c r="FE297" s="239">
        <v>81763339</v>
      </c>
      <c r="FF297" s="239">
        <v>105707</v>
      </c>
      <c r="FG297" s="239">
        <v>0</v>
      </c>
      <c r="FH297" s="239">
        <v>105707</v>
      </c>
      <c r="FI297" s="239">
        <v>-9577986</v>
      </c>
      <c r="FJ297" s="239">
        <v>5656</v>
      </c>
      <c r="FK297" s="239">
        <v>-9572330</v>
      </c>
      <c r="FL297" s="239">
        <v>-2906378</v>
      </c>
      <c r="FM297" s="239">
        <v>-1</v>
      </c>
      <c r="FN297" s="239">
        <v>-2906379</v>
      </c>
      <c r="FO297" s="239">
        <v>-181410</v>
      </c>
      <c r="FP297" s="239">
        <v>0</v>
      </c>
      <c r="FQ297" s="239">
        <v>-181410</v>
      </c>
      <c r="FR297" s="239">
        <v>-43134</v>
      </c>
      <c r="FS297" s="239">
        <v>0</v>
      </c>
      <c r="FT297" s="239">
        <v>-43134</v>
      </c>
      <c r="FU297" s="239">
        <v>0</v>
      </c>
      <c r="FV297" s="239">
        <v>0</v>
      </c>
      <c r="FW297" s="239">
        <v>0</v>
      </c>
      <c r="FX297" s="239">
        <v>-12603201</v>
      </c>
      <c r="FY297" s="239">
        <v>5655</v>
      </c>
      <c r="FZ297" s="239">
        <v>-12597546</v>
      </c>
      <c r="GA297" s="239">
        <v>68963661</v>
      </c>
      <c r="GB297" s="239">
        <v>202132</v>
      </c>
      <c r="GC297" s="239">
        <v>69165793</v>
      </c>
      <c r="GD297" s="214" t="s">
        <v>1192</v>
      </c>
    </row>
    <row r="298" spans="2:186" s="214" customFormat="1" x14ac:dyDescent="0.2">
      <c r="B298" s="609" t="s">
        <v>678</v>
      </c>
      <c r="C298" s="609" t="s">
        <v>677</v>
      </c>
      <c r="D298" s="239">
        <v>0</v>
      </c>
      <c r="E298" s="239">
        <v>0</v>
      </c>
      <c r="F298" s="239">
        <v>0</v>
      </c>
      <c r="G298" s="239">
        <v>51047</v>
      </c>
      <c r="H298" s="239">
        <v>0</v>
      </c>
      <c r="I298" s="239">
        <v>51047</v>
      </c>
      <c r="J298" s="239">
        <v>0</v>
      </c>
      <c r="K298" s="239">
        <v>0</v>
      </c>
      <c r="L298" s="239">
        <v>0</v>
      </c>
      <c r="M298" s="239">
        <v>622237</v>
      </c>
      <c r="N298" s="239">
        <v>0</v>
      </c>
      <c r="O298" s="239">
        <v>622237</v>
      </c>
      <c r="P298" s="239">
        <v>673284</v>
      </c>
      <c r="Q298" s="239">
        <v>0</v>
      </c>
      <c r="R298" s="239">
        <v>673284</v>
      </c>
      <c r="S298" s="239">
        <v>-5479117</v>
      </c>
      <c r="T298" s="239">
        <v>0</v>
      </c>
      <c r="U298" s="239">
        <v>-5479117</v>
      </c>
      <c r="V298" s="239">
        <v>0</v>
      </c>
      <c r="W298" s="239">
        <v>0</v>
      </c>
      <c r="X298" s="239">
        <v>0</v>
      </c>
      <c r="Y298" s="239">
        <v>-38278</v>
      </c>
      <c r="Z298" s="239">
        <v>0</v>
      </c>
      <c r="AA298" s="239">
        <v>-38278</v>
      </c>
      <c r="AB298" s="239">
        <v>-36844</v>
      </c>
      <c r="AC298" s="239">
        <v>0</v>
      </c>
      <c r="AD298" s="239">
        <v>-36844</v>
      </c>
      <c r="AE298" s="239">
        <v>48</v>
      </c>
      <c r="AF298" s="239">
        <v>0</v>
      </c>
      <c r="AG298" s="239">
        <v>48</v>
      </c>
      <c r="AH298" s="239">
        <v>1362363</v>
      </c>
      <c r="AI298" s="239">
        <v>0</v>
      </c>
      <c r="AJ298" s="239">
        <v>1362363</v>
      </c>
      <c r="AK298" s="239">
        <v>-28689</v>
      </c>
      <c r="AL298" s="239">
        <v>0</v>
      </c>
      <c r="AM298" s="239">
        <v>-28689</v>
      </c>
      <c r="AN298" s="239">
        <v>-5285388</v>
      </c>
      <c r="AO298" s="239">
        <v>0</v>
      </c>
      <c r="AP298" s="239">
        <v>-5285388</v>
      </c>
      <c r="AQ298" s="239">
        <v>-162918</v>
      </c>
      <c r="AR298" s="239">
        <v>0</v>
      </c>
      <c r="AS298" s="239">
        <v>-162918</v>
      </c>
      <c r="AT298" s="239">
        <v>-46633</v>
      </c>
      <c r="AU298" s="239">
        <v>0</v>
      </c>
      <c r="AV298" s="239">
        <v>-46633</v>
      </c>
      <c r="AW298" s="239">
        <v>-1686</v>
      </c>
      <c r="AX298" s="239">
        <v>0</v>
      </c>
      <c r="AY298" s="239">
        <v>-1686</v>
      </c>
      <c r="AZ298" s="239">
        <v>0</v>
      </c>
      <c r="BA298" s="239">
        <v>0</v>
      </c>
      <c r="BB298" s="239">
        <v>0</v>
      </c>
      <c r="BC298" s="239">
        <v>0</v>
      </c>
      <c r="BD298" s="239">
        <v>0</v>
      </c>
      <c r="BE298" s="239">
        <v>0</v>
      </c>
      <c r="BF298" s="239">
        <v>-9680346</v>
      </c>
      <c r="BG298" s="239">
        <v>0</v>
      </c>
      <c r="BH298" s="239">
        <v>-9680346</v>
      </c>
      <c r="BI298" s="239">
        <v>0</v>
      </c>
      <c r="BJ298" s="239">
        <v>0</v>
      </c>
      <c r="BK298" s="239">
        <v>0</v>
      </c>
      <c r="BL298" s="239">
        <v>-2009</v>
      </c>
      <c r="BM298" s="239">
        <v>0</v>
      </c>
      <c r="BN298" s="239">
        <v>-2009</v>
      </c>
      <c r="BO298" s="239">
        <v>-1152320</v>
      </c>
      <c r="BP298" s="239">
        <v>0</v>
      </c>
      <c r="BQ298" s="239">
        <v>-1152320</v>
      </c>
      <c r="BR298" s="239">
        <v>-40971</v>
      </c>
      <c r="BS298" s="239">
        <v>0</v>
      </c>
      <c r="BT298" s="239">
        <v>-40971</v>
      </c>
      <c r="BU298" s="239">
        <v>-1195300</v>
      </c>
      <c r="BV298" s="239">
        <v>0</v>
      </c>
      <c r="BW298" s="239">
        <v>-1195300</v>
      </c>
      <c r="BX298" s="239">
        <v>-146842</v>
      </c>
      <c r="BY298" s="239">
        <v>0</v>
      </c>
      <c r="BZ298" s="239">
        <v>-146842</v>
      </c>
      <c r="CA298" s="239">
        <v>478</v>
      </c>
      <c r="CB298" s="239">
        <v>0</v>
      </c>
      <c r="CC298" s="239">
        <v>478</v>
      </c>
      <c r="CD298" s="239">
        <v>-67052</v>
      </c>
      <c r="CE298" s="239">
        <v>0</v>
      </c>
      <c r="CF298" s="239">
        <v>-67052</v>
      </c>
      <c r="CG298" s="239">
        <v>0</v>
      </c>
      <c r="CH298" s="239">
        <v>0</v>
      </c>
      <c r="CI298" s="239">
        <v>0</v>
      </c>
      <c r="CJ298" s="239">
        <v>-2858</v>
      </c>
      <c r="CK298" s="239">
        <v>0</v>
      </c>
      <c r="CL298" s="239">
        <v>-2858</v>
      </c>
      <c r="CM298" s="239">
        <v>-123</v>
      </c>
      <c r="CN298" s="239">
        <v>0</v>
      </c>
      <c r="CO298" s="239">
        <v>-123</v>
      </c>
      <c r="CP298" s="239">
        <v>0</v>
      </c>
      <c r="CQ298" s="239">
        <v>0</v>
      </c>
      <c r="CR298" s="239">
        <v>0</v>
      </c>
      <c r="CS298" s="239">
        <v>0</v>
      </c>
      <c r="CT298" s="239">
        <v>0</v>
      </c>
      <c r="CU298" s="239">
        <v>0</v>
      </c>
      <c r="CV298" s="239">
        <v>0</v>
      </c>
      <c r="CW298" s="239">
        <v>0</v>
      </c>
      <c r="CX298" s="239">
        <v>0</v>
      </c>
      <c r="CY298" s="239">
        <v>0</v>
      </c>
      <c r="CZ298" s="239">
        <v>0</v>
      </c>
      <c r="DA298" s="239">
        <v>0</v>
      </c>
      <c r="DB298" s="239">
        <v>0</v>
      </c>
      <c r="DC298" s="239">
        <v>0</v>
      </c>
      <c r="DD298" s="239">
        <v>0</v>
      </c>
      <c r="DE298" s="239">
        <v>0</v>
      </c>
      <c r="DF298" s="239">
        <v>0</v>
      </c>
      <c r="DG298" s="239">
        <v>0</v>
      </c>
      <c r="DH298" s="239">
        <v>0</v>
      </c>
      <c r="DI298" s="239">
        <v>0</v>
      </c>
      <c r="DJ298" s="239">
        <v>-216397</v>
      </c>
      <c r="DK298" s="239">
        <v>0</v>
      </c>
      <c r="DL298" s="239">
        <v>-216397</v>
      </c>
      <c r="DM298" s="239">
        <v>-148453</v>
      </c>
      <c r="DN298" s="239">
        <v>0</v>
      </c>
      <c r="DO298" s="239">
        <v>-148453</v>
      </c>
      <c r="DP298" s="239">
        <v>12686</v>
      </c>
      <c r="DQ298" s="239">
        <v>0</v>
      </c>
      <c r="DR298" s="239">
        <v>12686</v>
      </c>
      <c r="DS298" s="239">
        <v>-7570</v>
      </c>
      <c r="DT298" s="239">
        <v>0</v>
      </c>
      <c r="DU298" s="239">
        <v>-7570</v>
      </c>
      <c r="DV298" s="239">
        <v>0</v>
      </c>
      <c r="DW298" s="239">
        <v>0</v>
      </c>
      <c r="DX298" s="239">
        <v>0</v>
      </c>
      <c r="DY298" s="239">
        <v>0</v>
      </c>
      <c r="DZ298" s="239">
        <v>0</v>
      </c>
      <c r="EA298" s="239">
        <v>0</v>
      </c>
      <c r="EB298" s="239">
        <v>-12506</v>
      </c>
      <c r="EC298" s="239">
        <v>0</v>
      </c>
      <c r="ED298" s="239">
        <v>-12506</v>
      </c>
      <c r="EE298" s="239">
        <v>0</v>
      </c>
      <c r="EF298" s="239">
        <v>0</v>
      </c>
      <c r="EG298" s="239">
        <v>0</v>
      </c>
      <c r="EH298" s="239">
        <v>0</v>
      </c>
      <c r="EI298" s="239">
        <v>0</v>
      </c>
      <c r="EJ298" s="239">
        <v>0</v>
      </c>
      <c r="EK298" s="239">
        <v>-61</v>
      </c>
      <c r="EL298" s="239">
        <v>0</v>
      </c>
      <c r="EM298" s="239">
        <v>-61</v>
      </c>
      <c r="EN298" s="239">
        <v>1956</v>
      </c>
      <c r="EO298" s="239">
        <v>0</v>
      </c>
      <c r="EP298" s="239">
        <v>1956</v>
      </c>
      <c r="EQ298" s="239">
        <v>-153948</v>
      </c>
      <c r="ER298" s="239">
        <v>0</v>
      </c>
      <c r="ES298" s="239">
        <v>-153948</v>
      </c>
      <c r="ET298" s="239">
        <v>0</v>
      </c>
      <c r="EU298" s="239">
        <v>0</v>
      </c>
      <c r="EV298" s="239">
        <v>0</v>
      </c>
      <c r="EW298" s="239">
        <v>0</v>
      </c>
      <c r="EX298" s="239">
        <v>0</v>
      </c>
      <c r="EY298" s="239">
        <v>0</v>
      </c>
      <c r="EZ298" s="239">
        <v>0</v>
      </c>
      <c r="FA298" s="239">
        <v>0</v>
      </c>
      <c r="FB298" s="239">
        <v>0</v>
      </c>
      <c r="FC298" s="239">
        <v>69974406</v>
      </c>
      <c r="FD298" s="239">
        <v>0</v>
      </c>
      <c r="FE298" s="239">
        <v>69974406</v>
      </c>
      <c r="FF298" s="239">
        <v>673284</v>
      </c>
      <c r="FG298" s="239">
        <v>0</v>
      </c>
      <c r="FH298" s="239">
        <v>673284</v>
      </c>
      <c r="FI298" s="239">
        <v>-9680346</v>
      </c>
      <c r="FJ298" s="239">
        <v>0</v>
      </c>
      <c r="FK298" s="239">
        <v>-9680346</v>
      </c>
      <c r="FL298" s="239">
        <v>-1195300</v>
      </c>
      <c r="FM298" s="239">
        <v>0</v>
      </c>
      <c r="FN298" s="239">
        <v>-1195300</v>
      </c>
      <c r="FO298" s="239">
        <v>-216397</v>
      </c>
      <c r="FP298" s="239">
        <v>0</v>
      </c>
      <c r="FQ298" s="239">
        <v>-216397</v>
      </c>
      <c r="FR298" s="239">
        <v>-153948</v>
      </c>
      <c r="FS298" s="239">
        <v>0</v>
      </c>
      <c r="FT298" s="239">
        <v>-153948</v>
      </c>
      <c r="FU298" s="239">
        <v>0</v>
      </c>
      <c r="FV298" s="239">
        <v>0</v>
      </c>
      <c r="FW298" s="239">
        <v>0</v>
      </c>
      <c r="FX298" s="239">
        <v>-10572707</v>
      </c>
      <c r="FY298" s="239">
        <v>0</v>
      </c>
      <c r="FZ298" s="239">
        <v>-10572707</v>
      </c>
      <c r="GA298" s="239">
        <v>59401699</v>
      </c>
      <c r="GB298" s="239">
        <v>0</v>
      </c>
      <c r="GC298" s="239">
        <v>59401699</v>
      </c>
      <c r="GD298" s="214" t="s">
        <v>1191</v>
      </c>
    </row>
    <row r="299" spans="2:186" s="214" customFormat="1" x14ac:dyDescent="0.2">
      <c r="B299" s="609" t="s">
        <v>680</v>
      </c>
      <c r="C299" s="609" t="s">
        <v>679</v>
      </c>
      <c r="D299" s="239">
        <v>0</v>
      </c>
      <c r="E299" s="239">
        <v>0</v>
      </c>
      <c r="F299" s="239">
        <v>0</v>
      </c>
      <c r="G299" s="239">
        <v>99704</v>
      </c>
      <c r="H299" s="239">
        <v>25077</v>
      </c>
      <c r="I299" s="239">
        <v>124781</v>
      </c>
      <c r="J299" s="239">
        <v>0</v>
      </c>
      <c r="K299" s="239">
        <v>0</v>
      </c>
      <c r="L299" s="239">
        <v>0</v>
      </c>
      <c r="M299" s="239">
        <v>35316</v>
      </c>
      <c r="N299" s="239">
        <v>126609</v>
      </c>
      <c r="O299" s="239">
        <v>161925</v>
      </c>
      <c r="P299" s="239">
        <v>135020</v>
      </c>
      <c r="Q299" s="239">
        <v>151686</v>
      </c>
      <c r="R299" s="239">
        <v>286706</v>
      </c>
      <c r="S299" s="239">
        <v>-4062224</v>
      </c>
      <c r="T299" s="239">
        <v>-148477</v>
      </c>
      <c r="U299" s="239">
        <v>-4210701</v>
      </c>
      <c r="V299" s="239">
        <v>-14511</v>
      </c>
      <c r="W299" s="239">
        <v>-2080</v>
      </c>
      <c r="X299" s="239">
        <v>-16591</v>
      </c>
      <c r="Y299" s="239">
        <v>-461497</v>
      </c>
      <c r="Z299" s="239">
        <v>-34731</v>
      </c>
      <c r="AA299" s="239">
        <v>-496228</v>
      </c>
      <c r="AB299" s="239">
        <v>-340766</v>
      </c>
      <c r="AC299" s="239">
        <v>-19302</v>
      </c>
      <c r="AD299" s="239">
        <v>-360068</v>
      </c>
      <c r="AE299" s="239">
        <v>-940</v>
      </c>
      <c r="AF299" s="239">
        <v>-853</v>
      </c>
      <c r="AG299" s="239">
        <v>-1793</v>
      </c>
      <c r="AH299" s="239">
        <v>2499213</v>
      </c>
      <c r="AI299" s="239">
        <v>43625</v>
      </c>
      <c r="AJ299" s="239">
        <v>2542838</v>
      </c>
      <c r="AK299" s="239">
        <v>-3677</v>
      </c>
      <c r="AL299" s="239">
        <v>-1507</v>
      </c>
      <c r="AM299" s="239">
        <v>-5184</v>
      </c>
      <c r="AN299" s="239">
        <v>-9561069</v>
      </c>
      <c r="AO299" s="239">
        <v>-1904</v>
      </c>
      <c r="AP299" s="239">
        <v>-9562973</v>
      </c>
      <c r="AQ299" s="239">
        <v>-466779</v>
      </c>
      <c r="AR299" s="239">
        <v>680</v>
      </c>
      <c r="AS299" s="239">
        <v>-466099</v>
      </c>
      <c r="AT299" s="239">
        <v>-26232</v>
      </c>
      <c r="AU299" s="239">
        <v>0</v>
      </c>
      <c r="AV299" s="239">
        <v>-26232</v>
      </c>
      <c r="AW299" s="239">
        <v>-2106</v>
      </c>
      <c r="AX299" s="239">
        <v>0</v>
      </c>
      <c r="AY299" s="239">
        <v>-2106</v>
      </c>
      <c r="AZ299" s="239">
        <v>0</v>
      </c>
      <c r="BA299" s="239">
        <v>0</v>
      </c>
      <c r="BB299" s="239">
        <v>0</v>
      </c>
      <c r="BC299" s="239">
        <v>0</v>
      </c>
      <c r="BD299" s="239">
        <v>0</v>
      </c>
      <c r="BE299" s="239">
        <v>0</v>
      </c>
      <c r="BF299" s="239">
        <v>-12084371</v>
      </c>
      <c r="BG299" s="239">
        <v>-142314</v>
      </c>
      <c r="BH299" s="239">
        <v>-12226685</v>
      </c>
      <c r="BI299" s="239">
        <v>0</v>
      </c>
      <c r="BJ299" s="239">
        <v>0</v>
      </c>
      <c r="BK299" s="239">
        <v>0</v>
      </c>
      <c r="BL299" s="239">
        <v>-3878</v>
      </c>
      <c r="BM299" s="239">
        <v>0</v>
      </c>
      <c r="BN299" s="239">
        <v>-3878</v>
      </c>
      <c r="BO299" s="239">
        <v>-2379357</v>
      </c>
      <c r="BP299" s="239">
        <v>-367917</v>
      </c>
      <c r="BQ299" s="239">
        <v>-2747274</v>
      </c>
      <c r="BR299" s="239">
        <v>-160032</v>
      </c>
      <c r="BS299" s="239">
        <v>143006</v>
      </c>
      <c r="BT299" s="239">
        <v>-17026</v>
      </c>
      <c r="BU299" s="239">
        <v>-2543267</v>
      </c>
      <c r="BV299" s="239">
        <v>-224911</v>
      </c>
      <c r="BW299" s="239">
        <v>-2768178</v>
      </c>
      <c r="BX299" s="239">
        <v>-223397</v>
      </c>
      <c r="BY299" s="239">
        <v>0</v>
      </c>
      <c r="BZ299" s="239">
        <v>-223397</v>
      </c>
      <c r="CA299" s="239">
        <v>327</v>
      </c>
      <c r="CB299" s="239">
        <v>0</v>
      </c>
      <c r="CC299" s="239">
        <v>327</v>
      </c>
      <c r="CD299" s="239">
        <v>-957417</v>
      </c>
      <c r="CE299" s="239">
        <v>0</v>
      </c>
      <c r="CF299" s="239">
        <v>-957417</v>
      </c>
      <c r="CG299" s="239">
        <v>3904</v>
      </c>
      <c r="CH299" s="239">
        <v>0</v>
      </c>
      <c r="CI299" s="239">
        <v>3904</v>
      </c>
      <c r="CJ299" s="239">
        <v>-1384</v>
      </c>
      <c r="CK299" s="239">
        <v>0</v>
      </c>
      <c r="CL299" s="239">
        <v>-1384</v>
      </c>
      <c r="CM299" s="239">
        <v>0</v>
      </c>
      <c r="CN299" s="239">
        <v>0</v>
      </c>
      <c r="CO299" s="239">
        <v>0</v>
      </c>
      <c r="CP299" s="239">
        <v>0</v>
      </c>
      <c r="CQ299" s="239">
        <v>0</v>
      </c>
      <c r="CR299" s="239">
        <v>0</v>
      </c>
      <c r="CS299" s="239">
        <v>0</v>
      </c>
      <c r="CT299" s="239">
        <v>0</v>
      </c>
      <c r="CU299" s="239">
        <v>0</v>
      </c>
      <c r="CV299" s="239">
        <v>0</v>
      </c>
      <c r="CW299" s="239">
        <v>0</v>
      </c>
      <c r="CX299" s="239">
        <v>0</v>
      </c>
      <c r="CY299" s="239">
        <v>0</v>
      </c>
      <c r="CZ299" s="239">
        <v>0</v>
      </c>
      <c r="DA299" s="239">
        <v>0</v>
      </c>
      <c r="DB299" s="239">
        <v>0</v>
      </c>
      <c r="DC299" s="239">
        <v>0</v>
      </c>
      <c r="DD299" s="239">
        <v>0</v>
      </c>
      <c r="DE299" s="239">
        <v>0</v>
      </c>
      <c r="DF299" s="239">
        <v>0</v>
      </c>
      <c r="DG299" s="239">
        <v>0</v>
      </c>
      <c r="DH299" s="239">
        <v>0</v>
      </c>
      <c r="DI299" s="239">
        <v>0</v>
      </c>
      <c r="DJ299" s="239">
        <v>-1177967</v>
      </c>
      <c r="DK299" s="239">
        <v>0</v>
      </c>
      <c r="DL299" s="239">
        <v>-1177967</v>
      </c>
      <c r="DM299" s="239">
        <v>-5221</v>
      </c>
      <c r="DN299" s="239">
        <v>0</v>
      </c>
      <c r="DO299" s="239">
        <v>-5221</v>
      </c>
      <c r="DP299" s="239">
        <v>6864</v>
      </c>
      <c r="DQ299" s="239">
        <v>0</v>
      </c>
      <c r="DR299" s="239">
        <v>6864</v>
      </c>
      <c r="DS299" s="239">
        <v>-63690</v>
      </c>
      <c r="DT299" s="239">
        <v>0</v>
      </c>
      <c r="DU299" s="239">
        <v>-63690</v>
      </c>
      <c r="DV299" s="239">
        <v>-14846</v>
      </c>
      <c r="DW299" s="239">
        <v>0</v>
      </c>
      <c r="DX299" s="239">
        <v>-14846</v>
      </c>
      <c r="DY299" s="239">
        <v>0</v>
      </c>
      <c r="DZ299" s="239">
        <v>0</v>
      </c>
      <c r="EA299" s="239">
        <v>0</v>
      </c>
      <c r="EB299" s="239">
        <v>32542</v>
      </c>
      <c r="EC299" s="239">
        <v>0</v>
      </c>
      <c r="ED299" s="239">
        <v>32542</v>
      </c>
      <c r="EE299" s="239">
        <v>0</v>
      </c>
      <c r="EF299" s="239">
        <v>0</v>
      </c>
      <c r="EG299" s="239">
        <v>0</v>
      </c>
      <c r="EH299" s="239">
        <v>0</v>
      </c>
      <c r="EI299" s="239">
        <v>0</v>
      </c>
      <c r="EJ299" s="239">
        <v>0</v>
      </c>
      <c r="EK299" s="239">
        <v>-15256</v>
      </c>
      <c r="EL299" s="239">
        <v>0</v>
      </c>
      <c r="EM299" s="239">
        <v>-15256</v>
      </c>
      <c r="EN299" s="239">
        <v>6352</v>
      </c>
      <c r="EO299" s="239">
        <v>0</v>
      </c>
      <c r="EP299" s="239">
        <v>6352</v>
      </c>
      <c r="EQ299" s="239">
        <v>-53255</v>
      </c>
      <c r="ER299" s="239">
        <v>0</v>
      </c>
      <c r="ES299" s="239">
        <v>-53255</v>
      </c>
      <c r="ET299" s="239">
        <v>0</v>
      </c>
      <c r="EU299" s="239">
        <v>0</v>
      </c>
      <c r="EV299" s="239">
        <v>0</v>
      </c>
      <c r="EW299" s="239">
        <v>0</v>
      </c>
      <c r="EX299" s="239">
        <v>0</v>
      </c>
      <c r="EY299" s="239">
        <v>0</v>
      </c>
      <c r="EZ299" s="239">
        <v>0</v>
      </c>
      <c r="FA299" s="239">
        <v>0</v>
      </c>
      <c r="FB299" s="239">
        <v>0</v>
      </c>
      <c r="FC299" s="239">
        <v>116076816</v>
      </c>
      <c r="FD299" s="239">
        <v>2216008</v>
      </c>
      <c r="FE299" s="239">
        <v>118292824</v>
      </c>
      <c r="FF299" s="239">
        <v>135020</v>
      </c>
      <c r="FG299" s="239">
        <v>151686</v>
      </c>
      <c r="FH299" s="239">
        <v>286706</v>
      </c>
      <c r="FI299" s="239">
        <v>-12084371</v>
      </c>
      <c r="FJ299" s="239">
        <v>-142314</v>
      </c>
      <c r="FK299" s="239">
        <v>-12226685</v>
      </c>
      <c r="FL299" s="239">
        <v>-2543267</v>
      </c>
      <c r="FM299" s="239">
        <v>-224911</v>
      </c>
      <c r="FN299" s="239">
        <v>-2768178</v>
      </c>
      <c r="FO299" s="239">
        <v>-1177967</v>
      </c>
      <c r="FP299" s="239">
        <v>0</v>
      </c>
      <c r="FQ299" s="239">
        <v>-1177967</v>
      </c>
      <c r="FR299" s="239">
        <v>-53255</v>
      </c>
      <c r="FS299" s="239">
        <v>0</v>
      </c>
      <c r="FT299" s="239">
        <v>-53255</v>
      </c>
      <c r="FU299" s="239">
        <v>0</v>
      </c>
      <c r="FV299" s="239">
        <v>0</v>
      </c>
      <c r="FW299" s="239">
        <v>0</v>
      </c>
      <c r="FX299" s="239">
        <v>-15723840</v>
      </c>
      <c r="FY299" s="239">
        <v>-215539</v>
      </c>
      <c r="FZ299" s="239">
        <v>-15939379</v>
      </c>
      <c r="GA299" s="239">
        <v>100352976</v>
      </c>
      <c r="GB299" s="239">
        <v>2000469</v>
      </c>
      <c r="GC299" s="239">
        <v>102353445</v>
      </c>
      <c r="GD299" s="214" t="s">
        <v>1193</v>
      </c>
    </row>
    <row r="300" spans="2:186" s="214" customFormat="1" x14ac:dyDescent="0.2">
      <c r="B300" s="609" t="s">
        <v>682</v>
      </c>
      <c r="C300" s="609" t="s">
        <v>681</v>
      </c>
      <c r="D300" s="239">
        <v>0</v>
      </c>
      <c r="E300" s="239">
        <v>0</v>
      </c>
      <c r="F300" s="239">
        <v>0</v>
      </c>
      <c r="G300" s="239">
        <v>27519</v>
      </c>
      <c r="H300" s="239">
        <v>0</v>
      </c>
      <c r="I300" s="239">
        <v>27519</v>
      </c>
      <c r="J300" s="239">
        <v>0</v>
      </c>
      <c r="K300" s="239">
        <v>0</v>
      </c>
      <c r="L300" s="239">
        <v>0</v>
      </c>
      <c r="M300" s="239">
        <v>-70632</v>
      </c>
      <c r="N300" s="239">
        <v>0</v>
      </c>
      <c r="O300" s="239">
        <v>-70632</v>
      </c>
      <c r="P300" s="239">
        <v>-43113</v>
      </c>
      <c r="Q300" s="239">
        <v>0</v>
      </c>
      <c r="R300" s="239">
        <v>-43113</v>
      </c>
      <c r="S300" s="239">
        <v>-3334913</v>
      </c>
      <c r="T300" s="239">
        <v>-5152</v>
      </c>
      <c r="U300" s="239">
        <v>-3340065</v>
      </c>
      <c r="V300" s="239">
        <v>0</v>
      </c>
      <c r="W300" s="239">
        <v>0</v>
      </c>
      <c r="X300" s="239">
        <v>0</v>
      </c>
      <c r="Y300" s="239">
        <v>-305517</v>
      </c>
      <c r="Z300" s="239">
        <v>0</v>
      </c>
      <c r="AA300" s="239">
        <v>-305517</v>
      </c>
      <c r="AB300" s="239">
        <v>0</v>
      </c>
      <c r="AC300" s="239">
        <v>0</v>
      </c>
      <c r="AD300" s="239">
        <v>0</v>
      </c>
      <c r="AE300" s="239">
        <v>0</v>
      </c>
      <c r="AF300" s="239">
        <v>0</v>
      </c>
      <c r="AG300" s="239">
        <v>0</v>
      </c>
      <c r="AH300" s="239">
        <v>2988196</v>
      </c>
      <c r="AI300" s="239">
        <v>26427</v>
      </c>
      <c r="AJ300" s="239">
        <v>3014623</v>
      </c>
      <c r="AK300" s="239">
        <v>-57505</v>
      </c>
      <c r="AL300" s="239">
        <v>79</v>
      </c>
      <c r="AM300" s="239">
        <v>-57426</v>
      </c>
      <c r="AN300" s="239">
        <v>-4037433</v>
      </c>
      <c r="AO300" s="239">
        <v>0</v>
      </c>
      <c r="AP300" s="239">
        <v>-4037433</v>
      </c>
      <c r="AQ300" s="239">
        <v>-193399</v>
      </c>
      <c r="AR300" s="239">
        <v>0</v>
      </c>
      <c r="AS300" s="239">
        <v>-193399</v>
      </c>
      <c r="AT300" s="239">
        <v>-89377</v>
      </c>
      <c r="AU300" s="239">
        <v>0</v>
      </c>
      <c r="AV300" s="239">
        <v>-89377</v>
      </c>
      <c r="AW300" s="239">
        <v>0</v>
      </c>
      <c r="AX300" s="239">
        <v>0</v>
      </c>
      <c r="AY300" s="239">
        <v>0</v>
      </c>
      <c r="AZ300" s="239">
        <v>-1832</v>
      </c>
      <c r="BA300" s="239">
        <v>0</v>
      </c>
      <c r="BB300" s="239">
        <v>-1832</v>
      </c>
      <c r="BC300" s="239">
        <v>0</v>
      </c>
      <c r="BD300" s="239">
        <v>0</v>
      </c>
      <c r="BE300" s="239">
        <v>0</v>
      </c>
      <c r="BF300" s="239">
        <v>-5031780</v>
      </c>
      <c r="BG300" s="239">
        <v>21354</v>
      </c>
      <c r="BH300" s="239">
        <v>-5010426</v>
      </c>
      <c r="BI300" s="239">
        <v>-239521</v>
      </c>
      <c r="BJ300" s="239">
        <v>0</v>
      </c>
      <c r="BK300" s="239">
        <v>-239521</v>
      </c>
      <c r="BL300" s="239">
        <v>-67617</v>
      </c>
      <c r="BM300" s="239">
        <v>0</v>
      </c>
      <c r="BN300" s="239">
        <v>-67617</v>
      </c>
      <c r="BO300" s="239">
        <v>-4039838</v>
      </c>
      <c r="BP300" s="239">
        <v>-123492</v>
      </c>
      <c r="BQ300" s="239">
        <v>-4163330</v>
      </c>
      <c r="BR300" s="239">
        <v>-309414</v>
      </c>
      <c r="BS300" s="239">
        <v>0</v>
      </c>
      <c r="BT300" s="239">
        <v>-309414</v>
      </c>
      <c r="BU300" s="239">
        <v>-4656390</v>
      </c>
      <c r="BV300" s="239">
        <v>-123492</v>
      </c>
      <c r="BW300" s="239">
        <v>-4779882</v>
      </c>
      <c r="BX300" s="239">
        <v>-151369</v>
      </c>
      <c r="BY300" s="239">
        <v>0</v>
      </c>
      <c r="BZ300" s="239">
        <v>-151369</v>
      </c>
      <c r="CA300" s="239">
        <v>-5060</v>
      </c>
      <c r="CB300" s="239">
        <v>0</v>
      </c>
      <c r="CC300" s="239">
        <v>-5060</v>
      </c>
      <c r="CD300" s="239">
        <v>-764682</v>
      </c>
      <c r="CE300" s="239">
        <v>0</v>
      </c>
      <c r="CF300" s="239">
        <v>-764682</v>
      </c>
      <c r="CG300" s="239">
        <v>-4710</v>
      </c>
      <c r="CH300" s="239">
        <v>0</v>
      </c>
      <c r="CI300" s="239">
        <v>-4710</v>
      </c>
      <c r="CJ300" s="239">
        <v>-5268</v>
      </c>
      <c r="CK300" s="239">
        <v>0</v>
      </c>
      <c r="CL300" s="239">
        <v>-5268</v>
      </c>
      <c r="CM300" s="239">
        <v>0</v>
      </c>
      <c r="CN300" s="239">
        <v>0</v>
      </c>
      <c r="CO300" s="239">
        <v>0</v>
      </c>
      <c r="CP300" s="239">
        <v>-1018</v>
      </c>
      <c r="CQ300" s="239">
        <v>0</v>
      </c>
      <c r="CR300" s="239">
        <v>-1018</v>
      </c>
      <c r="CS300" s="239">
        <v>0</v>
      </c>
      <c r="CT300" s="239">
        <v>0</v>
      </c>
      <c r="CU300" s="239">
        <v>0</v>
      </c>
      <c r="CV300" s="239">
        <v>-3557</v>
      </c>
      <c r="CW300" s="239">
        <v>0</v>
      </c>
      <c r="CX300" s="239">
        <v>-3557</v>
      </c>
      <c r="CY300" s="239">
        <v>0</v>
      </c>
      <c r="CZ300" s="239">
        <v>0</v>
      </c>
      <c r="DA300" s="239">
        <v>0</v>
      </c>
      <c r="DB300" s="239">
        <v>-5454</v>
      </c>
      <c r="DC300" s="239">
        <v>0</v>
      </c>
      <c r="DD300" s="239">
        <v>-5454</v>
      </c>
      <c r="DE300" s="239">
        <v>617</v>
      </c>
      <c r="DF300" s="239">
        <v>0</v>
      </c>
      <c r="DG300" s="239">
        <v>617</v>
      </c>
      <c r="DH300" s="239">
        <v>0</v>
      </c>
      <c r="DI300" s="239">
        <v>0</v>
      </c>
      <c r="DJ300" s="239">
        <v>-940501</v>
      </c>
      <c r="DK300" s="239">
        <v>0</v>
      </c>
      <c r="DL300" s="239">
        <v>-940501</v>
      </c>
      <c r="DM300" s="239">
        <v>0</v>
      </c>
      <c r="DN300" s="239">
        <v>0</v>
      </c>
      <c r="DO300" s="239">
        <v>0</v>
      </c>
      <c r="DP300" s="239">
        <v>0</v>
      </c>
      <c r="DQ300" s="239">
        <v>0</v>
      </c>
      <c r="DR300" s="239">
        <v>0</v>
      </c>
      <c r="DS300" s="239">
        <v>0</v>
      </c>
      <c r="DT300" s="239">
        <v>0</v>
      </c>
      <c r="DU300" s="239">
        <v>0</v>
      </c>
      <c r="DV300" s="239">
        <v>0</v>
      </c>
      <c r="DW300" s="239">
        <v>0</v>
      </c>
      <c r="DX300" s="239">
        <v>0</v>
      </c>
      <c r="DY300" s="239">
        <v>0</v>
      </c>
      <c r="DZ300" s="239">
        <v>0</v>
      </c>
      <c r="EA300" s="239">
        <v>0</v>
      </c>
      <c r="EB300" s="239">
        <v>-12806</v>
      </c>
      <c r="EC300" s="239">
        <v>0</v>
      </c>
      <c r="ED300" s="239">
        <v>-12806</v>
      </c>
      <c r="EE300" s="239">
        <v>0</v>
      </c>
      <c r="EF300" s="239">
        <v>0</v>
      </c>
      <c r="EG300" s="239">
        <v>0</v>
      </c>
      <c r="EH300" s="239">
        <v>-6864</v>
      </c>
      <c r="EI300" s="239">
        <v>0</v>
      </c>
      <c r="EJ300" s="239">
        <v>-6864</v>
      </c>
      <c r="EK300" s="239">
        <v>-10959</v>
      </c>
      <c r="EL300" s="239">
        <v>0</v>
      </c>
      <c r="EM300" s="239">
        <v>-10959</v>
      </c>
      <c r="EN300" s="239">
        <v>777</v>
      </c>
      <c r="EO300" s="239">
        <v>0</v>
      </c>
      <c r="EP300" s="239">
        <v>777</v>
      </c>
      <c r="EQ300" s="239">
        <v>-29852</v>
      </c>
      <c r="ER300" s="239">
        <v>0</v>
      </c>
      <c r="ES300" s="239">
        <v>-29852</v>
      </c>
      <c r="ET300" s="239">
        <v>-3461</v>
      </c>
      <c r="EU300" s="239">
        <v>0</v>
      </c>
      <c r="EV300" s="239">
        <v>-3461</v>
      </c>
      <c r="EW300" s="239">
        <v>-4261</v>
      </c>
      <c r="EX300" s="239">
        <v>0</v>
      </c>
      <c r="EY300" s="239">
        <v>-4261</v>
      </c>
      <c r="EZ300" s="239">
        <v>-7722</v>
      </c>
      <c r="FA300" s="239">
        <v>0</v>
      </c>
      <c r="FB300" s="239">
        <v>-7722</v>
      </c>
      <c r="FC300" s="239">
        <v>119501956</v>
      </c>
      <c r="FD300" s="239">
        <v>1078802</v>
      </c>
      <c r="FE300" s="239">
        <v>120580758</v>
      </c>
      <c r="FF300" s="239">
        <v>-43113</v>
      </c>
      <c r="FG300" s="239">
        <v>0</v>
      </c>
      <c r="FH300" s="239">
        <v>-43113</v>
      </c>
      <c r="FI300" s="239">
        <v>-5031780</v>
      </c>
      <c r="FJ300" s="239">
        <v>21354</v>
      </c>
      <c r="FK300" s="239">
        <v>-5010426</v>
      </c>
      <c r="FL300" s="239">
        <v>-4656390</v>
      </c>
      <c r="FM300" s="239">
        <v>-123492</v>
      </c>
      <c r="FN300" s="239">
        <v>-4779882</v>
      </c>
      <c r="FO300" s="239">
        <v>-940501</v>
      </c>
      <c r="FP300" s="239">
        <v>0</v>
      </c>
      <c r="FQ300" s="239">
        <v>-940501</v>
      </c>
      <c r="FR300" s="239">
        <v>-29852</v>
      </c>
      <c r="FS300" s="239">
        <v>0</v>
      </c>
      <c r="FT300" s="239">
        <v>-29852</v>
      </c>
      <c r="FU300" s="239">
        <v>-7722</v>
      </c>
      <c r="FV300" s="239">
        <v>0</v>
      </c>
      <c r="FW300" s="239">
        <v>-7722</v>
      </c>
      <c r="FX300" s="239">
        <v>-10709358</v>
      </c>
      <c r="FY300" s="239">
        <v>-102138</v>
      </c>
      <c r="FZ300" s="239">
        <v>-10811496</v>
      </c>
      <c r="GA300" s="239">
        <v>108792598</v>
      </c>
      <c r="GB300" s="239">
        <v>976664</v>
      </c>
      <c r="GC300" s="239">
        <v>109769262</v>
      </c>
      <c r="GD300" s="214" t="s">
        <v>747</v>
      </c>
    </row>
    <row r="301" spans="2:186" s="214" customFormat="1" x14ac:dyDescent="0.2">
      <c r="B301" s="609" t="s">
        <v>684</v>
      </c>
      <c r="C301" s="609" t="s">
        <v>683</v>
      </c>
      <c r="D301" s="239">
        <v>0</v>
      </c>
      <c r="E301" s="239">
        <v>0</v>
      </c>
      <c r="F301" s="239">
        <v>0</v>
      </c>
      <c r="G301" s="239">
        <v>2491</v>
      </c>
      <c r="H301" s="239">
        <v>0</v>
      </c>
      <c r="I301" s="239">
        <v>2491</v>
      </c>
      <c r="J301" s="239">
        <v>0</v>
      </c>
      <c r="K301" s="239">
        <v>0</v>
      </c>
      <c r="L301" s="239">
        <v>0</v>
      </c>
      <c r="M301" s="239">
        <v>-3222</v>
      </c>
      <c r="N301" s="239">
        <v>0</v>
      </c>
      <c r="O301" s="239">
        <v>-3222</v>
      </c>
      <c r="P301" s="239">
        <v>-731</v>
      </c>
      <c r="Q301" s="239">
        <v>0</v>
      </c>
      <c r="R301" s="239">
        <v>-731</v>
      </c>
      <c r="S301" s="239">
        <v>-3000792</v>
      </c>
      <c r="T301" s="239">
        <v>0</v>
      </c>
      <c r="U301" s="239">
        <v>-3000792</v>
      </c>
      <c r="V301" s="239">
        <v>0</v>
      </c>
      <c r="W301" s="239">
        <v>0</v>
      </c>
      <c r="X301" s="239">
        <v>0</v>
      </c>
      <c r="Y301" s="239">
        <v>-73612</v>
      </c>
      <c r="Z301" s="239">
        <v>0</v>
      </c>
      <c r="AA301" s="239">
        <v>-73612</v>
      </c>
      <c r="AB301" s="239">
        <v>-73612</v>
      </c>
      <c r="AC301" s="239">
        <v>0</v>
      </c>
      <c r="AD301" s="239">
        <v>-73612</v>
      </c>
      <c r="AE301" s="239">
        <v>0</v>
      </c>
      <c r="AF301" s="239">
        <v>0</v>
      </c>
      <c r="AG301" s="239">
        <v>0</v>
      </c>
      <c r="AH301" s="239">
        <v>1857678</v>
      </c>
      <c r="AI301" s="239">
        <v>0</v>
      </c>
      <c r="AJ301" s="239">
        <v>1857678</v>
      </c>
      <c r="AK301" s="239">
        <v>-16258</v>
      </c>
      <c r="AL301" s="239">
        <v>0</v>
      </c>
      <c r="AM301" s="239">
        <v>-16258</v>
      </c>
      <c r="AN301" s="239">
        <v>-4179613</v>
      </c>
      <c r="AO301" s="239">
        <v>0</v>
      </c>
      <c r="AP301" s="239">
        <v>-4179613</v>
      </c>
      <c r="AQ301" s="239">
        <v>90465</v>
      </c>
      <c r="AR301" s="239">
        <v>0</v>
      </c>
      <c r="AS301" s="239">
        <v>90465</v>
      </c>
      <c r="AT301" s="239">
        <v>-60366</v>
      </c>
      <c r="AU301" s="239">
        <v>0</v>
      </c>
      <c r="AV301" s="239">
        <v>-60366</v>
      </c>
      <c r="AW301" s="239">
        <v>0</v>
      </c>
      <c r="AX301" s="239">
        <v>0</v>
      </c>
      <c r="AY301" s="239">
        <v>0</v>
      </c>
      <c r="AZ301" s="239">
        <v>-7759</v>
      </c>
      <c r="BA301" s="239">
        <v>0</v>
      </c>
      <c r="BB301" s="239">
        <v>-7759</v>
      </c>
      <c r="BC301" s="239">
        <v>4677</v>
      </c>
      <c r="BD301" s="239">
        <v>0</v>
      </c>
      <c r="BE301" s="239">
        <v>4677</v>
      </c>
      <c r="BF301" s="239">
        <v>-5385580</v>
      </c>
      <c r="BG301" s="239">
        <v>0</v>
      </c>
      <c r="BH301" s="239">
        <v>-5385580</v>
      </c>
      <c r="BI301" s="239">
        <v>-8014</v>
      </c>
      <c r="BJ301" s="239">
        <v>0</v>
      </c>
      <c r="BK301" s="239">
        <v>-8014</v>
      </c>
      <c r="BL301" s="239">
        <v>-3583</v>
      </c>
      <c r="BM301" s="239">
        <v>0</v>
      </c>
      <c r="BN301" s="239">
        <v>-3583</v>
      </c>
      <c r="BO301" s="239">
        <v>-2468872</v>
      </c>
      <c r="BP301" s="239">
        <v>0</v>
      </c>
      <c r="BQ301" s="239">
        <v>-2468872</v>
      </c>
      <c r="BR301" s="239">
        <v>47917</v>
      </c>
      <c r="BS301" s="239">
        <v>0</v>
      </c>
      <c r="BT301" s="239">
        <v>47917</v>
      </c>
      <c r="BU301" s="239">
        <v>-2432552</v>
      </c>
      <c r="BV301" s="239">
        <v>0</v>
      </c>
      <c r="BW301" s="239">
        <v>-2432552</v>
      </c>
      <c r="BX301" s="239">
        <v>-7116</v>
      </c>
      <c r="BY301" s="239">
        <v>0</v>
      </c>
      <c r="BZ301" s="239">
        <v>-7116</v>
      </c>
      <c r="CA301" s="239">
        <v>-79</v>
      </c>
      <c r="CB301" s="239">
        <v>0</v>
      </c>
      <c r="CC301" s="239">
        <v>-79</v>
      </c>
      <c r="CD301" s="239">
        <v>-79297</v>
      </c>
      <c r="CE301" s="239">
        <v>0</v>
      </c>
      <c r="CF301" s="239">
        <v>-79297</v>
      </c>
      <c r="CG301" s="239">
        <v>207</v>
      </c>
      <c r="CH301" s="239">
        <v>0</v>
      </c>
      <c r="CI301" s="239">
        <v>207</v>
      </c>
      <c r="CJ301" s="239">
        <v>0</v>
      </c>
      <c r="CK301" s="239">
        <v>0</v>
      </c>
      <c r="CL301" s="239">
        <v>0</v>
      </c>
      <c r="CM301" s="239">
        <v>0</v>
      </c>
      <c r="CN301" s="239">
        <v>0</v>
      </c>
      <c r="CO301" s="239">
        <v>0</v>
      </c>
      <c r="CP301" s="239">
        <v>-14419</v>
      </c>
      <c r="CQ301" s="239">
        <v>0</v>
      </c>
      <c r="CR301" s="239">
        <v>-14419</v>
      </c>
      <c r="CS301" s="239">
        <v>2338</v>
      </c>
      <c r="CT301" s="239">
        <v>0</v>
      </c>
      <c r="CU301" s="239">
        <v>2338</v>
      </c>
      <c r="CV301" s="239">
        <v>0</v>
      </c>
      <c r="CW301" s="239">
        <v>0</v>
      </c>
      <c r="CX301" s="239">
        <v>0</v>
      </c>
      <c r="CY301" s="239">
        <v>0</v>
      </c>
      <c r="CZ301" s="239">
        <v>0</v>
      </c>
      <c r="DA301" s="239">
        <v>0</v>
      </c>
      <c r="DB301" s="239">
        <v>0</v>
      </c>
      <c r="DC301" s="239">
        <v>0</v>
      </c>
      <c r="DD301" s="239">
        <v>0</v>
      </c>
      <c r="DE301" s="239">
        <v>0</v>
      </c>
      <c r="DF301" s="239">
        <v>0</v>
      </c>
      <c r="DG301" s="239">
        <v>0</v>
      </c>
      <c r="DH301" s="239">
        <v>0</v>
      </c>
      <c r="DI301" s="239">
        <v>0</v>
      </c>
      <c r="DJ301" s="239">
        <v>-98366</v>
      </c>
      <c r="DK301" s="239">
        <v>0</v>
      </c>
      <c r="DL301" s="239">
        <v>-98366</v>
      </c>
      <c r="DM301" s="239">
        <v>0</v>
      </c>
      <c r="DN301" s="239">
        <v>0</v>
      </c>
      <c r="DO301" s="239">
        <v>0</v>
      </c>
      <c r="DP301" s="239">
        <v>0</v>
      </c>
      <c r="DQ301" s="239">
        <v>0</v>
      </c>
      <c r="DR301" s="239">
        <v>0</v>
      </c>
      <c r="DS301" s="239">
        <v>-52078</v>
      </c>
      <c r="DT301" s="239">
        <v>0</v>
      </c>
      <c r="DU301" s="239">
        <v>-52078</v>
      </c>
      <c r="DV301" s="239">
        <v>781</v>
      </c>
      <c r="DW301" s="239">
        <v>0</v>
      </c>
      <c r="DX301" s="239">
        <v>781</v>
      </c>
      <c r="DY301" s="239">
        <v>0</v>
      </c>
      <c r="DZ301" s="239">
        <v>0</v>
      </c>
      <c r="EA301" s="239">
        <v>0</v>
      </c>
      <c r="EB301" s="239">
        <v>-13759</v>
      </c>
      <c r="EC301" s="239">
        <v>0</v>
      </c>
      <c r="ED301" s="239">
        <v>-13759</v>
      </c>
      <c r="EE301" s="239">
        <v>0</v>
      </c>
      <c r="EF301" s="239">
        <v>0</v>
      </c>
      <c r="EG301" s="239">
        <v>0</v>
      </c>
      <c r="EH301" s="239">
        <v>0</v>
      </c>
      <c r="EI301" s="239">
        <v>0</v>
      </c>
      <c r="EJ301" s="239">
        <v>0</v>
      </c>
      <c r="EK301" s="239">
        <v>-6341</v>
      </c>
      <c r="EL301" s="239">
        <v>0</v>
      </c>
      <c r="EM301" s="239">
        <v>-6341</v>
      </c>
      <c r="EN301" s="239">
        <v>1040</v>
      </c>
      <c r="EO301" s="239">
        <v>0</v>
      </c>
      <c r="EP301" s="239">
        <v>1040</v>
      </c>
      <c r="EQ301" s="239">
        <v>-70357</v>
      </c>
      <c r="ER301" s="239">
        <v>0</v>
      </c>
      <c r="ES301" s="239">
        <v>-70357</v>
      </c>
      <c r="ET301" s="239">
        <v>0</v>
      </c>
      <c r="EU301" s="239">
        <v>0</v>
      </c>
      <c r="EV301" s="239">
        <v>0</v>
      </c>
      <c r="EW301" s="239">
        <v>0</v>
      </c>
      <c r="EX301" s="239">
        <v>0</v>
      </c>
      <c r="EY301" s="239">
        <v>0</v>
      </c>
      <c r="EZ301" s="239">
        <v>0</v>
      </c>
      <c r="FA301" s="239">
        <v>0</v>
      </c>
      <c r="FB301" s="239">
        <v>0</v>
      </c>
      <c r="FC301" s="239">
        <v>78303004</v>
      </c>
      <c r="FD301" s="239">
        <v>0</v>
      </c>
      <c r="FE301" s="239">
        <v>78303004</v>
      </c>
      <c r="FF301" s="239">
        <v>-731</v>
      </c>
      <c r="FG301" s="239">
        <v>0</v>
      </c>
      <c r="FH301" s="239">
        <v>-731</v>
      </c>
      <c r="FI301" s="239">
        <v>-5385580</v>
      </c>
      <c r="FJ301" s="239">
        <v>0</v>
      </c>
      <c r="FK301" s="239">
        <v>-5385580</v>
      </c>
      <c r="FL301" s="239">
        <v>-2432552</v>
      </c>
      <c r="FM301" s="239">
        <v>0</v>
      </c>
      <c r="FN301" s="239">
        <v>-2432552</v>
      </c>
      <c r="FO301" s="239">
        <v>-98366</v>
      </c>
      <c r="FP301" s="239">
        <v>0</v>
      </c>
      <c r="FQ301" s="239">
        <v>-98366</v>
      </c>
      <c r="FR301" s="239">
        <v>-70357</v>
      </c>
      <c r="FS301" s="239">
        <v>0</v>
      </c>
      <c r="FT301" s="239">
        <v>-70357</v>
      </c>
      <c r="FU301" s="239">
        <v>0</v>
      </c>
      <c r="FV301" s="239">
        <v>0</v>
      </c>
      <c r="FW301" s="239">
        <v>0</v>
      </c>
      <c r="FX301" s="239">
        <v>-7987586</v>
      </c>
      <c r="FY301" s="239">
        <v>0</v>
      </c>
      <c r="FZ301" s="239">
        <v>-7987586</v>
      </c>
      <c r="GA301" s="239">
        <v>70315418</v>
      </c>
      <c r="GB301" s="239">
        <v>0</v>
      </c>
      <c r="GC301" s="239">
        <v>70315418</v>
      </c>
      <c r="GD301" s="214" t="s">
        <v>1190</v>
      </c>
    </row>
    <row r="302" spans="2:186" s="214" customFormat="1" x14ac:dyDescent="0.2">
      <c r="B302" s="609" t="s">
        <v>686</v>
      </c>
      <c r="C302" s="609" t="s">
        <v>685</v>
      </c>
      <c r="D302" s="239">
        <v>0</v>
      </c>
      <c r="E302" s="239">
        <v>0</v>
      </c>
      <c r="F302" s="239">
        <v>0</v>
      </c>
      <c r="G302" s="239">
        <v>54356</v>
      </c>
      <c r="H302" s="239">
        <v>0</v>
      </c>
      <c r="I302" s="239">
        <v>54356</v>
      </c>
      <c r="J302" s="239">
        <v>0</v>
      </c>
      <c r="K302" s="239">
        <v>0</v>
      </c>
      <c r="L302" s="239">
        <v>0</v>
      </c>
      <c r="M302" s="239">
        <v>853488</v>
      </c>
      <c r="N302" s="239">
        <v>0</v>
      </c>
      <c r="O302" s="239">
        <v>853488</v>
      </c>
      <c r="P302" s="239">
        <v>907844</v>
      </c>
      <c r="Q302" s="239">
        <v>0</v>
      </c>
      <c r="R302" s="239">
        <v>907844</v>
      </c>
      <c r="S302" s="239">
        <v>-1498235</v>
      </c>
      <c r="T302" s="239">
        <v>0</v>
      </c>
      <c r="U302" s="239">
        <v>-1498235</v>
      </c>
      <c r="V302" s="239">
        <v>-5951</v>
      </c>
      <c r="W302" s="239">
        <v>0</v>
      </c>
      <c r="X302" s="239">
        <v>-5951</v>
      </c>
      <c r="Y302" s="239">
        <v>-114343</v>
      </c>
      <c r="Z302" s="239">
        <v>0</v>
      </c>
      <c r="AA302" s="239">
        <v>-114343</v>
      </c>
      <c r="AB302" s="239">
        <v>-14168</v>
      </c>
      <c r="AC302" s="239">
        <v>0</v>
      </c>
      <c r="AD302" s="239">
        <v>-14168</v>
      </c>
      <c r="AE302" s="239">
        <v>0</v>
      </c>
      <c r="AF302" s="239">
        <v>0</v>
      </c>
      <c r="AG302" s="239">
        <v>0</v>
      </c>
      <c r="AH302" s="239">
        <v>1836613</v>
      </c>
      <c r="AI302" s="239">
        <v>0</v>
      </c>
      <c r="AJ302" s="239">
        <v>1836613</v>
      </c>
      <c r="AK302" s="239">
        <v>-113770</v>
      </c>
      <c r="AL302" s="239">
        <v>0</v>
      </c>
      <c r="AM302" s="239">
        <v>-113770</v>
      </c>
      <c r="AN302" s="239">
        <v>-3130302</v>
      </c>
      <c r="AO302" s="239">
        <v>0</v>
      </c>
      <c r="AP302" s="239">
        <v>-3130302</v>
      </c>
      <c r="AQ302" s="239">
        <v>133283</v>
      </c>
      <c r="AR302" s="239">
        <v>0</v>
      </c>
      <c r="AS302" s="239">
        <v>133283</v>
      </c>
      <c r="AT302" s="239">
        <v>0</v>
      </c>
      <c r="AU302" s="239">
        <v>0</v>
      </c>
      <c r="AV302" s="239">
        <v>0</v>
      </c>
      <c r="AW302" s="239">
        <v>0</v>
      </c>
      <c r="AX302" s="239">
        <v>0</v>
      </c>
      <c r="AY302" s="239">
        <v>0</v>
      </c>
      <c r="AZ302" s="239">
        <v>0</v>
      </c>
      <c r="BA302" s="239">
        <v>0</v>
      </c>
      <c r="BB302" s="239">
        <v>0</v>
      </c>
      <c r="BC302" s="239">
        <v>0</v>
      </c>
      <c r="BD302" s="239">
        <v>0</v>
      </c>
      <c r="BE302" s="239">
        <v>0</v>
      </c>
      <c r="BF302" s="239">
        <v>-2886754</v>
      </c>
      <c r="BG302" s="239">
        <v>0</v>
      </c>
      <c r="BH302" s="239">
        <v>-2886754</v>
      </c>
      <c r="BI302" s="239">
        <v>-23350</v>
      </c>
      <c r="BJ302" s="239">
        <v>0</v>
      </c>
      <c r="BK302" s="239">
        <v>-23350</v>
      </c>
      <c r="BL302" s="239">
        <v>48255</v>
      </c>
      <c r="BM302" s="239">
        <v>0</v>
      </c>
      <c r="BN302" s="239">
        <v>48255</v>
      </c>
      <c r="BO302" s="239">
        <v>-2916626</v>
      </c>
      <c r="BP302" s="239">
        <v>0</v>
      </c>
      <c r="BQ302" s="239">
        <v>-2916626</v>
      </c>
      <c r="BR302" s="239">
        <v>130077</v>
      </c>
      <c r="BS302" s="239">
        <v>0</v>
      </c>
      <c r="BT302" s="239">
        <v>130077</v>
      </c>
      <c r="BU302" s="239">
        <v>-2761644</v>
      </c>
      <c r="BV302" s="239">
        <v>0</v>
      </c>
      <c r="BW302" s="239">
        <v>-2761644</v>
      </c>
      <c r="BX302" s="239">
        <v>-163707</v>
      </c>
      <c r="BY302" s="239">
        <v>0</v>
      </c>
      <c r="BZ302" s="239">
        <v>-163707</v>
      </c>
      <c r="CA302" s="239">
        <v>-738</v>
      </c>
      <c r="CB302" s="239">
        <v>0</v>
      </c>
      <c r="CC302" s="239">
        <v>-738</v>
      </c>
      <c r="CD302" s="239">
        <v>0</v>
      </c>
      <c r="CE302" s="239">
        <v>0</v>
      </c>
      <c r="CF302" s="239">
        <v>0</v>
      </c>
      <c r="CG302" s="239">
        <v>1535</v>
      </c>
      <c r="CH302" s="239">
        <v>0</v>
      </c>
      <c r="CI302" s="239">
        <v>1535</v>
      </c>
      <c r="CJ302" s="239">
        <v>0</v>
      </c>
      <c r="CK302" s="239">
        <v>0</v>
      </c>
      <c r="CL302" s="239">
        <v>0</v>
      </c>
      <c r="CM302" s="239">
        <v>0</v>
      </c>
      <c r="CN302" s="239">
        <v>0</v>
      </c>
      <c r="CO302" s="239">
        <v>0</v>
      </c>
      <c r="CP302" s="239">
        <v>0</v>
      </c>
      <c r="CQ302" s="239">
        <v>0</v>
      </c>
      <c r="CR302" s="239">
        <v>0</v>
      </c>
      <c r="CS302" s="239">
        <v>0</v>
      </c>
      <c r="CT302" s="239">
        <v>0</v>
      </c>
      <c r="CU302" s="239">
        <v>0</v>
      </c>
      <c r="CV302" s="239">
        <v>0</v>
      </c>
      <c r="CW302" s="239">
        <v>0</v>
      </c>
      <c r="CX302" s="239">
        <v>0</v>
      </c>
      <c r="CY302" s="239">
        <v>0</v>
      </c>
      <c r="CZ302" s="239">
        <v>0</v>
      </c>
      <c r="DA302" s="239">
        <v>0</v>
      </c>
      <c r="DB302" s="239">
        <v>0</v>
      </c>
      <c r="DC302" s="239">
        <v>0</v>
      </c>
      <c r="DD302" s="239">
        <v>0</v>
      </c>
      <c r="DE302" s="239">
        <v>0</v>
      </c>
      <c r="DF302" s="239">
        <v>0</v>
      </c>
      <c r="DG302" s="239">
        <v>0</v>
      </c>
      <c r="DH302" s="239">
        <v>0</v>
      </c>
      <c r="DI302" s="239">
        <v>0</v>
      </c>
      <c r="DJ302" s="239">
        <v>-162910</v>
      </c>
      <c r="DK302" s="239">
        <v>0</v>
      </c>
      <c r="DL302" s="239">
        <v>-162910</v>
      </c>
      <c r="DM302" s="239">
        <v>0</v>
      </c>
      <c r="DN302" s="239">
        <v>0</v>
      </c>
      <c r="DO302" s="239">
        <v>0</v>
      </c>
      <c r="DP302" s="239">
        <v>0</v>
      </c>
      <c r="DQ302" s="239">
        <v>0</v>
      </c>
      <c r="DR302" s="239">
        <v>0</v>
      </c>
      <c r="DS302" s="239">
        <v>-155095</v>
      </c>
      <c r="DT302" s="239">
        <v>0</v>
      </c>
      <c r="DU302" s="239">
        <v>-155095</v>
      </c>
      <c r="DV302" s="239">
        <v>-60239</v>
      </c>
      <c r="DW302" s="239">
        <v>0</v>
      </c>
      <c r="DX302" s="239">
        <v>-60239</v>
      </c>
      <c r="DY302" s="239">
        <v>0</v>
      </c>
      <c r="DZ302" s="239">
        <v>0</v>
      </c>
      <c r="EA302" s="239">
        <v>0</v>
      </c>
      <c r="EB302" s="239">
        <v>-2850</v>
      </c>
      <c r="EC302" s="239">
        <v>0</v>
      </c>
      <c r="ED302" s="239">
        <v>-2850</v>
      </c>
      <c r="EE302" s="239">
        <v>0</v>
      </c>
      <c r="EF302" s="239">
        <v>0</v>
      </c>
      <c r="EG302" s="239">
        <v>0</v>
      </c>
      <c r="EH302" s="239">
        <v>0</v>
      </c>
      <c r="EI302" s="239">
        <v>0</v>
      </c>
      <c r="EJ302" s="239">
        <v>0</v>
      </c>
      <c r="EK302" s="239">
        <v>-7877</v>
      </c>
      <c r="EL302" s="239">
        <v>0</v>
      </c>
      <c r="EM302" s="239">
        <v>-7877</v>
      </c>
      <c r="EN302" s="239">
        <v>0</v>
      </c>
      <c r="EO302" s="239">
        <v>0</v>
      </c>
      <c r="EP302" s="239">
        <v>0</v>
      </c>
      <c r="EQ302" s="239">
        <v>-226061</v>
      </c>
      <c r="ER302" s="239">
        <v>0</v>
      </c>
      <c r="ES302" s="239">
        <v>-226061</v>
      </c>
      <c r="ET302" s="239">
        <v>0</v>
      </c>
      <c r="EU302" s="239">
        <v>0</v>
      </c>
      <c r="EV302" s="239">
        <v>0</v>
      </c>
      <c r="EW302" s="239">
        <v>0</v>
      </c>
      <c r="EX302" s="239">
        <v>0</v>
      </c>
      <c r="EY302" s="239">
        <v>0</v>
      </c>
      <c r="EZ302" s="239">
        <v>0</v>
      </c>
      <c r="FA302" s="239">
        <v>0</v>
      </c>
      <c r="FB302" s="239">
        <v>0</v>
      </c>
      <c r="FC302" s="239">
        <v>68461727</v>
      </c>
      <c r="FD302" s="239">
        <v>0</v>
      </c>
      <c r="FE302" s="239">
        <v>68461727</v>
      </c>
      <c r="FF302" s="239">
        <v>907844</v>
      </c>
      <c r="FG302" s="239">
        <v>0</v>
      </c>
      <c r="FH302" s="239">
        <v>907844</v>
      </c>
      <c r="FI302" s="239">
        <v>-2886754</v>
      </c>
      <c r="FJ302" s="239">
        <v>0</v>
      </c>
      <c r="FK302" s="239">
        <v>-2886754</v>
      </c>
      <c r="FL302" s="239">
        <v>-2761644</v>
      </c>
      <c r="FM302" s="239">
        <v>0</v>
      </c>
      <c r="FN302" s="239">
        <v>-2761644</v>
      </c>
      <c r="FO302" s="239">
        <v>-162910</v>
      </c>
      <c r="FP302" s="239">
        <v>0</v>
      </c>
      <c r="FQ302" s="239">
        <v>-162910</v>
      </c>
      <c r="FR302" s="239">
        <v>-226061</v>
      </c>
      <c r="FS302" s="239">
        <v>0</v>
      </c>
      <c r="FT302" s="239">
        <v>-226061</v>
      </c>
      <c r="FU302" s="239">
        <v>0</v>
      </c>
      <c r="FV302" s="239">
        <v>0</v>
      </c>
      <c r="FW302" s="239">
        <v>0</v>
      </c>
      <c r="FX302" s="239">
        <v>-5129525</v>
      </c>
      <c r="FY302" s="239">
        <v>0</v>
      </c>
      <c r="FZ302" s="239">
        <v>-5129525</v>
      </c>
      <c r="GA302" s="239">
        <v>63332202</v>
      </c>
      <c r="GB302" s="239">
        <v>0</v>
      </c>
      <c r="GC302" s="239">
        <v>63332202</v>
      </c>
      <c r="GD302" s="214" t="s">
        <v>1190</v>
      </c>
    </row>
    <row r="303" spans="2:186" s="214" customFormat="1" x14ac:dyDescent="0.2">
      <c r="B303" s="609" t="s">
        <v>688</v>
      </c>
      <c r="C303" s="609" t="s">
        <v>687</v>
      </c>
      <c r="D303" s="239">
        <v>0</v>
      </c>
      <c r="E303" s="239">
        <v>0</v>
      </c>
      <c r="F303" s="239">
        <v>0</v>
      </c>
      <c r="G303" s="239">
        <v>26334</v>
      </c>
      <c r="H303" s="239">
        <v>0</v>
      </c>
      <c r="I303" s="239">
        <v>26334</v>
      </c>
      <c r="J303" s="239">
        <v>0</v>
      </c>
      <c r="K303" s="239">
        <v>0</v>
      </c>
      <c r="L303" s="239">
        <v>0</v>
      </c>
      <c r="M303" s="239">
        <v>5402</v>
      </c>
      <c r="N303" s="239">
        <v>0</v>
      </c>
      <c r="O303" s="239">
        <v>5402</v>
      </c>
      <c r="P303" s="239">
        <v>31736</v>
      </c>
      <c r="Q303" s="239">
        <v>0</v>
      </c>
      <c r="R303" s="239">
        <v>31736</v>
      </c>
      <c r="S303" s="239">
        <v>-3426165</v>
      </c>
      <c r="T303" s="239">
        <v>0</v>
      </c>
      <c r="U303" s="239">
        <v>-3426165</v>
      </c>
      <c r="V303" s="239">
        <v>-338</v>
      </c>
      <c r="W303" s="239">
        <v>0</v>
      </c>
      <c r="X303" s="239">
        <v>-338</v>
      </c>
      <c r="Y303" s="239">
        <v>-189773</v>
      </c>
      <c r="Z303" s="239">
        <v>0</v>
      </c>
      <c r="AA303" s="239">
        <v>-189773</v>
      </c>
      <c r="AB303" s="239">
        <v>-189174</v>
      </c>
      <c r="AC303" s="239">
        <v>0</v>
      </c>
      <c r="AD303" s="239">
        <v>-189174</v>
      </c>
      <c r="AE303" s="239">
        <v>-599</v>
      </c>
      <c r="AF303" s="239">
        <v>0</v>
      </c>
      <c r="AG303" s="239">
        <v>-599</v>
      </c>
      <c r="AH303" s="239">
        <v>704477</v>
      </c>
      <c r="AI303" s="239">
        <v>9296</v>
      </c>
      <c r="AJ303" s="239">
        <v>713773</v>
      </c>
      <c r="AK303" s="239">
        <v>-13618</v>
      </c>
      <c r="AL303" s="239">
        <v>-107</v>
      </c>
      <c r="AM303" s="239">
        <v>-13725</v>
      </c>
      <c r="AN303" s="239">
        <v>-2457991</v>
      </c>
      <c r="AO303" s="239">
        <v>0</v>
      </c>
      <c r="AP303" s="239">
        <v>-2457991</v>
      </c>
      <c r="AQ303" s="239">
        <v>-15489</v>
      </c>
      <c r="AR303" s="239">
        <v>0</v>
      </c>
      <c r="AS303" s="239">
        <v>-15489</v>
      </c>
      <c r="AT303" s="239">
        <v>-46285</v>
      </c>
      <c r="AU303" s="239">
        <v>0</v>
      </c>
      <c r="AV303" s="239">
        <v>-46285</v>
      </c>
      <c r="AW303" s="239">
        <v>0</v>
      </c>
      <c r="AX303" s="239">
        <v>0</v>
      </c>
      <c r="AY303" s="239">
        <v>0</v>
      </c>
      <c r="AZ303" s="239">
        <v>-18358</v>
      </c>
      <c r="BA303" s="239">
        <v>0</v>
      </c>
      <c r="BB303" s="239">
        <v>-18358</v>
      </c>
      <c r="BC303" s="239">
        <v>-9813</v>
      </c>
      <c r="BD303" s="239">
        <v>0</v>
      </c>
      <c r="BE303" s="239">
        <v>-9813</v>
      </c>
      <c r="BF303" s="239">
        <v>-5473015</v>
      </c>
      <c r="BG303" s="239">
        <v>9189</v>
      </c>
      <c r="BH303" s="239">
        <v>-5463826</v>
      </c>
      <c r="BI303" s="239">
        <v>0</v>
      </c>
      <c r="BJ303" s="239">
        <v>0</v>
      </c>
      <c r="BK303" s="239">
        <v>0</v>
      </c>
      <c r="BL303" s="239">
        <v>1899</v>
      </c>
      <c r="BM303" s="239">
        <v>0</v>
      </c>
      <c r="BN303" s="239">
        <v>1899</v>
      </c>
      <c r="BO303" s="239">
        <v>-983325</v>
      </c>
      <c r="BP303" s="239">
        <v>-5384</v>
      </c>
      <c r="BQ303" s="239">
        <v>-988709</v>
      </c>
      <c r="BR303" s="239">
        <v>-143690</v>
      </c>
      <c r="BS303" s="239">
        <v>8786</v>
      </c>
      <c r="BT303" s="239">
        <v>-134904</v>
      </c>
      <c r="BU303" s="239">
        <v>-1125116</v>
      </c>
      <c r="BV303" s="239">
        <v>3402</v>
      </c>
      <c r="BW303" s="239">
        <v>-1121714</v>
      </c>
      <c r="BX303" s="239">
        <v>-79692</v>
      </c>
      <c r="BY303" s="239">
        <v>0</v>
      </c>
      <c r="BZ303" s="239">
        <v>-79692</v>
      </c>
      <c r="CA303" s="239">
        <v>-4375</v>
      </c>
      <c r="CB303" s="239">
        <v>0</v>
      </c>
      <c r="CC303" s="239">
        <v>-4375</v>
      </c>
      <c r="CD303" s="239">
        <v>-5262</v>
      </c>
      <c r="CE303" s="239">
        <v>0</v>
      </c>
      <c r="CF303" s="239">
        <v>-5262</v>
      </c>
      <c r="CG303" s="239">
        <v>0</v>
      </c>
      <c r="CH303" s="239">
        <v>0</v>
      </c>
      <c r="CI303" s="239">
        <v>0</v>
      </c>
      <c r="CJ303" s="239">
        <v>-204</v>
      </c>
      <c r="CK303" s="239">
        <v>0</v>
      </c>
      <c r="CL303" s="239">
        <v>-204</v>
      </c>
      <c r="CM303" s="239">
        <v>0</v>
      </c>
      <c r="CN303" s="239">
        <v>0</v>
      </c>
      <c r="CO303" s="239">
        <v>0</v>
      </c>
      <c r="CP303" s="239">
        <v>-864</v>
      </c>
      <c r="CQ303" s="239">
        <v>0</v>
      </c>
      <c r="CR303" s="239">
        <v>-864</v>
      </c>
      <c r="CS303" s="239">
        <v>-1389</v>
      </c>
      <c r="CT303" s="239">
        <v>0</v>
      </c>
      <c r="CU303" s="239">
        <v>-1389</v>
      </c>
      <c r="CV303" s="239">
        <v>0</v>
      </c>
      <c r="CW303" s="239">
        <v>0</v>
      </c>
      <c r="CX303" s="239">
        <v>0</v>
      </c>
      <c r="CY303" s="239">
        <v>0</v>
      </c>
      <c r="CZ303" s="239">
        <v>0</v>
      </c>
      <c r="DA303" s="239">
        <v>0</v>
      </c>
      <c r="DB303" s="239">
        <v>0</v>
      </c>
      <c r="DC303" s="239">
        <v>-158686</v>
      </c>
      <c r="DD303" s="239">
        <v>-158686</v>
      </c>
      <c r="DE303" s="239">
        <v>-3600</v>
      </c>
      <c r="DF303" s="239">
        <v>-4712</v>
      </c>
      <c r="DG303" s="239">
        <v>-8312</v>
      </c>
      <c r="DH303" s="239">
        <v>-163398</v>
      </c>
      <c r="DI303" s="239">
        <v>0</v>
      </c>
      <c r="DJ303" s="239">
        <v>-95386</v>
      </c>
      <c r="DK303" s="239">
        <v>-163398</v>
      </c>
      <c r="DL303" s="239">
        <v>-258784</v>
      </c>
      <c r="DM303" s="239">
        <v>0</v>
      </c>
      <c r="DN303" s="239">
        <v>0</v>
      </c>
      <c r="DO303" s="239">
        <v>0</v>
      </c>
      <c r="DP303" s="239">
        <v>0</v>
      </c>
      <c r="DQ303" s="239">
        <v>0</v>
      </c>
      <c r="DR303" s="239">
        <v>0</v>
      </c>
      <c r="DS303" s="239">
        <v>-21101</v>
      </c>
      <c r="DT303" s="239">
        <v>0</v>
      </c>
      <c r="DU303" s="239">
        <v>-21101</v>
      </c>
      <c r="DV303" s="239">
        <v>-1806</v>
      </c>
      <c r="DW303" s="239">
        <v>0</v>
      </c>
      <c r="DX303" s="239">
        <v>-1806</v>
      </c>
      <c r="DY303" s="239">
        <v>0</v>
      </c>
      <c r="DZ303" s="239">
        <v>0</v>
      </c>
      <c r="EA303" s="239">
        <v>0</v>
      </c>
      <c r="EB303" s="239">
        <v>19013</v>
      </c>
      <c r="EC303" s="239">
        <v>0</v>
      </c>
      <c r="ED303" s="239">
        <v>19013</v>
      </c>
      <c r="EE303" s="239">
        <v>0</v>
      </c>
      <c r="EF303" s="239">
        <v>0</v>
      </c>
      <c r="EG303" s="239">
        <v>0</v>
      </c>
      <c r="EH303" s="239">
        <v>0</v>
      </c>
      <c r="EI303" s="239">
        <v>0</v>
      </c>
      <c r="EJ303" s="239">
        <v>0</v>
      </c>
      <c r="EK303" s="239">
        <v>-3557</v>
      </c>
      <c r="EL303" s="239">
        <v>0</v>
      </c>
      <c r="EM303" s="239">
        <v>-3557</v>
      </c>
      <c r="EN303" s="239">
        <v>0</v>
      </c>
      <c r="EO303" s="239">
        <v>0</v>
      </c>
      <c r="EP303" s="239">
        <v>0</v>
      </c>
      <c r="EQ303" s="239">
        <v>-7451</v>
      </c>
      <c r="ER303" s="239">
        <v>0</v>
      </c>
      <c r="ES303" s="239">
        <v>-7451</v>
      </c>
      <c r="ET303" s="239">
        <v>0</v>
      </c>
      <c r="EU303" s="239">
        <v>0</v>
      </c>
      <c r="EV303" s="239">
        <v>0</v>
      </c>
      <c r="EW303" s="239">
        <v>0</v>
      </c>
      <c r="EX303" s="239">
        <v>0</v>
      </c>
      <c r="EY303" s="239">
        <v>0</v>
      </c>
      <c r="EZ303" s="239">
        <v>0</v>
      </c>
      <c r="FA303" s="239">
        <v>0</v>
      </c>
      <c r="FB303" s="239">
        <v>0</v>
      </c>
      <c r="FC303" s="239">
        <v>33445245</v>
      </c>
      <c r="FD303" s="239">
        <v>394753</v>
      </c>
      <c r="FE303" s="239">
        <v>33839998</v>
      </c>
      <c r="FF303" s="239">
        <v>31736</v>
      </c>
      <c r="FG303" s="239">
        <v>0</v>
      </c>
      <c r="FH303" s="239">
        <v>31736</v>
      </c>
      <c r="FI303" s="239">
        <v>-5473015</v>
      </c>
      <c r="FJ303" s="239">
        <v>9189</v>
      </c>
      <c r="FK303" s="239">
        <v>-5463826</v>
      </c>
      <c r="FL303" s="239">
        <v>-1125116</v>
      </c>
      <c r="FM303" s="239">
        <v>3402</v>
      </c>
      <c r="FN303" s="239">
        <v>-1121714</v>
      </c>
      <c r="FO303" s="239">
        <v>-95386</v>
      </c>
      <c r="FP303" s="239">
        <v>-163398</v>
      </c>
      <c r="FQ303" s="239">
        <v>-258784</v>
      </c>
      <c r="FR303" s="239">
        <v>-7451</v>
      </c>
      <c r="FS303" s="239">
        <v>0</v>
      </c>
      <c r="FT303" s="239">
        <v>-7451</v>
      </c>
      <c r="FU303" s="239">
        <v>0</v>
      </c>
      <c r="FV303" s="239">
        <v>0</v>
      </c>
      <c r="FW303" s="239">
        <v>0</v>
      </c>
      <c r="FX303" s="239">
        <v>-6669232</v>
      </c>
      <c r="FY303" s="239">
        <v>-150807</v>
      </c>
      <c r="FZ303" s="239">
        <v>-6820039</v>
      </c>
      <c r="GA303" s="239">
        <v>26776013</v>
      </c>
      <c r="GB303" s="239">
        <v>243946</v>
      </c>
      <c r="GC303" s="239">
        <v>27019959</v>
      </c>
      <c r="GD303" s="214" t="s">
        <v>1190</v>
      </c>
    </row>
    <row r="304" spans="2:186" s="214" customFormat="1" x14ac:dyDescent="0.2">
      <c r="B304" s="609" t="s">
        <v>690</v>
      </c>
      <c r="C304" s="609" t="s">
        <v>689</v>
      </c>
      <c r="D304" s="239">
        <v>0</v>
      </c>
      <c r="E304" s="239">
        <v>0</v>
      </c>
      <c r="F304" s="239">
        <v>0</v>
      </c>
      <c r="G304" s="239">
        <v>-2272</v>
      </c>
      <c r="H304" s="239">
        <v>0</v>
      </c>
      <c r="I304" s="239">
        <v>-2272</v>
      </c>
      <c r="J304" s="239">
        <v>0</v>
      </c>
      <c r="K304" s="239">
        <v>0</v>
      </c>
      <c r="L304" s="239">
        <v>0</v>
      </c>
      <c r="M304" s="239">
        <v>67349</v>
      </c>
      <c r="N304" s="239">
        <v>0</v>
      </c>
      <c r="O304" s="239">
        <v>67349</v>
      </c>
      <c r="P304" s="239">
        <v>65077</v>
      </c>
      <c r="Q304" s="239">
        <v>0</v>
      </c>
      <c r="R304" s="239">
        <v>65077</v>
      </c>
      <c r="S304" s="239">
        <v>-2348545</v>
      </c>
      <c r="T304" s="239">
        <v>0</v>
      </c>
      <c r="U304" s="239">
        <v>-2348545</v>
      </c>
      <c r="V304" s="239">
        <v>0</v>
      </c>
      <c r="W304" s="239">
        <v>0</v>
      </c>
      <c r="X304" s="239">
        <v>0</v>
      </c>
      <c r="Y304" s="239">
        <v>-125712</v>
      </c>
      <c r="Z304" s="239">
        <v>0</v>
      </c>
      <c r="AA304" s="239">
        <v>-125712</v>
      </c>
      <c r="AB304" s="239">
        <v>-102307</v>
      </c>
      <c r="AC304" s="239">
        <v>0</v>
      </c>
      <c r="AD304" s="239">
        <v>-102307</v>
      </c>
      <c r="AE304" s="239">
        <v>0</v>
      </c>
      <c r="AF304" s="239">
        <v>0</v>
      </c>
      <c r="AG304" s="239">
        <v>0</v>
      </c>
      <c r="AH304" s="239">
        <v>1020893</v>
      </c>
      <c r="AI304" s="239">
        <v>0</v>
      </c>
      <c r="AJ304" s="239">
        <v>1020893</v>
      </c>
      <c r="AK304" s="239">
        <v>-19412</v>
      </c>
      <c r="AL304" s="239">
        <v>0</v>
      </c>
      <c r="AM304" s="239">
        <v>-19412</v>
      </c>
      <c r="AN304" s="239">
        <v>-5072305</v>
      </c>
      <c r="AO304" s="239">
        <v>0</v>
      </c>
      <c r="AP304" s="239">
        <v>-5072305</v>
      </c>
      <c r="AQ304" s="239">
        <v>-32991</v>
      </c>
      <c r="AR304" s="239">
        <v>0</v>
      </c>
      <c r="AS304" s="239">
        <v>-32991</v>
      </c>
      <c r="AT304" s="239">
        <v>-40414</v>
      </c>
      <c r="AU304" s="239">
        <v>0</v>
      </c>
      <c r="AV304" s="239">
        <v>-40414</v>
      </c>
      <c r="AW304" s="239">
        <v>63</v>
      </c>
      <c r="AX304" s="239">
        <v>0</v>
      </c>
      <c r="AY304" s="239">
        <v>63</v>
      </c>
      <c r="AZ304" s="239">
        <v>-7244</v>
      </c>
      <c r="BA304" s="239">
        <v>0</v>
      </c>
      <c r="BB304" s="239">
        <v>-7244</v>
      </c>
      <c r="BC304" s="239">
        <v>-13</v>
      </c>
      <c r="BD304" s="239">
        <v>0</v>
      </c>
      <c r="BE304" s="239">
        <v>-13</v>
      </c>
      <c r="BF304" s="239">
        <v>-6625680</v>
      </c>
      <c r="BG304" s="239">
        <v>0</v>
      </c>
      <c r="BH304" s="239">
        <v>-6625680</v>
      </c>
      <c r="BI304" s="239">
        <v>-3027</v>
      </c>
      <c r="BJ304" s="239">
        <v>0</v>
      </c>
      <c r="BK304" s="239">
        <v>-3027</v>
      </c>
      <c r="BL304" s="239">
        <v>-10909</v>
      </c>
      <c r="BM304" s="239">
        <v>0</v>
      </c>
      <c r="BN304" s="239">
        <v>-10909</v>
      </c>
      <c r="BO304" s="239">
        <v>-1096289</v>
      </c>
      <c r="BP304" s="239">
        <v>0</v>
      </c>
      <c r="BQ304" s="239">
        <v>-1096289</v>
      </c>
      <c r="BR304" s="239">
        <v>-123349</v>
      </c>
      <c r="BS304" s="239">
        <v>0</v>
      </c>
      <c r="BT304" s="239">
        <v>-123349</v>
      </c>
      <c r="BU304" s="239">
        <v>-1233574</v>
      </c>
      <c r="BV304" s="239">
        <v>0</v>
      </c>
      <c r="BW304" s="239">
        <v>-1233574</v>
      </c>
      <c r="BX304" s="239">
        <v>-66204</v>
      </c>
      <c r="BY304" s="239">
        <v>0</v>
      </c>
      <c r="BZ304" s="239">
        <v>-66204</v>
      </c>
      <c r="CA304" s="239">
        <v>127</v>
      </c>
      <c r="CB304" s="239">
        <v>0</v>
      </c>
      <c r="CC304" s="239">
        <v>127</v>
      </c>
      <c r="CD304" s="239">
        <v>-489165</v>
      </c>
      <c r="CE304" s="239">
        <v>0</v>
      </c>
      <c r="CF304" s="239">
        <v>-489165</v>
      </c>
      <c r="CG304" s="239">
        <v>0</v>
      </c>
      <c r="CH304" s="239">
        <v>0</v>
      </c>
      <c r="CI304" s="239">
        <v>0</v>
      </c>
      <c r="CJ304" s="239">
        <v>0</v>
      </c>
      <c r="CK304" s="239">
        <v>0</v>
      </c>
      <c r="CL304" s="239">
        <v>0</v>
      </c>
      <c r="CM304" s="239">
        <v>0</v>
      </c>
      <c r="CN304" s="239">
        <v>0</v>
      </c>
      <c r="CO304" s="239">
        <v>0</v>
      </c>
      <c r="CP304" s="239">
        <v>-4346</v>
      </c>
      <c r="CQ304" s="239">
        <v>0</v>
      </c>
      <c r="CR304" s="239">
        <v>-4346</v>
      </c>
      <c r="CS304" s="239">
        <v>-8</v>
      </c>
      <c r="CT304" s="239">
        <v>0</v>
      </c>
      <c r="CU304" s="239">
        <v>-8</v>
      </c>
      <c r="CV304" s="239">
        <v>-6699</v>
      </c>
      <c r="CW304" s="239">
        <v>0</v>
      </c>
      <c r="CX304" s="239">
        <v>-6699</v>
      </c>
      <c r="CY304" s="239">
        <v>0</v>
      </c>
      <c r="CZ304" s="239">
        <v>0</v>
      </c>
      <c r="DA304" s="239">
        <v>0</v>
      </c>
      <c r="DB304" s="239">
        <v>0</v>
      </c>
      <c r="DC304" s="239">
        <v>0</v>
      </c>
      <c r="DD304" s="239">
        <v>0</v>
      </c>
      <c r="DE304" s="239">
        <v>0</v>
      </c>
      <c r="DF304" s="239">
        <v>0</v>
      </c>
      <c r="DG304" s="239">
        <v>0</v>
      </c>
      <c r="DH304" s="239">
        <v>0</v>
      </c>
      <c r="DI304" s="239">
        <v>0</v>
      </c>
      <c r="DJ304" s="239">
        <v>-566295</v>
      </c>
      <c r="DK304" s="239">
        <v>0</v>
      </c>
      <c r="DL304" s="239">
        <v>-566295</v>
      </c>
      <c r="DM304" s="239">
        <v>0</v>
      </c>
      <c r="DN304" s="239">
        <v>0</v>
      </c>
      <c r="DO304" s="239">
        <v>0</v>
      </c>
      <c r="DP304" s="239">
        <v>0</v>
      </c>
      <c r="DQ304" s="239">
        <v>0</v>
      </c>
      <c r="DR304" s="239">
        <v>0</v>
      </c>
      <c r="DS304" s="239">
        <v>-7752</v>
      </c>
      <c r="DT304" s="239">
        <v>0</v>
      </c>
      <c r="DU304" s="239">
        <v>-7752</v>
      </c>
      <c r="DV304" s="239">
        <v>-4160</v>
      </c>
      <c r="DW304" s="239">
        <v>0</v>
      </c>
      <c r="DX304" s="239">
        <v>-4160</v>
      </c>
      <c r="DY304" s="239">
        <v>0</v>
      </c>
      <c r="DZ304" s="239">
        <v>0</v>
      </c>
      <c r="EA304" s="239">
        <v>0</v>
      </c>
      <c r="EB304" s="239">
        <v>6277</v>
      </c>
      <c r="EC304" s="239">
        <v>0</v>
      </c>
      <c r="ED304" s="239">
        <v>6277</v>
      </c>
      <c r="EE304" s="239">
        <v>0</v>
      </c>
      <c r="EF304" s="239">
        <v>0</v>
      </c>
      <c r="EG304" s="239">
        <v>0</v>
      </c>
      <c r="EH304" s="239">
        <v>0</v>
      </c>
      <c r="EI304" s="239">
        <v>0</v>
      </c>
      <c r="EJ304" s="239">
        <v>0</v>
      </c>
      <c r="EK304" s="239">
        <v>-486</v>
      </c>
      <c r="EL304" s="239">
        <v>0</v>
      </c>
      <c r="EM304" s="239">
        <v>-486</v>
      </c>
      <c r="EN304" s="239">
        <v>0</v>
      </c>
      <c r="EO304" s="239">
        <v>0</v>
      </c>
      <c r="EP304" s="239">
        <v>0</v>
      </c>
      <c r="EQ304" s="239">
        <v>-6121</v>
      </c>
      <c r="ER304" s="239">
        <v>0</v>
      </c>
      <c r="ES304" s="239">
        <v>-6121</v>
      </c>
      <c r="ET304" s="239">
        <v>0</v>
      </c>
      <c r="EU304" s="239">
        <v>0</v>
      </c>
      <c r="EV304" s="239">
        <v>0</v>
      </c>
      <c r="EW304" s="239">
        <v>0</v>
      </c>
      <c r="EX304" s="239">
        <v>0</v>
      </c>
      <c r="EY304" s="239">
        <v>0</v>
      </c>
      <c r="EZ304" s="239">
        <v>0</v>
      </c>
      <c r="FA304" s="239">
        <v>0</v>
      </c>
      <c r="FB304" s="239">
        <v>0</v>
      </c>
      <c r="FC304" s="239">
        <v>45101580</v>
      </c>
      <c r="FD304" s="239">
        <v>0</v>
      </c>
      <c r="FE304" s="239">
        <v>45101580</v>
      </c>
      <c r="FF304" s="239">
        <v>65077</v>
      </c>
      <c r="FG304" s="239">
        <v>0</v>
      </c>
      <c r="FH304" s="239">
        <v>65077</v>
      </c>
      <c r="FI304" s="239">
        <v>-6625680</v>
      </c>
      <c r="FJ304" s="239">
        <v>0</v>
      </c>
      <c r="FK304" s="239">
        <v>-6625680</v>
      </c>
      <c r="FL304" s="239">
        <v>-1233574</v>
      </c>
      <c r="FM304" s="239">
        <v>0</v>
      </c>
      <c r="FN304" s="239">
        <v>-1233574</v>
      </c>
      <c r="FO304" s="239">
        <v>-566295</v>
      </c>
      <c r="FP304" s="239">
        <v>0</v>
      </c>
      <c r="FQ304" s="239">
        <v>-566295</v>
      </c>
      <c r="FR304" s="239">
        <v>-6121</v>
      </c>
      <c r="FS304" s="239">
        <v>0</v>
      </c>
      <c r="FT304" s="239">
        <v>-6121</v>
      </c>
      <c r="FU304" s="239">
        <v>0</v>
      </c>
      <c r="FV304" s="239">
        <v>0</v>
      </c>
      <c r="FW304" s="239">
        <v>0</v>
      </c>
      <c r="FX304" s="239">
        <v>-8366593</v>
      </c>
      <c r="FY304" s="239">
        <v>0</v>
      </c>
      <c r="FZ304" s="239">
        <v>-8366593</v>
      </c>
      <c r="GA304" s="239">
        <v>36734987</v>
      </c>
      <c r="GB304" s="239">
        <v>0</v>
      </c>
      <c r="GC304" s="239">
        <v>36734987</v>
      </c>
      <c r="GD304" s="214" t="s">
        <v>1190</v>
      </c>
    </row>
    <row r="305" spans="2:186" s="214" customFormat="1" x14ac:dyDescent="0.2">
      <c r="B305" s="609" t="s">
        <v>692</v>
      </c>
      <c r="C305" s="609" t="s">
        <v>691</v>
      </c>
      <c r="D305" s="239">
        <v>0</v>
      </c>
      <c r="E305" s="239">
        <v>0</v>
      </c>
      <c r="F305" s="239">
        <v>0</v>
      </c>
      <c r="G305" s="239">
        <v>30803</v>
      </c>
      <c r="H305" s="239">
        <v>0</v>
      </c>
      <c r="I305" s="239">
        <v>30803</v>
      </c>
      <c r="J305" s="239">
        <v>0</v>
      </c>
      <c r="K305" s="239">
        <v>0</v>
      </c>
      <c r="L305" s="239">
        <v>0</v>
      </c>
      <c r="M305" s="239">
        <v>35792</v>
      </c>
      <c r="N305" s="239">
        <v>0</v>
      </c>
      <c r="O305" s="239">
        <v>35792</v>
      </c>
      <c r="P305" s="239">
        <v>66595</v>
      </c>
      <c r="Q305" s="239">
        <v>0</v>
      </c>
      <c r="R305" s="239">
        <v>66595</v>
      </c>
      <c r="S305" s="239">
        <v>-5230618</v>
      </c>
      <c r="T305" s="239">
        <v>0</v>
      </c>
      <c r="U305" s="239">
        <v>-5230618</v>
      </c>
      <c r="V305" s="239">
        <v>-12084</v>
      </c>
      <c r="W305" s="239">
        <v>0</v>
      </c>
      <c r="X305" s="239">
        <v>-12084</v>
      </c>
      <c r="Y305" s="239">
        <v>-309369</v>
      </c>
      <c r="Z305" s="239">
        <v>0</v>
      </c>
      <c r="AA305" s="239">
        <v>-309369</v>
      </c>
      <c r="AB305" s="239">
        <v>-231411</v>
      </c>
      <c r="AC305" s="239">
        <v>0</v>
      </c>
      <c r="AD305" s="239">
        <v>-231411</v>
      </c>
      <c r="AE305" s="239">
        <v>-84</v>
      </c>
      <c r="AF305" s="239">
        <v>0</v>
      </c>
      <c r="AG305" s="239">
        <v>-84</v>
      </c>
      <c r="AH305" s="239">
        <v>738417</v>
      </c>
      <c r="AI305" s="239">
        <v>0</v>
      </c>
      <c r="AJ305" s="239">
        <v>738417</v>
      </c>
      <c r="AK305" s="239">
        <v>-10513</v>
      </c>
      <c r="AL305" s="239">
        <v>0</v>
      </c>
      <c r="AM305" s="239">
        <v>-10513</v>
      </c>
      <c r="AN305" s="239">
        <v>-2737976</v>
      </c>
      <c r="AO305" s="239">
        <v>0</v>
      </c>
      <c r="AP305" s="239">
        <v>-2737976</v>
      </c>
      <c r="AQ305" s="239">
        <v>-642118</v>
      </c>
      <c r="AR305" s="239">
        <v>0</v>
      </c>
      <c r="AS305" s="239">
        <v>-642118</v>
      </c>
      <c r="AT305" s="239">
        <v>-88929</v>
      </c>
      <c r="AU305" s="239">
        <v>0</v>
      </c>
      <c r="AV305" s="239">
        <v>-88929</v>
      </c>
      <c r="AW305" s="239">
        <v>4378</v>
      </c>
      <c r="AX305" s="239">
        <v>0</v>
      </c>
      <c r="AY305" s="239">
        <v>4378</v>
      </c>
      <c r="AZ305" s="239">
        <v>-71409</v>
      </c>
      <c r="BA305" s="239">
        <v>0</v>
      </c>
      <c r="BB305" s="239">
        <v>-71409</v>
      </c>
      <c r="BC305" s="239">
        <v>-8693</v>
      </c>
      <c r="BD305" s="239">
        <v>0</v>
      </c>
      <c r="BE305" s="239">
        <v>-8693</v>
      </c>
      <c r="BF305" s="239">
        <v>-8356830</v>
      </c>
      <c r="BG305" s="239">
        <v>0</v>
      </c>
      <c r="BH305" s="239">
        <v>-8356830</v>
      </c>
      <c r="BI305" s="239">
        <v>-3616</v>
      </c>
      <c r="BJ305" s="239">
        <v>0</v>
      </c>
      <c r="BK305" s="239">
        <v>-3616</v>
      </c>
      <c r="BL305" s="239">
        <v>-5046</v>
      </c>
      <c r="BM305" s="239">
        <v>0</v>
      </c>
      <c r="BN305" s="239">
        <v>-5046</v>
      </c>
      <c r="BO305" s="239">
        <v>-615841</v>
      </c>
      <c r="BP305" s="239">
        <v>0</v>
      </c>
      <c r="BQ305" s="239">
        <v>-615841</v>
      </c>
      <c r="BR305" s="239">
        <v>-46571</v>
      </c>
      <c r="BS305" s="239">
        <v>0</v>
      </c>
      <c r="BT305" s="239">
        <v>-46571</v>
      </c>
      <c r="BU305" s="239">
        <v>-671074</v>
      </c>
      <c r="BV305" s="239">
        <v>0</v>
      </c>
      <c r="BW305" s="239">
        <v>-671074</v>
      </c>
      <c r="BX305" s="239">
        <v>-83031</v>
      </c>
      <c r="BY305" s="239">
        <v>0</v>
      </c>
      <c r="BZ305" s="239">
        <v>-83031</v>
      </c>
      <c r="CA305" s="239">
        <v>0</v>
      </c>
      <c r="CB305" s="239">
        <v>0</v>
      </c>
      <c r="CC305" s="239">
        <v>0</v>
      </c>
      <c r="CD305" s="239">
        <v>-11943</v>
      </c>
      <c r="CE305" s="239">
        <v>0</v>
      </c>
      <c r="CF305" s="239">
        <v>-11943</v>
      </c>
      <c r="CG305" s="239">
        <v>0</v>
      </c>
      <c r="CH305" s="239">
        <v>0</v>
      </c>
      <c r="CI305" s="239">
        <v>0</v>
      </c>
      <c r="CJ305" s="239">
        <v>0</v>
      </c>
      <c r="CK305" s="239">
        <v>0</v>
      </c>
      <c r="CL305" s="239">
        <v>0</v>
      </c>
      <c r="CM305" s="239">
        <v>0</v>
      </c>
      <c r="CN305" s="239">
        <v>0</v>
      </c>
      <c r="CO305" s="239">
        <v>0</v>
      </c>
      <c r="CP305" s="239">
        <v>-14341</v>
      </c>
      <c r="CQ305" s="239">
        <v>0</v>
      </c>
      <c r="CR305" s="239">
        <v>-14341</v>
      </c>
      <c r="CS305" s="239">
        <v>-797</v>
      </c>
      <c r="CT305" s="239">
        <v>0</v>
      </c>
      <c r="CU305" s="239">
        <v>-797</v>
      </c>
      <c r="CV305" s="239">
        <v>-4227</v>
      </c>
      <c r="CW305" s="239">
        <v>0</v>
      </c>
      <c r="CX305" s="239">
        <v>-4227</v>
      </c>
      <c r="CY305" s="239">
        <v>4742</v>
      </c>
      <c r="CZ305" s="239">
        <v>0</v>
      </c>
      <c r="DA305" s="239">
        <v>4742</v>
      </c>
      <c r="DB305" s="239">
        <v>0</v>
      </c>
      <c r="DC305" s="239">
        <v>0</v>
      </c>
      <c r="DD305" s="239">
        <v>0</v>
      </c>
      <c r="DE305" s="239">
        <v>0</v>
      </c>
      <c r="DF305" s="239">
        <v>0</v>
      </c>
      <c r="DG305" s="239">
        <v>0</v>
      </c>
      <c r="DH305" s="239">
        <v>0</v>
      </c>
      <c r="DI305" s="239">
        <v>0</v>
      </c>
      <c r="DJ305" s="239">
        <v>-109597</v>
      </c>
      <c r="DK305" s="239">
        <v>0</v>
      </c>
      <c r="DL305" s="239">
        <v>-109597</v>
      </c>
      <c r="DM305" s="239">
        <v>0</v>
      </c>
      <c r="DN305" s="239">
        <v>0</v>
      </c>
      <c r="DO305" s="239">
        <v>0</v>
      </c>
      <c r="DP305" s="239">
        <v>0</v>
      </c>
      <c r="DQ305" s="239">
        <v>0</v>
      </c>
      <c r="DR305" s="239">
        <v>0</v>
      </c>
      <c r="DS305" s="239">
        <v>-6283</v>
      </c>
      <c r="DT305" s="239">
        <v>0</v>
      </c>
      <c r="DU305" s="239">
        <v>-6283</v>
      </c>
      <c r="DV305" s="239">
        <v>-8</v>
      </c>
      <c r="DW305" s="239">
        <v>0</v>
      </c>
      <c r="DX305" s="239">
        <v>-8</v>
      </c>
      <c r="DY305" s="239">
        <v>0</v>
      </c>
      <c r="DZ305" s="239">
        <v>0</v>
      </c>
      <c r="EA305" s="239">
        <v>0</v>
      </c>
      <c r="EB305" s="239">
        <v>2592</v>
      </c>
      <c r="EC305" s="239">
        <v>0</v>
      </c>
      <c r="ED305" s="239">
        <v>2592</v>
      </c>
      <c r="EE305" s="239">
        <v>0</v>
      </c>
      <c r="EF305" s="239">
        <v>0</v>
      </c>
      <c r="EG305" s="239">
        <v>0</v>
      </c>
      <c r="EH305" s="239">
        <v>0</v>
      </c>
      <c r="EI305" s="239">
        <v>0</v>
      </c>
      <c r="EJ305" s="239">
        <v>0</v>
      </c>
      <c r="EK305" s="239">
        <v>-5256</v>
      </c>
      <c r="EL305" s="239">
        <v>0</v>
      </c>
      <c r="EM305" s="239">
        <v>-5256</v>
      </c>
      <c r="EN305" s="239">
        <v>589</v>
      </c>
      <c r="EO305" s="239">
        <v>0</v>
      </c>
      <c r="EP305" s="239">
        <v>589</v>
      </c>
      <c r="EQ305" s="239">
        <v>-8366</v>
      </c>
      <c r="ER305" s="239">
        <v>0</v>
      </c>
      <c r="ES305" s="239">
        <v>-8366</v>
      </c>
      <c r="ET305" s="239">
        <v>0</v>
      </c>
      <c r="EU305" s="239">
        <v>0</v>
      </c>
      <c r="EV305" s="239">
        <v>0</v>
      </c>
      <c r="EW305" s="239">
        <v>0</v>
      </c>
      <c r="EX305" s="239">
        <v>0</v>
      </c>
      <c r="EY305" s="239">
        <v>0</v>
      </c>
      <c r="EZ305" s="239">
        <v>0</v>
      </c>
      <c r="FA305" s="239">
        <v>0</v>
      </c>
      <c r="FB305" s="239">
        <v>0</v>
      </c>
      <c r="FC305" s="239">
        <v>39949296</v>
      </c>
      <c r="FD305" s="239">
        <v>0</v>
      </c>
      <c r="FE305" s="239">
        <v>39949296</v>
      </c>
      <c r="FF305" s="239">
        <v>66595</v>
      </c>
      <c r="FG305" s="239">
        <v>0</v>
      </c>
      <c r="FH305" s="239">
        <v>66595</v>
      </c>
      <c r="FI305" s="239">
        <v>-8356830</v>
      </c>
      <c r="FJ305" s="239">
        <v>0</v>
      </c>
      <c r="FK305" s="239">
        <v>-8356830</v>
      </c>
      <c r="FL305" s="239">
        <v>-671074</v>
      </c>
      <c r="FM305" s="239">
        <v>0</v>
      </c>
      <c r="FN305" s="239">
        <v>-671074</v>
      </c>
      <c r="FO305" s="239">
        <v>-109597</v>
      </c>
      <c r="FP305" s="239">
        <v>0</v>
      </c>
      <c r="FQ305" s="239">
        <v>-109597</v>
      </c>
      <c r="FR305" s="239">
        <v>-8366</v>
      </c>
      <c r="FS305" s="239">
        <v>0</v>
      </c>
      <c r="FT305" s="239">
        <v>-8366</v>
      </c>
      <c r="FU305" s="239">
        <v>0</v>
      </c>
      <c r="FV305" s="239">
        <v>0</v>
      </c>
      <c r="FW305" s="239">
        <v>0</v>
      </c>
      <c r="FX305" s="239">
        <v>-9079272</v>
      </c>
      <c r="FY305" s="239">
        <v>0</v>
      </c>
      <c r="FZ305" s="239">
        <v>-9079272</v>
      </c>
      <c r="GA305" s="239">
        <v>30870024</v>
      </c>
      <c r="GB305" s="239">
        <v>0</v>
      </c>
      <c r="GC305" s="239">
        <v>30870024</v>
      </c>
      <c r="GD305" s="214" t="s">
        <v>1190</v>
      </c>
    </row>
    <row r="306" spans="2:186" s="214" customFormat="1" x14ac:dyDescent="0.2">
      <c r="B306" s="609" t="s">
        <v>694</v>
      </c>
      <c r="C306" s="609" t="s">
        <v>693</v>
      </c>
      <c r="D306" s="239">
        <v>0</v>
      </c>
      <c r="E306" s="239">
        <v>0</v>
      </c>
      <c r="F306" s="239">
        <v>0</v>
      </c>
      <c r="G306" s="239">
        <v>-20547</v>
      </c>
      <c r="H306" s="239">
        <v>0</v>
      </c>
      <c r="I306" s="239">
        <v>-20547</v>
      </c>
      <c r="J306" s="239">
        <v>0</v>
      </c>
      <c r="K306" s="239">
        <v>0</v>
      </c>
      <c r="L306" s="239">
        <v>0</v>
      </c>
      <c r="M306" s="239">
        <v>19871</v>
      </c>
      <c r="N306" s="239">
        <v>0</v>
      </c>
      <c r="O306" s="239">
        <v>19871</v>
      </c>
      <c r="P306" s="239">
        <v>-676</v>
      </c>
      <c r="Q306" s="239">
        <v>0</v>
      </c>
      <c r="R306" s="239">
        <v>-676</v>
      </c>
      <c r="S306" s="239">
        <v>-2110602</v>
      </c>
      <c r="T306" s="239">
        <v>0</v>
      </c>
      <c r="U306" s="239">
        <v>-2110602</v>
      </c>
      <c r="V306" s="239">
        <v>0</v>
      </c>
      <c r="W306" s="239">
        <v>0</v>
      </c>
      <c r="X306" s="239">
        <v>0</v>
      </c>
      <c r="Y306" s="239">
        <v>-32298</v>
      </c>
      <c r="Z306" s="239">
        <v>0</v>
      </c>
      <c r="AA306" s="239">
        <v>-32298</v>
      </c>
      <c r="AB306" s="239">
        <v>-32298</v>
      </c>
      <c r="AC306" s="239">
        <v>0</v>
      </c>
      <c r="AD306" s="239">
        <v>-32298</v>
      </c>
      <c r="AE306" s="239">
        <v>0</v>
      </c>
      <c r="AF306" s="239">
        <v>0</v>
      </c>
      <c r="AG306" s="239">
        <v>0</v>
      </c>
      <c r="AH306" s="239">
        <v>794397</v>
      </c>
      <c r="AI306" s="239">
        <v>0</v>
      </c>
      <c r="AJ306" s="239">
        <v>794397</v>
      </c>
      <c r="AK306" s="239">
        <v>-28887</v>
      </c>
      <c r="AL306" s="239">
        <v>0</v>
      </c>
      <c r="AM306" s="239">
        <v>-28887</v>
      </c>
      <c r="AN306" s="239">
        <v>-1734797</v>
      </c>
      <c r="AO306" s="239">
        <v>0</v>
      </c>
      <c r="AP306" s="239">
        <v>-1734797</v>
      </c>
      <c r="AQ306" s="239">
        <v>3727</v>
      </c>
      <c r="AR306" s="239">
        <v>0</v>
      </c>
      <c r="AS306" s="239">
        <v>3727</v>
      </c>
      <c r="AT306" s="239">
        <v>-8429</v>
      </c>
      <c r="AU306" s="239">
        <v>0</v>
      </c>
      <c r="AV306" s="239">
        <v>-8429</v>
      </c>
      <c r="AW306" s="239">
        <v>0</v>
      </c>
      <c r="AX306" s="239">
        <v>0</v>
      </c>
      <c r="AY306" s="239">
        <v>0</v>
      </c>
      <c r="AZ306" s="239">
        <v>-2547</v>
      </c>
      <c r="BA306" s="239">
        <v>0</v>
      </c>
      <c r="BB306" s="239">
        <v>-2547</v>
      </c>
      <c r="BC306" s="239">
        <v>1082</v>
      </c>
      <c r="BD306" s="239">
        <v>0</v>
      </c>
      <c r="BE306" s="239">
        <v>1082</v>
      </c>
      <c r="BF306" s="239">
        <v>-3118354</v>
      </c>
      <c r="BG306" s="239">
        <v>0</v>
      </c>
      <c r="BH306" s="239">
        <v>-3118354</v>
      </c>
      <c r="BI306" s="239">
        <v>-287946</v>
      </c>
      <c r="BJ306" s="239">
        <v>0</v>
      </c>
      <c r="BK306" s="239">
        <v>-287946</v>
      </c>
      <c r="BL306" s="239">
        <v>18328</v>
      </c>
      <c r="BM306" s="239">
        <v>0</v>
      </c>
      <c r="BN306" s="239">
        <v>18328</v>
      </c>
      <c r="BO306" s="239">
        <v>-931762</v>
      </c>
      <c r="BP306" s="239">
        <v>0</v>
      </c>
      <c r="BQ306" s="239">
        <v>-931762</v>
      </c>
      <c r="BR306" s="239">
        <v>-98240</v>
      </c>
      <c r="BS306" s="239">
        <v>0</v>
      </c>
      <c r="BT306" s="239">
        <v>-98240</v>
      </c>
      <c r="BU306" s="239">
        <v>-1299620</v>
      </c>
      <c r="BV306" s="239">
        <v>0</v>
      </c>
      <c r="BW306" s="239">
        <v>-1299620</v>
      </c>
      <c r="BX306" s="239">
        <v>-91275</v>
      </c>
      <c r="BY306" s="239">
        <v>0</v>
      </c>
      <c r="BZ306" s="239">
        <v>-91275</v>
      </c>
      <c r="CA306" s="239">
        <v>519</v>
      </c>
      <c r="CB306" s="239">
        <v>0</v>
      </c>
      <c r="CC306" s="239">
        <v>519</v>
      </c>
      <c r="CD306" s="239">
        <v>-11820</v>
      </c>
      <c r="CE306" s="239">
        <v>0</v>
      </c>
      <c r="CF306" s="239">
        <v>-11820</v>
      </c>
      <c r="CG306" s="239">
        <v>0</v>
      </c>
      <c r="CH306" s="239">
        <v>0</v>
      </c>
      <c r="CI306" s="239">
        <v>0</v>
      </c>
      <c r="CJ306" s="239">
        <v>-378</v>
      </c>
      <c r="CK306" s="239">
        <v>0</v>
      </c>
      <c r="CL306" s="239">
        <v>-378</v>
      </c>
      <c r="CM306" s="239">
        <v>0</v>
      </c>
      <c r="CN306" s="239">
        <v>0</v>
      </c>
      <c r="CO306" s="239">
        <v>0</v>
      </c>
      <c r="CP306" s="239">
        <v>0</v>
      </c>
      <c r="CQ306" s="239">
        <v>0</v>
      </c>
      <c r="CR306" s="239">
        <v>0</v>
      </c>
      <c r="CS306" s="239">
        <v>0</v>
      </c>
      <c r="CT306" s="239">
        <v>0</v>
      </c>
      <c r="CU306" s="239">
        <v>0</v>
      </c>
      <c r="CV306" s="239">
        <v>0</v>
      </c>
      <c r="CW306" s="239">
        <v>0</v>
      </c>
      <c r="CX306" s="239">
        <v>0</v>
      </c>
      <c r="CY306" s="239">
        <v>0</v>
      </c>
      <c r="CZ306" s="239">
        <v>0</v>
      </c>
      <c r="DA306" s="239">
        <v>0</v>
      </c>
      <c r="DB306" s="239">
        <v>0</v>
      </c>
      <c r="DC306" s="239">
        <v>0</v>
      </c>
      <c r="DD306" s="239">
        <v>0</v>
      </c>
      <c r="DE306" s="239">
        <v>0</v>
      </c>
      <c r="DF306" s="239">
        <v>0</v>
      </c>
      <c r="DG306" s="239">
        <v>0</v>
      </c>
      <c r="DH306" s="239">
        <v>0</v>
      </c>
      <c r="DI306" s="239">
        <v>0</v>
      </c>
      <c r="DJ306" s="239">
        <v>-102954</v>
      </c>
      <c r="DK306" s="239">
        <v>0</v>
      </c>
      <c r="DL306" s="239">
        <v>-102954</v>
      </c>
      <c r="DM306" s="239">
        <v>-18853</v>
      </c>
      <c r="DN306" s="239">
        <v>0</v>
      </c>
      <c r="DO306" s="239">
        <v>-18853</v>
      </c>
      <c r="DP306" s="239">
        <v>0</v>
      </c>
      <c r="DQ306" s="239">
        <v>0</v>
      </c>
      <c r="DR306" s="239">
        <v>0</v>
      </c>
      <c r="DS306" s="239">
        <v>-57994</v>
      </c>
      <c r="DT306" s="239">
        <v>0</v>
      </c>
      <c r="DU306" s="239">
        <v>-57994</v>
      </c>
      <c r="DV306" s="239">
        <v>-22859</v>
      </c>
      <c r="DW306" s="239">
        <v>0</v>
      </c>
      <c r="DX306" s="239">
        <v>-22859</v>
      </c>
      <c r="DY306" s="239">
        <v>0</v>
      </c>
      <c r="DZ306" s="239">
        <v>0</v>
      </c>
      <c r="EA306" s="239">
        <v>0</v>
      </c>
      <c r="EB306" s="239">
        <v>-10223</v>
      </c>
      <c r="EC306" s="239">
        <v>0</v>
      </c>
      <c r="ED306" s="239">
        <v>-10223</v>
      </c>
      <c r="EE306" s="239">
        <v>0</v>
      </c>
      <c r="EF306" s="239">
        <v>0</v>
      </c>
      <c r="EG306" s="239">
        <v>0</v>
      </c>
      <c r="EH306" s="239">
        <v>0</v>
      </c>
      <c r="EI306" s="239">
        <v>0</v>
      </c>
      <c r="EJ306" s="239">
        <v>0</v>
      </c>
      <c r="EK306" s="239">
        <v>0</v>
      </c>
      <c r="EL306" s="239">
        <v>0</v>
      </c>
      <c r="EM306" s="239">
        <v>0</v>
      </c>
      <c r="EN306" s="239">
        <v>0</v>
      </c>
      <c r="EO306" s="239">
        <v>0</v>
      </c>
      <c r="EP306" s="239">
        <v>0</v>
      </c>
      <c r="EQ306" s="239">
        <v>-109929</v>
      </c>
      <c r="ER306" s="239">
        <v>0</v>
      </c>
      <c r="ES306" s="239">
        <v>-109929</v>
      </c>
      <c r="ET306" s="239">
        <v>0</v>
      </c>
      <c r="EU306" s="239">
        <v>0</v>
      </c>
      <c r="EV306" s="239">
        <v>0</v>
      </c>
      <c r="EW306" s="239">
        <v>0</v>
      </c>
      <c r="EX306" s="239">
        <v>0</v>
      </c>
      <c r="EY306" s="239">
        <v>0</v>
      </c>
      <c r="EZ306" s="239">
        <v>0</v>
      </c>
      <c r="FA306" s="239">
        <v>0</v>
      </c>
      <c r="FB306" s="239">
        <v>0</v>
      </c>
      <c r="FC306" s="239">
        <v>33372526</v>
      </c>
      <c r="FD306" s="239">
        <v>0</v>
      </c>
      <c r="FE306" s="239">
        <v>33372526</v>
      </c>
      <c r="FF306" s="239">
        <v>-676</v>
      </c>
      <c r="FG306" s="239">
        <v>0</v>
      </c>
      <c r="FH306" s="239">
        <v>-676</v>
      </c>
      <c r="FI306" s="239">
        <v>-3118354</v>
      </c>
      <c r="FJ306" s="239">
        <v>0</v>
      </c>
      <c r="FK306" s="239">
        <v>-3118354</v>
      </c>
      <c r="FL306" s="239">
        <v>-1299620</v>
      </c>
      <c r="FM306" s="239">
        <v>0</v>
      </c>
      <c r="FN306" s="239">
        <v>-1299620</v>
      </c>
      <c r="FO306" s="239">
        <v>-102954</v>
      </c>
      <c r="FP306" s="239">
        <v>0</v>
      </c>
      <c r="FQ306" s="239">
        <v>-102954</v>
      </c>
      <c r="FR306" s="239">
        <v>-109929</v>
      </c>
      <c r="FS306" s="239">
        <v>0</v>
      </c>
      <c r="FT306" s="239">
        <v>-109929</v>
      </c>
      <c r="FU306" s="239">
        <v>0</v>
      </c>
      <c r="FV306" s="239">
        <v>0</v>
      </c>
      <c r="FW306" s="239">
        <v>0</v>
      </c>
      <c r="FX306" s="239">
        <v>-4631533</v>
      </c>
      <c r="FY306" s="239">
        <v>0</v>
      </c>
      <c r="FZ306" s="239">
        <v>-4631533</v>
      </c>
      <c r="GA306" s="239">
        <v>28740993</v>
      </c>
      <c r="GB306" s="239">
        <v>0</v>
      </c>
      <c r="GC306" s="239">
        <v>28740993</v>
      </c>
      <c r="GD306" s="214" t="s">
        <v>1190</v>
      </c>
    </row>
    <row r="307" spans="2:186" s="214" customFormat="1" x14ac:dyDescent="0.2">
      <c r="B307" s="609" t="s">
        <v>696</v>
      </c>
      <c r="C307" s="609" t="s">
        <v>695</v>
      </c>
      <c r="D307" s="239">
        <v>0</v>
      </c>
      <c r="E307" s="239">
        <v>0</v>
      </c>
      <c r="F307" s="239">
        <v>0</v>
      </c>
      <c r="G307" s="239">
        <v>153046</v>
      </c>
      <c r="H307" s="239">
        <v>0</v>
      </c>
      <c r="I307" s="239">
        <v>153046</v>
      </c>
      <c r="J307" s="239">
        <v>0</v>
      </c>
      <c r="K307" s="239">
        <v>0</v>
      </c>
      <c r="L307" s="239">
        <v>0</v>
      </c>
      <c r="M307" s="239">
        <v>-46400</v>
      </c>
      <c r="N307" s="239">
        <v>0</v>
      </c>
      <c r="O307" s="239">
        <v>-46400</v>
      </c>
      <c r="P307" s="239">
        <v>106646</v>
      </c>
      <c r="Q307" s="239">
        <v>0</v>
      </c>
      <c r="R307" s="239">
        <v>106646</v>
      </c>
      <c r="S307" s="239">
        <v>-1409325</v>
      </c>
      <c r="T307" s="239">
        <v>0</v>
      </c>
      <c r="U307" s="239">
        <v>-1409325</v>
      </c>
      <c r="V307" s="239">
        <v>0</v>
      </c>
      <c r="W307" s="239">
        <v>0</v>
      </c>
      <c r="X307" s="239">
        <v>0</v>
      </c>
      <c r="Y307" s="239">
        <v>-46112</v>
      </c>
      <c r="Z307" s="239">
        <v>0</v>
      </c>
      <c r="AA307" s="239">
        <v>-46112</v>
      </c>
      <c r="AB307" s="239">
        <v>-36407</v>
      </c>
      <c r="AC307" s="239">
        <v>0</v>
      </c>
      <c r="AD307" s="239">
        <v>-36407</v>
      </c>
      <c r="AE307" s="239">
        <v>0</v>
      </c>
      <c r="AF307" s="239">
        <v>0</v>
      </c>
      <c r="AG307" s="239">
        <v>0</v>
      </c>
      <c r="AH307" s="239">
        <v>1687652</v>
      </c>
      <c r="AI307" s="239">
        <v>0</v>
      </c>
      <c r="AJ307" s="239">
        <v>1687652</v>
      </c>
      <c r="AK307" s="239">
        <v>-46827</v>
      </c>
      <c r="AL307" s="239">
        <v>0</v>
      </c>
      <c r="AM307" s="239">
        <v>-46827</v>
      </c>
      <c r="AN307" s="239">
        <v>-5450010</v>
      </c>
      <c r="AO307" s="239">
        <v>0</v>
      </c>
      <c r="AP307" s="239">
        <v>-5450010</v>
      </c>
      <c r="AQ307" s="239">
        <v>298569</v>
      </c>
      <c r="AR307" s="239">
        <v>0</v>
      </c>
      <c r="AS307" s="239">
        <v>298569</v>
      </c>
      <c r="AT307" s="239">
        <v>-48010</v>
      </c>
      <c r="AU307" s="239">
        <v>0</v>
      </c>
      <c r="AV307" s="239">
        <v>-48010</v>
      </c>
      <c r="AW307" s="239">
        <v>0</v>
      </c>
      <c r="AX307" s="239">
        <v>0</v>
      </c>
      <c r="AY307" s="239">
        <v>0</v>
      </c>
      <c r="AZ307" s="239">
        <v>0</v>
      </c>
      <c r="BA307" s="239">
        <v>0</v>
      </c>
      <c r="BB307" s="239">
        <v>0</v>
      </c>
      <c r="BC307" s="239">
        <v>0</v>
      </c>
      <c r="BD307" s="239">
        <v>0</v>
      </c>
      <c r="BE307" s="239">
        <v>0</v>
      </c>
      <c r="BF307" s="239">
        <v>-5014063</v>
      </c>
      <c r="BG307" s="239">
        <v>0</v>
      </c>
      <c r="BH307" s="239">
        <v>-5014063</v>
      </c>
      <c r="BI307" s="239">
        <v>-381170</v>
      </c>
      <c r="BJ307" s="239">
        <v>0</v>
      </c>
      <c r="BK307" s="239">
        <v>-381170</v>
      </c>
      <c r="BL307" s="239">
        <v>-328373</v>
      </c>
      <c r="BM307" s="239">
        <v>0</v>
      </c>
      <c r="BN307" s="239">
        <v>-328373</v>
      </c>
      <c r="BO307" s="239">
        <v>-1503379</v>
      </c>
      <c r="BP307" s="239">
        <v>0</v>
      </c>
      <c r="BQ307" s="239">
        <v>-1503379</v>
      </c>
      <c r="BR307" s="239">
        <v>-112283</v>
      </c>
      <c r="BS307" s="239">
        <v>0</v>
      </c>
      <c r="BT307" s="239">
        <v>-112283</v>
      </c>
      <c r="BU307" s="239">
        <v>-2325205</v>
      </c>
      <c r="BV307" s="239">
        <v>0</v>
      </c>
      <c r="BW307" s="239">
        <v>-2325205</v>
      </c>
      <c r="BX307" s="239">
        <v>-192841</v>
      </c>
      <c r="BY307" s="239">
        <v>0</v>
      </c>
      <c r="BZ307" s="239">
        <v>-192841</v>
      </c>
      <c r="CA307" s="239">
        <v>2590</v>
      </c>
      <c r="CB307" s="239">
        <v>0</v>
      </c>
      <c r="CC307" s="239">
        <v>2590</v>
      </c>
      <c r="CD307" s="239">
        <v>-50078</v>
      </c>
      <c r="CE307" s="239">
        <v>0</v>
      </c>
      <c r="CF307" s="239">
        <v>-50078</v>
      </c>
      <c r="CG307" s="239">
        <v>-853</v>
      </c>
      <c r="CH307" s="239">
        <v>0</v>
      </c>
      <c r="CI307" s="239">
        <v>-853</v>
      </c>
      <c r="CJ307" s="239">
        <v>-6020</v>
      </c>
      <c r="CK307" s="239">
        <v>0</v>
      </c>
      <c r="CL307" s="239">
        <v>-6020</v>
      </c>
      <c r="CM307" s="239">
        <v>0</v>
      </c>
      <c r="CN307" s="239">
        <v>0</v>
      </c>
      <c r="CO307" s="239">
        <v>0</v>
      </c>
      <c r="CP307" s="239">
        <v>0</v>
      </c>
      <c r="CQ307" s="239">
        <v>0</v>
      </c>
      <c r="CR307" s="239">
        <v>0</v>
      </c>
      <c r="CS307" s="239">
        <v>0</v>
      </c>
      <c r="CT307" s="239">
        <v>0</v>
      </c>
      <c r="CU307" s="239">
        <v>0</v>
      </c>
      <c r="CV307" s="239">
        <v>0</v>
      </c>
      <c r="CW307" s="239">
        <v>0</v>
      </c>
      <c r="CX307" s="239">
        <v>0</v>
      </c>
      <c r="CY307" s="239">
        <v>0</v>
      </c>
      <c r="CZ307" s="239">
        <v>0</v>
      </c>
      <c r="DA307" s="239">
        <v>0</v>
      </c>
      <c r="DB307" s="239">
        <v>0</v>
      </c>
      <c r="DC307" s="239">
        <v>0</v>
      </c>
      <c r="DD307" s="239">
        <v>0</v>
      </c>
      <c r="DE307" s="239">
        <v>0</v>
      </c>
      <c r="DF307" s="239">
        <v>0</v>
      </c>
      <c r="DG307" s="239">
        <v>0</v>
      </c>
      <c r="DH307" s="239">
        <v>0</v>
      </c>
      <c r="DI307" s="239">
        <v>0</v>
      </c>
      <c r="DJ307" s="239">
        <v>-247202</v>
      </c>
      <c r="DK307" s="239">
        <v>0</v>
      </c>
      <c r="DL307" s="239">
        <v>-247202</v>
      </c>
      <c r="DM307" s="239">
        <v>0</v>
      </c>
      <c r="DN307" s="239">
        <v>0</v>
      </c>
      <c r="DO307" s="239">
        <v>0</v>
      </c>
      <c r="DP307" s="239">
        <v>0</v>
      </c>
      <c r="DQ307" s="239">
        <v>0</v>
      </c>
      <c r="DR307" s="239">
        <v>0</v>
      </c>
      <c r="DS307" s="239">
        <v>-26234</v>
      </c>
      <c r="DT307" s="239">
        <v>0</v>
      </c>
      <c r="DU307" s="239">
        <v>-26234</v>
      </c>
      <c r="DV307" s="239">
        <v>-530</v>
      </c>
      <c r="DW307" s="239">
        <v>0</v>
      </c>
      <c r="DX307" s="239">
        <v>-530</v>
      </c>
      <c r="DY307" s="239">
        <v>0</v>
      </c>
      <c r="DZ307" s="239">
        <v>0</v>
      </c>
      <c r="EA307" s="239">
        <v>0</v>
      </c>
      <c r="EB307" s="239">
        <v>-10060</v>
      </c>
      <c r="EC307" s="239">
        <v>0</v>
      </c>
      <c r="ED307" s="239">
        <v>-10060</v>
      </c>
      <c r="EE307" s="239">
        <v>0</v>
      </c>
      <c r="EF307" s="239">
        <v>0</v>
      </c>
      <c r="EG307" s="239">
        <v>0</v>
      </c>
      <c r="EH307" s="239">
        <v>0</v>
      </c>
      <c r="EI307" s="239">
        <v>0</v>
      </c>
      <c r="EJ307" s="239">
        <v>0</v>
      </c>
      <c r="EK307" s="239">
        <v>-751</v>
      </c>
      <c r="EL307" s="239">
        <v>0</v>
      </c>
      <c r="EM307" s="239">
        <v>-751</v>
      </c>
      <c r="EN307" s="239">
        <v>0</v>
      </c>
      <c r="EO307" s="239">
        <v>0</v>
      </c>
      <c r="EP307" s="239">
        <v>0</v>
      </c>
      <c r="EQ307" s="239">
        <v>-37575</v>
      </c>
      <c r="ER307" s="239">
        <v>0</v>
      </c>
      <c r="ES307" s="239">
        <v>-37575</v>
      </c>
      <c r="ET307" s="239">
        <v>0</v>
      </c>
      <c r="EU307" s="239">
        <v>0</v>
      </c>
      <c r="EV307" s="239">
        <v>0</v>
      </c>
      <c r="EW307" s="239">
        <v>0</v>
      </c>
      <c r="EX307" s="239">
        <v>0</v>
      </c>
      <c r="EY307" s="239">
        <v>0</v>
      </c>
      <c r="EZ307" s="239">
        <v>0</v>
      </c>
      <c r="FA307" s="239">
        <v>0</v>
      </c>
      <c r="FB307" s="239">
        <v>0</v>
      </c>
      <c r="FC307" s="239">
        <v>65697594</v>
      </c>
      <c r="FD307" s="239">
        <v>0</v>
      </c>
      <c r="FE307" s="239">
        <v>65697594</v>
      </c>
      <c r="FF307" s="239">
        <v>106646</v>
      </c>
      <c r="FG307" s="239">
        <v>0</v>
      </c>
      <c r="FH307" s="239">
        <v>106646</v>
      </c>
      <c r="FI307" s="239">
        <v>-5014063</v>
      </c>
      <c r="FJ307" s="239">
        <v>0</v>
      </c>
      <c r="FK307" s="239">
        <v>-5014063</v>
      </c>
      <c r="FL307" s="239">
        <v>-2325205</v>
      </c>
      <c r="FM307" s="239">
        <v>0</v>
      </c>
      <c r="FN307" s="239">
        <v>-2325205</v>
      </c>
      <c r="FO307" s="239">
        <v>-247202</v>
      </c>
      <c r="FP307" s="239">
        <v>0</v>
      </c>
      <c r="FQ307" s="239">
        <v>-247202</v>
      </c>
      <c r="FR307" s="239">
        <v>-37575</v>
      </c>
      <c r="FS307" s="239">
        <v>0</v>
      </c>
      <c r="FT307" s="239">
        <v>-37575</v>
      </c>
      <c r="FU307" s="239">
        <v>0</v>
      </c>
      <c r="FV307" s="239">
        <v>0</v>
      </c>
      <c r="FW307" s="239">
        <v>0</v>
      </c>
      <c r="FX307" s="239">
        <v>-7517399</v>
      </c>
      <c r="FY307" s="239">
        <v>0</v>
      </c>
      <c r="FZ307" s="239">
        <v>-7517399</v>
      </c>
      <c r="GA307" s="239">
        <v>58180195</v>
      </c>
      <c r="GB307" s="239">
        <v>0</v>
      </c>
      <c r="GC307" s="239">
        <v>58180195</v>
      </c>
      <c r="GD307" s="214" t="s">
        <v>1190</v>
      </c>
    </row>
    <row r="308" spans="2:186" s="214" customFormat="1" x14ac:dyDescent="0.2">
      <c r="B308" s="609" t="s">
        <v>698</v>
      </c>
      <c r="C308" s="609" t="s">
        <v>697</v>
      </c>
      <c r="D308" s="239">
        <v>0</v>
      </c>
      <c r="E308" s="239">
        <v>0</v>
      </c>
      <c r="F308" s="239">
        <v>0</v>
      </c>
      <c r="G308" s="239">
        <v>127184</v>
      </c>
      <c r="H308" s="239">
        <v>0</v>
      </c>
      <c r="I308" s="239">
        <v>127184</v>
      </c>
      <c r="J308" s="239">
        <v>0</v>
      </c>
      <c r="K308" s="239">
        <v>0</v>
      </c>
      <c r="L308" s="239">
        <v>0</v>
      </c>
      <c r="M308" s="239">
        <v>14680</v>
      </c>
      <c r="N308" s="239">
        <v>0</v>
      </c>
      <c r="O308" s="239">
        <v>14680</v>
      </c>
      <c r="P308" s="239">
        <v>141864</v>
      </c>
      <c r="Q308" s="239">
        <v>0</v>
      </c>
      <c r="R308" s="239">
        <v>141864</v>
      </c>
      <c r="S308" s="239">
        <v>-2523698</v>
      </c>
      <c r="T308" s="239">
        <v>0</v>
      </c>
      <c r="U308" s="239">
        <v>-2523698</v>
      </c>
      <c r="V308" s="239">
        <v>-23648</v>
      </c>
      <c r="W308" s="239">
        <v>0</v>
      </c>
      <c r="X308" s="239">
        <v>-23648</v>
      </c>
      <c r="Y308" s="239">
        <v>-160426</v>
      </c>
      <c r="Z308" s="239">
        <v>0</v>
      </c>
      <c r="AA308" s="239">
        <v>-160426</v>
      </c>
      <c r="AB308" s="239">
        <v>-106585</v>
      </c>
      <c r="AC308" s="239">
        <v>0</v>
      </c>
      <c r="AD308" s="239">
        <v>-106585</v>
      </c>
      <c r="AE308" s="239">
        <v>-13290</v>
      </c>
      <c r="AF308" s="239">
        <v>0</v>
      </c>
      <c r="AG308" s="239">
        <v>-13290</v>
      </c>
      <c r="AH308" s="239">
        <v>2249077</v>
      </c>
      <c r="AI308" s="239">
        <v>0</v>
      </c>
      <c r="AJ308" s="239">
        <v>2249077</v>
      </c>
      <c r="AK308" s="239">
        <v>13836</v>
      </c>
      <c r="AL308" s="239">
        <v>0</v>
      </c>
      <c r="AM308" s="239">
        <v>13836</v>
      </c>
      <c r="AN308" s="239">
        <v>-4341190</v>
      </c>
      <c r="AO308" s="239">
        <v>0</v>
      </c>
      <c r="AP308" s="239">
        <v>-4341190</v>
      </c>
      <c r="AQ308" s="239">
        <v>-152856</v>
      </c>
      <c r="AR308" s="239">
        <v>0</v>
      </c>
      <c r="AS308" s="239">
        <v>-152856</v>
      </c>
      <c r="AT308" s="239">
        <v>-73244</v>
      </c>
      <c r="AU308" s="239">
        <v>0</v>
      </c>
      <c r="AV308" s="239">
        <v>-73244</v>
      </c>
      <c r="AW308" s="239">
        <v>-1509</v>
      </c>
      <c r="AX308" s="239">
        <v>0</v>
      </c>
      <c r="AY308" s="239">
        <v>-1509</v>
      </c>
      <c r="AZ308" s="239">
        <v>-33951</v>
      </c>
      <c r="BA308" s="239">
        <v>0</v>
      </c>
      <c r="BB308" s="239">
        <v>-33951</v>
      </c>
      <c r="BC308" s="239">
        <v>-781</v>
      </c>
      <c r="BD308" s="239">
        <v>0</v>
      </c>
      <c r="BE308" s="239">
        <v>-781</v>
      </c>
      <c r="BF308" s="239">
        <v>-5024742</v>
      </c>
      <c r="BG308" s="239">
        <v>0</v>
      </c>
      <c r="BH308" s="239">
        <v>-5024742</v>
      </c>
      <c r="BI308" s="239">
        <v>0</v>
      </c>
      <c r="BJ308" s="239">
        <v>0</v>
      </c>
      <c r="BK308" s="239">
        <v>0</v>
      </c>
      <c r="BL308" s="239">
        <v>0</v>
      </c>
      <c r="BM308" s="239">
        <v>0</v>
      </c>
      <c r="BN308" s="239">
        <v>0</v>
      </c>
      <c r="BO308" s="239">
        <v>-2530631</v>
      </c>
      <c r="BP308" s="239">
        <v>0</v>
      </c>
      <c r="BQ308" s="239">
        <v>-2530631</v>
      </c>
      <c r="BR308" s="239">
        <v>-60377</v>
      </c>
      <c r="BS308" s="239">
        <v>0</v>
      </c>
      <c r="BT308" s="239">
        <v>-60377</v>
      </c>
      <c r="BU308" s="239">
        <v>-2591008</v>
      </c>
      <c r="BV308" s="239">
        <v>0</v>
      </c>
      <c r="BW308" s="239">
        <v>-2591008</v>
      </c>
      <c r="BX308" s="239">
        <v>-41805</v>
      </c>
      <c r="BY308" s="239">
        <v>0</v>
      </c>
      <c r="BZ308" s="239">
        <v>-41805</v>
      </c>
      <c r="CA308" s="239">
        <v>-325</v>
      </c>
      <c r="CB308" s="239">
        <v>0</v>
      </c>
      <c r="CC308" s="239">
        <v>-325</v>
      </c>
      <c r="CD308" s="239">
        <v>-28971</v>
      </c>
      <c r="CE308" s="239">
        <v>0</v>
      </c>
      <c r="CF308" s="239">
        <v>-28971</v>
      </c>
      <c r="CG308" s="239">
        <v>42</v>
      </c>
      <c r="CH308" s="239">
        <v>0</v>
      </c>
      <c r="CI308" s="239">
        <v>42</v>
      </c>
      <c r="CJ308" s="239">
        <v>-6163</v>
      </c>
      <c r="CK308" s="239">
        <v>0</v>
      </c>
      <c r="CL308" s="239">
        <v>-6163</v>
      </c>
      <c r="CM308" s="239">
        <v>0</v>
      </c>
      <c r="CN308" s="239">
        <v>0</v>
      </c>
      <c r="CO308" s="239">
        <v>0</v>
      </c>
      <c r="CP308" s="239">
        <v>-7773</v>
      </c>
      <c r="CQ308" s="239">
        <v>0</v>
      </c>
      <c r="CR308" s="239">
        <v>-7773</v>
      </c>
      <c r="CS308" s="239">
        <v>79</v>
      </c>
      <c r="CT308" s="239">
        <v>0</v>
      </c>
      <c r="CU308" s="239">
        <v>79</v>
      </c>
      <c r="CV308" s="239">
        <v>-39732</v>
      </c>
      <c r="CW308" s="239">
        <v>0</v>
      </c>
      <c r="CX308" s="239">
        <v>-39732</v>
      </c>
      <c r="CY308" s="239">
        <v>92</v>
      </c>
      <c r="CZ308" s="239">
        <v>0</v>
      </c>
      <c r="DA308" s="239">
        <v>92</v>
      </c>
      <c r="DB308" s="239">
        <v>0</v>
      </c>
      <c r="DC308" s="239">
        <v>0</v>
      </c>
      <c r="DD308" s="239">
        <v>0</v>
      </c>
      <c r="DE308" s="239">
        <v>0</v>
      </c>
      <c r="DF308" s="239">
        <v>0</v>
      </c>
      <c r="DG308" s="239">
        <v>0</v>
      </c>
      <c r="DH308" s="239">
        <v>0</v>
      </c>
      <c r="DI308" s="239">
        <v>0</v>
      </c>
      <c r="DJ308" s="239">
        <v>-124556</v>
      </c>
      <c r="DK308" s="239">
        <v>0</v>
      </c>
      <c r="DL308" s="239">
        <v>-124556</v>
      </c>
      <c r="DM308" s="239">
        <v>-1626</v>
      </c>
      <c r="DN308" s="239">
        <v>0</v>
      </c>
      <c r="DO308" s="239">
        <v>-1626</v>
      </c>
      <c r="DP308" s="239">
        <v>0</v>
      </c>
      <c r="DQ308" s="239">
        <v>0</v>
      </c>
      <c r="DR308" s="239">
        <v>0</v>
      </c>
      <c r="DS308" s="239">
        <v>-13319</v>
      </c>
      <c r="DT308" s="239">
        <v>0</v>
      </c>
      <c r="DU308" s="239">
        <v>-13319</v>
      </c>
      <c r="DV308" s="239">
        <v>-2450</v>
      </c>
      <c r="DW308" s="239">
        <v>0</v>
      </c>
      <c r="DX308" s="239">
        <v>-2450</v>
      </c>
      <c r="DY308" s="239">
        <v>0</v>
      </c>
      <c r="DZ308" s="239">
        <v>0</v>
      </c>
      <c r="EA308" s="239">
        <v>0</v>
      </c>
      <c r="EB308" s="239">
        <v>-20159</v>
      </c>
      <c r="EC308" s="239">
        <v>0</v>
      </c>
      <c r="ED308" s="239">
        <v>-20159</v>
      </c>
      <c r="EE308" s="239">
        <v>0</v>
      </c>
      <c r="EF308" s="239">
        <v>0</v>
      </c>
      <c r="EG308" s="239">
        <v>0</v>
      </c>
      <c r="EH308" s="239">
        <v>0</v>
      </c>
      <c r="EI308" s="239">
        <v>0</v>
      </c>
      <c r="EJ308" s="239">
        <v>0</v>
      </c>
      <c r="EK308" s="239">
        <v>0</v>
      </c>
      <c r="EL308" s="239">
        <v>0</v>
      </c>
      <c r="EM308" s="239">
        <v>0</v>
      </c>
      <c r="EN308" s="239">
        <v>0</v>
      </c>
      <c r="EO308" s="239">
        <v>0</v>
      </c>
      <c r="EP308" s="239">
        <v>0</v>
      </c>
      <c r="EQ308" s="239">
        <v>-37554</v>
      </c>
      <c r="ER308" s="239">
        <v>0</v>
      </c>
      <c r="ES308" s="239">
        <v>-37554</v>
      </c>
      <c r="ET308" s="239">
        <v>0</v>
      </c>
      <c r="EU308" s="239">
        <v>0</v>
      </c>
      <c r="EV308" s="239">
        <v>0</v>
      </c>
      <c r="EW308" s="239">
        <v>0</v>
      </c>
      <c r="EX308" s="239">
        <v>0</v>
      </c>
      <c r="EY308" s="239">
        <v>0</v>
      </c>
      <c r="EZ308" s="239">
        <v>0</v>
      </c>
      <c r="FA308" s="239">
        <v>0</v>
      </c>
      <c r="FB308" s="239">
        <v>0</v>
      </c>
      <c r="FC308" s="239">
        <v>93326598</v>
      </c>
      <c r="FD308" s="239">
        <v>0</v>
      </c>
      <c r="FE308" s="239">
        <v>93326598</v>
      </c>
      <c r="FF308" s="239">
        <v>141864</v>
      </c>
      <c r="FG308" s="239">
        <v>0</v>
      </c>
      <c r="FH308" s="239">
        <v>141864</v>
      </c>
      <c r="FI308" s="239">
        <v>-5024742</v>
      </c>
      <c r="FJ308" s="239">
        <v>0</v>
      </c>
      <c r="FK308" s="239">
        <v>-5024742</v>
      </c>
      <c r="FL308" s="239">
        <v>-2591008</v>
      </c>
      <c r="FM308" s="239">
        <v>0</v>
      </c>
      <c r="FN308" s="239">
        <v>-2591008</v>
      </c>
      <c r="FO308" s="239">
        <v>-124556</v>
      </c>
      <c r="FP308" s="239">
        <v>0</v>
      </c>
      <c r="FQ308" s="239">
        <v>-124556</v>
      </c>
      <c r="FR308" s="239">
        <v>-37554</v>
      </c>
      <c r="FS308" s="239">
        <v>0</v>
      </c>
      <c r="FT308" s="239">
        <v>-37554</v>
      </c>
      <c r="FU308" s="239">
        <v>0</v>
      </c>
      <c r="FV308" s="239">
        <v>0</v>
      </c>
      <c r="FW308" s="239">
        <v>0</v>
      </c>
      <c r="FX308" s="239">
        <v>-7635996</v>
      </c>
      <c r="FY308" s="239">
        <v>0</v>
      </c>
      <c r="FZ308" s="239">
        <v>-7635996</v>
      </c>
      <c r="GA308" s="239">
        <v>85690602</v>
      </c>
      <c r="GB308" s="239">
        <v>0</v>
      </c>
      <c r="GC308" s="239">
        <v>85690602</v>
      </c>
      <c r="GD308" s="214" t="s">
        <v>747</v>
      </c>
    </row>
    <row r="309" spans="2:186" s="214" customFormat="1" x14ac:dyDescent="0.2">
      <c r="B309" s="609" t="s">
        <v>700</v>
      </c>
      <c r="C309" s="609" t="s">
        <v>699</v>
      </c>
      <c r="D309" s="239">
        <v>0</v>
      </c>
      <c r="E309" s="239">
        <v>0</v>
      </c>
      <c r="F309" s="239">
        <v>0</v>
      </c>
      <c r="G309" s="239">
        <v>110256</v>
      </c>
      <c r="H309" s="239">
        <v>0</v>
      </c>
      <c r="I309" s="239">
        <v>110256</v>
      </c>
      <c r="J309" s="239">
        <v>0</v>
      </c>
      <c r="K309" s="239">
        <v>0</v>
      </c>
      <c r="L309" s="239">
        <v>0</v>
      </c>
      <c r="M309" s="239">
        <v>32167</v>
      </c>
      <c r="N309" s="239">
        <v>0</v>
      </c>
      <c r="O309" s="239">
        <v>32167</v>
      </c>
      <c r="P309" s="239">
        <v>142423</v>
      </c>
      <c r="Q309" s="239">
        <v>0</v>
      </c>
      <c r="R309" s="239">
        <v>142423</v>
      </c>
      <c r="S309" s="239">
        <v>-1589659</v>
      </c>
      <c r="T309" s="239">
        <v>0</v>
      </c>
      <c r="U309" s="239">
        <v>-1589659</v>
      </c>
      <c r="V309" s="239">
        <v>0</v>
      </c>
      <c r="W309" s="239">
        <v>0</v>
      </c>
      <c r="X309" s="239">
        <v>0</v>
      </c>
      <c r="Y309" s="239">
        <v>-133470</v>
      </c>
      <c r="Z309" s="239">
        <v>0</v>
      </c>
      <c r="AA309" s="239">
        <v>-133470</v>
      </c>
      <c r="AB309" s="239">
        <v>-85818</v>
      </c>
      <c r="AC309" s="239">
        <v>0</v>
      </c>
      <c r="AD309" s="239">
        <v>-85818</v>
      </c>
      <c r="AE309" s="239">
        <v>0</v>
      </c>
      <c r="AF309" s="239">
        <v>0</v>
      </c>
      <c r="AG309" s="239">
        <v>0</v>
      </c>
      <c r="AH309" s="239">
        <v>253740</v>
      </c>
      <c r="AI309" s="239">
        <v>0</v>
      </c>
      <c r="AJ309" s="239">
        <v>253740</v>
      </c>
      <c r="AK309" s="239">
        <v>-4768</v>
      </c>
      <c r="AL309" s="239">
        <v>0</v>
      </c>
      <c r="AM309" s="239">
        <v>-4768</v>
      </c>
      <c r="AN309" s="239">
        <v>-799188</v>
      </c>
      <c r="AO309" s="239">
        <v>0</v>
      </c>
      <c r="AP309" s="239">
        <v>-799188</v>
      </c>
      <c r="AQ309" s="239">
        <v>-23904</v>
      </c>
      <c r="AR309" s="239">
        <v>0</v>
      </c>
      <c r="AS309" s="239">
        <v>-23904</v>
      </c>
      <c r="AT309" s="239">
        <v>-68981</v>
      </c>
      <c r="AU309" s="239">
        <v>0</v>
      </c>
      <c r="AV309" s="239">
        <v>-68981</v>
      </c>
      <c r="AW309" s="239">
        <v>-730</v>
      </c>
      <c r="AX309" s="239">
        <v>0</v>
      </c>
      <c r="AY309" s="239">
        <v>-730</v>
      </c>
      <c r="AZ309" s="239">
        <v>-44225</v>
      </c>
      <c r="BA309" s="239">
        <v>0</v>
      </c>
      <c r="BB309" s="239">
        <v>-44225</v>
      </c>
      <c r="BC309" s="239">
        <v>-28782</v>
      </c>
      <c r="BD309" s="239">
        <v>0</v>
      </c>
      <c r="BE309" s="239">
        <v>-28782</v>
      </c>
      <c r="BF309" s="239">
        <v>-2439967</v>
      </c>
      <c r="BG309" s="239">
        <v>0</v>
      </c>
      <c r="BH309" s="239">
        <v>-2439967</v>
      </c>
      <c r="BI309" s="239">
        <v>0</v>
      </c>
      <c r="BJ309" s="239">
        <v>0</v>
      </c>
      <c r="BK309" s="239">
        <v>0</v>
      </c>
      <c r="BL309" s="239">
        <v>0</v>
      </c>
      <c r="BM309" s="239">
        <v>0</v>
      </c>
      <c r="BN309" s="239">
        <v>0</v>
      </c>
      <c r="BO309" s="239">
        <v>-261829</v>
      </c>
      <c r="BP309" s="239">
        <v>0</v>
      </c>
      <c r="BQ309" s="239">
        <v>-261829</v>
      </c>
      <c r="BR309" s="239">
        <v>1950</v>
      </c>
      <c r="BS309" s="239">
        <v>0</v>
      </c>
      <c r="BT309" s="239">
        <v>1950</v>
      </c>
      <c r="BU309" s="239">
        <v>-259879</v>
      </c>
      <c r="BV309" s="239">
        <v>0</v>
      </c>
      <c r="BW309" s="239">
        <v>-259879</v>
      </c>
      <c r="BX309" s="239">
        <v>-47660</v>
      </c>
      <c r="BY309" s="239">
        <v>0</v>
      </c>
      <c r="BZ309" s="239">
        <v>-47660</v>
      </c>
      <c r="CA309" s="239">
        <v>-4912</v>
      </c>
      <c r="CB309" s="239">
        <v>0</v>
      </c>
      <c r="CC309" s="239">
        <v>-4912</v>
      </c>
      <c r="CD309" s="239">
        <v>-11243</v>
      </c>
      <c r="CE309" s="239">
        <v>0</v>
      </c>
      <c r="CF309" s="239">
        <v>-11243</v>
      </c>
      <c r="CG309" s="239">
        <v>-10000</v>
      </c>
      <c r="CH309" s="239">
        <v>0</v>
      </c>
      <c r="CI309" s="239">
        <v>-10000</v>
      </c>
      <c r="CJ309" s="239">
        <v>-6434</v>
      </c>
      <c r="CK309" s="239">
        <v>0</v>
      </c>
      <c r="CL309" s="239">
        <v>-6434</v>
      </c>
      <c r="CM309" s="239">
        <v>-162</v>
      </c>
      <c r="CN309" s="239">
        <v>0</v>
      </c>
      <c r="CO309" s="239">
        <v>-162</v>
      </c>
      <c r="CP309" s="239">
        <v>-15933</v>
      </c>
      <c r="CQ309" s="239">
        <v>0</v>
      </c>
      <c r="CR309" s="239">
        <v>-15933</v>
      </c>
      <c r="CS309" s="239">
        <v>-428</v>
      </c>
      <c r="CT309" s="239">
        <v>0</v>
      </c>
      <c r="CU309" s="239">
        <v>-428</v>
      </c>
      <c r="CV309" s="239">
        <v>0</v>
      </c>
      <c r="CW309" s="239">
        <v>0</v>
      </c>
      <c r="CX309" s="239">
        <v>0</v>
      </c>
      <c r="CY309" s="239">
        <v>0</v>
      </c>
      <c r="CZ309" s="239">
        <v>0</v>
      </c>
      <c r="DA309" s="239">
        <v>0</v>
      </c>
      <c r="DB309" s="239">
        <v>0</v>
      </c>
      <c r="DC309" s="239">
        <v>0</v>
      </c>
      <c r="DD309" s="239">
        <v>0</v>
      </c>
      <c r="DE309" s="239">
        <v>0</v>
      </c>
      <c r="DF309" s="239">
        <v>0</v>
      </c>
      <c r="DG309" s="239">
        <v>0</v>
      </c>
      <c r="DH309" s="239">
        <v>0</v>
      </c>
      <c r="DI309" s="239">
        <v>0</v>
      </c>
      <c r="DJ309" s="239">
        <v>-96772</v>
      </c>
      <c r="DK309" s="239">
        <v>0</v>
      </c>
      <c r="DL309" s="239">
        <v>-96772</v>
      </c>
      <c r="DM309" s="239">
        <v>-589</v>
      </c>
      <c r="DN309" s="239">
        <v>0</v>
      </c>
      <c r="DO309" s="239">
        <v>-589</v>
      </c>
      <c r="DP309" s="239">
        <v>0</v>
      </c>
      <c r="DQ309" s="239">
        <v>0</v>
      </c>
      <c r="DR309" s="239">
        <v>0</v>
      </c>
      <c r="DS309" s="239">
        <v>0</v>
      </c>
      <c r="DT309" s="239">
        <v>0</v>
      </c>
      <c r="DU309" s="239">
        <v>0</v>
      </c>
      <c r="DV309" s="239">
        <v>223</v>
      </c>
      <c r="DW309" s="239">
        <v>0</v>
      </c>
      <c r="DX309" s="239">
        <v>223</v>
      </c>
      <c r="DY309" s="239">
        <v>0</v>
      </c>
      <c r="DZ309" s="239">
        <v>0</v>
      </c>
      <c r="EA309" s="239">
        <v>0</v>
      </c>
      <c r="EB309" s="239">
        <v>-8497</v>
      </c>
      <c r="EC309" s="239">
        <v>0</v>
      </c>
      <c r="ED309" s="239">
        <v>-8497</v>
      </c>
      <c r="EE309" s="239">
        <v>0</v>
      </c>
      <c r="EF309" s="239">
        <v>0</v>
      </c>
      <c r="EG309" s="239">
        <v>0</v>
      </c>
      <c r="EH309" s="239">
        <v>0</v>
      </c>
      <c r="EI309" s="239">
        <v>0</v>
      </c>
      <c r="EJ309" s="239">
        <v>0</v>
      </c>
      <c r="EK309" s="239">
        <v>-6743</v>
      </c>
      <c r="EL309" s="239">
        <v>0</v>
      </c>
      <c r="EM309" s="239">
        <v>-6743</v>
      </c>
      <c r="EN309" s="239">
        <v>0</v>
      </c>
      <c r="EO309" s="239">
        <v>0</v>
      </c>
      <c r="EP309" s="239">
        <v>0</v>
      </c>
      <c r="EQ309" s="239">
        <v>-15606</v>
      </c>
      <c r="ER309" s="239">
        <v>0</v>
      </c>
      <c r="ES309" s="239">
        <v>-15606</v>
      </c>
      <c r="ET309" s="239">
        <v>-21610</v>
      </c>
      <c r="EU309" s="239">
        <v>0</v>
      </c>
      <c r="EV309" s="239">
        <v>-21610</v>
      </c>
      <c r="EW309" s="239">
        <v>144</v>
      </c>
      <c r="EX309" s="239">
        <v>0</v>
      </c>
      <c r="EY309" s="239">
        <v>144</v>
      </c>
      <c r="EZ309" s="239">
        <v>-21466</v>
      </c>
      <c r="FA309" s="239">
        <v>0</v>
      </c>
      <c r="FB309" s="239">
        <v>-21466</v>
      </c>
      <c r="FC309" s="239">
        <v>13428923</v>
      </c>
      <c r="FD309" s="239">
        <v>0</v>
      </c>
      <c r="FE309" s="239">
        <v>13428923</v>
      </c>
      <c r="FF309" s="239">
        <v>142423</v>
      </c>
      <c r="FG309" s="239">
        <v>0</v>
      </c>
      <c r="FH309" s="239">
        <v>142423</v>
      </c>
      <c r="FI309" s="239">
        <v>-2439967</v>
      </c>
      <c r="FJ309" s="239">
        <v>0</v>
      </c>
      <c r="FK309" s="239">
        <v>-2439967</v>
      </c>
      <c r="FL309" s="239">
        <v>-259879</v>
      </c>
      <c r="FM309" s="239">
        <v>0</v>
      </c>
      <c r="FN309" s="239">
        <v>-259879</v>
      </c>
      <c r="FO309" s="239">
        <v>-96772</v>
      </c>
      <c r="FP309" s="239">
        <v>0</v>
      </c>
      <c r="FQ309" s="239">
        <v>-96772</v>
      </c>
      <c r="FR309" s="239">
        <v>-15606</v>
      </c>
      <c r="FS309" s="239">
        <v>0</v>
      </c>
      <c r="FT309" s="239">
        <v>-15606</v>
      </c>
      <c r="FU309" s="239">
        <v>-21466</v>
      </c>
      <c r="FV309" s="239">
        <v>0</v>
      </c>
      <c r="FW309" s="239">
        <v>-21466</v>
      </c>
      <c r="FX309" s="239">
        <v>-2691267</v>
      </c>
      <c r="FY309" s="239">
        <v>0</v>
      </c>
      <c r="FZ309" s="239">
        <v>-2691267</v>
      </c>
      <c r="GA309" s="239">
        <v>10737656</v>
      </c>
      <c r="GB309" s="239">
        <v>0</v>
      </c>
      <c r="GC309" s="239">
        <v>10737656</v>
      </c>
      <c r="GD309" s="214" t="s">
        <v>1190</v>
      </c>
    </row>
    <row r="310" spans="2:186" s="214" customFormat="1" x14ac:dyDescent="0.2">
      <c r="B310" s="609" t="s">
        <v>702</v>
      </c>
      <c r="C310" s="609" t="s">
        <v>701</v>
      </c>
      <c r="D310" s="239">
        <v>0</v>
      </c>
      <c r="E310" s="239">
        <v>0</v>
      </c>
      <c r="F310" s="239">
        <v>0</v>
      </c>
      <c r="G310" s="239">
        <v>40477</v>
      </c>
      <c r="H310" s="239">
        <v>0</v>
      </c>
      <c r="I310" s="239">
        <v>40477</v>
      </c>
      <c r="J310" s="239">
        <v>0</v>
      </c>
      <c r="K310" s="239">
        <v>0</v>
      </c>
      <c r="L310" s="239">
        <v>0</v>
      </c>
      <c r="M310" s="239">
        <v>1386</v>
      </c>
      <c r="N310" s="239">
        <v>0</v>
      </c>
      <c r="O310" s="239">
        <v>1386</v>
      </c>
      <c r="P310" s="239">
        <v>41863</v>
      </c>
      <c r="Q310" s="239">
        <v>0</v>
      </c>
      <c r="R310" s="239">
        <v>41863</v>
      </c>
      <c r="S310" s="239">
        <v>-4148278</v>
      </c>
      <c r="T310" s="239">
        <v>0</v>
      </c>
      <c r="U310" s="239">
        <v>-4148278</v>
      </c>
      <c r="V310" s="239">
        <v>-6622</v>
      </c>
      <c r="W310" s="239">
        <v>0</v>
      </c>
      <c r="X310" s="239">
        <v>-6622</v>
      </c>
      <c r="Y310" s="239">
        <v>-148616</v>
      </c>
      <c r="Z310" s="239">
        <v>0</v>
      </c>
      <c r="AA310" s="239">
        <v>-148616</v>
      </c>
      <c r="AB310" s="239">
        <v>-122887</v>
      </c>
      <c r="AC310" s="239">
        <v>0</v>
      </c>
      <c r="AD310" s="239">
        <v>-122887</v>
      </c>
      <c r="AE310" s="239">
        <v>4</v>
      </c>
      <c r="AF310" s="239">
        <v>0</v>
      </c>
      <c r="AG310" s="239">
        <v>4</v>
      </c>
      <c r="AH310" s="239">
        <v>781785</v>
      </c>
      <c r="AI310" s="239">
        <v>0</v>
      </c>
      <c r="AJ310" s="239">
        <v>781785</v>
      </c>
      <c r="AK310" s="239">
        <v>-31277</v>
      </c>
      <c r="AL310" s="239">
        <v>0</v>
      </c>
      <c r="AM310" s="239">
        <v>-31277</v>
      </c>
      <c r="AN310" s="239">
        <v>-3310053</v>
      </c>
      <c r="AO310" s="239">
        <v>0</v>
      </c>
      <c r="AP310" s="239">
        <v>-3310053</v>
      </c>
      <c r="AQ310" s="239">
        <v>63472</v>
      </c>
      <c r="AR310" s="239">
        <v>0</v>
      </c>
      <c r="AS310" s="239">
        <v>63472</v>
      </c>
      <c r="AT310" s="239">
        <v>-96862</v>
      </c>
      <c r="AU310" s="239">
        <v>0</v>
      </c>
      <c r="AV310" s="239">
        <v>-96862</v>
      </c>
      <c r="AW310" s="239">
        <v>36595</v>
      </c>
      <c r="AX310" s="239">
        <v>0</v>
      </c>
      <c r="AY310" s="239">
        <v>36595</v>
      </c>
      <c r="AZ310" s="239">
        <v>-81473</v>
      </c>
      <c r="BA310" s="239">
        <v>0</v>
      </c>
      <c r="BB310" s="239">
        <v>-81473</v>
      </c>
      <c r="BC310" s="239">
        <v>-14359</v>
      </c>
      <c r="BD310" s="239">
        <v>0</v>
      </c>
      <c r="BE310" s="239">
        <v>-14359</v>
      </c>
      <c r="BF310" s="239">
        <v>-6949066</v>
      </c>
      <c r="BG310" s="239">
        <v>0</v>
      </c>
      <c r="BH310" s="239">
        <v>-6949066</v>
      </c>
      <c r="BI310" s="239">
        <v>0</v>
      </c>
      <c r="BJ310" s="239">
        <v>0</v>
      </c>
      <c r="BK310" s="239">
        <v>0</v>
      </c>
      <c r="BL310" s="239">
        <v>-21507</v>
      </c>
      <c r="BM310" s="239">
        <v>0</v>
      </c>
      <c r="BN310" s="239">
        <v>-21507</v>
      </c>
      <c r="BO310" s="239">
        <v>-1033470</v>
      </c>
      <c r="BP310" s="239">
        <v>0</v>
      </c>
      <c r="BQ310" s="239">
        <v>-1033470</v>
      </c>
      <c r="BR310" s="239">
        <v>-40979</v>
      </c>
      <c r="BS310" s="239">
        <v>0</v>
      </c>
      <c r="BT310" s="239">
        <v>-40979</v>
      </c>
      <c r="BU310" s="239">
        <v>-1095956</v>
      </c>
      <c r="BV310" s="239">
        <v>0</v>
      </c>
      <c r="BW310" s="239">
        <v>-1095956</v>
      </c>
      <c r="BX310" s="239">
        <v>-152666</v>
      </c>
      <c r="BY310" s="239">
        <v>0</v>
      </c>
      <c r="BZ310" s="239">
        <v>-152666</v>
      </c>
      <c r="CA310" s="239">
        <v>7558</v>
      </c>
      <c r="CB310" s="239">
        <v>0</v>
      </c>
      <c r="CC310" s="239">
        <v>7558</v>
      </c>
      <c r="CD310" s="239">
        <v>-3227</v>
      </c>
      <c r="CE310" s="239">
        <v>0</v>
      </c>
      <c r="CF310" s="239">
        <v>-3227</v>
      </c>
      <c r="CG310" s="239">
        <v>0</v>
      </c>
      <c r="CH310" s="239">
        <v>0</v>
      </c>
      <c r="CI310" s="239">
        <v>0</v>
      </c>
      <c r="CJ310" s="239">
        <v>-1320</v>
      </c>
      <c r="CK310" s="239">
        <v>0</v>
      </c>
      <c r="CL310" s="239">
        <v>-1320</v>
      </c>
      <c r="CM310" s="239">
        <v>0</v>
      </c>
      <c r="CN310" s="239">
        <v>0</v>
      </c>
      <c r="CO310" s="239">
        <v>0</v>
      </c>
      <c r="CP310" s="239">
        <v>-21778</v>
      </c>
      <c r="CQ310" s="239">
        <v>0</v>
      </c>
      <c r="CR310" s="239">
        <v>-21778</v>
      </c>
      <c r="CS310" s="239">
        <v>37</v>
      </c>
      <c r="CT310" s="239">
        <v>0</v>
      </c>
      <c r="CU310" s="239">
        <v>37</v>
      </c>
      <c r="CV310" s="239">
        <v>0</v>
      </c>
      <c r="CW310" s="239">
        <v>0</v>
      </c>
      <c r="CX310" s="239">
        <v>0</v>
      </c>
      <c r="CY310" s="239">
        <v>0</v>
      </c>
      <c r="CZ310" s="239">
        <v>0</v>
      </c>
      <c r="DA310" s="239">
        <v>0</v>
      </c>
      <c r="DB310" s="239">
        <v>0</v>
      </c>
      <c r="DC310" s="239">
        <v>0</v>
      </c>
      <c r="DD310" s="239">
        <v>0</v>
      </c>
      <c r="DE310" s="239">
        <v>0</v>
      </c>
      <c r="DF310" s="239">
        <v>0</v>
      </c>
      <c r="DG310" s="239">
        <v>0</v>
      </c>
      <c r="DH310" s="239">
        <v>0</v>
      </c>
      <c r="DI310" s="239">
        <v>0</v>
      </c>
      <c r="DJ310" s="239">
        <v>-171396</v>
      </c>
      <c r="DK310" s="239">
        <v>0</v>
      </c>
      <c r="DL310" s="239">
        <v>-171396</v>
      </c>
      <c r="DM310" s="239">
        <v>-68315</v>
      </c>
      <c r="DN310" s="239">
        <v>0</v>
      </c>
      <c r="DO310" s="239">
        <v>-68315</v>
      </c>
      <c r="DP310" s="239">
        <v>0</v>
      </c>
      <c r="DQ310" s="239">
        <v>0</v>
      </c>
      <c r="DR310" s="239">
        <v>0</v>
      </c>
      <c r="DS310" s="239">
        <v>-12106</v>
      </c>
      <c r="DT310" s="239">
        <v>0</v>
      </c>
      <c r="DU310" s="239">
        <v>-12106</v>
      </c>
      <c r="DV310" s="239">
        <v>-892</v>
      </c>
      <c r="DW310" s="239">
        <v>0</v>
      </c>
      <c r="DX310" s="239">
        <v>-892</v>
      </c>
      <c r="DY310" s="239">
        <v>0</v>
      </c>
      <c r="DZ310" s="239">
        <v>0</v>
      </c>
      <c r="EA310" s="239">
        <v>0</v>
      </c>
      <c r="EB310" s="239">
        <v>2298</v>
      </c>
      <c r="EC310" s="239">
        <v>0</v>
      </c>
      <c r="ED310" s="239">
        <v>2298</v>
      </c>
      <c r="EE310" s="239">
        <v>0</v>
      </c>
      <c r="EF310" s="239">
        <v>0</v>
      </c>
      <c r="EG310" s="239">
        <v>0</v>
      </c>
      <c r="EH310" s="239">
        <v>581</v>
      </c>
      <c r="EI310" s="239">
        <v>0</v>
      </c>
      <c r="EJ310" s="239">
        <v>581</v>
      </c>
      <c r="EK310" s="239">
        <v>-9475</v>
      </c>
      <c r="EL310" s="239">
        <v>0</v>
      </c>
      <c r="EM310" s="239">
        <v>-9475</v>
      </c>
      <c r="EN310" s="239">
        <v>30</v>
      </c>
      <c r="EO310" s="239">
        <v>0</v>
      </c>
      <c r="EP310" s="239">
        <v>30</v>
      </c>
      <c r="EQ310" s="239">
        <v>-87879</v>
      </c>
      <c r="ER310" s="239">
        <v>0</v>
      </c>
      <c r="ES310" s="239">
        <v>-87879</v>
      </c>
      <c r="ET310" s="239">
        <v>-7297</v>
      </c>
      <c r="EU310" s="239">
        <v>0</v>
      </c>
      <c r="EV310" s="239">
        <v>-7297</v>
      </c>
      <c r="EW310" s="239">
        <v>1276</v>
      </c>
      <c r="EX310" s="239">
        <v>0</v>
      </c>
      <c r="EY310" s="239">
        <v>1276</v>
      </c>
      <c r="EZ310" s="239">
        <v>-6021</v>
      </c>
      <c r="FA310" s="239">
        <v>0</v>
      </c>
      <c r="FB310" s="239">
        <v>-6021</v>
      </c>
      <c r="FC310" s="239">
        <v>38755015</v>
      </c>
      <c r="FD310" s="239">
        <v>0</v>
      </c>
      <c r="FE310" s="239">
        <v>38755015</v>
      </c>
      <c r="FF310" s="239">
        <v>41863</v>
      </c>
      <c r="FG310" s="239">
        <v>0</v>
      </c>
      <c r="FH310" s="239">
        <v>41863</v>
      </c>
      <c r="FI310" s="239">
        <v>-6949066</v>
      </c>
      <c r="FJ310" s="239">
        <v>0</v>
      </c>
      <c r="FK310" s="239">
        <v>-6949066</v>
      </c>
      <c r="FL310" s="239">
        <v>-1095956</v>
      </c>
      <c r="FM310" s="239">
        <v>0</v>
      </c>
      <c r="FN310" s="239">
        <v>-1095956</v>
      </c>
      <c r="FO310" s="239">
        <v>-171396</v>
      </c>
      <c r="FP310" s="239">
        <v>0</v>
      </c>
      <c r="FQ310" s="239">
        <v>-171396</v>
      </c>
      <c r="FR310" s="239">
        <v>-87879</v>
      </c>
      <c r="FS310" s="239">
        <v>0</v>
      </c>
      <c r="FT310" s="239">
        <v>-87879</v>
      </c>
      <c r="FU310" s="239">
        <v>-6021</v>
      </c>
      <c r="FV310" s="239">
        <v>0</v>
      </c>
      <c r="FW310" s="239">
        <v>-6021</v>
      </c>
      <c r="FX310" s="239">
        <v>-8268455</v>
      </c>
      <c r="FY310" s="239">
        <v>0</v>
      </c>
      <c r="FZ310" s="239">
        <v>-8268455</v>
      </c>
      <c r="GA310" s="239">
        <v>30486560</v>
      </c>
      <c r="GB310" s="239">
        <v>0</v>
      </c>
      <c r="GC310" s="239">
        <v>30486560</v>
      </c>
      <c r="GD310" s="214" t="s">
        <v>1190</v>
      </c>
    </row>
    <row r="311" spans="2:186" s="214" customFormat="1" x14ac:dyDescent="0.2">
      <c r="B311" s="609" t="s">
        <v>704</v>
      </c>
      <c r="C311" s="609" t="s">
        <v>703</v>
      </c>
      <c r="D311" s="239">
        <v>0</v>
      </c>
      <c r="E311" s="239">
        <v>0</v>
      </c>
      <c r="F311" s="239">
        <v>0</v>
      </c>
      <c r="G311" s="239">
        <v>8979</v>
      </c>
      <c r="H311" s="239">
        <v>0</v>
      </c>
      <c r="I311" s="239">
        <v>8979</v>
      </c>
      <c r="J311" s="239">
        <v>0</v>
      </c>
      <c r="K311" s="239">
        <v>0</v>
      </c>
      <c r="L311" s="239">
        <v>0</v>
      </c>
      <c r="M311" s="239">
        <v>-323787</v>
      </c>
      <c r="N311" s="239">
        <v>0</v>
      </c>
      <c r="O311" s="239">
        <v>-323787</v>
      </c>
      <c r="P311" s="239">
        <v>-314808</v>
      </c>
      <c r="Q311" s="239">
        <v>0</v>
      </c>
      <c r="R311" s="239">
        <v>-314808</v>
      </c>
      <c r="S311" s="239">
        <v>-2241650</v>
      </c>
      <c r="T311" s="239">
        <v>0</v>
      </c>
      <c r="U311" s="239">
        <v>-2241650</v>
      </c>
      <c r="V311" s="239">
        <v>-6123</v>
      </c>
      <c r="W311" s="239">
        <v>0</v>
      </c>
      <c r="X311" s="239">
        <v>-6123</v>
      </c>
      <c r="Y311" s="239">
        <v>-177497</v>
      </c>
      <c r="Z311" s="239">
        <v>0</v>
      </c>
      <c r="AA311" s="239">
        <v>-177497</v>
      </c>
      <c r="AB311" s="239">
        <v>-74759</v>
      </c>
      <c r="AC311" s="239">
        <v>0</v>
      </c>
      <c r="AD311" s="239">
        <v>-74759</v>
      </c>
      <c r="AE311" s="239">
        <v>912</v>
      </c>
      <c r="AF311" s="239">
        <v>0</v>
      </c>
      <c r="AG311" s="239">
        <v>912</v>
      </c>
      <c r="AH311" s="239">
        <v>895116</v>
      </c>
      <c r="AI311" s="239">
        <v>0</v>
      </c>
      <c r="AJ311" s="239">
        <v>895116</v>
      </c>
      <c r="AK311" s="239">
        <v>11859</v>
      </c>
      <c r="AL311" s="239">
        <v>0</v>
      </c>
      <c r="AM311" s="239">
        <v>11859</v>
      </c>
      <c r="AN311" s="239">
        <v>-2628756</v>
      </c>
      <c r="AO311" s="239">
        <v>0</v>
      </c>
      <c r="AP311" s="239">
        <v>-2628756</v>
      </c>
      <c r="AQ311" s="239">
        <v>-46749</v>
      </c>
      <c r="AR311" s="239">
        <v>0</v>
      </c>
      <c r="AS311" s="239">
        <v>-46749</v>
      </c>
      <c r="AT311" s="239">
        <v>0</v>
      </c>
      <c r="AU311" s="239">
        <v>0</v>
      </c>
      <c r="AV311" s="239">
        <v>0</v>
      </c>
      <c r="AW311" s="239">
        <v>0</v>
      </c>
      <c r="AX311" s="239">
        <v>0</v>
      </c>
      <c r="AY311" s="239">
        <v>0</v>
      </c>
      <c r="AZ311" s="239">
        <v>-2680</v>
      </c>
      <c r="BA311" s="239">
        <v>0</v>
      </c>
      <c r="BB311" s="239">
        <v>-2680</v>
      </c>
      <c r="BC311" s="239">
        <v>0</v>
      </c>
      <c r="BD311" s="239">
        <v>0</v>
      </c>
      <c r="BE311" s="239">
        <v>0</v>
      </c>
      <c r="BF311" s="239">
        <v>-4190357</v>
      </c>
      <c r="BG311" s="239">
        <v>0</v>
      </c>
      <c r="BH311" s="239">
        <v>-4190357</v>
      </c>
      <c r="BI311" s="239">
        <v>0</v>
      </c>
      <c r="BJ311" s="239">
        <v>0</v>
      </c>
      <c r="BK311" s="239">
        <v>0</v>
      </c>
      <c r="BL311" s="239">
        <v>-147243</v>
      </c>
      <c r="BM311" s="239">
        <v>0</v>
      </c>
      <c r="BN311" s="239">
        <v>-147243</v>
      </c>
      <c r="BO311" s="239">
        <v>-2147970</v>
      </c>
      <c r="BP311" s="239">
        <v>0</v>
      </c>
      <c r="BQ311" s="239">
        <v>-2147970</v>
      </c>
      <c r="BR311" s="239">
        <v>-17591</v>
      </c>
      <c r="BS311" s="239">
        <v>0</v>
      </c>
      <c r="BT311" s="239">
        <v>-17591</v>
      </c>
      <c r="BU311" s="239">
        <v>-2312804</v>
      </c>
      <c r="BV311" s="239">
        <v>0</v>
      </c>
      <c r="BW311" s="239">
        <v>-2312804</v>
      </c>
      <c r="BX311" s="239">
        <v>-14682</v>
      </c>
      <c r="BY311" s="239">
        <v>0</v>
      </c>
      <c r="BZ311" s="239">
        <v>-14682</v>
      </c>
      <c r="CA311" s="239">
        <v>-639</v>
      </c>
      <c r="CB311" s="239">
        <v>0</v>
      </c>
      <c r="CC311" s="239">
        <v>-639</v>
      </c>
      <c r="CD311" s="239">
        <v>-40587</v>
      </c>
      <c r="CE311" s="239">
        <v>0</v>
      </c>
      <c r="CF311" s="239">
        <v>-40587</v>
      </c>
      <c r="CG311" s="239">
        <v>-11719</v>
      </c>
      <c r="CH311" s="239">
        <v>0</v>
      </c>
      <c r="CI311" s="239">
        <v>-11719</v>
      </c>
      <c r="CJ311" s="239">
        <v>0</v>
      </c>
      <c r="CK311" s="239">
        <v>0</v>
      </c>
      <c r="CL311" s="239">
        <v>0</v>
      </c>
      <c r="CM311" s="239">
        <v>0</v>
      </c>
      <c r="CN311" s="239">
        <v>0</v>
      </c>
      <c r="CO311" s="239">
        <v>0</v>
      </c>
      <c r="CP311" s="239">
        <v>0</v>
      </c>
      <c r="CQ311" s="239">
        <v>0</v>
      </c>
      <c r="CR311" s="239">
        <v>0</v>
      </c>
      <c r="CS311" s="239">
        <v>0</v>
      </c>
      <c r="CT311" s="239">
        <v>0</v>
      </c>
      <c r="CU311" s="239">
        <v>0</v>
      </c>
      <c r="CV311" s="239">
        <v>0</v>
      </c>
      <c r="CW311" s="239">
        <v>0</v>
      </c>
      <c r="CX311" s="239">
        <v>0</v>
      </c>
      <c r="CY311" s="239">
        <v>0</v>
      </c>
      <c r="CZ311" s="239">
        <v>0</v>
      </c>
      <c r="DA311" s="239">
        <v>0</v>
      </c>
      <c r="DB311" s="239">
        <v>0</v>
      </c>
      <c r="DC311" s="239">
        <v>0</v>
      </c>
      <c r="DD311" s="239">
        <v>0</v>
      </c>
      <c r="DE311" s="239">
        <v>0</v>
      </c>
      <c r="DF311" s="239">
        <v>0</v>
      </c>
      <c r="DG311" s="239">
        <v>0</v>
      </c>
      <c r="DH311" s="239">
        <v>0</v>
      </c>
      <c r="DI311" s="239">
        <v>0</v>
      </c>
      <c r="DJ311" s="239">
        <v>-67627</v>
      </c>
      <c r="DK311" s="239">
        <v>0</v>
      </c>
      <c r="DL311" s="239">
        <v>-67627</v>
      </c>
      <c r="DM311" s="239">
        <v>0</v>
      </c>
      <c r="DN311" s="239">
        <v>0</v>
      </c>
      <c r="DO311" s="239">
        <v>0</v>
      </c>
      <c r="DP311" s="239">
        <v>0</v>
      </c>
      <c r="DQ311" s="239">
        <v>0</v>
      </c>
      <c r="DR311" s="239">
        <v>0</v>
      </c>
      <c r="DS311" s="239">
        <v>-7315</v>
      </c>
      <c r="DT311" s="239">
        <v>0</v>
      </c>
      <c r="DU311" s="239">
        <v>-7315</v>
      </c>
      <c r="DV311" s="239">
        <v>0</v>
      </c>
      <c r="DW311" s="239">
        <v>0</v>
      </c>
      <c r="DX311" s="239">
        <v>0</v>
      </c>
      <c r="DY311" s="239">
        <v>0</v>
      </c>
      <c r="DZ311" s="239">
        <v>0</v>
      </c>
      <c r="EA311" s="239">
        <v>0</v>
      </c>
      <c r="EB311" s="239">
        <v>0</v>
      </c>
      <c r="EC311" s="239">
        <v>0</v>
      </c>
      <c r="ED311" s="239">
        <v>0</v>
      </c>
      <c r="EE311" s="239">
        <v>0</v>
      </c>
      <c r="EF311" s="239">
        <v>0</v>
      </c>
      <c r="EG311" s="239">
        <v>0</v>
      </c>
      <c r="EH311" s="239">
        <v>0</v>
      </c>
      <c r="EI311" s="239">
        <v>0</v>
      </c>
      <c r="EJ311" s="239">
        <v>0</v>
      </c>
      <c r="EK311" s="239">
        <v>-13103</v>
      </c>
      <c r="EL311" s="239">
        <v>0</v>
      </c>
      <c r="EM311" s="239">
        <v>-13103</v>
      </c>
      <c r="EN311" s="239">
        <v>0</v>
      </c>
      <c r="EO311" s="239">
        <v>0</v>
      </c>
      <c r="EP311" s="239">
        <v>0</v>
      </c>
      <c r="EQ311" s="239">
        <v>-20418</v>
      </c>
      <c r="ER311" s="239">
        <v>0</v>
      </c>
      <c r="ES311" s="239">
        <v>-20418</v>
      </c>
      <c r="ET311" s="239">
        <v>0</v>
      </c>
      <c r="EU311" s="239">
        <v>0</v>
      </c>
      <c r="EV311" s="239">
        <v>0</v>
      </c>
      <c r="EW311" s="239">
        <v>0</v>
      </c>
      <c r="EX311" s="239">
        <v>0</v>
      </c>
      <c r="EY311" s="239">
        <v>0</v>
      </c>
      <c r="EZ311" s="239">
        <v>0</v>
      </c>
      <c r="FA311" s="239">
        <v>0</v>
      </c>
      <c r="FB311" s="239">
        <v>0</v>
      </c>
      <c r="FC311" s="239">
        <v>38640215</v>
      </c>
      <c r="FD311" s="239">
        <v>0</v>
      </c>
      <c r="FE311" s="239">
        <v>38640215</v>
      </c>
      <c r="FF311" s="239">
        <v>-314808</v>
      </c>
      <c r="FG311" s="239">
        <v>0</v>
      </c>
      <c r="FH311" s="239">
        <v>-314808</v>
      </c>
      <c r="FI311" s="239">
        <v>-4190357</v>
      </c>
      <c r="FJ311" s="239">
        <v>0</v>
      </c>
      <c r="FK311" s="239">
        <v>-4190357</v>
      </c>
      <c r="FL311" s="239">
        <v>-2312804</v>
      </c>
      <c r="FM311" s="239">
        <v>0</v>
      </c>
      <c r="FN311" s="239">
        <v>-2312804</v>
      </c>
      <c r="FO311" s="239">
        <v>-67627</v>
      </c>
      <c r="FP311" s="239">
        <v>0</v>
      </c>
      <c r="FQ311" s="239">
        <v>-67627</v>
      </c>
      <c r="FR311" s="239">
        <v>-20418</v>
      </c>
      <c r="FS311" s="239">
        <v>0</v>
      </c>
      <c r="FT311" s="239">
        <v>-20418</v>
      </c>
      <c r="FU311" s="239">
        <v>0</v>
      </c>
      <c r="FV311" s="239">
        <v>0</v>
      </c>
      <c r="FW311" s="239">
        <v>0</v>
      </c>
      <c r="FX311" s="239">
        <v>-6906014</v>
      </c>
      <c r="FY311" s="239">
        <v>0</v>
      </c>
      <c r="FZ311" s="239">
        <v>-6906014</v>
      </c>
      <c r="GA311" s="239">
        <v>31734201</v>
      </c>
      <c r="GB311" s="239">
        <v>0</v>
      </c>
      <c r="GC311" s="239">
        <v>31734201</v>
      </c>
      <c r="GD311" s="214" t="s">
        <v>1190</v>
      </c>
    </row>
    <row r="312" spans="2:186" s="214" customFormat="1" x14ac:dyDescent="0.2">
      <c r="B312" s="609" t="s">
        <v>706</v>
      </c>
      <c r="C312" s="609" t="s">
        <v>705</v>
      </c>
      <c r="D312" s="239">
        <v>0</v>
      </c>
      <c r="E312" s="239">
        <v>0</v>
      </c>
      <c r="F312" s="239">
        <v>0</v>
      </c>
      <c r="G312" s="239">
        <v>348841</v>
      </c>
      <c r="H312" s="239">
        <v>0</v>
      </c>
      <c r="I312" s="239">
        <v>348841</v>
      </c>
      <c r="J312" s="239">
        <v>0</v>
      </c>
      <c r="K312" s="239">
        <v>0</v>
      </c>
      <c r="L312" s="239">
        <v>0</v>
      </c>
      <c r="M312" s="239">
        <v>-24092</v>
      </c>
      <c r="N312" s="239">
        <v>0</v>
      </c>
      <c r="O312" s="239">
        <v>-24092</v>
      </c>
      <c r="P312" s="239">
        <v>324749</v>
      </c>
      <c r="Q312" s="239">
        <v>0</v>
      </c>
      <c r="R312" s="239">
        <v>324749</v>
      </c>
      <c r="S312" s="239">
        <v>-1870985</v>
      </c>
      <c r="T312" s="239">
        <v>0</v>
      </c>
      <c r="U312" s="239">
        <v>-1870985</v>
      </c>
      <c r="V312" s="239">
        <v>-5060</v>
      </c>
      <c r="W312" s="239">
        <v>0</v>
      </c>
      <c r="X312" s="239">
        <v>-5060</v>
      </c>
      <c r="Y312" s="239">
        <v>-111777</v>
      </c>
      <c r="Z312" s="239">
        <v>0</v>
      </c>
      <c r="AA312" s="239">
        <v>-111777</v>
      </c>
      <c r="AB312" s="239">
        <v>-88117</v>
      </c>
      <c r="AC312" s="239">
        <v>0</v>
      </c>
      <c r="AD312" s="239">
        <v>-88117</v>
      </c>
      <c r="AE312" s="239">
        <v>-2219</v>
      </c>
      <c r="AF312" s="239">
        <v>0</v>
      </c>
      <c r="AG312" s="239">
        <v>-2219</v>
      </c>
      <c r="AH312" s="239">
        <v>434802</v>
      </c>
      <c r="AI312" s="239">
        <v>0</v>
      </c>
      <c r="AJ312" s="239">
        <v>434802</v>
      </c>
      <c r="AK312" s="239">
        <v>13122</v>
      </c>
      <c r="AL312" s="239">
        <v>0</v>
      </c>
      <c r="AM312" s="239">
        <v>13122</v>
      </c>
      <c r="AN312" s="239">
        <v>-1578044</v>
      </c>
      <c r="AO312" s="239">
        <v>0</v>
      </c>
      <c r="AP312" s="239">
        <v>-1578044</v>
      </c>
      <c r="AQ312" s="239">
        <v>-41466</v>
      </c>
      <c r="AR312" s="239">
        <v>0</v>
      </c>
      <c r="AS312" s="239">
        <v>-41466</v>
      </c>
      <c r="AT312" s="239">
        <v>-27544</v>
      </c>
      <c r="AU312" s="239">
        <v>0</v>
      </c>
      <c r="AV312" s="239">
        <v>-27544</v>
      </c>
      <c r="AW312" s="239">
        <v>433</v>
      </c>
      <c r="AX312" s="239">
        <v>0</v>
      </c>
      <c r="AY312" s="239">
        <v>433</v>
      </c>
      <c r="AZ312" s="239">
        <v>-34259</v>
      </c>
      <c r="BA312" s="239">
        <v>0</v>
      </c>
      <c r="BB312" s="239">
        <v>-34259</v>
      </c>
      <c r="BC312" s="239">
        <v>-768</v>
      </c>
      <c r="BD312" s="239">
        <v>0</v>
      </c>
      <c r="BE312" s="239">
        <v>-768</v>
      </c>
      <c r="BF312" s="239">
        <v>-3216486</v>
      </c>
      <c r="BG312" s="239">
        <v>0</v>
      </c>
      <c r="BH312" s="239">
        <v>-3216486</v>
      </c>
      <c r="BI312" s="239">
        <v>0</v>
      </c>
      <c r="BJ312" s="239">
        <v>0</v>
      </c>
      <c r="BK312" s="239">
        <v>0</v>
      </c>
      <c r="BL312" s="239">
        <v>0</v>
      </c>
      <c r="BM312" s="239">
        <v>0</v>
      </c>
      <c r="BN312" s="239">
        <v>0</v>
      </c>
      <c r="BO312" s="239">
        <v>-653235</v>
      </c>
      <c r="BP312" s="239">
        <v>0</v>
      </c>
      <c r="BQ312" s="239">
        <v>-653235</v>
      </c>
      <c r="BR312" s="239">
        <v>20634</v>
      </c>
      <c r="BS312" s="239">
        <v>0</v>
      </c>
      <c r="BT312" s="239">
        <v>20634</v>
      </c>
      <c r="BU312" s="239">
        <v>-632601</v>
      </c>
      <c r="BV312" s="239">
        <v>0</v>
      </c>
      <c r="BW312" s="239">
        <v>-632601</v>
      </c>
      <c r="BX312" s="239">
        <v>-32535</v>
      </c>
      <c r="BY312" s="239">
        <v>0</v>
      </c>
      <c r="BZ312" s="239">
        <v>-32535</v>
      </c>
      <c r="CA312" s="239">
        <v>2560</v>
      </c>
      <c r="CB312" s="239">
        <v>0</v>
      </c>
      <c r="CC312" s="239">
        <v>2560</v>
      </c>
      <c r="CD312" s="239">
        <v>-24658</v>
      </c>
      <c r="CE312" s="239">
        <v>0</v>
      </c>
      <c r="CF312" s="239">
        <v>-24658</v>
      </c>
      <c r="CG312" s="239">
        <v>-1182</v>
      </c>
      <c r="CH312" s="239">
        <v>0</v>
      </c>
      <c r="CI312" s="239">
        <v>-1182</v>
      </c>
      <c r="CJ312" s="239">
        <v>-2266</v>
      </c>
      <c r="CK312" s="239">
        <v>0</v>
      </c>
      <c r="CL312" s="239">
        <v>-2266</v>
      </c>
      <c r="CM312" s="239">
        <v>54</v>
      </c>
      <c r="CN312" s="239">
        <v>0</v>
      </c>
      <c r="CO312" s="239">
        <v>54</v>
      </c>
      <c r="CP312" s="239">
        <v>-5927</v>
      </c>
      <c r="CQ312" s="239">
        <v>0</v>
      </c>
      <c r="CR312" s="239">
        <v>-5927</v>
      </c>
      <c r="CS312" s="239">
        <v>-68</v>
      </c>
      <c r="CT312" s="239">
        <v>0</v>
      </c>
      <c r="CU312" s="239">
        <v>-68</v>
      </c>
      <c r="CV312" s="239">
        <v>-245</v>
      </c>
      <c r="CW312" s="239">
        <v>0</v>
      </c>
      <c r="CX312" s="239">
        <v>-245</v>
      </c>
      <c r="CY312" s="239">
        <v>0</v>
      </c>
      <c r="CZ312" s="239">
        <v>0</v>
      </c>
      <c r="DA312" s="239">
        <v>0</v>
      </c>
      <c r="DB312" s="239">
        <v>0</v>
      </c>
      <c r="DC312" s="239">
        <v>0</v>
      </c>
      <c r="DD312" s="239">
        <v>0</v>
      </c>
      <c r="DE312" s="239">
        <v>0</v>
      </c>
      <c r="DF312" s="239">
        <v>0</v>
      </c>
      <c r="DG312" s="239">
        <v>0</v>
      </c>
      <c r="DH312" s="239">
        <v>0</v>
      </c>
      <c r="DI312" s="239">
        <v>0</v>
      </c>
      <c r="DJ312" s="239">
        <v>-64267</v>
      </c>
      <c r="DK312" s="239">
        <v>0</v>
      </c>
      <c r="DL312" s="239">
        <v>-64267</v>
      </c>
      <c r="DM312" s="239">
        <v>-12613</v>
      </c>
      <c r="DN312" s="239">
        <v>0</v>
      </c>
      <c r="DO312" s="239">
        <v>-12613</v>
      </c>
      <c r="DP312" s="239">
        <v>2554</v>
      </c>
      <c r="DQ312" s="239">
        <v>0</v>
      </c>
      <c r="DR312" s="239">
        <v>2554</v>
      </c>
      <c r="DS312" s="239">
        <v>-4094</v>
      </c>
      <c r="DT312" s="239">
        <v>0</v>
      </c>
      <c r="DU312" s="239">
        <v>-4094</v>
      </c>
      <c r="DV312" s="239">
        <v>0</v>
      </c>
      <c r="DW312" s="239">
        <v>0</v>
      </c>
      <c r="DX312" s="239">
        <v>0</v>
      </c>
      <c r="DY312" s="239">
        <v>0</v>
      </c>
      <c r="DZ312" s="239">
        <v>0</v>
      </c>
      <c r="EA312" s="239">
        <v>0</v>
      </c>
      <c r="EB312" s="239">
        <v>-3358</v>
      </c>
      <c r="EC312" s="239">
        <v>0</v>
      </c>
      <c r="ED312" s="239">
        <v>-3358</v>
      </c>
      <c r="EE312" s="239">
        <v>0</v>
      </c>
      <c r="EF312" s="239">
        <v>0</v>
      </c>
      <c r="EG312" s="239">
        <v>0</v>
      </c>
      <c r="EH312" s="239">
        <v>0</v>
      </c>
      <c r="EI312" s="239">
        <v>0</v>
      </c>
      <c r="EJ312" s="239">
        <v>0</v>
      </c>
      <c r="EK312" s="239">
        <v>0</v>
      </c>
      <c r="EL312" s="239">
        <v>0</v>
      </c>
      <c r="EM312" s="239">
        <v>0</v>
      </c>
      <c r="EN312" s="239">
        <v>0</v>
      </c>
      <c r="EO312" s="239">
        <v>0</v>
      </c>
      <c r="EP312" s="239">
        <v>0</v>
      </c>
      <c r="EQ312" s="239">
        <v>-17511</v>
      </c>
      <c r="ER312" s="239">
        <v>0</v>
      </c>
      <c r="ES312" s="239">
        <v>-17511</v>
      </c>
      <c r="ET312" s="239">
        <v>0</v>
      </c>
      <c r="EU312" s="239">
        <v>0</v>
      </c>
      <c r="EV312" s="239">
        <v>0</v>
      </c>
      <c r="EW312" s="239">
        <v>0</v>
      </c>
      <c r="EX312" s="239">
        <v>0</v>
      </c>
      <c r="EY312" s="239">
        <v>0</v>
      </c>
      <c r="EZ312" s="239">
        <v>0</v>
      </c>
      <c r="FA312" s="239">
        <v>0</v>
      </c>
      <c r="FB312" s="239">
        <v>0</v>
      </c>
      <c r="FC312" s="239">
        <v>20015947</v>
      </c>
      <c r="FD312" s="239">
        <v>0</v>
      </c>
      <c r="FE312" s="239">
        <v>20015947</v>
      </c>
      <c r="FF312" s="239">
        <v>324749</v>
      </c>
      <c r="FG312" s="239">
        <v>0</v>
      </c>
      <c r="FH312" s="239">
        <v>324749</v>
      </c>
      <c r="FI312" s="239">
        <v>-3216486</v>
      </c>
      <c r="FJ312" s="239">
        <v>0</v>
      </c>
      <c r="FK312" s="239">
        <v>-3216486</v>
      </c>
      <c r="FL312" s="239">
        <v>-632601</v>
      </c>
      <c r="FM312" s="239">
        <v>0</v>
      </c>
      <c r="FN312" s="239">
        <v>-632601</v>
      </c>
      <c r="FO312" s="239">
        <v>-64267</v>
      </c>
      <c r="FP312" s="239">
        <v>0</v>
      </c>
      <c r="FQ312" s="239">
        <v>-64267</v>
      </c>
      <c r="FR312" s="239">
        <v>-17511</v>
      </c>
      <c r="FS312" s="239">
        <v>0</v>
      </c>
      <c r="FT312" s="239">
        <v>-17511</v>
      </c>
      <c r="FU312" s="239">
        <v>0</v>
      </c>
      <c r="FV312" s="239">
        <v>0</v>
      </c>
      <c r="FW312" s="239">
        <v>0</v>
      </c>
      <c r="FX312" s="239">
        <v>-3606116</v>
      </c>
      <c r="FY312" s="239">
        <v>0</v>
      </c>
      <c r="FZ312" s="239">
        <v>-3606116</v>
      </c>
      <c r="GA312" s="239">
        <v>16409831</v>
      </c>
      <c r="GB312" s="239">
        <v>0</v>
      </c>
      <c r="GC312" s="239">
        <v>16409831</v>
      </c>
      <c r="GD312" s="214" t="s">
        <v>1190</v>
      </c>
    </row>
    <row r="313" spans="2:186" s="214" customFormat="1" x14ac:dyDescent="0.2">
      <c r="B313" s="609" t="s">
        <v>708</v>
      </c>
      <c r="C313" s="609" t="s">
        <v>707</v>
      </c>
      <c r="D313" s="239">
        <v>0</v>
      </c>
      <c r="E313" s="239">
        <v>0</v>
      </c>
      <c r="F313" s="239">
        <v>0</v>
      </c>
      <c r="G313" s="239">
        <v>-5704</v>
      </c>
      <c r="H313" s="239">
        <v>0</v>
      </c>
      <c r="I313" s="239">
        <v>-5704</v>
      </c>
      <c r="J313" s="239">
        <v>0</v>
      </c>
      <c r="K313" s="239">
        <v>0</v>
      </c>
      <c r="L313" s="239">
        <v>0</v>
      </c>
      <c r="M313" s="239">
        <v>-16269</v>
      </c>
      <c r="N313" s="239">
        <v>0</v>
      </c>
      <c r="O313" s="239">
        <v>-16269</v>
      </c>
      <c r="P313" s="239">
        <v>-21973</v>
      </c>
      <c r="Q313" s="239">
        <v>0</v>
      </c>
      <c r="R313" s="239">
        <v>-21973</v>
      </c>
      <c r="S313" s="239">
        <v>-2388705</v>
      </c>
      <c r="T313" s="239">
        <v>0</v>
      </c>
      <c r="U313" s="239">
        <v>-2388705</v>
      </c>
      <c r="V313" s="239">
        <v>-15818</v>
      </c>
      <c r="W313" s="239">
        <v>0</v>
      </c>
      <c r="X313" s="239">
        <v>-15818</v>
      </c>
      <c r="Y313" s="239">
        <v>-10214</v>
      </c>
      <c r="Z313" s="239">
        <v>0</v>
      </c>
      <c r="AA313" s="239">
        <v>-10214</v>
      </c>
      <c r="AB313" s="239">
        <v>-11409</v>
      </c>
      <c r="AC313" s="239">
        <v>0</v>
      </c>
      <c r="AD313" s="239">
        <v>-11409</v>
      </c>
      <c r="AE313" s="239">
        <v>1194</v>
      </c>
      <c r="AF313" s="239">
        <v>0</v>
      </c>
      <c r="AG313" s="239">
        <v>1194</v>
      </c>
      <c r="AH313" s="239">
        <v>874260</v>
      </c>
      <c r="AI313" s="239">
        <v>0</v>
      </c>
      <c r="AJ313" s="239">
        <v>874260</v>
      </c>
      <c r="AK313" s="239">
        <v>7565</v>
      </c>
      <c r="AL313" s="239">
        <v>0</v>
      </c>
      <c r="AM313" s="239">
        <v>7565</v>
      </c>
      <c r="AN313" s="239">
        <v>-2621111</v>
      </c>
      <c r="AO313" s="239">
        <v>0</v>
      </c>
      <c r="AP313" s="239">
        <v>-2621111</v>
      </c>
      <c r="AQ313" s="239">
        <v>6481</v>
      </c>
      <c r="AR313" s="239">
        <v>0</v>
      </c>
      <c r="AS313" s="239">
        <v>6481</v>
      </c>
      <c r="AT313" s="239">
        <v>-53253</v>
      </c>
      <c r="AU313" s="239">
        <v>0</v>
      </c>
      <c r="AV313" s="239">
        <v>-53253</v>
      </c>
      <c r="AW313" s="239">
        <v>0</v>
      </c>
      <c r="AX313" s="239">
        <v>0</v>
      </c>
      <c r="AY313" s="239">
        <v>0</v>
      </c>
      <c r="AZ313" s="239">
        <v>-42476</v>
      </c>
      <c r="BA313" s="239">
        <v>0</v>
      </c>
      <c r="BB313" s="239">
        <v>-42476</v>
      </c>
      <c r="BC313" s="239">
        <v>701</v>
      </c>
      <c r="BD313" s="239">
        <v>0</v>
      </c>
      <c r="BE313" s="239">
        <v>701</v>
      </c>
      <c r="BF313" s="239">
        <v>-4226752</v>
      </c>
      <c r="BG313" s="239">
        <v>0</v>
      </c>
      <c r="BH313" s="239">
        <v>-4226752</v>
      </c>
      <c r="BI313" s="239">
        <v>-21903</v>
      </c>
      <c r="BJ313" s="239">
        <v>0</v>
      </c>
      <c r="BK313" s="239">
        <v>-21903</v>
      </c>
      <c r="BL313" s="239">
        <v>0</v>
      </c>
      <c r="BM313" s="239">
        <v>0</v>
      </c>
      <c r="BN313" s="239">
        <v>0</v>
      </c>
      <c r="BO313" s="239">
        <v>-742451</v>
      </c>
      <c r="BP313" s="239">
        <v>0</v>
      </c>
      <c r="BQ313" s="239">
        <v>-742451</v>
      </c>
      <c r="BR313" s="239">
        <v>-17332</v>
      </c>
      <c r="BS313" s="239">
        <v>0</v>
      </c>
      <c r="BT313" s="239">
        <v>-17332</v>
      </c>
      <c r="BU313" s="239">
        <v>-781686</v>
      </c>
      <c r="BV313" s="239">
        <v>0</v>
      </c>
      <c r="BW313" s="239">
        <v>-781686</v>
      </c>
      <c r="BX313" s="239">
        <v>-91573</v>
      </c>
      <c r="BY313" s="239">
        <v>0</v>
      </c>
      <c r="BZ313" s="239">
        <v>-91573</v>
      </c>
      <c r="CA313" s="239">
        <v>0</v>
      </c>
      <c r="CB313" s="239">
        <v>0</v>
      </c>
      <c r="CC313" s="239">
        <v>0</v>
      </c>
      <c r="CD313" s="239">
        <v>-6704</v>
      </c>
      <c r="CE313" s="239">
        <v>0</v>
      </c>
      <c r="CF313" s="239">
        <v>-6704</v>
      </c>
      <c r="CG313" s="239">
        <v>0</v>
      </c>
      <c r="CH313" s="239">
        <v>0</v>
      </c>
      <c r="CI313" s="239">
        <v>0</v>
      </c>
      <c r="CJ313" s="239">
        <v>0</v>
      </c>
      <c r="CK313" s="239">
        <v>0</v>
      </c>
      <c r="CL313" s="239">
        <v>0</v>
      </c>
      <c r="CM313" s="239">
        <v>0</v>
      </c>
      <c r="CN313" s="239">
        <v>0</v>
      </c>
      <c r="CO313" s="239">
        <v>0</v>
      </c>
      <c r="CP313" s="239">
        <v>-9927</v>
      </c>
      <c r="CQ313" s="239">
        <v>0</v>
      </c>
      <c r="CR313" s="239">
        <v>-9927</v>
      </c>
      <c r="CS313" s="239">
        <v>0</v>
      </c>
      <c r="CT313" s="239">
        <v>0</v>
      </c>
      <c r="CU313" s="239">
        <v>0</v>
      </c>
      <c r="CV313" s="239">
        <v>0</v>
      </c>
      <c r="CW313" s="239">
        <v>0</v>
      </c>
      <c r="CX313" s="239">
        <v>0</v>
      </c>
      <c r="CY313" s="239">
        <v>0</v>
      </c>
      <c r="CZ313" s="239">
        <v>0</v>
      </c>
      <c r="DA313" s="239">
        <v>0</v>
      </c>
      <c r="DB313" s="239">
        <v>0</v>
      </c>
      <c r="DC313" s="239">
        <v>0</v>
      </c>
      <c r="DD313" s="239">
        <v>0</v>
      </c>
      <c r="DE313" s="239">
        <v>0</v>
      </c>
      <c r="DF313" s="239">
        <v>0</v>
      </c>
      <c r="DG313" s="239">
        <v>0</v>
      </c>
      <c r="DH313" s="239">
        <v>0</v>
      </c>
      <c r="DI313" s="239">
        <v>0</v>
      </c>
      <c r="DJ313" s="239">
        <v>-108204</v>
      </c>
      <c r="DK313" s="239">
        <v>0</v>
      </c>
      <c r="DL313" s="239">
        <v>-108204</v>
      </c>
      <c r="DM313" s="239">
        <v>0</v>
      </c>
      <c r="DN313" s="239">
        <v>0</v>
      </c>
      <c r="DO313" s="239">
        <v>0</v>
      </c>
      <c r="DP313" s="239">
        <v>0</v>
      </c>
      <c r="DQ313" s="239">
        <v>0</v>
      </c>
      <c r="DR313" s="239">
        <v>0</v>
      </c>
      <c r="DS313" s="239">
        <v>-3449</v>
      </c>
      <c r="DT313" s="239">
        <v>0</v>
      </c>
      <c r="DU313" s="239">
        <v>-3449</v>
      </c>
      <c r="DV313" s="239">
        <v>0</v>
      </c>
      <c r="DW313" s="239">
        <v>0</v>
      </c>
      <c r="DX313" s="239">
        <v>0</v>
      </c>
      <c r="DY313" s="239">
        <v>0</v>
      </c>
      <c r="DZ313" s="239">
        <v>0</v>
      </c>
      <c r="EA313" s="239">
        <v>0</v>
      </c>
      <c r="EB313" s="239">
        <v>-5526</v>
      </c>
      <c r="EC313" s="239">
        <v>0</v>
      </c>
      <c r="ED313" s="239">
        <v>-5526</v>
      </c>
      <c r="EE313" s="239">
        <v>0</v>
      </c>
      <c r="EF313" s="239">
        <v>0</v>
      </c>
      <c r="EG313" s="239">
        <v>0</v>
      </c>
      <c r="EH313" s="239">
        <v>0</v>
      </c>
      <c r="EI313" s="239">
        <v>0</v>
      </c>
      <c r="EJ313" s="239">
        <v>0</v>
      </c>
      <c r="EK313" s="239">
        <v>-5704</v>
      </c>
      <c r="EL313" s="239">
        <v>0</v>
      </c>
      <c r="EM313" s="239">
        <v>-5704</v>
      </c>
      <c r="EN313" s="239">
        <v>0</v>
      </c>
      <c r="EO313" s="239">
        <v>0</v>
      </c>
      <c r="EP313" s="239">
        <v>0</v>
      </c>
      <c r="EQ313" s="239">
        <v>-14679</v>
      </c>
      <c r="ER313" s="239">
        <v>0</v>
      </c>
      <c r="ES313" s="239">
        <v>-14679</v>
      </c>
      <c r="ET313" s="239">
        <v>0</v>
      </c>
      <c r="EU313" s="239">
        <v>0</v>
      </c>
      <c r="EV313" s="239">
        <v>0</v>
      </c>
      <c r="EW313" s="239">
        <v>0</v>
      </c>
      <c r="EX313" s="239">
        <v>0</v>
      </c>
      <c r="EY313" s="239">
        <v>0</v>
      </c>
      <c r="EZ313" s="239">
        <v>0</v>
      </c>
      <c r="FA313" s="239">
        <v>0</v>
      </c>
      <c r="FB313" s="239">
        <v>0</v>
      </c>
      <c r="FC313" s="239">
        <v>39865089</v>
      </c>
      <c r="FD313" s="239">
        <v>0</v>
      </c>
      <c r="FE313" s="239">
        <v>39865089</v>
      </c>
      <c r="FF313" s="239">
        <v>-21973</v>
      </c>
      <c r="FG313" s="239">
        <v>0</v>
      </c>
      <c r="FH313" s="239">
        <v>-21973</v>
      </c>
      <c r="FI313" s="239">
        <v>-4226752</v>
      </c>
      <c r="FJ313" s="239">
        <v>0</v>
      </c>
      <c r="FK313" s="239">
        <v>-4226752</v>
      </c>
      <c r="FL313" s="239">
        <v>-781686</v>
      </c>
      <c r="FM313" s="239">
        <v>0</v>
      </c>
      <c r="FN313" s="239">
        <v>-781686</v>
      </c>
      <c r="FO313" s="239">
        <v>-108204</v>
      </c>
      <c r="FP313" s="239">
        <v>0</v>
      </c>
      <c r="FQ313" s="239">
        <v>-108204</v>
      </c>
      <c r="FR313" s="239">
        <v>-14679</v>
      </c>
      <c r="FS313" s="239">
        <v>0</v>
      </c>
      <c r="FT313" s="239">
        <v>-14679</v>
      </c>
      <c r="FU313" s="239">
        <v>0</v>
      </c>
      <c r="FV313" s="239">
        <v>0</v>
      </c>
      <c r="FW313" s="239">
        <v>0</v>
      </c>
      <c r="FX313" s="239">
        <v>-5153294</v>
      </c>
      <c r="FY313" s="239">
        <v>0</v>
      </c>
      <c r="FZ313" s="239">
        <v>-5153294</v>
      </c>
      <c r="GA313" s="239">
        <v>34711795</v>
      </c>
      <c r="GB313" s="239">
        <v>0</v>
      </c>
      <c r="GC313" s="239">
        <v>34711795</v>
      </c>
      <c r="GD313" s="214" t="s">
        <v>1190</v>
      </c>
    </row>
    <row r="314" spans="2:186" s="214" customFormat="1" x14ac:dyDescent="0.2">
      <c r="B314" s="609" t="s">
        <v>710</v>
      </c>
      <c r="C314" s="609" t="s">
        <v>709</v>
      </c>
      <c r="D314" s="239">
        <v>0</v>
      </c>
      <c r="E314" s="239">
        <v>0</v>
      </c>
      <c r="F314" s="239">
        <v>0</v>
      </c>
      <c r="G314" s="239">
        <v>38866</v>
      </c>
      <c r="H314" s="239">
        <v>0</v>
      </c>
      <c r="I314" s="239">
        <v>38866</v>
      </c>
      <c r="J314" s="239">
        <v>0</v>
      </c>
      <c r="K314" s="239">
        <v>0</v>
      </c>
      <c r="L314" s="239">
        <v>0</v>
      </c>
      <c r="M314" s="239">
        <v>131495</v>
      </c>
      <c r="N314" s="239">
        <v>0</v>
      </c>
      <c r="O314" s="239">
        <v>131495</v>
      </c>
      <c r="P314" s="239">
        <v>170361</v>
      </c>
      <c r="Q314" s="239">
        <v>0</v>
      </c>
      <c r="R314" s="239">
        <v>170361</v>
      </c>
      <c r="S314" s="239">
        <v>-1459821</v>
      </c>
      <c r="T314" s="239">
        <v>0</v>
      </c>
      <c r="U314" s="239">
        <v>-1459821</v>
      </c>
      <c r="V314" s="239">
        <v>0</v>
      </c>
      <c r="W314" s="239">
        <v>0</v>
      </c>
      <c r="X314" s="239">
        <v>0</v>
      </c>
      <c r="Y314" s="239">
        <v>-68709</v>
      </c>
      <c r="Z314" s="239">
        <v>0</v>
      </c>
      <c r="AA314" s="239">
        <v>-68709</v>
      </c>
      <c r="AB314" s="239">
        <v>-54211</v>
      </c>
      <c r="AC314" s="239">
        <v>0</v>
      </c>
      <c r="AD314" s="239">
        <v>-54211</v>
      </c>
      <c r="AE314" s="239">
        <v>0</v>
      </c>
      <c r="AF314" s="239">
        <v>0</v>
      </c>
      <c r="AG314" s="239">
        <v>0</v>
      </c>
      <c r="AH314" s="239">
        <v>300717</v>
      </c>
      <c r="AI314" s="239">
        <v>0</v>
      </c>
      <c r="AJ314" s="239">
        <v>300717</v>
      </c>
      <c r="AK314" s="239">
        <v>15275</v>
      </c>
      <c r="AL314" s="239">
        <v>0</v>
      </c>
      <c r="AM314" s="239">
        <v>15275</v>
      </c>
      <c r="AN314" s="239">
        <v>-649941</v>
      </c>
      <c r="AO314" s="239">
        <v>0</v>
      </c>
      <c r="AP314" s="239">
        <v>-649941</v>
      </c>
      <c r="AQ314" s="239">
        <v>-2316</v>
      </c>
      <c r="AR314" s="239">
        <v>0</v>
      </c>
      <c r="AS314" s="239">
        <v>-2316</v>
      </c>
      <c r="AT314" s="239">
        <v>-16172</v>
      </c>
      <c r="AU314" s="239">
        <v>0</v>
      </c>
      <c r="AV314" s="239">
        <v>-16172</v>
      </c>
      <c r="AW314" s="239">
        <v>-99</v>
      </c>
      <c r="AX314" s="239">
        <v>0</v>
      </c>
      <c r="AY314" s="239">
        <v>-99</v>
      </c>
      <c r="AZ314" s="239">
        <v>-34142</v>
      </c>
      <c r="BA314" s="239">
        <v>0</v>
      </c>
      <c r="BB314" s="239">
        <v>-34142</v>
      </c>
      <c r="BC314" s="239">
        <v>-7639</v>
      </c>
      <c r="BD314" s="239">
        <v>0</v>
      </c>
      <c r="BE314" s="239">
        <v>-7639</v>
      </c>
      <c r="BF314" s="239">
        <v>-1922847</v>
      </c>
      <c r="BG314" s="239">
        <v>0</v>
      </c>
      <c r="BH314" s="239">
        <v>-1922847</v>
      </c>
      <c r="BI314" s="239">
        <v>0</v>
      </c>
      <c r="BJ314" s="239">
        <v>0</v>
      </c>
      <c r="BK314" s="239">
        <v>0</v>
      </c>
      <c r="BL314" s="239">
        <v>-161683</v>
      </c>
      <c r="BM314" s="239">
        <v>0</v>
      </c>
      <c r="BN314" s="239">
        <v>-161683</v>
      </c>
      <c r="BO314" s="239">
        <v>-133881</v>
      </c>
      <c r="BP314" s="239">
        <v>0</v>
      </c>
      <c r="BQ314" s="239">
        <v>-133881</v>
      </c>
      <c r="BR314" s="239">
        <v>-10839</v>
      </c>
      <c r="BS314" s="239">
        <v>0</v>
      </c>
      <c r="BT314" s="239">
        <v>-10839</v>
      </c>
      <c r="BU314" s="239">
        <v>-306403</v>
      </c>
      <c r="BV314" s="239">
        <v>0</v>
      </c>
      <c r="BW314" s="239">
        <v>-306403</v>
      </c>
      <c r="BX314" s="239">
        <v>-25919</v>
      </c>
      <c r="BY314" s="239">
        <v>0</v>
      </c>
      <c r="BZ314" s="239">
        <v>-25919</v>
      </c>
      <c r="CA314" s="239">
        <v>327</v>
      </c>
      <c r="CB314" s="239">
        <v>0</v>
      </c>
      <c r="CC314" s="239">
        <v>327</v>
      </c>
      <c r="CD314" s="239">
        <v>-13631</v>
      </c>
      <c r="CE314" s="239">
        <v>0</v>
      </c>
      <c r="CF314" s="239">
        <v>-13631</v>
      </c>
      <c r="CG314" s="239">
        <v>0</v>
      </c>
      <c r="CH314" s="239">
        <v>0</v>
      </c>
      <c r="CI314" s="239">
        <v>0</v>
      </c>
      <c r="CJ314" s="239">
        <v>-1703</v>
      </c>
      <c r="CK314" s="239">
        <v>0</v>
      </c>
      <c r="CL314" s="239">
        <v>-1703</v>
      </c>
      <c r="CM314" s="239">
        <v>-25</v>
      </c>
      <c r="CN314" s="239">
        <v>0</v>
      </c>
      <c r="CO314" s="239">
        <v>-25</v>
      </c>
      <c r="CP314" s="239">
        <v>-33861</v>
      </c>
      <c r="CQ314" s="239">
        <v>0</v>
      </c>
      <c r="CR314" s="239">
        <v>-33861</v>
      </c>
      <c r="CS314" s="239">
        <v>-5068</v>
      </c>
      <c r="CT314" s="239">
        <v>0</v>
      </c>
      <c r="CU314" s="239">
        <v>-5068</v>
      </c>
      <c r="CV314" s="239">
        <v>-45143</v>
      </c>
      <c r="CW314" s="239">
        <v>0</v>
      </c>
      <c r="CX314" s="239">
        <v>-45143</v>
      </c>
      <c r="CY314" s="239">
        <v>360</v>
      </c>
      <c r="CZ314" s="239">
        <v>0</v>
      </c>
      <c r="DA314" s="239">
        <v>360</v>
      </c>
      <c r="DB314" s="239">
        <v>0</v>
      </c>
      <c r="DC314" s="239">
        <v>0</v>
      </c>
      <c r="DD314" s="239">
        <v>0</v>
      </c>
      <c r="DE314" s="239">
        <v>0</v>
      </c>
      <c r="DF314" s="239">
        <v>0</v>
      </c>
      <c r="DG314" s="239">
        <v>0</v>
      </c>
      <c r="DH314" s="239">
        <v>0</v>
      </c>
      <c r="DI314" s="239">
        <v>0</v>
      </c>
      <c r="DJ314" s="239">
        <v>-124663</v>
      </c>
      <c r="DK314" s="239">
        <v>0</v>
      </c>
      <c r="DL314" s="239">
        <v>-124663</v>
      </c>
      <c r="DM314" s="239">
        <v>-2122</v>
      </c>
      <c r="DN314" s="239">
        <v>0</v>
      </c>
      <c r="DO314" s="239">
        <v>-2122</v>
      </c>
      <c r="DP314" s="239">
        <v>0</v>
      </c>
      <c r="DQ314" s="239">
        <v>0</v>
      </c>
      <c r="DR314" s="239">
        <v>0</v>
      </c>
      <c r="DS314" s="239">
        <v>0</v>
      </c>
      <c r="DT314" s="239">
        <v>0</v>
      </c>
      <c r="DU314" s="239">
        <v>0</v>
      </c>
      <c r="DV314" s="239">
        <v>0</v>
      </c>
      <c r="DW314" s="239">
        <v>0</v>
      </c>
      <c r="DX314" s="239">
        <v>0</v>
      </c>
      <c r="DY314" s="239">
        <v>0</v>
      </c>
      <c r="DZ314" s="239">
        <v>0</v>
      </c>
      <c r="EA314" s="239">
        <v>0</v>
      </c>
      <c r="EB314" s="239">
        <v>-3924</v>
      </c>
      <c r="EC314" s="239">
        <v>0</v>
      </c>
      <c r="ED314" s="239">
        <v>-3924</v>
      </c>
      <c r="EE314" s="239">
        <v>0</v>
      </c>
      <c r="EF314" s="239">
        <v>0</v>
      </c>
      <c r="EG314" s="239">
        <v>0</v>
      </c>
      <c r="EH314" s="239">
        <v>0</v>
      </c>
      <c r="EI314" s="239">
        <v>0</v>
      </c>
      <c r="EJ314" s="239">
        <v>0</v>
      </c>
      <c r="EK314" s="239">
        <v>-7117</v>
      </c>
      <c r="EL314" s="239">
        <v>0</v>
      </c>
      <c r="EM314" s="239">
        <v>-7117</v>
      </c>
      <c r="EN314" s="239">
        <v>0</v>
      </c>
      <c r="EO314" s="239">
        <v>0</v>
      </c>
      <c r="EP314" s="239">
        <v>0</v>
      </c>
      <c r="EQ314" s="239">
        <v>-13163</v>
      </c>
      <c r="ER314" s="239">
        <v>0</v>
      </c>
      <c r="ES314" s="239">
        <v>-13163</v>
      </c>
      <c r="ET314" s="239">
        <v>0</v>
      </c>
      <c r="EU314" s="239">
        <v>0</v>
      </c>
      <c r="EV314" s="239">
        <v>0</v>
      </c>
      <c r="EW314" s="239">
        <v>0</v>
      </c>
      <c r="EX314" s="239">
        <v>0</v>
      </c>
      <c r="EY314" s="239">
        <v>0</v>
      </c>
      <c r="EZ314" s="239">
        <v>0</v>
      </c>
      <c r="FA314" s="239">
        <v>0</v>
      </c>
      <c r="FB314" s="239">
        <v>0</v>
      </c>
      <c r="FC314" s="239">
        <v>15697083</v>
      </c>
      <c r="FD314" s="239">
        <v>0</v>
      </c>
      <c r="FE314" s="239">
        <v>15697083</v>
      </c>
      <c r="FF314" s="239">
        <v>170361</v>
      </c>
      <c r="FG314" s="239">
        <v>0</v>
      </c>
      <c r="FH314" s="239">
        <v>170361</v>
      </c>
      <c r="FI314" s="239">
        <v>-1922847</v>
      </c>
      <c r="FJ314" s="239">
        <v>0</v>
      </c>
      <c r="FK314" s="239">
        <v>-1922847</v>
      </c>
      <c r="FL314" s="239">
        <v>-306403</v>
      </c>
      <c r="FM314" s="239">
        <v>0</v>
      </c>
      <c r="FN314" s="239">
        <v>-306403</v>
      </c>
      <c r="FO314" s="239">
        <v>-124663</v>
      </c>
      <c r="FP314" s="239">
        <v>0</v>
      </c>
      <c r="FQ314" s="239">
        <v>-124663</v>
      </c>
      <c r="FR314" s="239">
        <v>-13163</v>
      </c>
      <c r="FS314" s="239">
        <v>0</v>
      </c>
      <c r="FT314" s="239">
        <v>-13163</v>
      </c>
      <c r="FU314" s="239">
        <v>0</v>
      </c>
      <c r="FV314" s="239">
        <v>0</v>
      </c>
      <c r="FW314" s="239">
        <v>0</v>
      </c>
      <c r="FX314" s="239">
        <v>-2196715</v>
      </c>
      <c r="FY314" s="239">
        <v>0</v>
      </c>
      <c r="FZ314" s="239">
        <v>-2196715</v>
      </c>
      <c r="GA314" s="239">
        <v>13500368</v>
      </c>
      <c r="GB314" s="239">
        <v>0</v>
      </c>
      <c r="GC314" s="239">
        <v>13500368</v>
      </c>
      <c r="GD314" s="214" t="s">
        <v>1190</v>
      </c>
    </row>
    <row r="315" spans="2:186" s="214" customFormat="1" x14ac:dyDescent="0.2">
      <c r="B315" s="609" t="s">
        <v>712</v>
      </c>
      <c r="C315" s="609" t="s">
        <v>711</v>
      </c>
      <c r="D315" s="239">
        <v>0</v>
      </c>
      <c r="E315" s="239">
        <v>0</v>
      </c>
      <c r="F315" s="239">
        <v>0</v>
      </c>
      <c r="G315" s="239">
        <v>17826046</v>
      </c>
      <c r="H315" s="239">
        <v>0</v>
      </c>
      <c r="I315" s="239">
        <v>17826046</v>
      </c>
      <c r="J315" s="239">
        <v>0</v>
      </c>
      <c r="K315" s="239">
        <v>0</v>
      </c>
      <c r="L315" s="239">
        <v>0</v>
      </c>
      <c r="M315" s="239">
        <v>893123</v>
      </c>
      <c r="N315" s="239">
        <v>0</v>
      </c>
      <c r="O315" s="239">
        <v>893123</v>
      </c>
      <c r="P315" s="239">
        <v>18719169</v>
      </c>
      <c r="Q315" s="239">
        <v>0</v>
      </c>
      <c r="R315" s="239">
        <v>18719169</v>
      </c>
      <c r="S315" s="239">
        <v>-2316872</v>
      </c>
      <c r="T315" s="239">
        <v>0</v>
      </c>
      <c r="U315" s="239">
        <v>-2316872</v>
      </c>
      <c r="V315" s="239">
        <v>0</v>
      </c>
      <c r="W315" s="239">
        <v>0</v>
      </c>
      <c r="X315" s="239">
        <v>0</v>
      </c>
      <c r="Y315" s="239">
        <v>-338718</v>
      </c>
      <c r="Z315" s="239">
        <v>0</v>
      </c>
      <c r="AA315" s="239">
        <v>-338718</v>
      </c>
      <c r="AB315" s="239">
        <v>-290451</v>
      </c>
      <c r="AC315" s="239">
        <v>0</v>
      </c>
      <c r="AD315" s="239">
        <v>-290451</v>
      </c>
      <c r="AE315" s="239">
        <v>0</v>
      </c>
      <c r="AF315" s="239">
        <v>0</v>
      </c>
      <c r="AG315" s="239">
        <v>0</v>
      </c>
      <c r="AH315" s="239">
        <v>51689854</v>
      </c>
      <c r="AI315" s="239">
        <v>0</v>
      </c>
      <c r="AJ315" s="239">
        <v>51689854</v>
      </c>
      <c r="AK315" s="239">
        <v>-1743799</v>
      </c>
      <c r="AL315" s="239">
        <v>0</v>
      </c>
      <c r="AM315" s="239">
        <v>-1743799</v>
      </c>
      <c r="AN315" s="239">
        <v>-65650541</v>
      </c>
      <c r="AO315" s="239">
        <v>0</v>
      </c>
      <c r="AP315" s="239">
        <v>-65650541</v>
      </c>
      <c r="AQ315" s="239">
        <v>175142</v>
      </c>
      <c r="AR315" s="239">
        <v>0</v>
      </c>
      <c r="AS315" s="239">
        <v>175142</v>
      </c>
      <c r="AT315" s="239">
        <v>-23458</v>
      </c>
      <c r="AU315" s="239">
        <v>0</v>
      </c>
      <c r="AV315" s="239">
        <v>-23458</v>
      </c>
      <c r="AW315" s="239">
        <v>0</v>
      </c>
      <c r="AX315" s="239">
        <v>0</v>
      </c>
      <c r="AY315" s="239">
        <v>0</v>
      </c>
      <c r="AZ315" s="239">
        <v>0</v>
      </c>
      <c r="BA315" s="239">
        <v>0</v>
      </c>
      <c r="BB315" s="239">
        <v>0</v>
      </c>
      <c r="BC315" s="239">
        <v>0</v>
      </c>
      <c r="BD315" s="239">
        <v>0</v>
      </c>
      <c r="BE315" s="239">
        <v>0</v>
      </c>
      <c r="BF315" s="239">
        <v>-18208392</v>
      </c>
      <c r="BG315" s="239">
        <v>0</v>
      </c>
      <c r="BH315" s="239">
        <v>-18208392</v>
      </c>
      <c r="BI315" s="239">
        <v>-7700459</v>
      </c>
      <c r="BJ315" s="239">
        <v>0</v>
      </c>
      <c r="BK315" s="239">
        <v>-7700459</v>
      </c>
      <c r="BL315" s="239">
        <v>-259386</v>
      </c>
      <c r="BM315" s="239">
        <v>0</v>
      </c>
      <c r="BN315" s="239">
        <v>-259386</v>
      </c>
      <c r="BO315" s="239">
        <v>-126409237</v>
      </c>
      <c r="BP315" s="239">
        <v>0</v>
      </c>
      <c r="BQ315" s="239">
        <v>-126409237</v>
      </c>
      <c r="BR315" s="239">
        <v>3515055</v>
      </c>
      <c r="BS315" s="239">
        <v>0</v>
      </c>
      <c r="BT315" s="239">
        <v>3515055</v>
      </c>
      <c r="BU315" s="239">
        <v>-130854027</v>
      </c>
      <c r="BV315" s="239">
        <v>0</v>
      </c>
      <c r="BW315" s="239">
        <v>-130854027</v>
      </c>
      <c r="BX315" s="239">
        <v>-264706</v>
      </c>
      <c r="BY315" s="239">
        <v>0</v>
      </c>
      <c r="BZ315" s="239">
        <v>-264706</v>
      </c>
      <c r="CA315" s="239">
        <v>939</v>
      </c>
      <c r="CB315" s="239">
        <v>0</v>
      </c>
      <c r="CC315" s="239">
        <v>939</v>
      </c>
      <c r="CD315" s="239">
        <v>-12563</v>
      </c>
      <c r="CE315" s="239">
        <v>0</v>
      </c>
      <c r="CF315" s="239">
        <v>-12563</v>
      </c>
      <c r="CG315" s="239">
        <v>0</v>
      </c>
      <c r="CH315" s="239">
        <v>0</v>
      </c>
      <c r="CI315" s="239">
        <v>0</v>
      </c>
      <c r="CJ315" s="239">
        <v>-1466</v>
      </c>
      <c r="CK315" s="239">
        <v>0</v>
      </c>
      <c r="CL315" s="239">
        <v>-1466</v>
      </c>
      <c r="CM315" s="239">
        <v>0</v>
      </c>
      <c r="CN315" s="239">
        <v>0</v>
      </c>
      <c r="CO315" s="239">
        <v>0</v>
      </c>
      <c r="CP315" s="239">
        <v>0</v>
      </c>
      <c r="CQ315" s="239">
        <v>0</v>
      </c>
      <c r="CR315" s="239">
        <v>0</v>
      </c>
      <c r="CS315" s="239">
        <v>0</v>
      </c>
      <c r="CT315" s="239">
        <v>0</v>
      </c>
      <c r="CU315" s="239">
        <v>0</v>
      </c>
      <c r="CV315" s="239">
        <v>0</v>
      </c>
      <c r="CW315" s="239">
        <v>0</v>
      </c>
      <c r="CX315" s="239">
        <v>0</v>
      </c>
      <c r="CY315" s="239">
        <v>0</v>
      </c>
      <c r="CZ315" s="239">
        <v>0</v>
      </c>
      <c r="DA315" s="239">
        <v>0</v>
      </c>
      <c r="DB315" s="239">
        <v>0</v>
      </c>
      <c r="DC315" s="239">
        <v>0</v>
      </c>
      <c r="DD315" s="239">
        <v>0</v>
      </c>
      <c r="DE315" s="239">
        <v>0</v>
      </c>
      <c r="DF315" s="239">
        <v>0</v>
      </c>
      <c r="DG315" s="239">
        <v>0</v>
      </c>
      <c r="DH315" s="239">
        <v>0</v>
      </c>
      <c r="DI315" s="239">
        <v>0</v>
      </c>
      <c r="DJ315" s="239">
        <v>-277796</v>
      </c>
      <c r="DK315" s="239">
        <v>0</v>
      </c>
      <c r="DL315" s="239">
        <v>-277796</v>
      </c>
      <c r="DM315" s="239">
        <v>-277034</v>
      </c>
      <c r="DN315" s="239">
        <v>0</v>
      </c>
      <c r="DO315" s="239">
        <v>-277034</v>
      </c>
      <c r="DP315" s="239">
        <v>-476434</v>
      </c>
      <c r="DQ315" s="239">
        <v>0</v>
      </c>
      <c r="DR315" s="239">
        <v>-476434</v>
      </c>
      <c r="DS315" s="239">
        <v>-203443</v>
      </c>
      <c r="DT315" s="239">
        <v>0</v>
      </c>
      <c r="DU315" s="239">
        <v>-203443</v>
      </c>
      <c r="DV315" s="239">
        <v>-49154</v>
      </c>
      <c r="DW315" s="239">
        <v>0</v>
      </c>
      <c r="DX315" s="239">
        <v>-49154</v>
      </c>
      <c r="DY315" s="239">
        <v>0</v>
      </c>
      <c r="DZ315" s="239">
        <v>0</v>
      </c>
      <c r="EA315" s="239">
        <v>0</v>
      </c>
      <c r="EB315" s="239">
        <v>17977</v>
      </c>
      <c r="EC315" s="239">
        <v>0</v>
      </c>
      <c r="ED315" s="239">
        <v>17977</v>
      </c>
      <c r="EE315" s="239">
        <v>0</v>
      </c>
      <c r="EF315" s="239">
        <v>0</v>
      </c>
      <c r="EG315" s="239">
        <v>0</v>
      </c>
      <c r="EH315" s="239">
        <v>0</v>
      </c>
      <c r="EI315" s="239">
        <v>0</v>
      </c>
      <c r="EJ315" s="239">
        <v>0</v>
      </c>
      <c r="EK315" s="239">
        <v>-16103</v>
      </c>
      <c r="EL315" s="239">
        <v>0</v>
      </c>
      <c r="EM315" s="239">
        <v>-16103</v>
      </c>
      <c r="EN315" s="239">
        <v>-114</v>
      </c>
      <c r="EO315" s="239">
        <v>0</v>
      </c>
      <c r="EP315" s="239">
        <v>-114</v>
      </c>
      <c r="EQ315" s="239">
        <v>-1004305</v>
      </c>
      <c r="ER315" s="239">
        <v>0</v>
      </c>
      <c r="ES315" s="239">
        <v>-1004305</v>
      </c>
      <c r="ET315" s="239">
        <v>-20166</v>
      </c>
      <c r="EU315" s="239">
        <v>0</v>
      </c>
      <c r="EV315" s="239">
        <v>-20166</v>
      </c>
      <c r="EW315" s="239">
        <v>-46800</v>
      </c>
      <c r="EX315" s="239">
        <v>0</v>
      </c>
      <c r="EY315" s="239">
        <v>-46800</v>
      </c>
      <c r="EZ315" s="239">
        <v>-66966</v>
      </c>
      <c r="FA315" s="239">
        <v>0</v>
      </c>
      <c r="FB315" s="239">
        <v>-66966</v>
      </c>
      <c r="FC315" s="239">
        <v>1910659802</v>
      </c>
      <c r="FD315" s="239">
        <v>0</v>
      </c>
      <c r="FE315" s="239">
        <v>1910659802</v>
      </c>
      <c r="FF315" s="239">
        <v>18719169</v>
      </c>
      <c r="FG315" s="239">
        <v>0</v>
      </c>
      <c r="FH315" s="239">
        <v>18719169</v>
      </c>
      <c r="FI315" s="239">
        <v>-18208392</v>
      </c>
      <c r="FJ315" s="239">
        <v>0</v>
      </c>
      <c r="FK315" s="239">
        <v>-18208392</v>
      </c>
      <c r="FL315" s="239">
        <v>-130854027</v>
      </c>
      <c r="FM315" s="239">
        <v>0</v>
      </c>
      <c r="FN315" s="239">
        <v>-130854027</v>
      </c>
      <c r="FO315" s="239">
        <v>-277796</v>
      </c>
      <c r="FP315" s="239">
        <v>0</v>
      </c>
      <c r="FQ315" s="239">
        <v>-277796</v>
      </c>
      <c r="FR315" s="239">
        <v>-1004305</v>
      </c>
      <c r="FS315" s="239">
        <v>0</v>
      </c>
      <c r="FT315" s="239">
        <v>-1004305</v>
      </c>
      <c r="FU315" s="239">
        <v>-66966</v>
      </c>
      <c r="FV315" s="239">
        <v>0</v>
      </c>
      <c r="FW315" s="239">
        <v>-66966</v>
      </c>
      <c r="FX315" s="239">
        <v>-131692317</v>
      </c>
      <c r="FY315" s="239">
        <v>0</v>
      </c>
      <c r="FZ315" s="239">
        <v>-131692317</v>
      </c>
      <c r="GA315" s="239">
        <v>1778967485</v>
      </c>
      <c r="GB315" s="239">
        <v>0</v>
      </c>
      <c r="GC315" s="239">
        <v>1778967485</v>
      </c>
      <c r="GD315" s="214" t="s">
        <v>1193</v>
      </c>
    </row>
    <row r="316" spans="2:186" s="214" customFormat="1" x14ac:dyDescent="0.2">
      <c r="B316" s="609" t="s">
        <v>714</v>
      </c>
      <c r="C316" s="609" t="s">
        <v>713</v>
      </c>
      <c r="D316" s="239">
        <v>0</v>
      </c>
      <c r="E316" s="239">
        <v>0</v>
      </c>
      <c r="F316" s="239">
        <v>0</v>
      </c>
      <c r="G316" s="239">
        <v>81328</v>
      </c>
      <c r="H316" s="239">
        <v>0</v>
      </c>
      <c r="I316" s="239">
        <v>81328</v>
      </c>
      <c r="J316" s="239">
        <v>0</v>
      </c>
      <c r="K316" s="239">
        <v>0</v>
      </c>
      <c r="L316" s="239">
        <v>0</v>
      </c>
      <c r="M316" s="239">
        <v>36954</v>
      </c>
      <c r="N316" s="239">
        <v>0</v>
      </c>
      <c r="O316" s="239">
        <v>36954</v>
      </c>
      <c r="P316" s="239">
        <v>118282</v>
      </c>
      <c r="Q316" s="239">
        <v>0</v>
      </c>
      <c r="R316" s="239">
        <v>118282</v>
      </c>
      <c r="S316" s="239">
        <v>-1696833</v>
      </c>
      <c r="T316" s="239">
        <v>0</v>
      </c>
      <c r="U316" s="239">
        <v>-1696833</v>
      </c>
      <c r="V316" s="239">
        <v>-5899</v>
      </c>
      <c r="W316" s="239">
        <v>0</v>
      </c>
      <c r="X316" s="239">
        <v>-5899</v>
      </c>
      <c r="Y316" s="239">
        <v>-97684</v>
      </c>
      <c r="Z316" s="239">
        <v>0</v>
      </c>
      <c r="AA316" s="239">
        <v>-97684</v>
      </c>
      <c r="AB316" s="239">
        <v>-74119</v>
      </c>
      <c r="AC316" s="239">
        <v>0</v>
      </c>
      <c r="AD316" s="239">
        <v>-74119</v>
      </c>
      <c r="AE316" s="239">
        <v>0</v>
      </c>
      <c r="AF316" s="239">
        <v>0</v>
      </c>
      <c r="AG316" s="239">
        <v>0</v>
      </c>
      <c r="AH316" s="239">
        <v>466750</v>
      </c>
      <c r="AI316" s="239">
        <v>0</v>
      </c>
      <c r="AJ316" s="239">
        <v>466750</v>
      </c>
      <c r="AK316" s="239">
        <v>-12579</v>
      </c>
      <c r="AL316" s="239">
        <v>0</v>
      </c>
      <c r="AM316" s="239">
        <v>-12579</v>
      </c>
      <c r="AN316" s="239">
        <v>-1246632</v>
      </c>
      <c r="AO316" s="239">
        <v>0</v>
      </c>
      <c r="AP316" s="239">
        <v>-1246632</v>
      </c>
      <c r="AQ316" s="239">
        <v>-28452</v>
      </c>
      <c r="AR316" s="239">
        <v>0</v>
      </c>
      <c r="AS316" s="239">
        <v>-28452</v>
      </c>
      <c r="AT316" s="239">
        <v>-38140</v>
      </c>
      <c r="AU316" s="239">
        <v>0</v>
      </c>
      <c r="AV316" s="239">
        <v>-38140</v>
      </c>
      <c r="AW316" s="239">
        <v>0</v>
      </c>
      <c r="AX316" s="239">
        <v>0</v>
      </c>
      <c r="AY316" s="239">
        <v>0</v>
      </c>
      <c r="AZ316" s="239">
        <v>0</v>
      </c>
      <c r="BA316" s="239">
        <v>0</v>
      </c>
      <c r="BB316" s="239">
        <v>0</v>
      </c>
      <c r="BC316" s="239">
        <v>0</v>
      </c>
      <c r="BD316" s="239">
        <v>0</v>
      </c>
      <c r="BE316" s="239">
        <v>0</v>
      </c>
      <c r="BF316" s="239">
        <v>-2653570</v>
      </c>
      <c r="BG316" s="239">
        <v>0</v>
      </c>
      <c r="BH316" s="239">
        <v>-2653570</v>
      </c>
      <c r="BI316" s="239">
        <v>0</v>
      </c>
      <c r="BJ316" s="239">
        <v>0</v>
      </c>
      <c r="BK316" s="239">
        <v>0</v>
      </c>
      <c r="BL316" s="239">
        <v>0</v>
      </c>
      <c r="BM316" s="239">
        <v>0</v>
      </c>
      <c r="BN316" s="239">
        <v>0</v>
      </c>
      <c r="BO316" s="239">
        <v>-492415</v>
      </c>
      <c r="BP316" s="239">
        <v>0</v>
      </c>
      <c r="BQ316" s="239">
        <v>-492415</v>
      </c>
      <c r="BR316" s="239">
        <v>3081</v>
      </c>
      <c r="BS316" s="239">
        <v>0</v>
      </c>
      <c r="BT316" s="239">
        <v>3081</v>
      </c>
      <c r="BU316" s="239">
        <v>-489334</v>
      </c>
      <c r="BV316" s="239">
        <v>0</v>
      </c>
      <c r="BW316" s="239">
        <v>-489334</v>
      </c>
      <c r="BX316" s="239">
        <v>-27187</v>
      </c>
      <c r="BY316" s="239">
        <v>0</v>
      </c>
      <c r="BZ316" s="239">
        <v>-27187</v>
      </c>
      <c r="CA316" s="239">
        <v>-1170</v>
      </c>
      <c r="CB316" s="239">
        <v>0</v>
      </c>
      <c r="CC316" s="239">
        <v>-1170</v>
      </c>
      <c r="CD316" s="239">
        <v>-98300</v>
      </c>
      <c r="CE316" s="239">
        <v>0</v>
      </c>
      <c r="CF316" s="239">
        <v>-98300</v>
      </c>
      <c r="CG316" s="239">
        <v>0</v>
      </c>
      <c r="CH316" s="239">
        <v>0</v>
      </c>
      <c r="CI316" s="239">
        <v>0</v>
      </c>
      <c r="CJ316" s="239">
        <v>0</v>
      </c>
      <c r="CK316" s="239">
        <v>0</v>
      </c>
      <c r="CL316" s="239">
        <v>0</v>
      </c>
      <c r="CM316" s="239">
        <v>0</v>
      </c>
      <c r="CN316" s="239">
        <v>0</v>
      </c>
      <c r="CO316" s="239">
        <v>0</v>
      </c>
      <c r="CP316" s="239">
        <v>0</v>
      </c>
      <c r="CQ316" s="239">
        <v>0</v>
      </c>
      <c r="CR316" s="239">
        <v>0</v>
      </c>
      <c r="CS316" s="239">
        <v>0</v>
      </c>
      <c r="CT316" s="239">
        <v>0</v>
      </c>
      <c r="CU316" s="239">
        <v>0</v>
      </c>
      <c r="CV316" s="239">
        <v>0</v>
      </c>
      <c r="CW316" s="239">
        <v>0</v>
      </c>
      <c r="CX316" s="239">
        <v>0</v>
      </c>
      <c r="CY316" s="239">
        <v>0</v>
      </c>
      <c r="CZ316" s="239">
        <v>0</v>
      </c>
      <c r="DA316" s="239">
        <v>0</v>
      </c>
      <c r="DB316" s="239">
        <v>0</v>
      </c>
      <c r="DC316" s="239">
        <v>0</v>
      </c>
      <c r="DD316" s="239">
        <v>0</v>
      </c>
      <c r="DE316" s="239">
        <v>0</v>
      </c>
      <c r="DF316" s="239">
        <v>0</v>
      </c>
      <c r="DG316" s="239">
        <v>0</v>
      </c>
      <c r="DH316" s="239">
        <v>0</v>
      </c>
      <c r="DI316" s="239">
        <v>0</v>
      </c>
      <c r="DJ316" s="239">
        <v>-126657</v>
      </c>
      <c r="DK316" s="239">
        <v>0</v>
      </c>
      <c r="DL316" s="239">
        <v>-126657</v>
      </c>
      <c r="DM316" s="239">
        <v>0</v>
      </c>
      <c r="DN316" s="239">
        <v>0</v>
      </c>
      <c r="DO316" s="239">
        <v>0</v>
      </c>
      <c r="DP316" s="239">
        <v>0</v>
      </c>
      <c r="DQ316" s="239">
        <v>0</v>
      </c>
      <c r="DR316" s="239">
        <v>0</v>
      </c>
      <c r="DS316" s="239">
        <v>0</v>
      </c>
      <c r="DT316" s="239">
        <v>0</v>
      </c>
      <c r="DU316" s="239">
        <v>0</v>
      </c>
      <c r="DV316" s="239">
        <v>-37366</v>
      </c>
      <c r="DW316" s="239">
        <v>0</v>
      </c>
      <c r="DX316" s="239">
        <v>-37366</v>
      </c>
      <c r="DY316" s="239">
        <v>0</v>
      </c>
      <c r="DZ316" s="239">
        <v>0</v>
      </c>
      <c r="EA316" s="239">
        <v>0</v>
      </c>
      <c r="EB316" s="239">
        <v>3862</v>
      </c>
      <c r="EC316" s="239">
        <v>0</v>
      </c>
      <c r="ED316" s="239">
        <v>3862</v>
      </c>
      <c r="EE316" s="239">
        <v>0</v>
      </c>
      <c r="EF316" s="239">
        <v>0</v>
      </c>
      <c r="EG316" s="239">
        <v>0</v>
      </c>
      <c r="EH316" s="239">
        <v>0</v>
      </c>
      <c r="EI316" s="239">
        <v>0</v>
      </c>
      <c r="EJ316" s="239">
        <v>0</v>
      </c>
      <c r="EK316" s="239">
        <v>-11</v>
      </c>
      <c r="EL316" s="239">
        <v>0</v>
      </c>
      <c r="EM316" s="239">
        <v>-11</v>
      </c>
      <c r="EN316" s="239">
        <v>0</v>
      </c>
      <c r="EO316" s="239">
        <v>0</v>
      </c>
      <c r="EP316" s="239">
        <v>0</v>
      </c>
      <c r="EQ316" s="239">
        <v>-33515</v>
      </c>
      <c r="ER316" s="239">
        <v>0</v>
      </c>
      <c r="ES316" s="239">
        <v>-33515</v>
      </c>
      <c r="ET316" s="239">
        <v>0</v>
      </c>
      <c r="EU316" s="239">
        <v>0</v>
      </c>
      <c r="EV316" s="239">
        <v>0</v>
      </c>
      <c r="EW316" s="239">
        <v>0</v>
      </c>
      <c r="EX316" s="239">
        <v>0</v>
      </c>
      <c r="EY316" s="239">
        <v>0</v>
      </c>
      <c r="EZ316" s="239">
        <v>0</v>
      </c>
      <c r="FA316" s="239">
        <v>0</v>
      </c>
      <c r="FB316" s="239">
        <v>0</v>
      </c>
      <c r="FC316" s="239">
        <v>20835774</v>
      </c>
      <c r="FD316" s="239">
        <v>0</v>
      </c>
      <c r="FE316" s="239">
        <v>20835774</v>
      </c>
      <c r="FF316" s="239">
        <v>118282</v>
      </c>
      <c r="FG316" s="239">
        <v>0</v>
      </c>
      <c r="FH316" s="239">
        <v>118282</v>
      </c>
      <c r="FI316" s="239">
        <v>-2653570</v>
      </c>
      <c r="FJ316" s="239">
        <v>0</v>
      </c>
      <c r="FK316" s="239">
        <v>-2653570</v>
      </c>
      <c r="FL316" s="239">
        <v>-489334</v>
      </c>
      <c r="FM316" s="239">
        <v>0</v>
      </c>
      <c r="FN316" s="239">
        <v>-489334</v>
      </c>
      <c r="FO316" s="239">
        <v>-126657</v>
      </c>
      <c r="FP316" s="239">
        <v>0</v>
      </c>
      <c r="FQ316" s="239">
        <v>-126657</v>
      </c>
      <c r="FR316" s="239">
        <v>-33515</v>
      </c>
      <c r="FS316" s="239">
        <v>0</v>
      </c>
      <c r="FT316" s="239">
        <v>-33515</v>
      </c>
      <c r="FU316" s="239">
        <v>0</v>
      </c>
      <c r="FV316" s="239">
        <v>0</v>
      </c>
      <c r="FW316" s="239">
        <v>0</v>
      </c>
      <c r="FX316" s="239">
        <v>-3184794</v>
      </c>
      <c r="FY316" s="239">
        <v>0</v>
      </c>
      <c r="FZ316" s="239">
        <v>-3184794</v>
      </c>
      <c r="GA316" s="239">
        <v>17650980</v>
      </c>
      <c r="GB316" s="239">
        <v>0</v>
      </c>
      <c r="GC316" s="239">
        <v>17650980</v>
      </c>
      <c r="GD316" s="214" t="s">
        <v>1190</v>
      </c>
    </row>
    <row r="317" spans="2:186" s="214" customFormat="1" x14ac:dyDescent="0.2">
      <c r="B317" s="609" t="s">
        <v>716</v>
      </c>
      <c r="C317" s="609" t="s">
        <v>715</v>
      </c>
      <c r="D317" s="239">
        <v>0</v>
      </c>
      <c r="E317" s="239">
        <v>0</v>
      </c>
      <c r="F317" s="239">
        <v>0</v>
      </c>
      <c r="G317" s="239">
        <v>320864</v>
      </c>
      <c r="H317" s="239">
        <v>0</v>
      </c>
      <c r="I317" s="239">
        <v>320864</v>
      </c>
      <c r="J317" s="239">
        <v>0</v>
      </c>
      <c r="K317" s="239">
        <v>0</v>
      </c>
      <c r="L317" s="239">
        <v>0</v>
      </c>
      <c r="M317" s="239">
        <v>60356</v>
      </c>
      <c r="N317" s="239">
        <v>0</v>
      </c>
      <c r="O317" s="239">
        <v>60356</v>
      </c>
      <c r="P317" s="239">
        <v>381220</v>
      </c>
      <c r="Q317" s="239">
        <v>0</v>
      </c>
      <c r="R317" s="239">
        <v>381220</v>
      </c>
      <c r="S317" s="239">
        <v>-7360897</v>
      </c>
      <c r="T317" s="239">
        <v>0</v>
      </c>
      <c r="U317" s="239">
        <v>-7360897</v>
      </c>
      <c r="V317" s="239">
        <v>-27260</v>
      </c>
      <c r="W317" s="239">
        <v>0</v>
      </c>
      <c r="X317" s="239">
        <v>-27260</v>
      </c>
      <c r="Y317" s="239">
        <v>-271314</v>
      </c>
      <c r="Z317" s="239">
        <v>0</v>
      </c>
      <c r="AA317" s="239">
        <v>-271314</v>
      </c>
      <c r="AB317" s="239">
        <v>-262483</v>
      </c>
      <c r="AC317" s="239">
        <v>0</v>
      </c>
      <c r="AD317" s="239">
        <v>-262483</v>
      </c>
      <c r="AE317" s="239">
        <v>-8831</v>
      </c>
      <c r="AF317" s="239">
        <v>0</v>
      </c>
      <c r="AG317" s="239">
        <v>-8831</v>
      </c>
      <c r="AH317" s="239">
        <v>2225945</v>
      </c>
      <c r="AI317" s="239">
        <v>0</v>
      </c>
      <c r="AJ317" s="239">
        <v>2225945</v>
      </c>
      <c r="AK317" s="239">
        <v>83487</v>
      </c>
      <c r="AL317" s="239">
        <v>0</v>
      </c>
      <c r="AM317" s="239">
        <v>83487</v>
      </c>
      <c r="AN317" s="239">
        <v>-5377420</v>
      </c>
      <c r="AO317" s="239">
        <v>0</v>
      </c>
      <c r="AP317" s="239">
        <v>-5377420</v>
      </c>
      <c r="AQ317" s="239">
        <v>-239821</v>
      </c>
      <c r="AR317" s="239">
        <v>0</v>
      </c>
      <c r="AS317" s="239">
        <v>-239821</v>
      </c>
      <c r="AT317" s="239">
        <v>-142281</v>
      </c>
      <c r="AU317" s="239">
        <v>0</v>
      </c>
      <c r="AV317" s="239">
        <v>-142281</v>
      </c>
      <c r="AW317" s="239">
        <v>-21634</v>
      </c>
      <c r="AX317" s="239">
        <v>0</v>
      </c>
      <c r="AY317" s="239">
        <v>-21634</v>
      </c>
      <c r="AZ317" s="239">
        <v>0</v>
      </c>
      <c r="BA317" s="239">
        <v>0</v>
      </c>
      <c r="BB317" s="239">
        <v>0</v>
      </c>
      <c r="BC317" s="239">
        <v>0</v>
      </c>
      <c r="BD317" s="239">
        <v>0</v>
      </c>
      <c r="BE317" s="239">
        <v>0</v>
      </c>
      <c r="BF317" s="239">
        <v>-11103935</v>
      </c>
      <c r="BG317" s="239">
        <v>0</v>
      </c>
      <c r="BH317" s="239">
        <v>-11103935</v>
      </c>
      <c r="BI317" s="239">
        <v>-98459</v>
      </c>
      <c r="BJ317" s="239">
        <v>0</v>
      </c>
      <c r="BK317" s="239">
        <v>-98459</v>
      </c>
      <c r="BL317" s="239">
        <v>-9766</v>
      </c>
      <c r="BM317" s="239">
        <v>0</v>
      </c>
      <c r="BN317" s="239">
        <v>-9766</v>
      </c>
      <c r="BO317" s="239">
        <v>-4153675</v>
      </c>
      <c r="BP317" s="239">
        <v>0</v>
      </c>
      <c r="BQ317" s="239">
        <v>-4153675</v>
      </c>
      <c r="BR317" s="239">
        <v>33423</v>
      </c>
      <c r="BS317" s="239">
        <v>0</v>
      </c>
      <c r="BT317" s="239">
        <v>33423</v>
      </c>
      <c r="BU317" s="239">
        <v>-4228477</v>
      </c>
      <c r="BV317" s="239">
        <v>0</v>
      </c>
      <c r="BW317" s="239">
        <v>-4228477</v>
      </c>
      <c r="BX317" s="239">
        <v>-701298</v>
      </c>
      <c r="BY317" s="239">
        <v>0</v>
      </c>
      <c r="BZ317" s="239">
        <v>-701298</v>
      </c>
      <c r="CA317" s="239">
        <v>-68180</v>
      </c>
      <c r="CB317" s="239">
        <v>0</v>
      </c>
      <c r="CC317" s="239">
        <v>-68180</v>
      </c>
      <c r="CD317" s="239">
        <v>-477640</v>
      </c>
      <c r="CE317" s="239">
        <v>0</v>
      </c>
      <c r="CF317" s="239">
        <v>-477640</v>
      </c>
      <c r="CG317" s="239">
        <v>-138404</v>
      </c>
      <c r="CH317" s="239">
        <v>0</v>
      </c>
      <c r="CI317" s="239">
        <v>-138404</v>
      </c>
      <c r="CJ317" s="239">
        <v>-28538</v>
      </c>
      <c r="CK317" s="239">
        <v>0</v>
      </c>
      <c r="CL317" s="239">
        <v>-28538</v>
      </c>
      <c r="CM317" s="239">
        <v>-230</v>
      </c>
      <c r="CN317" s="239">
        <v>0</v>
      </c>
      <c r="CO317" s="239">
        <v>-230</v>
      </c>
      <c r="CP317" s="239">
        <v>0</v>
      </c>
      <c r="CQ317" s="239">
        <v>0</v>
      </c>
      <c r="CR317" s="239">
        <v>0</v>
      </c>
      <c r="CS317" s="239">
        <v>0</v>
      </c>
      <c r="CT317" s="239">
        <v>0</v>
      </c>
      <c r="CU317" s="239">
        <v>0</v>
      </c>
      <c r="CV317" s="239">
        <v>0</v>
      </c>
      <c r="CW317" s="239">
        <v>0</v>
      </c>
      <c r="CX317" s="239">
        <v>0</v>
      </c>
      <c r="CY317" s="239">
        <v>0</v>
      </c>
      <c r="CZ317" s="239">
        <v>0</v>
      </c>
      <c r="DA317" s="239">
        <v>0</v>
      </c>
      <c r="DB317" s="239">
        <v>0</v>
      </c>
      <c r="DC317" s="239">
        <v>0</v>
      </c>
      <c r="DD317" s="239">
        <v>0</v>
      </c>
      <c r="DE317" s="239">
        <v>0</v>
      </c>
      <c r="DF317" s="239">
        <v>0</v>
      </c>
      <c r="DG317" s="239">
        <v>0</v>
      </c>
      <c r="DH317" s="239">
        <v>0</v>
      </c>
      <c r="DI317" s="239">
        <v>0</v>
      </c>
      <c r="DJ317" s="239">
        <v>-1414290</v>
      </c>
      <c r="DK317" s="239">
        <v>0</v>
      </c>
      <c r="DL317" s="239">
        <v>-1414290</v>
      </c>
      <c r="DM317" s="239">
        <v>-182346</v>
      </c>
      <c r="DN317" s="239">
        <v>0</v>
      </c>
      <c r="DO317" s="239">
        <v>-182346</v>
      </c>
      <c r="DP317" s="239">
        <v>-5879</v>
      </c>
      <c r="DQ317" s="239">
        <v>0</v>
      </c>
      <c r="DR317" s="239">
        <v>-5879</v>
      </c>
      <c r="DS317" s="239">
        <v>-89726</v>
      </c>
      <c r="DT317" s="239">
        <v>0</v>
      </c>
      <c r="DU317" s="239">
        <v>-89726</v>
      </c>
      <c r="DV317" s="239">
        <v>-7482</v>
      </c>
      <c r="DW317" s="239">
        <v>0</v>
      </c>
      <c r="DX317" s="239">
        <v>-7482</v>
      </c>
      <c r="DY317" s="239">
        <v>0</v>
      </c>
      <c r="DZ317" s="239">
        <v>0</v>
      </c>
      <c r="EA317" s="239">
        <v>0</v>
      </c>
      <c r="EB317" s="239">
        <v>-32515</v>
      </c>
      <c r="EC317" s="239">
        <v>0</v>
      </c>
      <c r="ED317" s="239">
        <v>-32515</v>
      </c>
      <c r="EE317" s="239">
        <v>0</v>
      </c>
      <c r="EF317" s="239">
        <v>0</v>
      </c>
      <c r="EG317" s="239">
        <v>0</v>
      </c>
      <c r="EH317" s="239">
        <v>-1206</v>
      </c>
      <c r="EI317" s="239">
        <v>0</v>
      </c>
      <c r="EJ317" s="239">
        <v>-1206</v>
      </c>
      <c r="EK317" s="239">
        <v>0</v>
      </c>
      <c r="EL317" s="239">
        <v>0</v>
      </c>
      <c r="EM317" s="239">
        <v>0</v>
      </c>
      <c r="EN317" s="239">
        <v>0</v>
      </c>
      <c r="EO317" s="239">
        <v>0</v>
      </c>
      <c r="EP317" s="239">
        <v>0</v>
      </c>
      <c r="EQ317" s="239">
        <v>-319154</v>
      </c>
      <c r="ER317" s="239">
        <v>0</v>
      </c>
      <c r="ES317" s="239">
        <v>-319154</v>
      </c>
      <c r="ET317" s="239">
        <v>0</v>
      </c>
      <c r="EU317" s="239">
        <v>0</v>
      </c>
      <c r="EV317" s="239">
        <v>0</v>
      </c>
      <c r="EW317" s="239">
        <v>0</v>
      </c>
      <c r="EX317" s="239">
        <v>0</v>
      </c>
      <c r="EY317" s="239">
        <v>0</v>
      </c>
      <c r="EZ317" s="239">
        <v>0</v>
      </c>
      <c r="FA317" s="239">
        <v>0</v>
      </c>
      <c r="FB317" s="239">
        <v>0</v>
      </c>
      <c r="FC317" s="239">
        <v>98406582</v>
      </c>
      <c r="FD317" s="239">
        <v>0</v>
      </c>
      <c r="FE317" s="239">
        <v>98406582</v>
      </c>
      <c r="FF317" s="239">
        <v>381220</v>
      </c>
      <c r="FG317" s="239">
        <v>0</v>
      </c>
      <c r="FH317" s="239">
        <v>381220</v>
      </c>
      <c r="FI317" s="239">
        <v>-11103935</v>
      </c>
      <c r="FJ317" s="239">
        <v>0</v>
      </c>
      <c r="FK317" s="239">
        <v>-11103935</v>
      </c>
      <c r="FL317" s="239">
        <v>-4228477</v>
      </c>
      <c r="FM317" s="239">
        <v>0</v>
      </c>
      <c r="FN317" s="239">
        <v>-4228477</v>
      </c>
      <c r="FO317" s="239">
        <v>-1414290</v>
      </c>
      <c r="FP317" s="239">
        <v>0</v>
      </c>
      <c r="FQ317" s="239">
        <v>-1414290</v>
      </c>
      <c r="FR317" s="239">
        <v>-319154</v>
      </c>
      <c r="FS317" s="239">
        <v>0</v>
      </c>
      <c r="FT317" s="239">
        <v>-319154</v>
      </c>
      <c r="FU317" s="239">
        <v>0</v>
      </c>
      <c r="FV317" s="239">
        <v>0</v>
      </c>
      <c r="FW317" s="239">
        <v>0</v>
      </c>
      <c r="FX317" s="239">
        <v>-16684636</v>
      </c>
      <c r="FY317" s="239">
        <v>0</v>
      </c>
      <c r="FZ317" s="239">
        <v>-16684636</v>
      </c>
      <c r="GA317" s="239">
        <v>81721946</v>
      </c>
      <c r="GB317" s="239">
        <v>0</v>
      </c>
      <c r="GC317" s="239">
        <v>81721946</v>
      </c>
      <c r="GD317" s="214" t="s">
        <v>1192</v>
      </c>
    </row>
    <row r="318" spans="2:186" s="214" customFormat="1" x14ac:dyDescent="0.2">
      <c r="B318" s="609" t="s">
        <v>718</v>
      </c>
      <c r="C318" s="609" t="s">
        <v>717</v>
      </c>
      <c r="D318" s="239">
        <v>0</v>
      </c>
      <c r="E318" s="239">
        <v>0</v>
      </c>
      <c r="F318" s="239">
        <v>0</v>
      </c>
      <c r="G318" s="239">
        <v>127008</v>
      </c>
      <c r="H318" s="239">
        <v>0</v>
      </c>
      <c r="I318" s="239">
        <v>127008</v>
      </c>
      <c r="J318" s="239">
        <v>0</v>
      </c>
      <c r="K318" s="239">
        <v>0</v>
      </c>
      <c r="L318" s="239">
        <v>0</v>
      </c>
      <c r="M318" s="239">
        <v>84366</v>
      </c>
      <c r="N318" s="239">
        <v>0</v>
      </c>
      <c r="O318" s="239">
        <v>84366</v>
      </c>
      <c r="P318" s="239">
        <v>211374</v>
      </c>
      <c r="Q318" s="239">
        <v>0</v>
      </c>
      <c r="R318" s="239">
        <v>211374</v>
      </c>
      <c r="S318" s="239">
        <v>-10624918</v>
      </c>
      <c r="T318" s="239">
        <v>0</v>
      </c>
      <c r="U318" s="239">
        <v>-10624918</v>
      </c>
      <c r="V318" s="239">
        <v>-75049</v>
      </c>
      <c r="W318" s="239">
        <v>0</v>
      </c>
      <c r="X318" s="239">
        <v>-75049</v>
      </c>
      <c r="Y318" s="239">
        <v>-751967</v>
      </c>
      <c r="Z318" s="239">
        <v>0</v>
      </c>
      <c r="AA318" s="239">
        <v>-751967</v>
      </c>
      <c r="AB318" s="239">
        <v>-523834</v>
      </c>
      <c r="AC318" s="239">
        <v>0</v>
      </c>
      <c r="AD318" s="239">
        <v>-523834</v>
      </c>
      <c r="AE318" s="239">
        <v>2576</v>
      </c>
      <c r="AF318" s="239">
        <v>0</v>
      </c>
      <c r="AG318" s="239">
        <v>2576</v>
      </c>
      <c r="AH318" s="239">
        <v>4002798</v>
      </c>
      <c r="AI318" s="239">
        <v>0</v>
      </c>
      <c r="AJ318" s="239">
        <v>4002798</v>
      </c>
      <c r="AK318" s="239">
        <v>55822</v>
      </c>
      <c r="AL318" s="239">
        <v>0</v>
      </c>
      <c r="AM318" s="239">
        <v>55822</v>
      </c>
      <c r="AN318" s="239">
        <v>-11061815</v>
      </c>
      <c r="AO318" s="239">
        <v>0</v>
      </c>
      <c r="AP318" s="239">
        <v>-11061815</v>
      </c>
      <c r="AQ318" s="239">
        <v>34025</v>
      </c>
      <c r="AR318" s="239">
        <v>0</v>
      </c>
      <c r="AS318" s="239">
        <v>34025</v>
      </c>
      <c r="AT318" s="239">
        <v>-112855</v>
      </c>
      <c r="AU318" s="239">
        <v>0</v>
      </c>
      <c r="AV318" s="239">
        <v>-112855</v>
      </c>
      <c r="AW318" s="239">
        <v>0</v>
      </c>
      <c r="AX318" s="239">
        <v>0</v>
      </c>
      <c r="AY318" s="239">
        <v>0</v>
      </c>
      <c r="AZ318" s="239">
        <v>-251960</v>
      </c>
      <c r="BA318" s="239">
        <v>0</v>
      </c>
      <c r="BB318" s="239">
        <v>-251960</v>
      </c>
      <c r="BC318" s="239">
        <v>-10058</v>
      </c>
      <c r="BD318" s="239">
        <v>0</v>
      </c>
      <c r="BE318" s="239">
        <v>-10058</v>
      </c>
      <c r="BF318" s="239">
        <v>-18720928</v>
      </c>
      <c r="BG318" s="239">
        <v>0</v>
      </c>
      <c r="BH318" s="239">
        <v>-18720928</v>
      </c>
      <c r="BI318" s="239">
        <v>-26356</v>
      </c>
      <c r="BJ318" s="239">
        <v>0</v>
      </c>
      <c r="BK318" s="239">
        <v>-26356</v>
      </c>
      <c r="BL318" s="239">
        <v>-37403</v>
      </c>
      <c r="BM318" s="239">
        <v>0</v>
      </c>
      <c r="BN318" s="239">
        <v>-37403</v>
      </c>
      <c r="BO318" s="239">
        <v>-4633629</v>
      </c>
      <c r="BP318" s="239">
        <v>0</v>
      </c>
      <c r="BQ318" s="239">
        <v>-4633629</v>
      </c>
      <c r="BR318" s="239">
        <v>-303558</v>
      </c>
      <c r="BS318" s="239">
        <v>0</v>
      </c>
      <c r="BT318" s="239">
        <v>-303558</v>
      </c>
      <c r="BU318" s="239">
        <v>-5000946</v>
      </c>
      <c r="BV318" s="239">
        <v>0</v>
      </c>
      <c r="BW318" s="239">
        <v>-5000946</v>
      </c>
      <c r="BX318" s="239">
        <v>-250901</v>
      </c>
      <c r="BY318" s="239">
        <v>0</v>
      </c>
      <c r="BZ318" s="239">
        <v>-250901</v>
      </c>
      <c r="CA318" s="239">
        <v>-3669</v>
      </c>
      <c r="CB318" s="239">
        <v>0</v>
      </c>
      <c r="CC318" s="239">
        <v>-3669</v>
      </c>
      <c r="CD318" s="239">
        <v>-53585</v>
      </c>
      <c r="CE318" s="239">
        <v>0</v>
      </c>
      <c r="CF318" s="239">
        <v>-53585</v>
      </c>
      <c r="CG318" s="239">
        <v>3267</v>
      </c>
      <c r="CH318" s="239">
        <v>0</v>
      </c>
      <c r="CI318" s="239">
        <v>3267</v>
      </c>
      <c r="CJ318" s="239">
        <v>-1071</v>
      </c>
      <c r="CK318" s="239">
        <v>0</v>
      </c>
      <c r="CL318" s="239">
        <v>-1071</v>
      </c>
      <c r="CM318" s="239">
        <v>-121</v>
      </c>
      <c r="CN318" s="239">
        <v>0</v>
      </c>
      <c r="CO318" s="239">
        <v>-121</v>
      </c>
      <c r="CP318" s="239">
        <v>-264079</v>
      </c>
      <c r="CQ318" s="239">
        <v>0</v>
      </c>
      <c r="CR318" s="239">
        <v>-264079</v>
      </c>
      <c r="CS318" s="239">
        <v>-10058</v>
      </c>
      <c r="CT318" s="239">
        <v>0</v>
      </c>
      <c r="CU318" s="239">
        <v>-10058</v>
      </c>
      <c r="CV318" s="239">
        <v>0</v>
      </c>
      <c r="CW318" s="239">
        <v>0</v>
      </c>
      <c r="CX318" s="239">
        <v>0</v>
      </c>
      <c r="CY318" s="239">
        <v>0</v>
      </c>
      <c r="CZ318" s="239">
        <v>0</v>
      </c>
      <c r="DA318" s="239">
        <v>0</v>
      </c>
      <c r="DB318" s="239">
        <v>0</v>
      </c>
      <c r="DC318" s="239">
        <v>0</v>
      </c>
      <c r="DD318" s="239">
        <v>0</v>
      </c>
      <c r="DE318" s="239">
        <v>0</v>
      </c>
      <c r="DF318" s="239">
        <v>0</v>
      </c>
      <c r="DG318" s="239">
        <v>0</v>
      </c>
      <c r="DH318" s="239">
        <v>0</v>
      </c>
      <c r="DI318" s="239">
        <v>0</v>
      </c>
      <c r="DJ318" s="239">
        <v>-580217</v>
      </c>
      <c r="DK318" s="239">
        <v>0</v>
      </c>
      <c r="DL318" s="239">
        <v>-580217</v>
      </c>
      <c r="DM318" s="239">
        <v>-94493</v>
      </c>
      <c r="DN318" s="239">
        <v>0</v>
      </c>
      <c r="DO318" s="239">
        <v>-94493</v>
      </c>
      <c r="DP318" s="239">
        <v>2104</v>
      </c>
      <c r="DQ318" s="239">
        <v>0</v>
      </c>
      <c r="DR318" s="239">
        <v>2104</v>
      </c>
      <c r="DS318" s="239">
        <v>-68803</v>
      </c>
      <c r="DT318" s="239">
        <v>0</v>
      </c>
      <c r="DU318" s="239">
        <v>-68803</v>
      </c>
      <c r="DV318" s="239">
        <v>-64109</v>
      </c>
      <c r="DW318" s="239">
        <v>0</v>
      </c>
      <c r="DX318" s="239">
        <v>-64109</v>
      </c>
      <c r="DY318" s="239">
        <v>0</v>
      </c>
      <c r="DZ318" s="239">
        <v>0</v>
      </c>
      <c r="EA318" s="239">
        <v>0</v>
      </c>
      <c r="EB318" s="239">
        <v>-6482</v>
      </c>
      <c r="EC318" s="239">
        <v>0</v>
      </c>
      <c r="ED318" s="239">
        <v>-6482</v>
      </c>
      <c r="EE318" s="239">
        <v>0</v>
      </c>
      <c r="EF318" s="239">
        <v>0</v>
      </c>
      <c r="EG318" s="239">
        <v>0</v>
      </c>
      <c r="EH318" s="239">
        <v>1192</v>
      </c>
      <c r="EI318" s="239">
        <v>0</v>
      </c>
      <c r="EJ318" s="239">
        <v>1192</v>
      </c>
      <c r="EK318" s="239">
        <v>0</v>
      </c>
      <c r="EL318" s="239">
        <v>0</v>
      </c>
      <c r="EM318" s="239">
        <v>0</v>
      </c>
      <c r="EN318" s="239">
        <v>0</v>
      </c>
      <c r="EO318" s="239">
        <v>0</v>
      </c>
      <c r="EP318" s="239">
        <v>0</v>
      </c>
      <c r="EQ318" s="239">
        <v>-230591</v>
      </c>
      <c r="ER318" s="239">
        <v>0</v>
      </c>
      <c r="ES318" s="239">
        <v>-230591</v>
      </c>
      <c r="ET318" s="239">
        <v>-20797</v>
      </c>
      <c r="EU318" s="239">
        <v>0</v>
      </c>
      <c r="EV318" s="239">
        <v>-20797</v>
      </c>
      <c r="EW318" s="239">
        <v>1396</v>
      </c>
      <c r="EX318" s="239">
        <v>0</v>
      </c>
      <c r="EY318" s="239">
        <v>1396</v>
      </c>
      <c r="EZ318" s="239">
        <v>-19401</v>
      </c>
      <c r="FA318" s="239">
        <v>0</v>
      </c>
      <c r="FB318" s="239">
        <v>-19401</v>
      </c>
      <c r="FC318" s="239">
        <v>177943104</v>
      </c>
      <c r="FD318" s="239">
        <v>0</v>
      </c>
      <c r="FE318" s="239">
        <v>177943104</v>
      </c>
      <c r="FF318" s="239">
        <v>211374</v>
      </c>
      <c r="FG318" s="239">
        <v>0</v>
      </c>
      <c r="FH318" s="239">
        <v>211374</v>
      </c>
      <c r="FI318" s="239">
        <v>-18720928</v>
      </c>
      <c r="FJ318" s="239">
        <v>0</v>
      </c>
      <c r="FK318" s="239">
        <v>-18720928</v>
      </c>
      <c r="FL318" s="239">
        <v>-5000946</v>
      </c>
      <c r="FM318" s="239">
        <v>0</v>
      </c>
      <c r="FN318" s="239">
        <v>-5000946</v>
      </c>
      <c r="FO318" s="239">
        <v>-580217</v>
      </c>
      <c r="FP318" s="239">
        <v>0</v>
      </c>
      <c r="FQ318" s="239">
        <v>-580217</v>
      </c>
      <c r="FR318" s="239">
        <v>-230591</v>
      </c>
      <c r="FS318" s="239">
        <v>0</v>
      </c>
      <c r="FT318" s="239">
        <v>-230591</v>
      </c>
      <c r="FU318" s="239">
        <v>-19401</v>
      </c>
      <c r="FV318" s="239">
        <v>0</v>
      </c>
      <c r="FW318" s="239">
        <v>-19401</v>
      </c>
      <c r="FX318" s="239">
        <v>-24340709</v>
      </c>
      <c r="FY318" s="239">
        <v>0</v>
      </c>
      <c r="FZ318" s="239">
        <v>-24340709</v>
      </c>
      <c r="GA318" s="239">
        <v>153602395</v>
      </c>
      <c r="GB318" s="239">
        <v>0</v>
      </c>
      <c r="GC318" s="239">
        <v>153602395</v>
      </c>
      <c r="GD318" s="214" t="s">
        <v>747</v>
      </c>
    </row>
    <row r="319" spans="2:186" s="214" customFormat="1" x14ac:dyDescent="0.2">
      <c r="B319" s="609" t="s">
        <v>720</v>
      </c>
      <c r="C319" s="609" t="s">
        <v>719</v>
      </c>
      <c r="D319" s="239">
        <v>0</v>
      </c>
      <c r="E319" s="239">
        <v>0</v>
      </c>
      <c r="F319" s="239">
        <v>0</v>
      </c>
      <c r="G319" s="239">
        <v>0</v>
      </c>
      <c r="H319" s="239">
        <v>0</v>
      </c>
      <c r="I319" s="239">
        <v>0</v>
      </c>
      <c r="J319" s="239">
        <v>0</v>
      </c>
      <c r="K319" s="239">
        <v>0</v>
      </c>
      <c r="L319" s="239">
        <v>0</v>
      </c>
      <c r="M319" s="239">
        <v>166816</v>
      </c>
      <c r="N319" s="239">
        <v>0</v>
      </c>
      <c r="O319" s="239">
        <v>166816</v>
      </c>
      <c r="P319" s="239">
        <v>166816</v>
      </c>
      <c r="Q319" s="239">
        <v>0</v>
      </c>
      <c r="R319" s="239">
        <v>166816</v>
      </c>
      <c r="S319" s="239">
        <v>-2744170</v>
      </c>
      <c r="T319" s="239">
        <v>0</v>
      </c>
      <c r="U319" s="239">
        <v>-2744170</v>
      </c>
      <c r="V319" s="239">
        <v>0</v>
      </c>
      <c r="W319" s="239">
        <v>0</v>
      </c>
      <c r="X319" s="239">
        <v>0</v>
      </c>
      <c r="Y319" s="239">
        <v>-198851</v>
      </c>
      <c r="Z319" s="239">
        <v>0</v>
      </c>
      <c r="AA319" s="239">
        <v>-198851</v>
      </c>
      <c r="AB319" s="239">
        <v>-155182</v>
      </c>
      <c r="AC319" s="239">
        <v>0</v>
      </c>
      <c r="AD319" s="239">
        <v>-155182</v>
      </c>
      <c r="AE319" s="239">
        <v>0</v>
      </c>
      <c r="AF319" s="239">
        <v>0</v>
      </c>
      <c r="AG319" s="239">
        <v>0</v>
      </c>
      <c r="AH319" s="239">
        <v>1529446</v>
      </c>
      <c r="AI319" s="239">
        <v>0</v>
      </c>
      <c r="AJ319" s="239">
        <v>1529446</v>
      </c>
      <c r="AK319" s="239">
        <v>-4208</v>
      </c>
      <c r="AL319" s="239">
        <v>0</v>
      </c>
      <c r="AM319" s="239">
        <v>-4208</v>
      </c>
      <c r="AN319" s="239">
        <v>-3623328</v>
      </c>
      <c r="AO319" s="239">
        <v>0</v>
      </c>
      <c r="AP319" s="239">
        <v>-3623328</v>
      </c>
      <c r="AQ319" s="239">
        <v>21334</v>
      </c>
      <c r="AR319" s="239">
        <v>0</v>
      </c>
      <c r="AS319" s="239">
        <v>21334</v>
      </c>
      <c r="AT319" s="239">
        <v>-44917</v>
      </c>
      <c r="AU319" s="239">
        <v>0</v>
      </c>
      <c r="AV319" s="239">
        <v>-44917</v>
      </c>
      <c r="AW319" s="239">
        <v>0</v>
      </c>
      <c r="AX319" s="239">
        <v>0</v>
      </c>
      <c r="AY319" s="239">
        <v>0</v>
      </c>
      <c r="AZ319" s="239">
        <v>-11680</v>
      </c>
      <c r="BA319" s="239">
        <v>0</v>
      </c>
      <c r="BB319" s="239">
        <v>-11680</v>
      </c>
      <c r="BC319" s="239">
        <v>1448</v>
      </c>
      <c r="BD319" s="239">
        <v>0</v>
      </c>
      <c r="BE319" s="239">
        <v>1448</v>
      </c>
      <c r="BF319" s="239">
        <v>-5074926</v>
      </c>
      <c r="BG319" s="239">
        <v>0</v>
      </c>
      <c r="BH319" s="239">
        <v>-5074926</v>
      </c>
      <c r="BI319" s="239">
        <v>0</v>
      </c>
      <c r="BJ319" s="239">
        <v>0</v>
      </c>
      <c r="BK319" s="239">
        <v>0</v>
      </c>
      <c r="BL319" s="239">
        <v>-119173</v>
      </c>
      <c r="BM319" s="239">
        <v>0</v>
      </c>
      <c r="BN319" s="239">
        <v>-119173</v>
      </c>
      <c r="BO319" s="239">
        <v>-1393833</v>
      </c>
      <c r="BP319" s="239">
        <v>0</v>
      </c>
      <c r="BQ319" s="239">
        <v>-1393833</v>
      </c>
      <c r="BR319" s="239">
        <v>-78169</v>
      </c>
      <c r="BS319" s="239">
        <v>0</v>
      </c>
      <c r="BT319" s="239">
        <v>-78169</v>
      </c>
      <c r="BU319" s="239">
        <v>-1591175</v>
      </c>
      <c r="BV319" s="239">
        <v>0</v>
      </c>
      <c r="BW319" s="239">
        <v>-1591175</v>
      </c>
      <c r="BX319" s="239">
        <v>-66150</v>
      </c>
      <c r="BY319" s="239">
        <v>0</v>
      </c>
      <c r="BZ319" s="239">
        <v>-66150</v>
      </c>
      <c r="CA319" s="239">
        <v>-1233</v>
      </c>
      <c r="CB319" s="239">
        <v>0</v>
      </c>
      <c r="CC319" s="239">
        <v>-1233</v>
      </c>
      <c r="CD319" s="239">
        <v>-188052</v>
      </c>
      <c r="CE319" s="239">
        <v>0</v>
      </c>
      <c r="CF319" s="239">
        <v>-188052</v>
      </c>
      <c r="CG319" s="239">
        <v>0</v>
      </c>
      <c r="CH319" s="239">
        <v>0</v>
      </c>
      <c r="CI319" s="239">
        <v>0</v>
      </c>
      <c r="CJ319" s="239">
        <v>-4120</v>
      </c>
      <c r="CK319" s="239">
        <v>0</v>
      </c>
      <c r="CL319" s="239">
        <v>-4120</v>
      </c>
      <c r="CM319" s="239">
        <v>0</v>
      </c>
      <c r="CN319" s="239">
        <v>0</v>
      </c>
      <c r="CO319" s="239">
        <v>0</v>
      </c>
      <c r="CP319" s="239">
        <v>-6156</v>
      </c>
      <c r="CQ319" s="239">
        <v>0</v>
      </c>
      <c r="CR319" s="239">
        <v>-6156</v>
      </c>
      <c r="CS319" s="239">
        <v>790</v>
      </c>
      <c r="CT319" s="239">
        <v>0</v>
      </c>
      <c r="CU319" s="239">
        <v>790</v>
      </c>
      <c r="CV319" s="239">
        <v>-6840</v>
      </c>
      <c r="CW319" s="239">
        <v>0</v>
      </c>
      <c r="CX319" s="239">
        <v>-6840</v>
      </c>
      <c r="CY319" s="239">
        <v>658</v>
      </c>
      <c r="CZ319" s="239">
        <v>0</v>
      </c>
      <c r="DA319" s="239">
        <v>658</v>
      </c>
      <c r="DB319" s="239">
        <v>0</v>
      </c>
      <c r="DC319" s="239">
        <v>0</v>
      </c>
      <c r="DD319" s="239">
        <v>0</v>
      </c>
      <c r="DE319" s="239">
        <v>0</v>
      </c>
      <c r="DF319" s="239">
        <v>0</v>
      </c>
      <c r="DG319" s="239">
        <v>0</v>
      </c>
      <c r="DH319" s="239">
        <v>0</v>
      </c>
      <c r="DI319" s="239">
        <v>0</v>
      </c>
      <c r="DJ319" s="239">
        <v>-271103</v>
      </c>
      <c r="DK319" s="239">
        <v>0</v>
      </c>
      <c r="DL319" s="239">
        <v>-271103</v>
      </c>
      <c r="DM319" s="239">
        <v>0</v>
      </c>
      <c r="DN319" s="239">
        <v>0</v>
      </c>
      <c r="DO319" s="239">
        <v>0</v>
      </c>
      <c r="DP319" s="239">
        <v>0</v>
      </c>
      <c r="DQ319" s="239">
        <v>0</v>
      </c>
      <c r="DR319" s="239">
        <v>0</v>
      </c>
      <c r="DS319" s="239">
        <v>-8662</v>
      </c>
      <c r="DT319" s="239">
        <v>0</v>
      </c>
      <c r="DU319" s="239">
        <v>-8662</v>
      </c>
      <c r="DV319" s="239">
        <v>0</v>
      </c>
      <c r="DW319" s="239">
        <v>0</v>
      </c>
      <c r="DX319" s="239">
        <v>0</v>
      </c>
      <c r="DY319" s="239">
        <v>0</v>
      </c>
      <c r="DZ319" s="239">
        <v>0</v>
      </c>
      <c r="EA319" s="239">
        <v>0</v>
      </c>
      <c r="EB319" s="239">
        <v>144</v>
      </c>
      <c r="EC319" s="239">
        <v>0</v>
      </c>
      <c r="ED319" s="239">
        <v>144</v>
      </c>
      <c r="EE319" s="239">
        <v>0</v>
      </c>
      <c r="EF319" s="239">
        <v>0</v>
      </c>
      <c r="EG319" s="239">
        <v>0</v>
      </c>
      <c r="EH319" s="239">
        <v>0</v>
      </c>
      <c r="EI319" s="239">
        <v>0</v>
      </c>
      <c r="EJ319" s="239">
        <v>0</v>
      </c>
      <c r="EK319" s="239">
        <v>-5653</v>
      </c>
      <c r="EL319" s="239">
        <v>0</v>
      </c>
      <c r="EM319" s="239">
        <v>-5653</v>
      </c>
      <c r="EN319" s="239">
        <v>0</v>
      </c>
      <c r="EO319" s="239">
        <v>0</v>
      </c>
      <c r="EP319" s="239">
        <v>0</v>
      </c>
      <c r="EQ319" s="239">
        <v>-14171</v>
      </c>
      <c r="ER319" s="239">
        <v>0</v>
      </c>
      <c r="ES319" s="239">
        <v>-14171</v>
      </c>
      <c r="ET319" s="239">
        <v>0</v>
      </c>
      <c r="EU319" s="239">
        <v>0</v>
      </c>
      <c r="EV319" s="239">
        <v>0</v>
      </c>
      <c r="EW319" s="239">
        <v>0</v>
      </c>
      <c r="EX319" s="239">
        <v>0</v>
      </c>
      <c r="EY319" s="239">
        <v>0</v>
      </c>
      <c r="EZ319" s="239">
        <v>0</v>
      </c>
      <c r="FA319" s="239">
        <v>0</v>
      </c>
      <c r="FB319" s="239">
        <v>0</v>
      </c>
      <c r="FC319" s="239">
        <v>62332902</v>
      </c>
      <c r="FD319" s="239">
        <v>0</v>
      </c>
      <c r="FE319" s="239">
        <v>62332902</v>
      </c>
      <c r="FF319" s="239">
        <v>166816</v>
      </c>
      <c r="FG319" s="239">
        <v>0</v>
      </c>
      <c r="FH319" s="239">
        <v>166816</v>
      </c>
      <c r="FI319" s="239">
        <v>-5074926</v>
      </c>
      <c r="FJ319" s="239">
        <v>0</v>
      </c>
      <c r="FK319" s="239">
        <v>-5074926</v>
      </c>
      <c r="FL319" s="239">
        <v>-1591175</v>
      </c>
      <c r="FM319" s="239">
        <v>0</v>
      </c>
      <c r="FN319" s="239">
        <v>-1591175</v>
      </c>
      <c r="FO319" s="239">
        <v>-271103</v>
      </c>
      <c r="FP319" s="239">
        <v>0</v>
      </c>
      <c r="FQ319" s="239">
        <v>-271103</v>
      </c>
      <c r="FR319" s="239">
        <v>-14171</v>
      </c>
      <c r="FS319" s="239">
        <v>0</v>
      </c>
      <c r="FT319" s="239">
        <v>-14171</v>
      </c>
      <c r="FU319" s="239">
        <v>0</v>
      </c>
      <c r="FV319" s="239">
        <v>0</v>
      </c>
      <c r="FW319" s="239">
        <v>0</v>
      </c>
      <c r="FX319" s="239">
        <v>-6784559</v>
      </c>
      <c r="FY319" s="239">
        <v>0</v>
      </c>
      <c r="FZ319" s="239">
        <v>-6784559</v>
      </c>
      <c r="GA319" s="239">
        <v>55548343</v>
      </c>
      <c r="GB319" s="239">
        <v>0</v>
      </c>
      <c r="GC319" s="239">
        <v>55548343</v>
      </c>
      <c r="GD319" s="214" t="s">
        <v>1190</v>
      </c>
    </row>
    <row r="320" spans="2:186" s="214" customFormat="1" x14ac:dyDescent="0.2">
      <c r="B320" s="609" t="s">
        <v>722</v>
      </c>
      <c r="C320" s="609" t="s">
        <v>721</v>
      </c>
      <c r="D320" s="239">
        <v>0</v>
      </c>
      <c r="E320" s="239">
        <v>0</v>
      </c>
      <c r="F320" s="239">
        <v>0</v>
      </c>
      <c r="G320" s="239">
        <v>-7322</v>
      </c>
      <c r="H320" s="239">
        <v>0</v>
      </c>
      <c r="I320" s="239">
        <v>-7322</v>
      </c>
      <c r="J320" s="239">
        <v>0</v>
      </c>
      <c r="K320" s="239">
        <v>0</v>
      </c>
      <c r="L320" s="239">
        <v>0</v>
      </c>
      <c r="M320" s="239">
        <v>44264</v>
      </c>
      <c r="N320" s="239">
        <v>0</v>
      </c>
      <c r="O320" s="239">
        <v>44264</v>
      </c>
      <c r="P320" s="239">
        <v>36942</v>
      </c>
      <c r="Q320" s="239">
        <v>0</v>
      </c>
      <c r="R320" s="239">
        <v>36942</v>
      </c>
      <c r="S320" s="239">
        <v>-1967722</v>
      </c>
      <c r="T320" s="239">
        <v>0</v>
      </c>
      <c r="U320" s="239">
        <v>-1967722</v>
      </c>
      <c r="V320" s="239">
        <v>0</v>
      </c>
      <c r="W320" s="239">
        <v>0</v>
      </c>
      <c r="X320" s="239">
        <v>0</v>
      </c>
      <c r="Y320" s="239">
        <v>-423667</v>
      </c>
      <c r="Z320" s="239">
        <v>0</v>
      </c>
      <c r="AA320" s="239">
        <v>-423667</v>
      </c>
      <c r="AB320" s="239">
        <v>0</v>
      </c>
      <c r="AC320" s="239">
        <v>0</v>
      </c>
      <c r="AD320" s="239">
        <v>0</v>
      </c>
      <c r="AE320" s="239">
        <v>0</v>
      </c>
      <c r="AF320" s="239">
        <v>0</v>
      </c>
      <c r="AG320" s="239">
        <v>0</v>
      </c>
      <c r="AH320" s="239">
        <v>2252145</v>
      </c>
      <c r="AI320" s="239">
        <v>0</v>
      </c>
      <c r="AJ320" s="239">
        <v>2252145</v>
      </c>
      <c r="AK320" s="239">
        <v>5108</v>
      </c>
      <c r="AL320" s="239">
        <v>0</v>
      </c>
      <c r="AM320" s="239">
        <v>5108</v>
      </c>
      <c r="AN320" s="239">
        <v>-6402224</v>
      </c>
      <c r="AO320" s="239">
        <v>0</v>
      </c>
      <c r="AP320" s="239">
        <v>-6402224</v>
      </c>
      <c r="AQ320" s="239">
        <v>-133557</v>
      </c>
      <c r="AR320" s="239">
        <v>0</v>
      </c>
      <c r="AS320" s="239">
        <v>-133557</v>
      </c>
      <c r="AT320" s="239">
        <v>0</v>
      </c>
      <c r="AU320" s="239">
        <v>0</v>
      </c>
      <c r="AV320" s="239">
        <v>0</v>
      </c>
      <c r="AW320" s="239">
        <v>0</v>
      </c>
      <c r="AX320" s="239">
        <v>0</v>
      </c>
      <c r="AY320" s="239">
        <v>0</v>
      </c>
      <c r="AZ320" s="239">
        <v>-6188</v>
      </c>
      <c r="BA320" s="239">
        <v>0</v>
      </c>
      <c r="BB320" s="239">
        <v>-6188</v>
      </c>
      <c r="BC320" s="239">
        <v>0</v>
      </c>
      <c r="BD320" s="239">
        <v>0</v>
      </c>
      <c r="BE320" s="239">
        <v>0</v>
      </c>
      <c r="BF320" s="239">
        <v>-6676105</v>
      </c>
      <c r="BG320" s="239">
        <v>0</v>
      </c>
      <c r="BH320" s="239">
        <v>-6676105</v>
      </c>
      <c r="BI320" s="239">
        <v>-64274</v>
      </c>
      <c r="BJ320" s="239">
        <v>0</v>
      </c>
      <c r="BK320" s="239">
        <v>-64274</v>
      </c>
      <c r="BL320" s="239">
        <v>-8601</v>
      </c>
      <c r="BM320" s="239">
        <v>0</v>
      </c>
      <c r="BN320" s="239">
        <v>-8601</v>
      </c>
      <c r="BO320" s="239">
        <v>-4136756</v>
      </c>
      <c r="BP320" s="239">
        <v>0</v>
      </c>
      <c r="BQ320" s="239">
        <v>-4136756</v>
      </c>
      <c r="BR320" s="239">
        <v>58687</v>
      </c>
      <c r="BS320" s="239">
        <v>0</v>
      </c>
      <c r="BT320" s="239">
        <v>58687</v>
      </c>
      <c r="BU320" s="239">
        <v>-4150944</v>
      </c>
      <c r="BV320" s="239">
        <v>0</v>
      </c>
      <c r="BW320" s="239">
        <v>-4150944</v>
      </c>
      <c r="BX320" s="239">
        <v>-386003</v>
      </c>
      <c r="BY320" s="239">
        <v>0</v>
      </c>
      <c r="BZ320" s="239">
        <v>-386003</v>
      </c>
      <c r="CA320" s="239">
        <v>-861</v>
      </c>
      <c r="CB320" s="239">
        <v>0</v>
      </c>
      <c r="CC320" s="239">
        <v>-861</v>
      </c>
      <c r="CD320" s="239">
        <v>-132055</v>
      </c>
      <c r="CE320" s="239">
        <v>0</v>
      </c>
      <c r="CF320" s="239">
        <v>-132055</v>
      </c>
      <c r="CG320" s="239">
        <v>8347</v>
      </c>
      <c r="CH320" s="239">
        <v>0</v>
      </c>
      <c r="CI320" s="239">
        <v>8347</v>
      </c>
      <c r="CJ320" s="239">
        <v>0</v>
      </c>
      <c r="CK320" s="239">
        <v>0</v>
      </c>
      <c r="CL320" s="239">
        <v>0</v>
      </c>
      <c r="CM320" s="239">
        <v>0</v>
      </c>
      <c r="CN320" s="239">
        <v>0</v>
      </c>
      <c r="CO320" s="239">
        <v>0</v>
      </c>
      <c r="CP320" s="239">
        <v>0</v>
      </c>
      <c r="CQ320" s="239">
        <v>0</v>
      </c>
      <c r="CR320" s="239">
        <v>0</v>
      </c>
      <c r="CS320" s="239">
        <v>0</v>
      </c>
      <c r="CT320" s="239">
        <v>0</v>
      </c>
      <c r="CU320" s="239">
        <v>0</v>
      </c>
      <c r="CV320" s="239">
        <v>-32126</v>
      </c>
      <c r="CW320" s="239">
        <v>0</v>
      </c>
      <c r="CX320" s="239">
        <v>-32126</v>
      </c>
      <c r="CY320" s="239">
        <v>0</v>
      </c>
      <c r="CZ320" s="239">
        <v>0</v>
      </c>
      <c r="DA320" s="239">
        <v>0</v>
      </c>
      <c r="DB320" s="239">
        <v>-93164</v>
      </c>
      <c r="DC320" s="239">
        <v>0</v>
      </c>
      <c r="DD320" s="239">
        <v>-93164</v>
      </c>
      <c r="DE320" s="239">
        <v>-4990</v>
      </c>
      <c r="DF320" s="239">
        <v>0</v>
      </c>
      <c r="DG320" s="239">
        <v>-4990</v>
      </c>
      <c r="DH320" s="239">
        <v>0</v>
      </c>
      <c r="DI320" s="239">
        <v>0</v>
      </c>
      <c r="DJ320" s="239">
        <v>-640852</v>
      </c>
      <c r="DK320" s="239">
        <v>0</v>
      </c>
      <c r="DL320" s="239">
        <v>-640852</v>
      </c>
      <c r="DM320" s="239">
        <v>0</v>
      </c>
      <c r="DN320" s="239">
        <v>0</v>
      </c>
      <c r="DO320" s="239">
        <v>0</v>
      </c>
      <c r="DP320" s="239">
        <v>-16972</v>
      </c>
      <c r="DQ320" s="239">
        <v>0</v>
      </c>
      <c r="DR320" s="239">
        <v>-16972</v>
      </c>
      <c r="DS320" s="239">
        <v>-152198</v>
      </c>
      <c r="DT320" s="239">
        <v>0</v>
      </c>
      <c r="DU320" s="239">
        <v>-152198</v>
      </c>
      <c r="DV320" s="239">
        <v>-8151</v>
      </c>
      <c r="DW320" s="239">
        <v>0</v>
      </c>
      <c r="DX320" s="239">
        <v>-8151</v>
      </c>
      <c r="DY320" s="239">
        <v>0</v>
      </c>
      <c r="DZ320" s="239">
        <v>0</v>
      </c>
      <c r="EA320" s="239">
        <v>0</v>
      </c>
      <c r="EB320" s="239">
        <v>4084</v>
      </c>
      <c r="EC320" s="239">
        <v>0</v>
      </c>
      <c r="ED320" s="239">
        <v>4084</v>
      </c>
      <c r="EE320" s="239">
        <v>0</v>
      </c>
      <c r="EF320" s="239">
        <v>0</v>
      </c>
      <c r="EG320" s="239">
        <v>0</v>
      </c>
      <c r="EH320" s="239">
        <v>0</v>
      </c>
      <c r="EI320" s="239">
        <v>0</v>
      </c>
      <c r="EJ320" s="239">
        <v>0</v>
      </c>
      <c r="EK320" s="239">
        <v>-16870</v>
      </c>
      <c r="EL320" s="239">
        <v>0</v>
      </c>
      <c r="EM320" s="239">
        <v>-16870</v>
      </c>
      <c r="EN320" s="239">
        <v>480</v>
      </c>
      <c r="EO320" s="239">
        <v>0</v>
      </c>
      <c r="EP320" s="239">
        <v>480</v>
      </c>
      <c r="EQ320" s="239">
        <v>-189627</v>
      </c>
      <c r="ER320" s="239">
        <v>0</v>
      </c>
      <c r="ES320" s="239">
        <v>-189627</v>
      </c>
      <c r="ET320" s="239">
        <v>-144329</v>
      </c>
      <c r="EU320" s="239">
        <v>0</v>
      </c>
      <c r="EV320" s="239">
        <v>-144329</v>
      </c>
      <c r="EW320" s="239">
        <v>-14884</v>
      </c>
      <c r="EX320" s="239">
        <v>0</v>
      </c>
      <c r="EY320" s="239">
        <v>-14884</v>
      </c>
      <c r="EZ320" s="239">
        <v>-159213</v>
      </c>
      <c r="FA320" s="239">
        <v>0</v>
      </c>
      <c r="FB320" s="239">
        <v>-159213</v>
      </c>
      <c r="FC320" s="239">
        <v>93173657</v>
      </c>
      <c r="FD320" s="239">
        <v>0</v>
      </c>
      <c r="FE320" s="239">
        <v>93173657</v>
      </c>
      <c r="FF320" s="239">
        <v>36942</v>
      </c>
      <c r="FG320" s="239">
        <v>0</v>
      </c>
      <c r="FH320" s="239">
        <v>36942</v>
      </c>
      <c r="FI320" s="239">
        <v>-6676105</v>
      </c>
      <c r="FJ320" s="239">
        <v>0</v>
      </c>
      <c r="FK320" s="239">
        <v>-6676105</v>
      </c>
      <c r="FL320" s="239">
        <v>-4150944</v>
      </c>
      <c r="FM320" s="239">
        <v>0</v>
      </c>
      <c r="FN320" s="239">
        <v>-4150944</v>
      </c>
      <c r="FO320" s="239">
        <v>-640852</v>
      </c>
      <c r="FP320" s="239">
        <v>0</v>
      </c>
      <c r="FQ320" s="239">
        <v>-640852</v>
      </c>
      <c r="FR320" s="239">
        <v>-189627</v>
      </c>
      <c r="FS320" s="239">
        <v>0</v>
      </c>
      <c r="FT320" s="239">
        <v>-189627</v>
      </c>
      <c r="FU320" s="239">
        <v>-159213</v>
      </c>
      <c r="FV320" s="239">
        <v>0</v>
      </c>
      <c r="FW320" s="239">
        <v>-159213</v>
      </c>
      <c r="FX320" s="239">
        <v>-11779799</v>
      </c>
      <c r="FY320" s="239">
        <v>0</v>
      </c>
      <c r="FZ320" s="239">
        <v>-11779799</v>
      </c>
      <c r="GA320" s="239">
        <v>81393858</v>
      </c>
      <c r="GB320" s="239">
        <v>0</v>
      </c>
      <c r="GC320" s="239">
        <v>81393858</v>
      </c>
      <c r="GD320" s="214" t="s">
        <v>747</v>
      </c>
    </row>
    <row r="321" spans="2:186" s="214" customFormat="1" x14ac:dyDescent="0.2">
      <c r="B321" s="609" t="s">
        <v>724</v>
      </c>
      <c r="C321" s="609" t="s">
        <v>723</v>
      </c>
      <c r="D321" s="239">
        <v>0</v>
      </c>
      <c r="E321" s="239">
        <v>0</v>
      </c>
      <c r="F321" s="239">
        <v>0</v>
      </c>
      <c r="G321" s="239">
        <v>19999</v>
      </c>
      <c r="H321" s="239">
        <v>0</v>
      </c>
      <c r="I321" s="239">
        <v>19999</v>
      </c>
      <c r="J321" s="239">
        <v>0</v>
      </c>
      <c r="K321" s="239">
        <v>0</v>
      </c>
      <c r="L321" s="239">
        <v>0</v>
      </c>
      <c r="M321" s="239">
        <v>-7155</v>
      </c>
      <c r="N321" s="239">
        <v>0</v>
      </c>
      <c r="O321" s="239">
        <v>-7155</v>
      </c>
      <c r="P321" s="239">
        <v>12844</v>
      </c>
      <c r="Q321" s="239">
        <v>0</v>
      </c>
      <c r="R321" s="239">
        <v>12844</v>
      </c>
      <c r="S321" s="239">
        <v>-6634619</v>
      </c>
      <c r="T321" s="239">
        <v>-20455</v>
      </c>
      <c r="U321" s="239">
        <v>-6655074</v>
      </c>
      <c r="V321" s="239">
        <v>-23381</v>
      </c>
      <c r="W321" s="239">
        <v>0</v>
      </c>
      <c r="X321" s="239">
        <v>-23381</v>
      </c>
      <c r="Y321" s="239">
        <v>-185631</v>
      </c>
      <c r="Z321" s="239">
        <v>-170</v>
      </c>
      <c r="AA321" s="239">
        <v>-185801</v>
      </c>
      <c r="AB321" s="239">
        <v>-117218</v>
      </c>
      <c r="AC321" s="239">
        <v>0</v>
      </c>
      <c r="AD321" s="239">
        <v>-117218</v>
      </c>
      <c r="AE321" s="239">
        <v>-1057</v>
      </c>
      <c r="AF321" s="239">
        <v>0</v>
      </c>
      <c r="AG321" s="239">
        <v>-1057</v>
      </c>
      <c r="AH321" s="239">
        <v>1963205</v>
      </c>
      <c r="AI321" s="239">
        <v>32171</v>
      </c>
      <c r="AJ321" s="239">
        <v>1995376</v>
      </c>
      <c r="AK321" s="239">
        <v>108372</v>
      </c>
      <c r="AL321" s="239">
        <v>1917</v>
      </c>
      <c r="AM321" s="239">
        <v>110289</v>
      </c>
      <c r="AN321" s="239">
        <v>-4968138</v>
      </c>
      <c r="AO321" s="239">
        <v>-87472</v>
      </c>
      <c r="AP321" s="239">
        <v>-5055610</v>
      </c>
      <c r="AQ321" s="239">
        <v>-148421</v>
      </c>
      <c r="AR321" s="239">
        <v>1716</v>
      </c>
      <c r="AS321" s="239">
        <v>-146705</v>
      </c>
      <c r="AT321" s="239">
        <v>-29721</v>
      </c>
      <c r="AU321" s="239">
        <v>0</v>
      </c>
      <c r="AV321" s="239">
        <v>-29721</v>
      </c>
      <c r="AW321" s="239">
        <v>0</v>
      </c>
      <c r="AX321" s="239">
        <v>0</v>
      </c>
      <c r="AY321" s="239">
        <v>0</v>
      </c>
      <c r="AZ321" s="239">
        <v>0</v>
      </c>
      <c r="BA321" s="239">
        <v>0</v>
      </c>
      <c r="BB321" s="239">
        <v>0</v>
      </c>
      <c r="BC321" s="239">
        <v>0</v>
      </c>
      <c r="BD321" s="239">
        <v>0</v>
      </c>
      <c r="BE321" s="239">
        <v>0</v>
      </c>
      <c r="BF321" s="239">
        <v>-9894953</v>
      </c>
      <c r="BG321" s="239">
        <v>-72293</v>
      </c>
      <c r="BH321" s="239">
        <v>-9967246</v>
      </c>
      <c r="BI321" s="239">
        <v>-81434</v>
      </c>
      <c r="BJ321" s="239">
        <v>0</v>
      </c>
      <c r="BK321" s="239">
        <v>-81434</v>
      </c>
      <c r="BL321" s="239">
        <v>-68513</v>
      </c>
      <c r="BM321" s="239">
        <v>0</v>
      </c>
      <c r="BN321" s="239">
        <v>-68513</v>
      </c>
      <c r="BO321" s="239">
        <v>-3499646</v>
      </c>
      <c r="BP321" s="239">
        <v>-210710</v>
      </c>
      <c r="BQ321" s="239">
        <v>-3710356</v>
      </c>
      <c r="BR321" s="239">
        <v>46243</v>
      </c>
      <c r="BS321" s="239">
        <v>-3269</v>
      </c>
      <c r="BT321" s="239">
        <v>42974</v>
      </c>
      <c r="BU321" s="239">
        <v>-3603350</v>
      </c>
      <c r="BV321" s="239">
        <v>-213979</v>
      </c>
      <c r="BW321" s="239">
        <v>-3817329</v>
      </c>
      <c r="BX321" s="239">
        <v>-578666</v>
      </c>
      <c r="BY321" s="239">
        <v>0</v>
      </c>
      <c r="BZ321" s="239">
        <v>-578666</v>
      </c>
      <c r="CA321" s="239">
        <v>-4874</v>
      </c>
      <c r="CB321" s="239">
        <v>0</v>
      </c>
      <c r="CC321" s="239">
        <v>-4874</v>
      </c>
      <c r="CD321" s="239">
        <v>-99647</v>
      </c>
      <c r="CE321" s="239">
        <v>0</v>
      </c>
      <c r="CF321" s="239">
        <v>-99647</v>
      </c>
      <c r="CG321" s="239">
        <v>101</v>
      </c>
      <c r="CH321" s="239">
        <v>0</v>
      </c>
      <c r="CI321" s="239">
        <v>101</v>
      </c>
      <c r="CJ321" s="239">
        <v>-7430</v>
      </c>
      <c r="CK321" s="239">
        <v>0</v>
      </c>
      <c r="CL321" s="239">
        <v>-7430</v>
      </c>
      <c r="CM321" s="239">
        <v>0</v>
      </c>
      <c r="CN321" s="239">
        <v>0</v>
      </c>
      <c r="CO321" s="239">
        <v>0</v>
      </c>
      <c r="CP321" s="239">
        <v>0</v>
      </c>
      <c r="CQ321" s="239">
        <v>0</v>
      </c>
      <c r="CR321" s="239">
        <v>0</v>
      </c>
      <c r="CS321" s="239">
        <v>0</v>
      </c>
      <c r="CT321" s="239">
        <v>0</v>
      </c>
      <c r="CU321" s="239">
        <v>0</v>
      </c>
      <c r="CV321" s="239">
        <v>0</v>
      </c>
      <c r="CW321" s="239">
        <v>0</v>
      </c>
      <c r="CX321" s="239">
        <v>0</v>
      </c>
      <c r="CY321" s="239">
        <v>0</v>
      </c>
      <c r="CZ321" s="239">
        <v>0</v>
      </c>
      <c r="DA321" s="239">
        <v>0</v>
      </c>
      <c r="DB321" s="239">
        <v>0</v>
      </c>
      <c r="DC321" s="239">
        <v>-78015</v>
      </c>
      <c r="DD321" s="239">
        <v>-78015</v>
      </c>
      <c r="DE321" s="239">
        <v>0</v>
      </c>
      <c r="DF321" s="239">
        <v>-56147</v>
      </c>
      <c r="DG321" s="239">
        <v>-56147</v>
      </c>
      <c r="DH321" s="239">
        <v>-134162</v>
      </c>
      <c r="DI321" s="239">
        <v>0</v>
      </c>
      <c r="DJ321" s="239">
        <v>-690516</v>
      </c>
      <c r="DK321" s="239">
        <v>-134162</v>
      </c>
      <c r="DL321" s="239">
        <v>-824678</v>
      </c>
      <c r="DM321" s="239">
        <v>0</v>
      </c>
      <c r="DN321" s="239">
        <v>0</v>
      </c>
      <c r="DO321" s="239">
        <v>0</v>
      </c>
      <c r="DP321" s="239">
        <v>0</v>
      </c>
      <c r="DQ321" s="239">
        <v>0</v>
      </c>
      <c r="DR321" s="239">
        <v>0</v>
      </c>
      <c r="DS321" s="239">
        <v>-31346</v>
      </c>
      <c r="DT321" s="239">
        <v>0</v>
      </c>
      <c r="DU321" s="239">
        <v>-31346</v>
      </c>
      <c r="DV321" s="239">
        <v>-2597</v>
      </c>
      <c r="DW321" s="239">
        <v>0</v>
      </c>
      <c r="DX321" s="239">
        <v>-2597</v>
      </c>
      <c r="DY321" s="239">
        <v>0</v>
      </c>
      <c r="DZ321" s="239">
        <v>0</v>
      </c>
      <c r="EA321" s="239">
        <v>0</v>
      </c>
      <c r="EB321" s="239">
        <v>11271</v>
      </c>
      <c r="EC321" s="239">
        <v>0</v>
      </c>
      <c r="ED321" s="239">
        <v>11271</v>
      </c>
      <c r="EE321" s="239">
        <v>0</v>
      </c>
      <c r="EF321" s="239">
        <v>0</v>
      </c>
      <c r="EG321" s="239">
        <v>0</v>
      </c>
      <c r="EH321" s="239">
        <v>5400</v>
      </c>
      <c r="EI321" s="239">
        <v>0</v>
      </c>
      <c r="EJ321" s="239">
        <v>5400</v>
      </c>
      <c r="EK321" s="239">
        <v>-4506</v>
      </c>
      <c r="EL321" s="239">
        <v>0</v>
      </c>
      <c r="EM321" s="239">
        <v>-4506</v>
      </c>
      <c r="EN321" s="239">
        <v>525</v>
      </c>
      <c r="EO321" s="239">
        <v>0</v>
      </c>
      <c r="EP321" s="239">
        <v>525</v>
      </c>
      <c r="EQ321" s="239">
        <v>-21253</v>
      </c>
      <c r="ER321" s="239">
        <v>0</v>
      </c>
      <c r="ES321" s="239">
        <v>-21253</v>
      </c>
      <c r="ET321" s="239">
        <v>-5000</v>
      </c>
      <c r="EU321" s="239">
        <v>0</v>
      </c>
      <c r="EV321" s="239">
        <v>-5000</v>
      </c>
      <c r="EW321" s="239">
        <v>0</v>
      </c>
      <c r="EX321" s="239">
        <v>0</v>
      </c>
      <c r="EY321" s="239">
        <v>0</v>
      </c>
      <c r="EZ321" s="239">
        <v>-5000</v>
      </c>
      <c r="FA321" s="239">
        <v>0</v>
      </c>
      <c r="FB321" s="239">
        <v>-5000</v>
      </c>
      <c r="FC321" s="239">
        <v>93682714</v>
      </c>
      <c r="FD321" s="239">
        <v>1475262</v>
      </c>
      <c r="FE321" s="239">
        <v>95157976</v>
      </c>
      <c r="FF321" s="239">
        <v>12844</v>
      </c>
      <c r="FG321" s="239">
        <v>0</v>
      </c>
      <c r="FH321" s="239">
        <v>12844</v>
      </c>
      <c r="FI321" s="239">
        <v>-9894953</v>
      </c>
      <c r="FJ321" s="239">
        <v>-72293</v>
      </c>
      <c r="FK321" s="239">
        <v>-9967246</v>
      </c>
      <c r="FL321" s="239">
        <v>-3603350</v>
      </c>
      <c r="FM321" s="239">
        <v>-213979</v>
      </c>
      <c r="FN321" s="239">
        <v>-3817329</v>
      </c>
      <c r="FO321" s="239">
        <v>-690516</v>
      </c>
      <c r="FP321" s="239">
        <v>-134162</v>
      </c>
      <c r="FQ321" s="239">
        <v>-824678</v>
      </c>
      <c r="FR321" s="239">
        <v>-21253</v>
      </c>
      <c r="FS321" s="239">
        <v>0</v>
      </c>
      <c r="FT321" s="239">
        <v>-21253</v>
      </c>
      <c r="FU321" s="239">
        <v>-5000</v>
      </c>
      <c r="FV321" s="239">
        <v>0</v>
      </c>
      <c r="FW321" s="239">
        <v>-5000</v>
      </c>
      <c r="FX321" s="239">
        <v>-14202228</v>
      </c>
      <c r="FY321" s="239">
        <v>-420434</v>
      </c>
      <c r="FZ321" s="239">
        <v>-14622662</v>
      </c>
      <c r="GA321" s="239">
        <v>79480486</v>
      </c>
      <c r="GB321" s="239">
        <v>1054828</v>
      </c>
      <c r="GC321" s="239">
        <v>80535314</v>
      </c>
      <c r="GD321" s="214" t="s">
        <v>1192</v>
      </c>
    </row>
    <row r="322" spans="2:186" s="214" customFormat="1" x14ac:dyDescent="0.2">
      <c r="B322" s="609" t="s">
        <v>726</v>
      </c>
      <c r="C322" s="609" t="s">
        <v>725</v>
      </c>
      <c r="D322" s="239">
        <v>0</v>
      </c>
      <c r="E322" s="239">
        <v>0</v>
      </c>
      <c r="F322" s="239">
        <v>0</v>
      </c>
      <c r="G322" s="239">
        <v>31200</v>
      </c>
      <c r="H322" s="239">
        <v>0</v>
      </c>
      <c r="I322" s="239">
        <v>31200</v>
      </c>
      <c r="J322" s="239">
        <v>0</v>
      </c>
      <c r="K322" s="239">
        <v>0</v>
      </c>
      <c r="L322" s="239">
        <v>0</v>
      </c>
      <c r="M322" s="239">
        <v>-33320</v>
      </c>
      <c r="N322" s="239">
        <v>0</v>
      </c>
      <c r="O322" s="239">
        <v>-33320</v>
      </c>
      <c r="P322" s="239">
        <v>-2120</v>
      </c>
      <c r="Q322" s="239">
        <v>0</v>
      </c>
      <c r="R322" s="239">
        <v>-2120</v>
      </c>
      <c r="S322" s="239">
        <v>-1138160</v>
      </c>
      <c r="T322" s="239">
        <v>0</v>
      </c>
      <c r="U322" s="239">
        <v>-1138160</v>
      </c>
      <c r="V322" s="239">
        <v>0</v>
      </c>
      <c r="W322" s="239">
        <v>0</v>
      </c>
      <c r="X322" s="239">
        <v>0</v>
      </c>
      <c r="Y322" s="239">
        <v>-82115</v>
      </c>
      <c r="Z322" s="239">
        <v>0</v>
      </c>
      <c r="AA322" s="239">
        <v>-82115</v>
      </c>
      <c r="AB322" s="239">
        <v>0</v>
      </c>
      <c r="AC322" s="239">
        <v>0</v>
      </c>
      <c r="AD322" s="239">
        <v>0</v>
      </c>
      <c r="AE322" s="239">
        <v>0</v>
      </c>
      <c r="AF322" s="239">
        <v>0</v>
      </c>
      <c r="AG322" s="239">
        <v>0</v>
      </c>
      <c r="AH322" s="239">
        <v>1323383</v>
      </c>
      <c r="AI322" s="239">
        <v>0</v>
      </c>
      <c r="AJ322" s="239">
        <v>1323383</v>
      </c>
      <c r="AK322" s="239">
        <v>-20588</v>
      </c>
      <c r="AL322" s="239">
        <v>0</v>
      </c>
      <c r="AM322" s="239">
        <v>-20588</v>
      </c>
      <c r="AN322" s="239">
        <v>-2774188</v>
      </c>
      <c r="AO322" s="239">
        <v>0</v>
      </c>
      <c r="AP322" s="239">
        <v>-2774188</v>
      </c>
      <c r="AQ322" s="239">
        <v>39787</v>
      </c>
      <c r="AR322" s="239">
        <v>0</v>
      </c>
      <c r="AS322" s="239">
        <v>39787</v>
      </c>
      <c r="AT322" s="239">
        <v>0</v>
      </c>
      <c r="AU322" s="239">
        <v>0</v>
      </c>
      <c r="AV322" s="239">
        <v>0</v>
      </c>
      <c r="AW322" s="239">
        <v>0</v>
      </c>
      <c r="AX322" s="239">
        <v>0</v>
      </c>
      <c r="AY322" s="239">
        <v>0</v>
      </c>
      <c r="AZ322" s="239">
        <v>-721</v>
      </c>
      <c r="BA322" s="239">
        <v>0</v>
      </c>
      <c r="BB322" s="239">
        <v>-721</v>
      </c>
      <c r="BC322" s="239">
        <v>0</v>
      </c>
      <c r="BD322" s="239">
        <v>0</v>
      </c>
      <c r="BE322" s="239">
        <v>0</v>
      </c>
      <c r="BF322" s="239">
        <v>-2652602</v>
      </c>
      <c r="BG322" s="239">
        <v>0</v>
      </c>
      <c r="BH322" s="239">
        <v>-2652602</v>
      </c>
      <c r="BI322" s="239">
        <v>-9521</v>
      </c>
      <c r="BJ322" s="239">
        <v>0</v>
      </c>
      <c r="BK322" s="239">
        <v>-9521</v>
      </c>
      <c r="BL322" s="239">
        <v>0</v>
      </c>
      <c r="BM322" s="239">
        <v>0</v>
      </c>
      <c r="BN322" s="239">
        <v>0</v>
      </c>
      <c r="BO322" s="239">
        <v>-1926396</v>
      </c>
      <c r="BP322" s="239">
        <v>0</v>
      </c>
      <c r="BQ322" s="239">
        <v>-1926396</v>
      </c>
      <c r="BR322" s="239">
        <v>180665</v>
      </c>
      <c r="BS322" s="239">
        <v>0</v>
      </c>
      <c r="BT322" s="239">
        <v>180665</v>
      </c>
      <c r="BU322" s="239">
        <v>-1755252</v>
      </c>
      <c r="BV322" s="239">
        <v>0</v>
      </c>
      <c r="BW322" s="239">
        <v>-1755252</v>
      </c>
      <c r="BX322" s="239">
        <v>-322244</v>
      </c>
      <c r="BY322" s="239">
        <v>0</v>
      </c>
      <c r="BZ322" s="239">
        <v>-322244</v>
      </c>
      <c r="CA322" s="239">
        <v>2293</v>
      </c>
      <c r="CB322" s="239">
        <v>0</v>
      </c>
      <c r="CC322" s="239">
        <v>2293</v>
      </c>
      <c r="CD322" s="239">
        <v>-86322</v>
      </c>
      <c r="CE322" s="239">
        <v>0</v>
      </c>
      <c r="CF322" s="239">
        <v>-86322</v>
      </c>
      <c r="CG322" s="239">
        <v>0</v>
      </c>
      <c r="CH322" s="239">
        <v>0</v>
      </c>
      <c r="CI322" s="239">
        <v>0</v>
      </c>
      <c r="CJ322" s="239">
        <v>0</v>
      </c>
      <c r="CK322" s="239">
        <v>0</v>
      </c>
      <c r="CL322" s="239">
        <v>0</v>
      </c>
      <c r="CM322" s="239">
        <v>0</v>
      </c>
      <c r="CN322" s="239">
        <v>0</v>
      </c>
      <c r="CO322" s="239">
        <v>0</v>
      </c>
      <c r="CP322" s="239">
        <v>0</v>
      </c>
      <c r="CQ322" s="239">
        <v>0</v>
      </c>
      <c r="CR322" s="239">
        <v>0</v>
      </c>
      <c r="CS322" s="239">
        <v>0</v>
      </c>
      <c r="CT322" s="239">
        <v>0</v>
      </c>
      <c r="CU322" s="239">
        <v>0</v>
      </c>
      <c r="CV322" s="239">
        <v>0</v>
      </c>
      <c r="CW322" s="239">
        <v>0</v>
      </c>
      <c r="CX322" s="239">
        <v>0</v>
      </c>
      <c r="CY322" s="239">
        <v>0</v>
      </c>
      <c r="CZ322" s="239">
        <v>0</v>
      </c>
      <c r="DA322" s="239">
        <v>0</v>
      </c>
      <c r="DB322" s="239">
        <v>-61613</v>
      </c>
      <c r="DC322" s="239">
        <v>0</v>
      </c>
      <c r="DD322" s="239">
        <v>-61613</v>
      </c>
      <c r="DE322" s="239">
        <v>30879</v>
      </c>
      <c r="DF322" s="239">
        <v>0</v>
      </c>
      <c r="DG322" s="239">
        <v>30879</v>
      </c>
      <c r="DH322" s="239">
        <v>0</v>
      </c>
      <c r="DI322" s="239">
        <v>0</v>
      </c>
      <c r="DJ322" s="239">
        <v>-437007</v>
      </c>
      <c r="DK322" s="239">
        <v>0</v>
      </c>
      <c r="DL322" s="239">
        <v>-437007</v>
      </c>
      <c r="DM322" s="239">
        <v>-7986</v>
      </c>
      <c r="DN322" s="239">
        <v>0</v>
      </c>
      <c r="DO322" s="239">
        <v>-7986</v>
      </c>
      <c r="DP322" s="239">
        <v>-70773</v>
      </c>
      <c r="DQ322" s="239">
        <v>0</v>
      </c>
      <c r="DR322" s="239">
        <v>-70773</v>
      </c>
      <c r="DS322" s="239">
        <v>-26363</v>
      </c>
      <c r="DT322" s="239">
        <v>0</v>
      </c>
      <c r="DU322" s="239">
        <v>-26363</v>
      </c>
      <c r="DV322" s="239">
        <v>-73401</v>
      </c>
      <c r="DW322" s="239">
        <v>0</v>
      </c>
      <c r="DX322" s="239">
        <v>-73401</v>
      </c>
      <c r="DY322" s="239">
        <v>0</v>
      </c>
      <c r="DZ322" s="239">
        <v>0</v>
      </c>
      <c r="EA322" s="239">
        <v>0</v>
      </c>
      <c r="EB322" s="239">
        <v>41</v>
      </c>
      <c r="EC322" s="239">
        <v>0</v>
      </c>
      <c r="ED322" s="239">
        <v>41</v>
      </c>
      <c r="EE322" s="239">
        <v>0</v>
      </c>
      <c r="EF322" s="239">
        <v>0</v>
      </c>
      <c r="EG322" s="239">
        <v>0</v>
      </c>
      <c r="EH322" s="239">
        <v>0</v>
      </c>
      <c r="EI322" s="239">
        <v>0</v>
      </c>
      <c r="EJ322" s="239">
        <v>0</v>
      </c>
      <c r="EK322" s="239">
        <v>-4736</v>
      </c>
      <c r="EL322" s="239">
        <v>0</v>
      </c>
      <c r="EM322" s="239">
        <v>-4736</v>
      </c>
      <c r="EN322" s="239">
        <v>2034</v>
      </c>
      <c r="EO322" s="239">
        <v>0</v>
      </c>
      <c r="EP322" s="239">
        <v>2034</v>
      </c>
      <c r="EQ322" s="239">
        <v>-181184</v>
      </c>
      <c r="ER322" s="239">
        <v>0</v>
      </c>
      <c r="ES322" s="239">
        <v>-181184</v>
      </c>
      <c r="ET322" s="239">
        <v>-272443</v>
      </c>
      <c r="EU322" s="239">
        <v>0</v>
      </c>
      <c r="EV322" s="239">
        <v>-272443</v>
      </c>
      <c r="EW322" s="239">
        <v>0</v>
      </c>
      <c r="EX322" s="239">
        <v>0</v>
      </c>
      <c r="EY322" s="239">
        <v>0</v>
      </c>
      <c r="EZ322" s="239">
        <v>-272443</v>
      </c>
      <c r="FA322" s="239">
        <v>0</v>
      </c>
      <c r="FB322" s="239">
        <v>-272443</v>
      </c>
      <c r="FC322" s="239">
        <v>52956636</v>
      </c>
      <c r="FD322" s="239">
        <v>0</v>
      </c>
      <c r="FE322" s="239">
        <v>52956636</v>
      </c>
      <c r="FF322" s="239">
        <v>-2120</v>
      </c>
      <c r="FG322" s="239">
        <v>0</v>
      </c>
      <c r="FH322" s="239">
        <v>-2120</v>
      </c>
      <c r="FI322" s="239">
        <v>-2652602</v>
      </c>
      <c r="FJ322" s="239">
        <v>0</v>
      </c>
      <c r="FK322" s="239">
        <v>-2652602</v>
      </c>
      <c r="FL322" s="239">
        <v>-1755252</v>
      </c>
      <c r="FM322" s="239">
        <v>0</v>
      </c>
      <c r="FN322" s="239">
        <v>-1755252</v>
      </c>
      <c r="FO322" s="239">
        <v>-437007</v>
      </c>
      <c r="FP322" s="239">
        <v>0</v>
      </c>
      <c r="FQ322" s="239">
        <v>-437007</v>
      </c>
      <c r="FR322" s="239">
        <v>-181184</v>
      </c>
      <c r="FS322" s="239">
        <v>0</v>
      </c>
      <c r="FT322" s="239">
        <v>-181184</v>
      </c>
      <c r="FU322" s="239">
        <v>-272443</v>
      </c>
      <c r="FV322" s="239">
        <v>0</v>
      </c>
      <c r="FW322" s="239">
        <v>-272443</v>
      </c>
      <c r="FX322" s="239">
        <v>-5300608</v>
      </c>
      <c r="FY322" s="239">
        <v>0</v>
      </c>
      <c r="FZ322" s="239">
        <v>-5300608</v>
      </c>
      <c r="GA322" s="239">
        <v>47656028</v>
      </c>
      <c r="GB322" s="239">
        <v>0</v>
      </c>
      <c r="GC322" s="239">
        <v>47656028</v>
      </c>
      <c r="GD322" s="214" t="s">
        <v>1190</v>
      </c>
    </row>
    <row r="323" spans="2:186" s="214" customFormat="1" x14ac:dyDescent="0.2">
      <c r="B323" s="609" t="s">
        <v>728</v>
      </c>
      <c r="C323" s="609" t="s">
        <v>727</v>
      </c>
      <c r="D323" s="239">
        <v>0</v>
      </c>
      <c r="E323" s="239">
        <v>0</v>
      </c>
      <c r="F323" s="239">
        <v>0</v>
      </c>
      <c r="G323" s="239">
        <v>8225</v>
      </c>
      <c r="H323" s="239">
        <v>0</v>
      </c>
      <c r="I323" s="239">
        <v>8225</v>
      </c>
      <c r="J323" s="239">
        <v>0</v>
      </c>
      <c r="K323" s="239">
        <v>0</v>
      </c>
      <c r="L323" s="239">
        <v>0</v>
      </c>
      <c r="M323" s="239">
        <v>23495</v>
      </c>
      <c r="N323" s="239">
        <v>0</v>
      </c>
      <c r="O323" s="239">
        <v>23495</v>
      </c>
      <c r="P323" s="239">
        <v>31720</v>
      </c>
      <c r="Q323" s="239">
        <v>0</v>
      </c>
      <c r="R323" s="239">
        <v>31720</v>
      </c>
      <c r="S323" s="239">
        <v>-2007000</v>
      </c>
      <c r="T323" s="239">
        <v>0</v>
      </c>
      <c r="U323" s="239">
        <v>-2007000</v>
      </c>
      <c r="V323" s="239">
        <v>-6013</v>
      </c>
      <c r="W323" s="239">
        <v>0</v>
      </c>
      <c r="X323" s="239">
        <v>-6013</v>
      </c>
      <c r="Y323" s="239">
        <v>-127915</v>
      </c>
      <c r="Z323" s="239">
        <v>0</v>
      </c>
      <c r="AA323" s="239">
        <v>-127915</v>
      </c>
      <c r="AB323" s="239">
        <v>-101639</v>
      </c>
      <c r="AC323" s="239">
        <v>0</v>
      </c>
      <c r="AD323" s="239">
        <v>-101639</v>
      </c>
      <c r="AE323" s="239">
        <v>5972.71</v>
      </c>
      <c r="AF323" s="239">
        <v>0</v>
      </c>
      <c r="AG323" s="239">
        <v>5972.71</v>
      </c>
      <c r="AH323" s="239">
        <v>1654848</v>
      </c>
      <c r="AI323" s="239">
        <v>0</v>
      </c>
      <c r="AJ323" s="239">
        <v>1654848</v>
      </c>
      <c r="AK323" s="239">
        <v>16366</v>
      </c>
      <c r="AL323" s="239">
        <v>0</v>
      </c>
      <c r="AM323" s="239">
        <v>16366</v>
      </c>
      <c r="AN323" s="239">
        <v>-5141371</v>
      </c>
      <c r="AO323" s="239">
        <v>0</v>
      </c>
      <c r="AP323" s="239">
        <v>-5141371</v>
      </c>
      <c r="AQ323" s="239">
        <v>86248</v>
      </c>
      <c r="AR323" s="239">
        <v>0</v>
      </c>
      <c r="AS323" s="239">
        <v>86248</v>
      </c>
      <c r="AT323" s="239">
        <v>-65365</v>
      </c>
      <c r="AU323" s="239">
        <v>0</v>
      </c>
      <c r="AV323" s="239">
        <v>-65365</v>
      </c>
      <c r="AW323" s="239">
        <v>-1603</v>
      </c>
      <c r="AX323" s="239">
        <v>0</v>
      </c>
      <c r="AY323" s="239">
        <v>-1603</v>
      </c>
      <c r="AZ323" s="239">
        <v>-4964</v>
      </c>
      <c r="BA323" s="239">
        <v>0</v>
      </c>
      <c r="BB323" s="239">
        <v>-4964</v>
      </c>
      <c r="BC323" s="239">
        <v>0</v>
      </c>
      <c r="BD323" s="239">
        <v>0</v>
      </c>
      <c r="BE323" s="239">
        <v>0</v>
      </c>
      <c r="BF323" s="239">
        <v>-5590756</v>
      </c>
      <c r="BG323" s="239">
        <v>0</v>
      </c>
      <c r="BH323" s="239">
        <v>-5590756</v>
      </c>
      <c r="BI323" s="239">
        <v>-204395</v>
      </c>
      <c r="BJ323" s="239">
        <v>0</v>
      </c>
      <c r="BK323" s="239">
        <v>-204395</v>
      </c>
      <c r="BL323" s="239">
        <v>-103707</v>
      </c>
      <c r="BM323" s="239">
        <v>0</v>
      </c>
      <c r="BN323" s="239">
        <v>-103707</v>
      </c>
      <c r="BO323" s="239">
        <v>-3143055</v>
      </c>
      <c r="BP323" s="239">
        <v>0</v>
      </c>
      <c r="BQ323" s="239">
        <v>-3143055</v>
      </c>
      <c r="BR323" s="239">
        <v>-49089</v>
      </c>
      <c r="BS323" s="239">
        <v>0</v>
      </c>
      <c r="BT323" s="239">
        <v>-49089</v>
      </c>
      <c r="BU323" s="239">
        <v>-3500246</v>
      </c>
      <c r="BV323" s="239">
        <v>0</v>
      </c>
      <c r="BW323" s="239">
        <v>-3500246</v>
      </c>
      <c r="BX323" s="239">
        <v>-7044</v>
      </c>
      <c r="BY323" s="239">
        <v>0</v>
      </c>
      <c r="BZ323" s="239">
        <v>-7044</v>
      </c>
      <c r="CA323" s="239">
        <v>0</v>
      </c>
      <c r="CB323" s="239">
        <v>0</v>
      </c>
      <c r="CC323" s="239">
        <v>0</v>
      </c>
      <c r="CD323" s="239">
        <v>-46226</v>
      </c>
      <c r="CE323" s="239">
        <v>0</v>
      </c>
      <c r="CF323" s="239">
        <v>-46226</v>
      </c>
      <c r="CG323" s="239">
        <v>0</v>
      </c>
      <c r="CH323" s="239">
        <v>0</v>
      </c>
      <c r="CI323" s="239">
        <v>0</v>
      </c>
      <c r="CJ323" s="239">
        <v>-452</v>
      </c>
      <c r="CK323" s="239">
        <v>0</v>
      </c>
      <c r="CL323" s="239">
        <v>-452</v>
      </c>
      <c r="CM323" s="239">
        <v>0</v>
      </c>
      <c r="CN323" s="239">
        <v>0</v>
      </c>
      <c r="CO323" s="239">
        <v>0</v>
      </c>
      <c r="CP323" s="239">
        <v>-845</v>
      </c>
      <c r="CQ323" s="239">
        <v>0</v>
      </c>
      <c r="CR323" s="239">
        <v>-845</v>
      </c>
      <c r="CS323" s="239">
        <v>0</v>
      </c>
      <c r="CT323" s="239">
        <v>0</v>
      </c>
      <c r="CU323" s="239">
        <v>0</v>
      </c>
      <c r="CV323" s="239">
        <v>0</v>
      </c>
      <c r="CW323" s="239">
        <v>0</v>
      </c>
      <c r="CX323" s="239">
        <v>0</v>
      </c>
      <c r="CY323" s="239">
        <v>0</v>
      </c>
      <c r="CZ323" s="239">
        <v>0</v>
      </c>
      <c r="DA323" s="239">
        <v>0</v>
      </c>
      <c r="DB323" s="239">
        <v>-6036</v>
      </c>
      <c r="DC323" s="239">
        <v>0</v>
      </c>
      <c r="DD323" s="239">
        <v>-6036</v>
      </c>
      <c r="DE323" s="239">
        <v>-299</v>
      </c>
      <c r="DF323" s="239">
        <v>0</v>
      </c>
      <c r="DG323" s="239">
        <v>-299</v>
      </c>
      <c r="DH323" s="239">
        <v>0</v>
      </c>
      <c r="DI323" s="239">
        <v>0</v>
      </c>
      <c r="DJ323" s="239">
        <v>-60902</v>
      </c>
      <c r="DK323" s="239">
        <v>0</v>
      </c>
      <c r="DL323" s="239">
        <v>-60902</v>
      </c>
      <c r="DM323" s="239">
        <v>-26348</v>
      </c>
      <c r="DN323" s="239">
        <v>0</v>
      </c>
      <c r="DO323" s="239">
        <v>-26348</v>
      </c>
      <c r="DP323" s="239">
        <v>0</v>
      </c>
      <c r="DQ323" s="239">
        <v>0</v>
      </c>
      <c r="DR323" s="239">
        <v>0</v>
      </c>
      <c r="DS323" s="239">
        <v>-49692</v>
      </c>
      <c r="DT323" s="239">
        <v>0</v>
      </c>
      <c r="DU323" s="239">
        <v>-49692</v>
      </c>
      <c r="DV323" s="239">
        <v>-25940</v>
      </c>
      <c r="DW323" s="239">
        <v>0</v>
      </c>
      <c r="DX323" s="239">
        <v>-25940</v>
      </c>
      <c r="DY323" s="239">
        <v>0</v>
      </c>
      <c r="DZ323" s="239">
        <v>0</v>
      </c>
      <c r="EA323" s="239">
        <v>0</v>
      </c>
      <c r="EB323" s="239">
        <v>-11255</v>
      </c>
      <c r="EC323" s="239">
        <v>0</v>
      </c>
      <c r="ED323" s="239">
        <v>-11255</v>
      </c>
      <c r="EE323" s="239">
        <v>0</v>
      </c>
      <c r="EF323" s="239">
        <v>0</v>
      </c>
      <c r="EG323" s="239">
        <v>0</v>
      </c>
      <c r="EH323" s="239">
        <v>0</v>
      </c>
      <c r="EI323" s="239">
        <v>0</v>
      </c>
      <c r="EJ323" s="239">
        <v>0</v>
      </c>
      <c r="EK323" s="239">
        <v>-1549</v>
      </c>
      <c r="EL323" s="239">
        <v>0</v>
      </c>
      <c r="EM323" s="239">
        <v>-1549</v>
      </c>
      <c r="EN323" s="239">
        <v>543</v>
      </c>
      <c r="EO323" s="239">
        <v>0</v>
      </c>
      <c r="EP323" s="239">
        <v>543</v>
      </c>
      <c r="EQ323" s="239">
        <v>-114241</v>
      </c>
      <c r="ER323" s="239">
        <v>0</v>
      </c>
      <c r="ES323" s="239">
        <v>-114241</v>
      </c>
      <c r="ET323" s="239">
        <v>0</v>
      </c>
      <c r="EU323" s="239">
        <v>0</v>
      </c>
      <c r="EV323" s="239">
        <v>0</v>
      </c>
      <c r="EW323" s="239">
        <v>0</v>
      </c>
      <c r="EX323" s="239">
        <v>0</v>
      </c>
      <c r="EY323" s="239">
        <v>0</v>
      </c>
      <c r="EZ323" s="239">
        <v>0</v>
      </c>
      <c r="FA323" s="239">
        <v>0</v>
      </c>
      <c r="FB323" s="239">
        <v>0</v>
      </c>
      <c r="FC323" s="239">
        <v>68400091</v>
      </c>
      <c r="FD323" s="239">
        <v>0</v>
      </c>
      <c r="FE323" s="239">
        <v>68400091</v>
      </c>
      <c r="FF323" s="239">
        <v>31720</v>
      </c>
      <c r="FG323" s="239">
        <v>0</v>
      </c>
      <c r="FH323" s="239">
        <v>31720</v>
      </c>
      <c r="FI323" s="239">
        <v>-5590756</v>
      </c>
      <c r="FJ323" s="239">
        <v>0</v>
      </c>
      <c r="FK323" s="239">
        <v>-5590756</v>
      </c>
      <c r="FL323" s="239">
        <v>-3500246</v>
      </c>
      <c r="FM323" s="239">
        <v>0</v>
      </c>
      <c r="FN323" s="239">
        <v>-3500246</v>
      </c>
      <c r="FO323" s="239">
        <v>-60902</v>
      </c>
      <c r="FP323" s="239">
        <v>0</v>
      </c>
      <c r="FQ323" s="239">
        <v>-60902</v>
      </c>
      <c r="FR323" s="239">
        <v>-114241</v>
      </c>
      <c r="FS323" s="239">
        <v>0</v>
      </c>
      <c r="FT323" s="239">
        <v>-114241</v>
      </c>
      <c r="FU323" s="239">
        <v>0</v>
      </c>
      <c r="FV323" s="239">
        <v>0</v>
      </c>
      <c r="FW323" s="239">
        <v>0</v>
      </c>
      <c r="FX323" s="239">
        <v>-9234425</v>
      </c>
      <c r="FY323" s="239">
        <v>0</v>
      </c>
      <c r="FZ323" s="239">
        <v>-9234425</v>
      </c>
      <c r="GA323" s="239">
        <v>59165666</v>
      </c>
      <c r="GB323" s="239">
        <v>0</v>
      </c>
      <c r="GC323" s="239">
        <v>59165666</v>
      </c>
      <c r="GD323" s="214" t="s">
        <v>747</v>
      </c>
    </row>
    <row r="324" spans="2:186" s="214" customFormat="1" x14ac:dyDescent="0.2">
      <c r="B324" s="609" t="s">
        <v>730</v>
      </c>
      <c r="C324" s="609" t="s">
        <v>729</v>
      </c>
      <c r="D324" s="239">
        <v>0</v>
      </c>
      <c r="E324" s="239">
        <v>0</v>
      </c>
      <c r="F324" s="239">
        <v>0</v>
      </c>
      <c r="G324" s="239">
        <v>690080</v>
      </c>
      <c r="H324" s="239">
        <v>0</v>
      </c>
      <c r="I324" s="239">
        <v>690080</v>
      </c>
      <c r="J324" s="239">
        <v>0</v>
      </c>
      <c r="K324" s="239">
        <v>0</v>
      </c>
      <c r="L324" s="239">
        <v>0</v>
      </c>
      <c r="M324" s="239">
        <v>196201</v>
      </c>
      <c r="N324" s="239">
        <v>0</v>
      </c>
      <c r="O324" s="239">
        <v>196201</v>
      </c>
      <c r="P324" s="239">
        <v>886281</v>
      </c>
      <c r="Q324" s="239">
        <v>0</v>
      </c>
      <c r="R324" s="239">
        <v>886281</v>
      </c>
      <c r="S324" s="239">
        <v>-5861815</v>
      </c>
      <c r="T324" s="239">
        <v>0</v>
      </c>
      <c r="U324" s="239">
        <v>-5861815</v>
      </c>
      <c r="V324" s="239">
        <v>-16127</v>
      </c>
      <c r="W324" s="239">
        <v>0</v>
      </c>
      <c r="X324" s="239">
        <v>-16127</v>
      </c>
      <c r="Y324" s="239">
        <v>-449343</v>
      </c>
      <c r="Z324" s="239">
        <v>0</v>
      </c>
      <c r="AA324" s="239">
        <v>-449343</v>
      </c>
      <c r="AB324" s="239">
        <v>-446106</v>
      </c>
      <c r="AC324" s="239">
        <v>0</v>
      </c>
      <c r="AD324" s="239">
        <v>-446106</v>
      </c>
      <c r="AE324" s="239">
        <v>-3237</v>
      </c>
      <c r="AF324" s="239">
        <v>0</v>
      </c>
      <c r="AG324" s="239">
        <v>-3237</v>
      </c>
      <c r="AH324" s="239">
        <v>2057360</v>
      </c>
      <c r="AI324" s="239">
        <v>0</v>
      </c>
      <c r="AJ324" s="239">
        <v>2057360</v>
      </c>
      <c r="AK324" s="239">
        <v>-29675</v>
      </c>
      <c r="AL324" s="239">
        <v>0</v>
      </c>
      <c r="AM324" s="239">
        <v>-29675</v>
      </c>
      <c r="AN324" s="239">
        <v>-5465987</v>
      </c>
      <c r="AO324" s="239">
        <v>0</v>
      </c>
      <c r="AP324" s="239">
        <v>-5465987</v>
      </c>
      <c r="AQ324" s="239">
        <v>-212561</v>
      </c>
      <c r="AR324" s="239">
        <v>0</v>
      </c>
      <c r="AS324" s="239">
        <v>-212561</v>
      </c>
      <c r="AT324" s="239">
        <v>-12017</v>
      </c>
      <c r="AU324" s="239">
        <v>0</v>
      </c>
      <c r="AV324" s="239">
        <v>-12017</v>
      </c>
      <c r="AW324" s="239">
        <v>0</v>
      </c>
      <c r="AX324" s="239">
        <v>0</v>
      </c>
      <c r="AY324" s="239">
        <v>0</v>
      </c>
      <c r="AZ324" s="239">
        <v>0</v>
      </c>
      <c r="BA324" s="239">
        <v>0</v>
      </c>
      <c r="BB324" s="239">
        <v>0</v>
      </c>
      <c r="BC324" s="239">
        <v>0</v>
      </c>
      <c r="BD324" s="239">
        <v>0</v>
      </c>
      <c r="BE324" s="239">
        <v>0</v>
      </c>
      <c r="BF324" s="239">
        <v>-9974038</v>
      </c>
      <c r="BG324" s="239">
        <v>0</v>
      </c>
      <c r="BH324" s="239">
        <v>-9974038</v>
      </c>
      <c r="BI324" s="239">
        <v>0</v>
      </c>
      <c r="BJ324" s="239">
        <v>0</v>
      </c>
      <c r="BK324" s="239">
        <v>0</v>
      </c>
      <c r="BL324" s="239">
        <v>-4096</v>
      </c>
      <c r="BM324" s="239">
        <v>0</v>
      </c>
      <c r="BN324" s="239">
        <v>-4096</v>
      </c>
      <c r="BO324" s="239">
        <v>-3282553</v>
      </c>
      <c r="BP324" s="239">
        <v>-52568</v>
      </c>
      <c r="BQ324" s="239">
        <v>-3335121</v>
      </c>
      <c r="BR324" s="239">
        <v>248684</v>
      </c>
      <c r="BS324" s="239">
        <v>0</v>
      </c>
      <c r="BT324" s="239">
        <v>248684</v>
      </c>
      <c r="BU324" s="239">
        <v>-3037965</v>
      </c>
      <c r="BV324" s="239">
        <v>-52568</v>
      </c>
      <c r="BW324" s="239">
        <v>-3090533</v>
      </c>
      <c r="BX324" s="239">
        <v>-259065</v>
      </c>
      <c r="BY324" s="239">
        <v>0</v>
      </c>
      <c r="BZ324" s="239">
        <v>-259065</v>
      </c>
      <c r="CA324" s="239">
        <v>-66652</v>
      </c>
      <c r="CB324" s="239">
        <v>0</v>
      </c>
      <c r="CC324" s="239">
        <v>-66652</v>
      </c>
      <c r="CD324" s="239">
        <v>-375034</v>
      </c>
      <c r="CE324" s="239">
        <v>0</v>
      </c>
      <c r="CF324" s="239">
        <v>-375034</v>
      </c>
      <c r="CG324" s="239">
        <v>8773</v>
      </c>
      <c r="CH324" s="239">
        <v>0</v>
      </c>
      <c r="CI324" s="239">
        <v>8773</v>
      </c>
      <c r="CJ324" s="239">
        <v>-1600</v>
      </c>
      <c r="CK324" s="239">
        <v>0</v>
      </c>
      <c r="CL324" s="239">
        <v>-1600</v>
      </c>
      <c r="CM324" s="239">
        <v>0</v>
      </c>
      <c r="CN324" s="239">
        <v>0</v>
      </c>
      <c r="CO324" s="239">
        <v>0</v>
      </c>
      <c r="CP324" s="239">
        <v>0</v>
      </c>
      <c r="CQ324" s="239">
        <v>0</v>
      </c>
      <c r="CR324" s="239">
        <v>0</v>
      </c>
      <c r="CS324" s="239">
        <v>0</v>
      </c>
      <c r="CT324" s="239">
        <v>0</v>
      </c>
      <c r="CU324" s="239">
        <v>0</v>
      </c>
      <c r="CV324" s="239">
        <v>0</v>
      </c>
      <c r="CW324" s="239">
        <v>0</v>
      </c>
      <c r="CX324" s="239">
        <v>0</v>
      </c>
      <c r="CY324" s="239">
        <v>0</v>
      </c>
      <c r="CZ324" s="239">
        <v>0</v>
      </c>
      <c r="DA324" s="239">
        <v>0</v>
      </c>
      <c r="DB324" s="239">
        <v>0</v>
      </c>
      <c r="DC324" s="239">
        <v>0</v>
      </c>
      <c r="DD324" s="239">
        <v>0</v>
      </c>
      <c r="DE324" s="239">
        <v>0</v>
      </c>
      <c r="DF324" s="239">
        <v>0</v>
      </c>
      <c r="DG324" s="239">
        <v>0</v>
      </c>
      <c r="DH324" s="239">
        <v>0</v>
      </c>
      <c r="DI324" s="239">
        <v>0</v>
      </c>
      <c r="DJ324" s="239">
        <v>-693578</v>
      </c>
      <c r="DK324" s="239">
        <v>0</v>
      </c>
      <c r="DL324" s="239">
        <v>-693578</v>
      </c>
      <c r="DM324" s="239">
        <v>-9107</v>
      </c>
      <c r="DN324" s="239">
        <v>0</v>
      </c>
      <c r="DO324" s="239">
        <v>-9107</v>
      </c>
      <c r="DP324" s="239">
        <v>-1598</v>
      </c>
      <c r="DQ324" s="239">
        <v>0</v>
      </c>
      <c r="DR324" s="239">
        <v>-1598</v>
      </c>
      <c r="DS324" s="239">
        <v>-77334</v>
      </c>
      <c r="DT324" s="239">
        <v>0</v>
      </c>
      <c r="DU324" s="239">
        <v>-77334</v>
      </c>
      <c r="DV324" s="239">
        <v>-9773</v>
      </c>
      <c r="DW324" s="239">
        <v>0</v>
      </c>
      <c r="DX324" s="239">
        <v>-9773</v>
      </c>
      <c r="DY324" s="239">
        <v>0</v>
      </c>
      <c r="DZ324" s="239">
        <v>0</v>
      </c>
      <c r="EA324" s="239">
        <v>0</v>
      </c>
      <c r="EB324" s="239">
        <v>-39535</v>
      </c>
      <c r="EC324" s="239">
        <v>0</v>
      </c>
      <c r="ED324" s="239">
        <v>-39535</v>
      </c>
      <c r="EE324" s="239">
        <v>0</v>
      </c>
      <c r="EF324" s="239">
        <v>0</v>
      </c>
      <c r="EG324" s="239">
        <v>0</v>
      </c>
      <c r="EH324" s="239">
        <v>0</v>
      </c>
      <c r="EI324" s="239">
        <v>0</v>
      </c>
      <c r="EJ324" s="239">
        <v>0</v>
      </c>
      <c r="EK324" s="239">
        <v>-1444</v>
      </c>
      <c r="EL324" s="239">
        <v>0</v>
      </c>
      <c r="EM324" s="239">
        <v>-1444</v>
      </c>
      <c r="EN324" s="239">
        <v>7146</v>
      </c>
      <c r="EO324" s="239">
        <v>0</v>
      </c>
      <c r="EP324" s="239">
        <v>7146</v>
      </c>
      <c r="EQ324" s="239">
        <v>-131645</v>
      </c>
      <c r="ER324" s="239">
        <v>0</v>
      </c>
      <c r="ES324" s="239">
        <v>-131645</v>
      </c>
      <c r="ET324" s="239">
        <v>-1081</v>
      </c>
      <c r="EU324" s="239">
        <v>0</v>
      </c>
      <c r="EV324" s="239">
        <v>-1081</v>
      </c>
      <c r="EW324" s="239">
        <v>0</v>
      </c>
      <c r="EX324" s="239">
        <v>0</v>
      </c>
      <c r="EY324" s="239">
        <v>0</v>
      </c>
      <c r="EZ324" s="239">
        <v>-1081</v>
      </c>
      <c r="FA324" s="239">
        <v>0</v>
      </c>
      <c r="FB324" s="239">
        <v>-1081</v>
      </c>
      <c r="FC324" s="239">
        <v>88076254</v>
      </c>
      <c r="FD324" s="239">
        <v>188120</v>
      </c>
      <c r="FE324" s="239">
        <v>88264374</v>
      </c>
      <c r="FF324" s="239">
        <v>886281</v>
      </c>
      <c r="FG324" s="239">
        <v>0</v>
      </c>
      <c r="FH324" s="239">
        <v>886281</v>
      </c>
      <c r="FI324" s="239">
        <v>-9974038</v>
      </c>
      <c r="FJ324" s="239">
        <v>0</v>
      </c>
      <c r="FK324" s="239">
        <v>-9974038</v>
      </c>
      <c r="FL324" s="239">
        <v>-3037965</v>
      </c>
      <c r="FM324" s="239">
        <v>-52568</v>
      </c>
      <c r="FN324" s="239">
        <v>-3090533</v>
      </c>
      <c r="FO324" s="239">
        <v>-693578</v>
      </c>
      <c r="FP324" s="239">
        <v>0</v>
      </c>
      <c r="FQ324" s="239">
        <v>-693578</v>
      </c>
      <c r="FR324" s="239">
        <v>-131645</v>
      </c>
      <c r="FS324" s="239">
        <v>0</v>
      </c>
      <c r="FT324" s="239">
        <v>-131645</v>
      </c>
      <c r="FU324" s="239">
        <v>-1081</v>
      </c>
      <c r="FV324" s="239">
        <v>0</v>
      </c>
      <c r="FW324" s="239">
        <v>-1081</v>
      </c>
      <c r="FX324" s="239">
        <v>-12952026</v>
      </c>
      <c r="FY324" s="239">
        <v>-52568</v>
      </c>
      <c r="FZ324" s="239">
        <v>-13004594</v>
      </c>
      <c r="GA324" s="239">
        <v>75124228</v>
      </c>
      <c r="GB324" s="239">
        <v>135552</v>
      </c>
      <c r="GC324" s="239">
        <v>75259780</v>
      </c>
      <c r="GD324" s="214" t="s">
        <v>1192</v>
      </c>
    </row>
    <row r="325" spans="2:186" s="214" customFormat="1" x14ac:dyDescent="0.2">
      <c r="B325" s="609" t="s">
        <v>732</v>
      </c>
      <c r="C325" s="609" t="s">
        <v>731</v>
      </c>
      <c r="D325" s="239">
        <v>0</v>
      </c>
      <c r="E325" s="239">
        <v>0</v>
      </c>
      <c r="F325" s="239">
        <v>0</v>
      </c>
      <c r="G325" s="239">
        <v>17339</v>
      </c>
      <c r="H325" s="239">
        <v>0</v>
      </c>
      <c r="I325" s="239">
        <v>17339</v>
      </c>
      <c r="J325" s="239">
        <v>0</v>
      </c>
      <c r="K325" s="239">
        <v>0</v>
      </c>
      <c r="L325" s="239">
        <v>0</v>
      </c>
      <c r="M325" s="239">
        <v>37997</v>
      </c>
      <c r="N325" s="239">
        <v>0</v>
      </c>
      <c r="O325" s="239">
        <v>37997</v>
      </c>
      <c r="P325" s="239">
        <v>55336</v>
      </c>
      <c r="Q325" s="239">
        <v>0</v>
      </c>
      <c r="R325" s="239">
        <v>55336</v>
      </c>
      <c r="S325" s="239">
        <v>-1927867</v>
      </c>
      <c r="T325" s="239">
        <v>0</v>
      </c>
      <c r="U325" s="239">
        <v>-1927867</v>
      </c>
      <c r="V325" s="239">
        <v>-8245</v>
      </c>
      <c r="W325" s="239">
        <v>0</v>
      </c>
      <c r="X325" s="239">
        <v>-8245</v>
      </c>
      <c r="Y325" s="239">
        <v>-76875</v>
      </c>
      <c r="Z325" s="239">
        <v>0</v>
      </c>
      <c r="AA325" s="239">
        <v>-76875</v>
      </c>
      <c r="AB325" s="239">
        <v>-49951</v>
      </c>
      <c r="AC325" s="239">
        <v>0</v>
      </c>
      <c r="AD325" s="239">
        <v>-49951</v>
      </c>
      <c r="AE325" s="239">
        <v>1094</v>
      </c>
      <c r="AF325" s="239">
        <v>0</v>
      </c>
      <c r="AG325" s="239">
        <v>1094</v>
      </c>
      <c r="AH325" s="239">
        <v>1165952</v>
      </c>
      <c r="AI325" s="239">
        <v>0</v>
      </c>
      <c r="AJ325" s="239">
        <v>1165952</v>
      </c>
      <c r="AK325" s="239">
        <v>-6650</v>
      </c>
      <c r="AL325" s="239">
        <v>0</v>
      </c>
      <c r="AM325" s="239">
        <v>-6650</v>
      </c>
      <c r="AN325" s="239">
        <v>-3887787</v>
      </c>
      <c r="AO325" s="239">
        <v>0</v>
      </c>
      <c r="AP325" s="239">
        <v>-3887787</v>
      </c>
      <c r="AQ325" s="239">
        <v>240009</v>
      </c>
      <c r="AR325" s="239">
        <v>0</v>
      </c>
      <c r="AS325" s="239">
        <v>240009</v>
      </c>
      <c r="AT325" s="239">
        <v>-18190</v>
      </c>
      <c r="AU325" s="239">
        <v>0</v>
      </c>
      <c r="AV325" s="239">
        <v>-18190</v>
      </c>
      <c r="AW325" s="239">
        <v>0</v>
      </c>
      <c r="AX325" s="239">
        <v>0</v>
      </c>
      <c r="AY325" s="239">
        <v>0</v>
      </c>
      <c r="AZ325" s="239">
        <v>0</v>
      </c>
      <c r="BA325" s="239">
        <v>0</v>
      </c>
      <c r="BB325" s="239">
        <v>0</v>
      </c>
      <c r="BC325" s="239">
        <v>0</v>
      </c>
      <c r="BD325" s="239">
        <v>0</v>
      </c>
      <c r="BE325" s="239">
        <v>0</v>
      </c>
      <c r="BF325" s="239">
        <v>-4511408</v>
      </c>
      <c r="BG325" s="239">
        <v>0</v>
      </c>
      <c r="BH325" s="239">
        <v>-4511408</v>
      </c>
      <c r="BI325" s="239">
        <v>-2662</v>
      </c>
      <c r="BJ325" s="239">
        <v>0</v>
      </c>
      <c r="BK325" s="239">
        <v>-2662</v>
      </c>
      <c r="BL325" s="239">
        <v>7800</v>
      </c>
      <c r="BM325" s="239">
        <v>0</v>
      </c>
      <c r="BN325" s="239">
        <v>7800</v>
      </c>
      <c r="BO325" s="239">
        <v>-1783605</v>
      </c>
      <c r="BP325" s="239">
        <v>0</v>
      </c>
      <c r="BQ325" s="239">
        <v>-1783605</v>
      </c>
      <c r="BR325" s="239">
        <v>-67388</v>
      </c>
      <c r="BS325" s="239">
        <v>0</v>
      </c>
      <c r="BT325" s="239">
        <v>-67388</v>
      </c>
      <c r="BU325" s="239">
        <v>-1845855</v>
      </c>
      <c r="BV325" s="239">
        <v>0</v>
      </c>
      <c r="BW325" s="239">
        <v>-1845855</v>
      </c>
      <c r="BX325" s="239">
        <v>-191929</v>
      </c>
      <c r="BY325" s="239">
        <v>0</v>
      </c>
      <c r="BZ325" s="239">
        <v>-191929</v>
      </c>
      <c r="CA325" s="239">
        <v>-514</v>
      </c>
      <c r="CB325" s="239">
        <v>0</v>
      </c>
      <c r="CC325" s="239">
        <v>-514</v>
      </c>
      <c r="CD325" s="239">
        <v>-20060</v>
      </c>
      <c r="CE325" s="239">
        <v>0</v>
      </c>
      <c r="CF325" s="239">
        <v>-20060</v>
      </c>
      <c r="CG325" s="239">
        <v>887</v>
      </c>
      <c r="CH325" s="239">
        <v>0</v>
      </c>
      <c r="CI325" s="239">
        <v>887</v>
      </c>
      <c r="CJ325" s="239">
        <v>-4548</v>
      </c>
      <c r="CK325" s="239">
        <v>0</v>
      </c>
      <c r="CL325" s="239">
        <v>-4548</v>
      </c>
      <c r="CM325" s="239">
        <v>0</v>
      </c>
      <c r="CN325" s="239">
        <v>0</v>
      </c>
      <c r="CO325" s="239">
        <v>0</v>
      </c>
      <c r="CP325" s="239">
        <v>0</v>
      </c>
      <c r="CQ325" s="239">
        <v>0</v>
      </c>
      <c r="CR325" s="239">
        <v>0</v>
      </c>
      <c r="CS325" s="239">
        <v>0</v>
      </c>
      <c r="CT325" s="239">
        <v>0</v>
      </c>
      <c r="CU325" s="239">
        <v>0</v>
      </c>
      <c r="CV325" s="239">
        <v>0</v>
      </c>
      <c r="CW325" s="239">
        <v>0</v>
      </c>
      <c r="CX325" s="239">
        <v>0</v>
      </c>
      <c r="CY325" s="239">
        <v>0</v>
      </c>
      <c r="CZ325" s="239">
        <v>0</v>
      </c>
      <c r="DA325" s="239">
        <v>0</v>
      </c>
      <c r="DB325" s="239">
        <v>0</v>
      </c>
      <c r="DC325" s="239">
        <v>0</v>
      </c>
      <c r="DD325" s="239">
        <v>0</v>
      </c>
      <c r="DE325" s="239">
        <v>0</v>
      </c>
      <c r="DF325" s="239">
        <v>0</v>
      </c>
      <c r="DG325" s="239">
        <v>0</v>
      </c>
      <c r="DH325" s="239">
        <v>0</v>
      </c>
      <c r="DI325" s="239">
        <v>0</v>
      </c>
      <c r="DJ325" s="239">
        <v>-216164</v>
      </c>
      <c r="DK325" s="239">
        <v>0</v>
      </c>
      <c r="DL325" s="239">
        <v>-216164</v>
      </c>
      <c r="DM325" s="239">
        <v>-14422</v>
      </c>
      <c r="DN325" s="239">
        <v>0</v>
      </c>
      <c r="DO325" s="239">
        <v>-14422</v>
      </c>
      <c r="DP325" s="239">
        <v>0</v>
      </c>
      <c r="DQ325" s="239">
        <v>0</v>
      </c>
      <c r="DR325" s="239">
        <v>0</v>
      </c>
      <c r="DS325" s="239">
        <v>-26562</v>
      </c>
      <c r="DT325" s="239">
        <v>0</v>
      </c>
      <c r="DU325" s="239">
        <v>-26562</v>
      </c>
      <c r="DV325" s="239">
        <v>-2922</v>
      </c>
      <c r="DW325" s="239">
        <v>0</v>
      </c>
      <c r="DX325" s="239">
        <v>-2922</v>
      </c>
      <c r="DY325" s="239">
        <v>0</v>
      </c>
      <c r="DZ325" s="239">
        <v>0</v>
      </c>
      <c r="EA325" s="239">
        <v>0</v>
      </c>
      <c r="EB325" s="239">
        <v>-6697</v>
      </c>
      <c r="EC325" s="239">
        <v>0</v>
      </c>
      <c r="ED325" s="239">
        <v>-6697</v>
      </c>
      <c r="EE325" s="239">
        <v>0</v>
      </c>
      <c r="EF325" s="239">
        <v>0</v>
      </c>
      <c r="EG325" s="239">
        <v>0</v>
      </c>
      <c r="EH325" s="239">
        <v>85</v>
      </c>
      <c r="EI325" s="239">
        <v>0</v>
      </c>
      <c r="EJ325" s="239">
        <v>85</v>
      </c>
      <c r="EK325" s="239">
        <v>-3363</v>
      </c>
      <c r="EL325" s="239">
        <v>0</v>
      </c>
      <c r="EM325" s="239">
        <v>-3363</v>
      </c>
      <c r="EN325" s="239">
        <v>1354</v>
      </c>
      <c r="EO325" s="239">
        <v>0</v>
      </c>
      <c r="EP325" s="239">
        <v>1354</v>
      </c>
      <c r="EQ325" s="239">
        <v>-52527</v>
      </c>
      <c r="ER325" s="239">
        <v>0</v>
      </c>
      <c r="ES325" s="239">
        <v>-52527</v>
      </c>
      <c r="ET325" s="239">
        <v>0</v>
      </c>
      <c r="EU325" s="239">
        <v>0</v>
      </c>
      <c r="EV325" s="239">
        <v>0</v>
      </c>
      <c r="EW325" s="239">
        <v>0</v>
      </c>
      <c r="EX325" s="239">
        <v>0</v>
      </c>
      <c r="EY325" s="239">
        <v>0</v>
      </c>
      <c r="EZ325" s="239">
        <v>0</v>
      </c>
      <c r="FA325" s="239">
        <v>0</v>
      </c>
      <c r="FB325" s="239">
        <v>0</v>
      </c>
      <c r="FC325" s="239">
        <v>48938431</v>
      </c>
      <c r="FD325" s="239">
        <v>0</v>
      </c>
      <c r="FE325" s="239">
        <v>48938431</v>
      </c>
      <c r="FF325" s="239">
        <v>55336</v>
      </c>
      <c r="FG325" s="239">
        <v>0</v>
      </c>
      <c r="FH325" s="239">
        <v>55336</v>
      </c>
      <c r="FI325" s="239">
        <v>-4511408</v>
      </c>
      <c r="FJ325" s="239">
        <v>0</v>
      </c>
      <c r="FK325" s="239">
        <v>-4511408</v>
      </c>
      <c r="FL325" s="239">
        <v>-1845855</v>
      </c>
      <c r="FM325" s="239">
        <v>0</v>
      </c>
      <c r="FN325" s="239">
        <v>-1845855</v>
      </c>
      <c r="FO325" s="239">
        <v>-216164</v>
      </c>
      <c r="FP325" s="239">
        <v>0</v>
      </c>
      <c r="FQ325" s="239">
        <v>-216164</v>
      </c>
      <c r="FR325" s="239">
        <v>-52527</v>
      </c>
      <c r="FS325" s="239">
        <v>0</v>
      </c>
      <c r="FT325" s="239">
        <v>-52527</v>
      </c>
      <c r="FU325" s="239">
        <v>0</v>
      </c>
      <c r="FV325" s="239">
        <v>0</v>
      </c>
      <c r="FW325" s="239">
        <v>0</v>
      </c>
      <c r="FX325" s="239">
        <v>-6570618</v>
      </c>
      <c r="FY325" s="239">
        <v>0</v>
      </c>
      <c r="FZ325" s="239">
        <v>-6570618</v>
      </c>
      <c r="GA325" s="239">
        <v>42367813</v>
      </c>
      <c r="GB325" s="239">
        <v>0</v>
      </c>
      <c r="GC325" s="239">
        <v>42367813</v>
      </c>
      <c r="GD325" s="214" t="s">
        <v>1190</v>
      </c>
    </row>
    <row r="326" spans="2:186" s="214" customFormat="1" x14ac:dyDescent="0.2">
      <c r="B326" s="609" t="s">
        <v>734</v>
      </c>
      <c r="C326" s="609" t="s">
        <v>733</v>
      </c>
      <c r="D326" s="239">
        <v>0</v>
      </c>
      <c r="E326" s="239">
        <v>0</v>
      </c>
      <c r="F326" s="239">
        <v>0</v>
      </c>
      <c r="G326" s="239">
        <v>47546</v>
      </c>
      <c r="H326" s="239">
        <v>0</v>
      </c>
      <c r="I326" s="239">
        <v>47546</v>
      </c>
      <c r="J326" s="239">
        <v>0</v>
      </c>
      <c r="K326" s="239">
        <v>0</v>
      </c>
      <c r="L326" s="239">
        <v>0</v>
      </c>
      <c r="M326" s="239">
        <v>0</v>
      </c>
      <c r="N326" s="239">
        <v>0</v>
      </c>
      <c r="O326" s="239">
        <v>0</v>
      </c>
      <c r="P326" s="239">
        <v>47546</v>
      </c>
      <c r="Q326" s="239">
        <v>0</v>
      </c>
      <c r="R326" s="239">
        <v>47546</v>
      </c>
      <c r="S326" s="239">
        <v>-2209407</v>
      </c>
      <c r="T326" s="239">
        <v>0</v>
      </c>
      <c r="U326" s="239">
        <v>-2209407</v>
      </c>
      <c r="V326" s="239">
        <v>0</v>
      </c>
      <c r="W326" s="239">
        <v>0</v>
      </c>
      <c r="X326" s="239">
        <v>0</v>
      </c>
      <c r="Y326" s="239">
        <v>-63736</v>
      </c>
      <c r="Z326" s="239">
        <v>0</v>
      </c>
      <c r="AA326" s="239">
        <v>-63736</v>
      </c>
      <c r="AB326" s="239">
        <v>0</v>
      </c>
      <c r="AC326" s="239">
        <v>0</v>
      </c>
      <c r="AD326" s="239">
        <v>0</v>
      </c>
      <c r="AE326" s="239">
        <v>0</v>
      </c>
      <c r="AF326" s="239">
        <v>0</v>
      </c>
      <c r="AG326" s="239">
        <v>0</v>
      </c>
      <c r="AH326" s="239">
        <v>865618</v>
      </c>
      <c r="AI326" s="239">
        <v>0</v>
      </c>
      <c r="AJ326" s="239">
        <v>865618</v>
      </c>
      <c r="AK326" s="239">
        <v>-9210</v>
      </c>
      <c r="AL326" s="239">
        <v>0</v>
      </c>
      <c r="AM326" s="239">
        <v>-9210</v>
      </c>
      <c r="AN326" s="239">
        <v>-2550296</v>
      </c>
      <c r="AO326" s="239">
        <v>0</v>
      </c>
      <c r="AP326" s="239">
        <v>-2550296</v>
      </c>
      <c r="AQ326" s="239">
        <v>-21122</v>
      </c>
      <c r="AR326" s="239">
        <v>0</v>
      </c>
      <c r="AS326" s="239">
        <v>-21122</v>
      </c>
      <c r="AT326" s="239">
        <v>-40118</v>
      </c>
      <c r="AU326" s="239">
        <v>0</v>
      </c>
      <c r="AV326" s="239">
        <v>-40118</v>
      </c>
      <c r="AW326" s="239">
        <v>0</v>
      </c>
      <c r="AX326" s="239">
        <v>0</v>
      </c>
      <c r="AY326" s="239">
        <v>0</v>
      </c>
      <c r="AZ326" s="239">
        <v>0</v>
      </c>
      <c r="BA326" s="239">
        <v>0</v>
      </c>
      <c r="BB326" s="239">
        <v>0</v>
      </c>
      <c r="BC326" s="239">
        <v>0</v>
      </c>
      <c r="BD326" s="239">
        <v>0</v>
      </c>
      <c r="BE326" s="239">
        <v>0</v>
      </c>
      <c r="BF326" s="239">
        <v>-4028271</v>
      </c>
      <c r="BG326" s="239">
        <v>0</v>
      </c>
      <c r="BH326" s="239">
        <v>-4028271</v>
      </c>
      <c r="BI326" s="239">
        <v>0</v>
      </c>
      <c r="BJ326" s="239">
        <v>0</v>
      </c>
      <c r="BK326" s="239">
        <v>0</v>
      </c>
      <c r="BL326" s="239">
        <v>0</v>
      </c>
      <c r="BM326" s="239">
        <v>0</v>
      </c>
      <c r="BN326" s="239">
        <v>0</v>
      </c>
      <c r="BO326" s="239">
        <v>-885086</v>
      </c>
      <c r="BP326" s="239">
        <v>0</v>
      </c>
      <c r="BQ326" s="239">
        <v>-885086</v>
      </c>
      <c r="BR326" s="239">
        <v>-509</v>
      </c>
      <c r="BS326" s="239">
        <v>0</v>
      </c>
      <c r="BT326" s="239">
        <v>-509</v>
      </c>
      <c r="BU326" s="239">
        <v>-885595</v>
      </c>
      <c r="BV326" s="239">
        <v>0</v>
      </c>
      <c r="BW326" s="239">
        <v>-885595</v>
      </c>
      <c r="BX326" s="239">
        <v>-186704</v>
      </c>
      <c r="BY326" s="239">
        <v>0</v>
      </c>
      <c r="BZ326" s="239">
        <v>-186704</v>
      </c>
      <c r="CA326" s="239">
        <v>-1945</v>
      </c>
      <c r="CB326" s="239">
        <v>0</v>
      </c>
      <c r="CC326" s="239">
        <v>-1945</v>
      </c>
      <c r="CD326" s="239">
        <v>-4234</v>
      </c>
      <c r="CE326" s="239">
        <v>0</v>
      </c>
      <c r="CF326" s="239">
        <v>-4234</v>
      </c>
      <c r="CG326" s="239">
        <v>0</v>
      </c>
      <c r="CH326" s="239">
        <v>0</v>
      </c>
      <c r="CI326" s="239">
        <v>0</v>
      </c>
      <c r="CJ326" s="239">
        <v>0</v>
      </c>
      <c r="CK326" s="239">
        <v>0</v>
      </c>
      <c r="CL326" s="239">
        <v>0</v>
      </c>
      <c r="CM326" s="239">
        <v>0</v>
      </c>
      <c r="CN326" s="239">
        <v>0</v>
      </c>
      <c r="CO326" s="239">
        <v>0</v>
      </c>
      <c r="CP326" s="239">
        <v>0</v>
      </c>
      <c r="CQ326" s="239">
        <v>0</v>
      </c>
      <c r="CR326" s="239">
        <v>0</v>
      </c>
      <c r="CS326" s="239">
        <v>0</v>
      </c>
      <c r="CT326" s="239">
        <v>0</v>
      </c>
      <c r="CU326" s="239">
        <v>0</v>
      </c>
      <c r="CV326" s="239">
        <v>0</v>
      </c>
      <c r="CW326" s="239">
        <v>0</v>
      </c>
      <c r="CX326" s="239">
        <v>0</v>
      </c>
      <c r="CY326" s="239">
        <v>0</v>
      </c>
      <c r="CZ326" s="239">
        <v>0</v>
      </c>
      <c r="DA326" s="239">
        <v>0</v>
      </c>
      <c r="DB326" s="239">
        <v>0</v>
      </c>
      <c r="DC326" s="239">
        <v>0</v>
      </c>
      <c r="DD326" s="239">
        <v>0</v>
      </c>
      <c r="DE326" s="239">
        <v>0</v>
      </c>
      <c r="DF326" s="239">
        <v>0</v>
      </c>
      <c r="DG326" s="239">
        <v>0</v>
      </c>
      <c r="DH326" s="239">
        <v>0</v>
      </c>
      <c r="DI326" s="239">
        <v>0</v>
      </c>
      <c r="DJ326" s="239">
        <v>-192883</v>
      </c>
      <c r="DK326" s="239">
        <v>0</v>
      </c>
      <c r="DL326" s="239">
        <v>-192883</v>
      </c>
      <c r="DM326" s="239">
        <v>0</v>
      </c>
      <c r="DN326" s="239">
        <v>0</v>
      </c>
      <c r="DO326" s="239">
        <v>0</v>
      </c>
      <c r="DP326" s="239">
        <v>0</v>
      </c>
      <c r="DQ326" s="239">
        <v>0</v>
      </c>
      <c r="DR326" s="239">
        <v>0</v>
      </c>
      <c r="DS326" s="239">
        <v>0</v>
      </c>
      <c r="DT326" s="239">
        <v>0</v>
      </c>
      <c r="DU326" s="239">
        <v>0</v>
      </c>
      <c r="DV326" s="239">
        <v>0</v>
      </c>
      <c r="DW326" s="239">
        <v>0</v>
      </c>
      <c r="DX326" s="239">
        <v>0</v>
      </c>
      <c r="DY326" s="239">
        <v>0</v>
      </c>
      <c r="DZ326" s="239">
        <v>0</v>
      </c>
      <c r="EA326" s="239">
        <v>0</v>
      </c>
      <c r="EB326" s="239">
        <v>7599</v>
      </c>
      <c r="EC326" s="239">
        <v>0</v>
      </c>
      <c r="ED326" s="239">
        <v>7599</v>
      </c>
      <c r="EE326" s="239">
        <v>0</v>
      </c>
      <c r="EF326" s="239">
        <v>0</v>
      </c>
      <c r="EG326" s="239">
        <v>0</v>
      </c>
      <c r="EH326" s="239">
        <v>0</v>
      </c>
      <c r="EI326" s="239">
        <v>0</v>
      </c>
      <c r="EJ326" s="239">
        <v>0</v>
      </c>
      <c r="EK326" s="239">
        <v>-1760</v>
      </c>
      <c r="EL326" s="239">
        <v>0</v>
      </c>
      <c r="EM326" s="239">
        <v>-1760</v>
      </c>
      <c r="EN326" s="239">
        <v>0</v>
      </c>
      <c r="EO326" s="239">
        <v>0</v>
      </c>
      <c r="EP326" s="239">
        <v>0</v>
      </c>
      <c r="EQ326" s="239">
        <v>5839</v>
      </c>
      <c r="ER326" s="239">
        <v>0</v>
      </c>
      <c r="ES326" s="239">
        <v>5839</v>
      </c>
      <c r="ET326" s="239">
        <v>0</v>
      </c>
      <c r="EU326" s="239">
        <v>0</v>
      </c>
      <c r="EV326" s="239">
        <v>0</v>
      </c>
      <c r="EW326" s="239">
        <v>0</v>
      </c>
      <c r="EX326" s="239">
        <v>0</v>
      </c>
      <c r="EY326" s="239">
        <v>0</v>
      </c>
      <c r="EZ326" s="239">
        <v>0</v>
      </c>
      <c r="FA326" s="239">
        <v>0</v>
      </c>
      <c r="FB326" s="239">
        <v>0</v>
      </c>
      <c r="FC326" s="239">
        <v>37701408</v>
      </c>
      <c r="FD326" s="239">
        <v>0</v>
      </c>
      <c r="FE326" s="239">
        <v>37701408</v>
      </c>
      <c r="FF326" s="239">
        <v>47546</v>
      </c>
      <c r="FG326" s="239">
        <v>0</v>
      </c>
      <c r="FH326" s="239">
        <v>47546</v>
      </c>
      <c r="FI326" s="239">
        <v>-4028271</v>
      </c>
      <c r="FJ326" s="239">
        <v>0</v>
      </c>
      <c r="FK326" s="239">
        <v>-4028271</v>
      </c>
      <c r="FL326" s="239">
        <v>-885595</v>
      </c>
      <c r="FM326" s="239">
        <v>0</v>
      </c>
      <c r="FN326" s="239">
        <v>-885595</v>
      </c>
      <c r="FO326" s="239">
        <v>-192883</v>
      </c>
      <c r="FP326" s="239">
        <v>0</v>
      </c>
      <c r="FQ326" s="239">
        <v>-192883</v>
      </c>
      <c r="FR326" s="239">
        <v>5839</v>
      </c>
      <c r="FS326" s="239">
        <v>0</v>
      </c>
      <c r="FT326" s="239">
        <v>5839</v>
      </c>
      <c r="FU326" s="239">
        <v>0</v>
      </c>
      <c r="FV326" s="239">
        <v>0</v>
      </c>
      <c r="FW326" s="239">
        <v>0</v>
      </c>
      <c r="FX326" s="239">
        <v>-5053364</v>
      </c>
      <c r="FY326" s="239">
        <v>0</v>
      </c>
      <c r="FZ326" s="239">
        <v>-5053364</v>
      </c>
      <c r="GA326" s="239">
        <v>32648044</v>
      </c>
      <c r="GB326" s="239">
        <v>0</v>
      </c>
      <c r="GC326" s="239">
        <v>32648044</v>
      </c>
      <c r="GD326" s="214" t="s">
        <v>1190</v>
      </c>
    </row>
    <row r="327" spans="2:186" s="214" customFormat="1" x14ac:dyDescent="0.2">
      <c r="B327" s="609" t="s">
        <v>736</v>
      </c>
      <c r="C327" s="609" t="s">
        <v>735</v>
      </c>
      <c r="D327" s="239">
        <v>0</v>
      </c>
      <c r="E327" s="239">
        <v>0</v>
      </c>
      <c r="F327" s="239">
        <v>0</v>
      </c>
      <c r="G327" s="239">
        <v>99269</v>
      </c>
      <c r="H327" s="239">
        <v>0</v>
      </c>
      <c r="I327" s="239">
        <v>99269</v>
      </c>
      <c r="J327" s="239">
        <v>0</v>
      </c>
      <c r="K327" s="239">
        <v>0</v>
      </c>
      <c r="L327" s="239">
        <v>0</v>
      </c>
      <c r="M327" s="239">
        <v>47711</v>
      </c>
      <c r="N327" s="239">
        <v>0</v>
      </c>
      <c r="O327" s="239">
        <v>47711</v>
      </c>
      <c r="P327" s="239">
        <v>146980</v>
      </c>
      <c r="Q327" s="239">
        <v>0</v>
      </c>
      <c r="R327" s="239">
        <v>146980</v>
      </c>
      <c r="S327" s="239">
        <v>-3355503</v>
      </c>
      <c r="T327" s="239">
        <v>0</v>
      </c>
      <c r="U327" s="239">
        <v>-3355503</v>
      </c>
      <c r="V327" s="239">
        <v>-7575</v>
      </c>
      <c r="W327" s="239">
        <v>0</v>
      </c>
      <c r="X327" s="239">
        <v>-7575</v>
      </c>
      <c r="Y327" s="239">
        <v>-152004</v>
      </c>
      <c r="Z327" s="239">
        <v>0</v>
      </c>
      <c r="AA327" s="239">
        <v>-152004</v>
      </c>
      <c r="AB327" s="239">
        <v>-126509</v>
      </c>
      <c r="AC327" s="239">
        <v>0</v>
      </c>
      <c r="AD327" s="239">
        <v>-126509</v>
      </c>
      <c r="AE327" s="239">
        <v>1464</v>
      </c>
      <c r="AF327" s="239">
        <v>0</v>
      </c>
      <c r="AG327" s="239">
        <v>1464</v>
      </c>
      <c r="AH327" s="239">
        <v>1078847</v>
      </c>
      <c r="AI327" s="239">
        <v>0</v>
      </c>
      <c r="AJ327" s="239">
        <v>1078847</v>
      </c>
      <c r="AK327" s="239">
        <v>-8743</v>
      </c>
      <c r="AL327" s="239">
        <v>0</v>
      </c>
      <c r="AM327" s="239">
        <v>-8743</v>
      </c>
      <c r="AN327" s="239">
        <v>-2032789</v>
      </c>
      <c r="AO327" s="239">
        <v>0</v>
      </c>
      <c r="AP327" s="239">
        <v>-2032789</v>
      </c>
      <c r="AQ327" s="239">
        <v>9203</v>
      </c>
      <c r="AR327" s="239">
        <v>0</v>
      </c>
      <c r="AS327" s="239">
        <v>9203</v>
      </c>
      <c r="AT327" s="239">
        <v>-57318</v>
      </c>
      <c r="AU327" s="239">
        <v>0</v>
      </c>
      <c r="AV327" s="239">
        <v>-57318</v>
      </c>
      <c r="AW327" s="239">
        <v>-27694</v>
      </c>
      <c r="AX327" s="239">
        <v>0</v>
      </c>
      <c r="AY327" s="239">
        <v>-27694</v>
      </c>
      <c r="AZ327" s="239">
        <v>-61661</v>
      </c>
      <c r="BA327" s="239">
        <v>0</v>
      </c>
      <c r="BB327" s="239">
        <v>-61661</v>
      </c>
      <c r="BC327" s="239">
        <v>-841</v>
      </c>
      <c r="BD327" s="239">
        <v>0</v>
      </c>
      <c r="BE327" s="239">
        <v>-841</v>
      </c>
      <c r="BF327" s="239">
        <v>-4608503</v>
      </c>
      <c r="BG327" s="239">
        <v>0</v>
      </c>
      <c r="BH327" s="239">
        <v>-4608503</v>
      </c>
      <c r="BI327" s="239">
        <v>-94677</v>
      </c>
      <c r="BJ327" s="239">
        <v>0</v>
      </c>
      <c r="BK327" s="239">
        <v>-94677</v>
      </c>
      <c r="BL327" s="239">
        <v>-43774</v>
      </c>
      <c r="BM327" s="239">
        <v>0</v>
      </c>
      <c r="BN327" s="239">
        <v>-43774</v>
      </c>
      <c r="BO327" s="239">
        <v>-1383393</v>
      </c>
      <c r="BP327" s="239">
        <v>0</v>
      </c>
      <c r="BQ327" s="239">
        <v>-1383393</v>
      </c>
      <c r="BR327" s="239">
        <v>-6901</v>
      </c>
      <c r="BS327" s="239">
        <v>0</v>
      </c>
      <c r="BT327" s="239">
        <v>-6901</v>
      </c>
      <c r="BU327" s="239">
        <v>-1528745</v>
      </c>
      <c r="BV327" s="239">
        <v>0</v>
      </c>
      <c r="BW327" s="239">
        <v>-1528745</v>
      </c>
      <c r="BX327" s="239">
        <v>-202433</v>
      </c>
      <c r="BY327" s="239">
        <v>0</v>
      </c>
      <c r="BZ327" s="239">
        <v>-202433</v>
      </c>
      <c r="CA327" s="239">
        <v>-5495</v>
      </c>
      <c r="CB327" s="239">
        <v>0</v>
      </c>
      <c r="CC327" s="239">
        <v>-5495</v>
      </c>
      <c r="CD327" s="239">
        <v>-64865</v>
      </c>
      <c r="CE327" s="239">
        <v>0</v>
      </c>
      <c r="CF327" s="239">
        <v>-64865</v>
      </c>
      <c r="CG327" s="239">
        <v>0</v>
      </c>
      <c r="CH327" s="239">
        <v>0</v>
      </c>
      <c r="CI327" s="239">
        <v>0</v>
      </c>
      <c r="CJ327" s="239">
        <v>-11465</v>
      </c>
      <c r="CK327" s="239">
        <v>0</v>
      </c>
      <c r="CL327" s="239">
        <v>-11465</v>
      </c>
      <c r="CM327" s="239">
        <v>0</v>
      </c>
      <c r="CN327" s="239">
        <v>0</v>
      </c>
      <c r="CO327" s="239">
        <v>0</v>
      </c>
      <c r="CP327" s="239">
        <v>-49822</v>
      </c>
      <c r="CQ327" s="239">
        <v>0</v>
      </c>
      <c r="CR327" s="239">
        <v>-49822</v>
      </c>
      <c r="CS327" s="239">
        <v>-1328</v>
      </c>
      <c r="CT327" s="239">
        <v>0</v>
      </c>
      <c r="CU327" s="239">
        <v>-1328</v>
      </c>
      <c r="CV327" s="239">
        <v>-29751</v>
      </c>
      <c r="CW327" s="239">
        <v>0</v>
      </c>
      <c r="CX327" s="239">
        <v>-29751</v>
      </c>
      <c r="CY327" s="239">
        <v>0</v>
      </c>
      <c r="CZ327" s="239">
        <v>0</v>
      </c>
      <c r="DA327" s="239">
        <v>0</v>
      </c>
      <c r="DB327" s="239">
        <v>0</v>
      </c>
      <c r="DC327" s="239">
        <v>0</v>
      </c>
      <c r="DD327" s="239">
        <v>0</v>
      </c>
      <c r="DE327" s="239">
        <v>0</v>
      </c>
      <c r="DF327" s="239">
        <v>0</v>
      </c>
      <c r="DG327" s="239">
        <v>0</v>
      </c>
      <c r="DH327" s="239">
        <v>0</v>
      </c>
      <c r="DI327" s="239">
        <v>0</v>
      </c>
      <c r="DJ327" s="239">
        <v>-365159</v>
      </c>
      <c r="DK327" s="239">
        <v>0</v>
      </c>
      <c r="DL327" s="239">
        <v>-365159</v>
      </c>
      <c r="DM327" s="239">
        <v>-30</v>
      </c>
      <c r="DN327" s="239">
        <v>0</v>
      </c>
      <c r="DO327" s="239">
        <v>-30</v>
      </c>
      <c r="DP327" s="239">
        <v>-54</v>
      </c>
      <c r="DQ327" s="239">
        <v>0</v>
      </c>
      <c r="DR327" s="239">
        <v>-54</v>
      </c>
      <c r="DS327" s="239">
        <v>-14435</v>
      </c>
      <c r="DT327" s="239">
        <v>0</v>
      </c>
      <c r="DU327" s="239">
        <v>-14435</v>
      </c>
      <c r="DV327" s="239">
        <v>-10813</v>
      </c>
      <c r="DW327" s="239">
        <v>0</v>
      </c>
      <c r="DX327" s="239">
        <v>-10813</v>
      </c>
      <c r="DY327" s="239">
        <v>0</v>
      </c>
      <c r="DZ327" s="239">
        <v>0</v>
      </c>
      <c r="EA327" s="239">
        <v>0</v>
      </c>
      <c r="EB327" s="239">
        <v>-11870</v>
      </c>
      <c r="EC327" s="239">
        <v>0</v>
      </c>
      <c r="ED327" s="239">
        <v>-11870</v>
      </c>
      <c r="EE327" s="239">
        <v>0</v>
      </c>
      <c r="EF327" s="239">
        <v>0</v>
      </c>
      <c r="EG327" s="239">
        <v>0</v>
      </c>
      <c r="EH327" s="239">
        <v>0</v>
      </c>
      <c r="EI327" s="239">
        <v>0</v>
      </c>
      <c r="EJ327" s="239">
        <v>0</v>
      </c>
      <c r="EK327" s="239">
        <v>-5792</v>
      </c>
      <c r="EL327" s="239">
        <v>0</v>
      </c>
      <c r="EM327" s="239">
        <v>-5792</v>
      </c>
      <c r="EN327" s="239">
        <v>120</v>
      </c>
      <c r="EO327" s="239">
        <v>0</v>
      </c>
      <c r="EP327" s="239">
        <v>120</v>
      </c>
      <c r="EQ327" s="239">
        <v>-42874</v>
      </c>
      <c r="ER327" s="239">
        <v>0</v>
      </c>
      <c r="ES327" s="239">
        <v>-42874</v>
      </c>
      <c r="ET327" s="239">
        <v>0</v>
      </c>
      <c r="EU327" s="239">
        <v>0</v>
      </c>
      <c r="EV327" s="239">
        <v>0</v>
      </c>
      <c r="EW327" s="239">
        <v>0</v>
      </c>
      <c r="EX327" s="239">
        <v>0</v>
      </c>
      <c r="EY327" s="239">
        <v>0</v>
      </c>
      <c r="EZ327" s="239">
        <v>0</v>
      </c>
      <c r="FA327" s="239">
        <v>0</v>
      </c>
      <c r="FB327" s="239">
        <v>0</v>
      </c>
      <c r="FC327" s="239">
        <v>48066630</v>
      </c>
      <c r="FD327" s="239">
        <v>0</v>
      </c>
      <c r="FE327" s="239">
        <v>48066630</v>
      </c>
      <c r="FF327" s="239">
        <v>146980</v>
      </c>
      <c r="FG327" s="239">
        <v>0</v>
      </c>
      <c r="FH327" s="239">
        <v>146980</v>
      </c>
      <c r="FI327" s="239">
        <v>-4608503</v>
      </c>
      <c r="FJ327" s="239">
        <v>0</v>
      </c>
      <c r="FK327" s="239">
        <v>-4608503</v>
      </c>
      <c r="FL327" s="239">
        <v>-1528745</v>
      </c>
      <c r="FM327" s="239">
        <v>0</v>
      </c>
      <c r="FN327" s="239">
        <v>-1528745</v>
      </c>
      <c r="FO327" s="239">
        <v>-365159</v>
      </c>
      <c r="FP327" s="239">
        <v>0</v>
      </c>
      <c r="FQ327" s="239">
        <v>-365159</v>
      </c>
      <c r="FR327" s="239">
        <v>-42874</v>
      </c>
      <c r="FS327" s="239">
        <v>0</v>
      </c>
      <c r="FT327" s="239">
        <v>-42874</v>
      </c>
      <c r="FU327" s="239">
        <v>0</v>
      </c>
      <c r="FV327" s="239">
        <v>0</v>
      </c>
      <c r="FW327" s="239">
        <v>0</v>
      </c>
      <c r="FX327" s="239">
        <v>-6398301</v>
      </c>
      <c r="FY327" s="239">
        <v>0</v>
      </c>
      <c r="FZ327" s="239">
        <v>-6398301</v>
      </c>
      <c r="GA327" s="239">
        <v>41668329</v>
      </c>
      <c r="GB327" s="239">
        <v>0</v>
      </c>
      <c r="GC327" s="239">
        <v>41668329</v>
      </c>
      <c r="GD327" s="214" t="s">
        <v>1190</v>
      </c>
    </row>
    <row r="328" spans="2:186" s="214" customFormat="1" x14ac:dyDescent="0.2">
      <c r="B328" s="609" t="s">
        <v>738</v>
      </c>
      <c r="C328" s="609" t="s">
        <v>737</v>
      </c>
      <c r="D328" s="239">
        <v>0</v>
      </c>
      <c r="E328" s="239">
        <v>0</v>
      </c>
      <c r="F328" s="239">
        <v>0</v>
      </c>
      <c r="G328" s="239">
        <v>-13404</v>
      </c>
      <c r="H328" s="239">
        <v>0</v>
      </c>
      <c r="I328" s="239">
        <v>-13404</v>
      </c>
      <c r="J328" s="239">
        <v>0</v>
      </c>
      <c r="K328" s="239">
        <v>0</v>
      </c>
      <c r="L328" s="239">
        <v>0</v>
      </c>
      <c r="M328" s="239">
        <v>-159766</v>
      </c>
      <c r="N328" s="239">
        <v>0</v>
      </c>
      <c r="O328" s="239">
        <v>-159766</v>
      </c>
      <c r="P328" s="239">
        <v>-173170</v>
      </c>
      <c r="Q328" s="239">
        <v>0</v>
      </c>
      <c r="R328" s="239">
        <v>-173170</v>
      </c>
      <c r="S328" s="239">
        <v>-2576757</v>
      </c>
      <c r="T328" s="239">
        <v>0</v>
      </c>
      <c r="U328" s="239">
        <v>-2576757</v>
      </c>
      <c r="V328" s="239">
        <v>-275</v>
      </c>
      <c r="W328" s="239">
        <v>0</v>
      </c>
      <c r="X328" s="239">
        <v>-275</v>
      </c>
      <c r="Y328" s="239">
        <v>-364740</v>
      </c>
      <c r="Z328" s="239">
        <v>0</v>
      </c>
      <c r="AA328" s="239">
        <v>-364740</v>
      </c>
      <c r="AB328" s="239">
        <v>-364740</v>
      </c>
      <c r="AC328" s="239">
        <v>0</v>
      </c>
      <c r="AD328" s="239">
        <v>-364740</v>
      </c>
      <c r="AE328" s="239">
        <v>3584</v>
      </c>
      <c r="AF328" s="239">
        <v>0</v>
      </c>
      <c r="AG328" s="239">
        <v>3584</v>
      </c>
      <c r="AH328" s="239">
        <v>1970699</v>
      </c>
      <c r="AI328" s="239">
        <v>0</v>
      </c>
      <c r="AJ328" s="239">
        <v>1970699</v>
      </c>
      <c r="AK328" s="239">
        <v>20301</v>
      </c>
      <c r="AL328" s="239">
        <v>0</v>
      </c>
      <c r="AM328" s="239">
        <v>20301</v>
      </c>
      <c r="AN328" s="239">
        <v>-4665469</v>
      </c>
      <c r="AO328" s="239">
        <v>0</v>
      </c>
      <c r="AP328" s="239">
        <v>-4665469</v>
      </c>
      <c r="AQ328" s="239">
        <v>-169812</v>
      </c>
      <c r="AR328" s="239">
        <v>0</v>
      </c>
      <c r="AS328" s="239">
        <v>-169812</v>
      </c>
      <c r="AT328" s="239">
        <v>-60612</v>
      </c>
      <c r="AU328" s="239">
        <v>0</v>
      </c>
      <c r="AV328" s="239">
        <v>-60612</v>
      </c>
      <c r="AW328" s="239">
        <v>0</v>
      </c>
      <c r="AX328" s="239">
        <v>0</v>
      </c>
      <c r="AY328" s="239">
        <v>0</v>
      </c>
      <c r="AZ328" s="239">
        <v>-14774</v>
      </c>
      <c r="BA328" s="239">
        <v>0</v>
      </c>
      <c r="BB328" s="239">
        <v>-14774</v>
      </c>
      <c r="BC328" s="239">
        <v>0</v>
      </c>
      <c r="BD328" s="239">
        <v>0</v>
      </c>
      <c r="BE328" s="239">
        <v>0</v>
      </c>
      <c r="BF328" s="239">
        <v>-5861164</v>
      </c>
      <c r="BG328" s="239">
        <v>0</v>
      </c>
      <c r="BH328" s="239">
        <v>-5861164</v>
      </c>
      <c r="BI328" s="239">
        <v>-7658</v>
      </c>
      <c r="BJ328" s="239">
        <v>0</v>
      </c>
      <c r="BK328" s="239">
        <v>-7658</v>
      </c>
      <c r="BL328" s="239">
        <v>0</v>
      </c>
      <c r="BM328" s="239">
        <v>0</v>
      </c>
      <c r="BN328" s="239">
        <v>0</v>
      </c>
      <c r="BO328" s="239">
        <v>-2842230</v>
      </c>
      <c r="BP328" s="239">
        <v>0</v>
      </c>
      <c r="BQ328" s="239">
        <v>-2842230</v>
      </c>
      <c r="BR328" s="239">
        <v>-120937</v>
      </c>
      <c r="BS328" s="239">
        <v>0</v>
      </c>
      <c r="BT328" s="239">
        <v>-120937</v>
      </c>
      <c r="BU328" s="239">
        <v>-2970825</v>
      </c>
      <c r="BV328" s="239">
        <v>0</v>
      </c>
      <c r="BW328" s="239">
        <v>-2970825</v>
      </c>
      <c r="BX328" s="239">
        <v>-190888</v>
      </c>
      <c r="BY328" s="239">
        <v>0</v>
      </c>
      <c r="BZ328" s="239">
        <v>-190888</v>
      </c>
      <c r="CA328" s="239">
        <v>-34906</v>
      </c>
      <c r="CB328" s="239">
        <v>0</v>
      </c>
      <c r="CC328" s="239">
        <v>-34906</v>
      </c>
      <c r="CD328" s="239">
        <v>-57031</v>
      </c>
      <c r="CE328" s="239">
        <v>0</v>
      </c>
      <c r="CF328" s="239">
        <v>-57031</v>
      </c>
      <c r="CG328" s="239">
        <v>800</v>
      </c>
      <c r="CH328" s="239">
        <v>0</v>
      </c>
      <c r="CI328" s="239">
        <v>800</v>
      </c>
      <c r="CJ328" s="239">
        <v>-8068</v>
      </c>
      <c r="CK328" s="239">
        <v>0</v>
      </c>
      <c r="CL328" s="239">
        <v>-8068</v>
      </c>
      <c r="CM328" s="239">
        <v>0</v>
      </c>
      <c r="CN328" s="239">
        <v>0</v>
      </c>
      <c r="CO328" s="239">
        <v>0</v>
      </c>
      <c r="CP328" s="239">
        <v>-11232</v>
      </c>
      <c r="CQ328" s="239">
        <v>0</v>
      </c>
      <c r="CR328" s="239">
        <v>-11232</v>
      </c>
      <c r="CS328" s="239">
        <v>0</v>
      </c>
      <c r="CT328" s="239">
        <v>0</v>
      </c>
      <c r="CU328" s="239">
        <v>0</v>
      </c>
      <c r="CV328" s="239">
        <v>-24399</v>
      </c>
      <c r="CW328" s="239">
        <v>0</v>
      </c>
      <c r="CX328" s="239">
        <v>-24399</v>
      </c>
      <c r="CY328" s="239">
        <v>0</v>
      </c>
      <c r="CZ328" s="239">
        <v>0</v>
      </c>
      <c r="DA328" s="239">
        <v>0</v>
      </c>
      <c r="DB328" s="239">
        <v>0</v>
      </c>
      <c r="DC328" s="239">
        <v>0</v>
      </c>
      <c r="DD328" s="239">
        <v>0</v>
      </c>
      <c r="DE328" s="239">
        <v>6643</v>
      </c>
      <c r="DF328" s="239">
        <v>0</v>
      </c>
      <c r="DG328" s="239">
        <v>6643</v>
      </c>
      <c r="DH328" s="239">
        <v>0</v>
      </c>
      <c r="DI328" s="239">
        <v>0</v>
      </c>
      <c r="DJ328" s="239">
        <v>-319081</v>
      </c>
      <c r="DK328" s="239">
        <v>0</v>
      </c>
      <c r="DL328" s="239">
        <v>-319081</v>
      </c>
      <c r="DM328" s="239">
        <v>0</v>
      </c>
      <c r="DN328" s="239">
        <v>0</v>
      </c>
      <c r="DO328" s="239">
        <v>0</v>
      </c>
      <c r="DP328" s="239">
        <v>0</v>
      </c>
      <c r="DQ328" s="239">
        <v>0</v>
      </c>
      <c r="DR328" s="239">
        <v>0</v>
      </c>
      <c r="DS328" s="239">
        <v>-16552</v>
      </c>
      <c r="DT328" s="239">
        <v>0</v>
      </c>
      <c r="DU328" s="239">
        <v>-16552</v>
      </c>
      <c r="DV328" s="239">
        <v>-20317</v>
      </c>
      <c r="DW328" s="239">
        <v>0</v>
      </c>
      <c r="DX328" s="239">
        <v>-20317</v>
      </c>
      <c r="DY328" s="239">
        <v>0</v>
      </c>
      <c r="DZ328" s="239">
        <v>0</v>
      </c>
      <c r="EA328" s="239">
        <v>0</v>
      </c>
      <c r="EB328" s="239">
        <v>-72870</v>
      </c>
      <c r="EC328" s="239">
        <v>0</v>
      </c>
      <c r="ED328" s="239">
        <v>-72870</v>
      </c>
      <c r="EE328" s="239">
        <v>0</v>
      </c>
      <c r="EF328" s="239">
        <v>0</v>
      </c>
      <c r="EG328" s="239">
        <v>0</v>
      </c>
      <c r="EH328" s="239">
        <v>0</v>
      </c>
      <c r="EI328" s="239">
        <v>0</v>
      </c>
      <c r="EJ328" s="239">
        <v>0</v>
      </c>
      <c r="EK328" s="239">
        <v>-10413</v>
      </c>
      <c r="EL328" s="239">
        <v>0</v>
      </c>
      <c r="EM328" s="239">
        <v>-10413</v>
      </c>
      <c r="EN328" s="239">
        <v>-84</v>
      </c>
      <c r="EO328" s="239">
        <v>0</v>
      </c>
      <c r="EP328" s="239">
        <v>-84</v>
      </c>
      <c r="EQ328" s="239">
        <v>-120236</v>
      </c>
      <c r="ER328" s="239">
        <v>0</v>
      </c>
      <c r="ES328" s="239">
        <v>-120236</v>
      </c>
      <c r="ET328" s="239">
        <v>-1498</v>
      </c>
      <c r="EU328" s="239">
        <v>0</v>
      </c>
      <c r="EV328" s="239">
        <v>-1498</v>
      </c>
      <c r="EW328" s="239">
        <v>-12716</v>
      </c>
      <c r="EX328" s="239">
        <v>0</v>
      </c>
      <c r="EY328" s="239">
        <v>-12716</v>
      </c>
      <c r="EZ328" s="239">
        <v>-14214</v>
      </c>
      <c r="FA328" s="239">
        <v>0</v>
      </c>
      <c r="FB328" s="239">
        <v>-14214</v>
      </c>
      <c r="FC328" s="239">
        <v>81356282</v>
      </c>
      <c r="FD328" s="239">
        <v>0</v>
      </c>
      <c r="FE328" s="239">
        <v>81356282</v>
      </c>
      <c r="FF328" s="239">
        <v>-173170</v>
      </c>
      <c r="FG328" s="239">
        <v>0</v>
      </c>
      <c r="FH328" s="239">
        <v>-173170</v>
      </c>
      <c r="FI328" s="239">
        <v>-5861164</v>
      </c>
      <c r="FJ328" s="239">
        <v>0</v>
      </c>
      <c r="FK328" s="239">
        <v>-5861164</v>
      </c>
      <c r="FL328" s="239">
        <v>-2970825</v>
      </c>
      <c r="FM328" s="239">
        <v>0</v>
      </c>
      <c r="FN328" s="239">
        <v>-2970825</v>
      </c>
      <c r="FO328" s="239">
        <v>-319081</v>
      </c>
      <c r="FP328" s="239">
        <v>0</v>
      </c>
      <c r="FQ328" s="239">
        <v>-319081</v>
      </c>
      <c r="FR328" s="239">
        <v>-120236</v>
      </c>
      <c r="FS328" s="239">
        <v>0</v>
      </c>
      <c r="FT328" s="239">
        <v>-120236</v>
      </c>
      <c r="FU328" s="239">
        <v>-14214</v>
      </c>
      <c r="FV328" s="239">
        <v>0</v>
      </c>
      <c r="FW328" s="239">
        <v>-14214</v>
      </c>
      <c r="FX328" s="239">
        <v>-9458690</v>
      </c>
      <c r="FY328" s="239">
        <v>0</v>
      </c>
      <c r="FZ328" s="239">
        <v>-9458690</v>
      </c>
      <c r="GA328" s="239">
        <v>71897592</v>
      </c>
      <c r="GB328" s="239">
        <v>0</v>
      </c>
      <c r="GC328" s="239">
        <v>71897592</v>
      </c>
      <c r="GD328" s="214" t="s">
        <v>1190</v>
      </c>
    </row>
    <row r="329" spans="2:186" s="214" customFormat="1" x14ac:dyDescent="0.2">
      <c r="B329" s="609" t="s">
        <v>740</v>
      </c>
      <c r="C329" s="609" t="s">
        <v>739</v>
      </c>
      <c r="D329" s="239">
        <v>0</v>
      </c>
      <c r="E329" s="239">
        <v>0</v>
      </c>
      <c r="F329" s="239">
        <v>0</v>
      </c>
      <c r="G329" s="239">
        <v>123399</v>
      </c>
      <c r="H329" s="239">
        <v>0</v>
      </c>
      <c r="I329" s="239">
        <v>123399</v>
      </c>
      <c r="J329" s="239">
        <v>0</v>
      </c>
      <c r="K329" s="239">
        <v>0</v>
      </c>
      <c r="L329" s="239">
        <v>0</v>
      </c>
      <c r="M329" s="239">
        <v>-243</v>
      </c>
      <c r="N329" s="239">
        <v>0</v>
      </c>
      <c r="O329" s="239">
        <v>-243</v>
      </c>
      <c r="P329" s="239">
        <v>123156</v>
      </c>
      <c r="Q329" s="239">
        <v>0</v>
      </c>
      <c r="R329" s="239">
        <v>123156</v>
      </c>
      <c r="S329" s="239">
        <v>-3039011</v>
      </c>
      <c r="T329" s="239">
        <v>-25854</v>
      </c>
      <c r="U329" s="239">
        <v>-3064865</v>
      </c>
      <c r="V329" s="239">
        <v>-16870</v>
      </c>
      <c r="W329" s="239">
        <v>-1184</v>
      </c>
      <c r="X329" s="239">
        <v>-18054</v>
      </c>
      <c r="Y329" s="239">
        <v>-61243</v>
      </c>
      <c r="Z329" s="239">
        <v>-1140</v>
      </c>
      <c r="AA329" s="239">
        <v>-62383</v>
      </c>
      <c r="AB329" s="239">
        <v>-51610</v>
      </c>
      <c r="AC329" s="239">
        <v>-1140</v>
      </c>
      <c r="AD329" s="239">
        <v>-52750</v>
      </c>
      <c r="AE329" s="239">
        <v>-261</v>
      </c>
      <c r="AF329" s="239">
        <v>0</v>
      </c>
      <c r="AG329" s="239">
        <v>-261</v>
      </c>
      <c r="AH329" s="239">
        <v>608780</v>
      </c>
      <c r="AI329" s="239">
        <v>80811</v>
      </c>
      <c r="AJ329" s="239">
        <v>689591</v>
      </c>
      <c r="AK329" s="239">
        <v>-19342</v>
      </c>
      <c r="AL329" s="239">
        <v>-488</v>
      </c>
      <c r="AM329" s="239">
        <v>-19830</v>
      </c>
      <c r="AN329" s="239">
        <v>-1823344</v>
      </c>
      <c r="AO329" s="239">
        <v>-7952</v>
      </c>
      <c r="AP329" s="239">
        <v>-1831296</v>
      </c>
      <c r="AQ329" s="239">
        <v>3242</v>
      </c>
      <c r="AR329" s="239">
        <v>0</v>
      </c>
      <c r="AS329" s="239">
        <v>3242</v>
      </c>
      <c r="AT329" s="239">
        <v>-28832</v>
      </c>
      <c r="AU329" s="239">
        <v>0</v>
      </c>
      <c r="AV329" s="239">
        <v>-28832</v>
      </c>
      <c r="AW329" s="239">
        <v>690</v>
      </c>
      <c r="AX329" s="239">
        <v>0</v>
      </c>
      <c r="AY329" s="239">
        <v>690</v>
      </c>
      <c r="AZ329" s="239">
        <v>-2101</v>
      </c>
      <c r="BA329" s="239">
        <v>0</v>
      </c>
      <c r="BB329" s="239">
        <v>-2101</v>
      </c>
      <c r="BC329" s="239">
        <v>135</v>
      </c>
      <c r="BD329" s="239">
        <v>0</v>
      </c>
      <c r="BE329" s="239">
        <v>135</v>
      </c>
      <c r="BF329" s="239">
        <v>-4361026</v>
      </c>
      <c r="BG329" s="239">
        <v>45377</v>
      </c>
      <c r="BH329" s="239">
        <v>-4315649</v>
      </c>
      <c r="BI329" s="239">
        <v>0</v>
      </c>
      <c r="BJ329" s="239">
        <v>0</v>
      </c>
      <c r="BK329" s="239">
        <v>0</v>
      </c>
      <c r="BL329" s="239">
        <v>0</v>
      </c>
      <c r="BM329" s="239">
        <v>0</v>
      </c>
      <c r="BN329" s="239">
        <v>0</v>
      </c>
      <c r="BO329" s="239">
        <v>-597194</v>
      </c>
      <c r="BP329" s="239">
        <v>-28013</v>
      </c>
      <c r="BQ329" s="239">
        <v>-625207</v>
      </c>
      <c r="BR329" s="239">
        <v>-162572</v>
      </c>
      <c r="BS329" s="239">
        <v>0</v>
      </c>
      <c r="BT329" s="239">
        <v>-162572</v>
      </c>
      <c r="BU329" s="239">
        <v>-759766</v>
      </c>
      <c r="BV329" s="239">
        <v>-28013</v>
      </c>
      <c r="BW329" s="239">
        <v>-787779</v>
      </c>
      <c r="BX329" s="239">
        <v>-3298</v>
      </c>
      <c r="BY329" s="239">
        <v>0</v>
      </c>
      <c r="BZ329" s="239">
        <v>-3298</v>
      </c>
      <c r="CA329" s="239">
        <v>0</v>
      </c>
      <c r="CB329" s="239">
        <v>0</v>
      </c>
      <c r="CC329" s="239">
        <v>0</v>
      </c>
      <c r="CD329" s="239">
        <v>-65138</v>
      </c>
      <c r="CE329" s="239">
        <v>0</v>
      </c>
      <c r="CF329" s="239">
        <v>-65138</v>
      </c>
      <c r="CG329" s="239">
        <v>0</v>
      </c>
      <c r="CH329" s="239">
        <v>0</v>
      </c>
      <c r="CI329" s="239">
        <v>0</v>
      </c>
      <c r="CJ329" s="239">
        <v>0</v>
      </c>
      <c r="CK329" s="239">
        <v>0</v>
      </c>
      <c r="CL329" s="239">
        <v>0</v>
      </c>
      <c r="CM329" s="239">
        <v>0</v>
      </c>
      <c r="CN329" s="239">
        <v>0</v>
      </c>
      <c r="CO329" s="239">
        <v>0</v>
      </c>
      <c r="CP329" s="239">
        <v>0</v>
      </c>
      <c r="CQ329" s="239">
        <v>0</v>
      </c>
      <c r="CR329" s="239">
        <v>0</v>
      </c>
      <c r="CS329" s="239">
        <v>0</v>
      </c>
      <c r="CT329" s="239">
        <v>0</v>
      </c>
      <c r="CU329" s="239">
        <v>0</v>
      </c>
      <c r="CV329" s="239">
        <v>-40</v>
      </c>
      <c r="CW329" s="239">
        <v>0</v>
      </c>
      <c r="CX329" s="239">
        <v>-40</v>
      </c>
      <c r="CY329" s="239">
        <v>0</v>
      </c>
      <c r="CZ329" s="239">
        <v>0</v>
      </c>
      <c r="DA329" s="239">
        <v>0</v>
      </c>
      <c r="DB329" s="239">
        <v>0</v>
      </c>
      <c r="DC329" s="239">
        <v>0</v>
      </c>
      <c r="DD329" s="239">
        <v>0</v>
      </c>
      <c r="DE329" s="239">
        <v>0</v>
      </c>
      <c r="DF329" s="239">
        <v>0</v>
      </c>
      <c r="DG329" s="239">
        <v>0</v>
      </c>
      <c r="DH329" s="239">
        <v>0</v>
      </c>
      <c r="DI329" s="239">
        <v>0</v>
      </c>
      <c r="DJ329" s="239">
        <v>-68476</v>
      </c>
      <c r="DK329" s="239">
        <v>0</v>
      </c>
      <c r="DL329" s="239">
        <v>-68476</v>
      </c>
      <c r="DM329" s="239">
        <v>0</v>
      </c>
      <c r="DN329" s="239">
        <v>0</v>
      </c>
      <c r="DO329" s="239">
        <v>0</v>
      </c>
      <c r="DP329" s="239">
        <v>0</v>
      </c>
      <c r="DQ329" s="239">
        <v>0</v>
      </c>
      <c r="DR329" s="239">
        <v>0</v>
      </c>
      <c r="DS329" s="239">
        <v>-1271</v>
      </c>
      <c r="DT329" s="239">
        <v>0</v>
      </c>
      <c r="DU329" s="239">
        <v>-1271</v>
      </c>
      <c r="DV329" s="239">
        <v>0</v>
      </c>
      <c r="DW329" s="239">
        <v>0</v>
      </c>
      <c r="DX329" s="239">
        <v>0</v>
      </c>
      <c r="DY329" s="239">
        <v>0</v>
      </c>
      <c r="DZ329" s="239">
        <v>0</v>
      </c>
      <c r="EA329" s="239">
        <v>0</v>
      </c>
      <c r="EB329" s="239">
        <v>4193</v>
      </c>
      <c r="EC329" s="239">
        <v>0</v>
      </c>
      <c r="ED329" s="239">
        <v>4193</v>
      </c>
      <c r="EE329" s="239">
        <v>-203</v>
      </c>
      <c r="EF329" s="239">
        <v>0</v>
      </c>
      <c r="EG329" s="239">
        <v>-203</v>
      </c>
      <c r="EH329" s="239">
        <v>455</v>
      </c>
      <c r="EI329" s="239">
        <v>0</v>
      </c>
      <c r="EJ329" s="239">
        <v>455</v>
      </c>
      <c r="EK329" s="239">
        <v>0</v>
      </c>
      <c r="EL329" s="239">
        <v>0</v>
      </c>
      <c r="EM329" s="239">
        <v>0</v>
      </c>
      <c r="EN329" s="239">
        <v>0</v>
      </c>
      <c r="EO329" s="239">
        <v>0</v>
      </c>
      <c r="EP329" s="239">
        <v>0</v>
      </c>
      <c r="EQ329" s="239">
        <v>3174</v>
      </c>
      <c r="ER329" s="239">
        <v>0</v>
      </c>
      <c r="ES329" s="239">
        <v>3174</v>
      </c>
      <c r="ET329" s="239">
        <v>0</v>
      </c>
      <c r="EU329" s="239">
        <v>0</v>
      </c>
      <c r="EV329" s="239">
        <v>0</v>
      </c>
      <c r="EW329" s="239">
        <v>0</v>
      </c>
      <c r="EX329" s="239">
        <v>0</v>
      </c>
      <c r="EY329" s="239">
        <v>0</v>
      </c>
      <c r="EZ329" s="239">
        <v>0</v>
      </c>
      <c r="FA329" s="239">
        <v>0</v>
      </c>
      <c r="FB329" s="239">
        <v>0</v>
      </c>
      <c r="FC329" s="239">
        <v>29058773</v>
      </c>
      <c r="FD329" s="239">
        <v>3064394</v>
      </c>
      <c r="FE329" s="239">
        <v>32123167</v>
      </c>
      <c r="FF329" s="239">
        <v>123156</v>
      </c>
      <c r="FG329" s="239">
        <v>0</v>
      </c>
      <c r="FH329" s="239">
        <v>123156</v>
      </c>
      <c r="FI329" s="239">
        <v>-4361026</v>
      </c>
      <c r="FJ329" s="239">
        <v>45377</v>
      </c>
      <c r="FK329" s="239">
        <v>-4315649</v>
      </c>
      <c r="FL329" s="239">
        <v>-759766</v>
      </c>
      <c r="FM329" s="239">
        <v>-28013</v>
      </c>
      <c r="FN329" s="239">
        <v>-787779</v>
      </c>
      <c r="FO329" s="239">
        <v>-68476</v>
      </c>
      <c r="FP329" s="239">
        <v>0</v>
      </c>
      <c r="FQ329" s="239">
        <v>-68476</v>
      </c>
      <c r="FR329" s="239">
        <v>3174</v>
      </c>
      <c r="FS329" s="239">
        <v>0</v>
      </c>
      <c r="FT329" s="239">
        <v>3174</v>
      </c>
      <c r="FU329" s="239">
        <v>0</v>
      </c>
      <c r="FV329" s="239">
        <v>0</v>
      </c>
      <c r="FW329" s="239">
        <v>0</v>
      </c>
      <c r="FX329" s="239">
        <v>-5062938</v>
      </c>
      <c r="FY329" s="239">
        <v>17364</v>
      </c>
      <c r="FZ329" s="239">
        <v>-5045574</v>
      </c>
      <c r="GA329" s="239">
        <v>23995835</v>
      </c>
      <c r="GB329" s="239">
        <v>3081758</v>
      </c>
      <c r="GC329" s="239">
        <v>27077593</v>
      </c>
      <c r="GD329" s="214" t="s">
        <v>1190</v>
      </c>
    </row>
    <row r="330" spans="2:186" s="214" customFormat="1" x14ac:dyDescent="0.2">
      <c r="B330" s="609" t="s">
        <v>742</v>
      </c>
      <c r="C330" s="609" t="s">
        <v>741</v>
      </c>
      <c r="D330" s="239">
        <v>0</v>
      </c>
      <c r="E330" s="239">
        <v>0</v>
      </c>
      <c r="F330" s="239">
        <v>0</v>
      </c>
      <c r="G330" s="239">
        <v>-1088</v>
      </c>
      <c r="H330" s="239">
        <v>0</v>
      </c>
      <c r="I330" s="239">
        <v>-1088</v>
      </c>
      <c r="J330" s="239">
        <v>0</v>
      </c>
      <c r="K330" s="239">
        <v>0</v>
      </c>
      <c r="L330" s="239">
        <v>0</v>
      </c>
      <c r="M330" s="239">
        <v>37932</v>
      </c>
      <c r="N330" s="239">
        <v>0</v>
      </c>
      <c r="O330" s="239">
        <v>37932</v>
      </c>
      <c r="P330" s="239">
        <v>36844</v>
      </c>
      <c r="Q330" s="239">
        <v>0</v>
      </c>
      <c r="R330" s="239">
        <v>36844</v>
      </c>
      <c r="S330" s="239">
        <v>-2337453</v>
      </c>
      <c r="T330" s="239">
        <v>0</v>
      </c>
      <c r="U330" s="239">
        <v>-2337453</v>
      </c>
      <c r="V330" s="239">
        <v>0</v>
      </c>
      <c r="W330" s="239">
        <v>0</v>
      </c>
      <c r="X330" s="239">
        <v>0</v>
      </c>
      <c r="Y330" s="239">
        <v>-150239</v>
      </c>
      <c r="Z330" s="239">
        <v>0</v>
      </c>
      <c r="AA330" s="239">
        <v>-150239</v>
      </c>
      <c r="AB330" s="239">
        <v>-111212</v>
      </c>
      <c r="AC330" s="239">
        <v>0</v>
      </c>
      <c r="AD330" s="239">
        <v>-111212</v>
      </c>
      <c r="AE330" s="239">
        <v>0</v>
      </c>
      <c r="AF330" s="239">
        <v>0</v>
      </c>
      <c r="AG330" s="239">
        <v>0</v>
      </c>
      <c r="AH330" s="239">
        <v>802197</v>
      </c>
      <c r="AI330" s="239">
        <v>0</v>
      </c>
      <c r="AJ330" s="239">
        <v>802197</v>
      </c>
      <c r="AK330" s="239">
        <v>4414</v>
      </c>
      <c r="AL330" s="239">
        <v>0</v>
      </c>
      <c r="AM330" s="239">
        <v>4414</v>
      </c>
      <c r="AN330" s="239">
        <v>-1979054</v>
      </c>
      <c r="AO330" s="239">
        <v>0</v>
      </c>
      <c r="AP330" s="239">
        <v>-1979054</v>
      </c>
      <c r="AQ330" s="239">
        <v>-78093</v>
      </c>
      <c r="AR330" s="239">
        <v>0</v>
      </c>
      <c r="AS330" s="239">
        <v>-78093</v>
      </c>
      <c r="AT330" s="239">
        <v>-49551</v>
      </c>
      <c r="AU330" s="239">
        <v>0</v>
      </c>
      <c r="AV330" s="239">
        <v>-49551</v>
      </c>
      <c r="AW330" s="239">
        <v>0</v>
      </c>
      <c r="AX330" s="239">
        <v>0</v>
      </c>
      <c r="AY330" s="239">
        <v>0</v>
      </c>
      <c r="AZ330" s="239">
        <v>-9656</v>
      </c>
      <c r="BA330" s="239">
        <v>0</v>
      </c>
      <c r="BB330" s="239">
        <v>-9656</v>
      </c>
      <c r="BC330" s="239">
        <v>0</v>
      </c>
      <c r="BD330" s="239">
        <v>0</v>
      </c>
      <c r="BE330" s="239">
        <v>0</v>
      </c>
      <c r="BF330" s="239">
        <v>-3797435</v>
      </c>
      <c r="BG330" s="239">
        <v>0</v>
      </c>
      <c r="BH330" s="239">
        <v>-3797435</v>
      </c>
      <c r="BI330" s="239">
        <v>-51172</v>
      </c>
      <c r="BJ330" s="239">
        <v>0</v>
      </c>
      <c r="BK330" s="239">
        <v>-51172</v>
      </c>
      <c r="BL330" s="239">
        <v>-15452</v>
      </c>
      <c r="BM330" s="239">
        <v>0</v>
      </c>
      <c r="BN330" s="239">
        <v>-15452</v>
      </c>
      <c r="BO330" s="239">
        <v>-1357703</v>
      </c>
      <c r="BP330" s="239">
        <v>0</v>
      </c>
      <c r="BQ330" s="239">
        <v>-1357703</v>
      </c>
      <c r="BR330" s="239">
        <v>-106430</v>
      </c>
      <c r="BS330" s="239">
        <v>0</v>
      </c>
      <c r="BT330" s="239">
        <v>-106430</v>
      </c>
      <c r="BU330" s="239">
        <v>-1530757</v>
      </c>
      <c r="BV330" s="239">
        <v>0</v>
      </c>
      <c r="BW330" s="239">
        <v>-1530757</v>
      </c>
      <c r="BX330" s="239">
        <v>-81077</v>
      </c>
      <c r="BY330" s="239">
        <v>0</v>
      </c>
      <c r="BZ330" s="239">
        <v>-81077</v>
      </c>
      <c r="CA330" s="239">
        <v>0</v>
      </c>
      <c r="CB330" s="239">
        <v>0</v>
      </c>
      <c r="CC330" s="239">
        <v>0</v>
      </c>
      <c r="CD330" s="239">
        <v>-111711</v>
      </c>
      <c r="CE330" s="239">
        <v>0</v>
      </c>
      <c r="CF330" s="239">
        <v>-111711</v>
      </c>
      <c r="CG330" s="239">
        <v>-2989</v>
      </c>
      <c r="CH330" s="239">
        <v>0</v>
      </c>
      <c r="CI330" s="239">
        <v>-2989</v>
      </c>
      <c r="CJ330" s="239">
        <v>0</v>
      </c>
      <c r="CK330" s="239">
        <v>0</v>
      </c>
      <c r="CL330" s="239">
        <v>0</v>
      </c>
      <c r="CM330" s="239">
        <v>0</v>
      </c>
      <c r="CN330" s="239">
        <v>0</v>
      </c>
      <c r="CO330" s="239">
        <v>0</v>
      </c>
      <c r="CP330" s="239">
        <v>-2840</v>
      </c>
      <c r="CQ330" s="239">
        <v>0</v>
      </c>
      <c r="CR330" s="239">
        <v>-2840</v>
      </c>
      <c r="CS330" s="239">
        <v>0</v>
      </c>
      <c r="CT330" s="239">
        <v>0</v>
      </c>
      <c r="CU330" s="239">
        <v>0</v>
      </c>
      <c r="CV330" s="239">
        <v>0</v>
      </c>
      <c r="CW330" s="239">
        <v>0</v>
      </c>
      <c r="CX330" s="239">
        <v>0</v>
      </c>
      <c r="CY330" s="239">
        <v>0</v>
      </c>
      <c r="CZ330" s="239">
        <v>0</v>
      </c>
      <c r="DA330" s="239">
        <v>0</v>
      </c>
      <c r="DB330" s="239">
        <v>0</v>
      </c>
      <c r="DC330" s="239">
        <v>0</v>
      </c>
      <c r="DD330" s="239">
        <v>0</v>
      </c>
      <c r="DE330" s="239">
        <v>0</v>
      </c>
      <c r="DF330" s="239">
        <v>0</v>
      </c>
      <c r="DG330" s="239">
        <v>0</v>
      </c>
      <c r="DH330" s="239">
        <v>0</v>
      </c>
      <c r="DI330" s="239">
        <v>0</v>
      </c>
      <c r="DJ330" s="239">
        <v>-198617</v>
      </c>
      <c r="DK330" s="239">
        <v>0</v>
      </c>
      <c r="DL330" s="239">
        <v>-198617</v>
      </c>
      <c r="DM330" s="239">
        <v>0</v>
      </c>
      <c r="DN330" s="239">
        <v>0</v>
      </c>
      <c r="DO330" s="239">
        <v>0</v>
      </c>
      <c r="DP330" s="239">
        <v>0</v>
      </c>
      <c r="DQ330" s="239">
        <v>0</v>
      </c>
      <c r="DR330" s="239">
        <v>0</v>
      </c>
      <c r="DS330" s="239">
        <v>-9816</v>
      </c>
      <c r="DT330" s="239">
        <v>0</v>
      </c>
      <c r="DU330" s="239">
        <v>-9816</v>
      </c>
      <c r="DV330" s="239">
        <v>-26</v>
      </c>
      <c r="DW330" s="239">
        <v>0</v>
      </c>
      <c r="DX330" s="239">
        <v>-26</v>
      </c>
      <c r="DY330" s="239">
        <v>0</v>
      </c>
      <c r="DZ330" s="239">
        <v>0</v>
      </c>
      <c r="EA330" s="239">
        <v>0</v>
      </c>
      <c r="EB330" s="239">
        <v>-30602</v>
      </c>
      <c r="EC330" s="239">
        <v>0</v>
      </c>
      <c r="ED330" s="239">
        <v>-30602</v>
      </c>
      <c r="EE330" s="239">
        <v>0</v>
      </c>
      <c r="EF330" s="239">
        <v>0</v>
      </c>
      <c r="EG330" s="239">
        <v>0</v>
      </c>
      <c r="EH330" s="239">
        <v>0</v>
      </c>
      <c r="EI330" s="239">
        <v>0</v>
      </c>
      <c r="EJ330" s="239">
        <v>0</v>
      </c>
      <c r="EK330" s="239">
        <v>-52</v>
      </c>
      <c r="EL330" s="239">
        <v>0</v>
      </c>
      <c r="EM330" s="239">
        <v>-52</v>
      </c>
      <c r="EN330" s="239">
        <v>512</v>
      </c>
      <c r="EO330" s="239">
        <v>0</v>
      </c>
      <c r="EP330" s="239">
        <v>512</v>
      </c>
      <c r="EQ330" s="239">
        <v>-39984</v>
      </c>
      <c r="ER330" s="239">
        <v>0</v>
      </c>
      <c r="ES330" s="239">
        <v>-39984</v>
      </c>
      <c r="ET330" s="239">
        <v>-5855</v>
      </c>
      <c r="EU330" s="239">
        <v>0</v>
      </c>
      <c r="EV330" s="239">
        <v>-5855</v>
      </c>
      <c r="EW330" s="239">
        <v>-64</v>
      </c>
      <c r="EX330" s="239">
        <v>0</v>
      </c>
      <c r="EY330" s="239">
        <v>-64</v>
      </c>
      <c r="EZ330" s="239">
        <v>-5919</v>
      </c>
      <c r="FA330" s="239">
        <v>0</v>
      </c>
      <c r="FB330" s="239">
        <v>-5919</v>
      </c>
      <c r="FC330" s="239">
        <v>36061894</v>
      </c>
      <c r="FD330" s="239">
        <v>0</v>
      </c>
      <c r="FE330" s="239">
        <v>36061894</v>
      </c>
      <c r="FF330" s="239">
        <v>36844</v>
      </c>
      <c r="FG330" s="239">
        <v>0</v>
      </c>
      <c r="FH330" s="239">
        <v>36844</v>
      </c>
      <c r="FI330" s="239">
        <v>-3797435</v>
      </c>
      <c r="FJ330" s="239">
        <v>0</v>
      </c>
      <c r="FK330" s="239">
        <v>-3797435</v>
      </c>
      <c r="FL330" s="239">
        <v>-1530757</v>
      </c>
      <c r="FM330" s="239">
        <v>0</v>
      </c>
      <c r="FN330" s="239">
        <v>-1530757</v>
      </c>
      <c r="FO330" s="239">
        <v>-198617</v>
      </c>
      <c r="FP330" s="239">
        <v>0</v>
      </c>
      <c r="FQ330" s="239">
        <v>-198617</v>
      </c>
      <c r="FR330" s="239">
        <v>-39984</v>
      </c>
      <c r="FS330" s="239">
        <v>0</v>
      </c>
      <c r="FT330" s="239">
        <v>-39984</v>
      </c>
      <c r="FU330" s="239">
        <v>-5919</v>
      </c>
      <c r="FV330" s="239">
        <v>0</v>
      </c>
      <c r="FW330" s="239">
        <v>-5919</v>
      </c>
      <c r="FX330" s="239">
        <v>-5535868</v>
      </c>
      <c r="FY330" s="239">
        <v>0</v>
      </c>
      <c r="FZ330" s="239">
        <v>-5535868</v>
      </c>
      <c r="GA330" s="239">
        <v>30526026</v>
      </c>
      <c r="GB330" s="239">
        <v>0</v>
      </c>
      <c r="GC330" s="239">
        <v>30526026</v>
      </c>
      <c r="GD330" s="214" t="s">
        <v>1190</v>
      </c>
    </row>
    <row r="331" spans="2:186" s="214" customFormat="1" x14ac:dyDescent="0.2">
      <c r="B331" s="609" t="s">
        <v>744</v>
      </c>
      <c r="C331" s="609" t="s">
        <v>743</v>
      </c>
      <c r="D331" s="239">
        <v>0</v>
      </c>
      <c r="E331" s="239">
        <v>0</v>
      </c>
      <c r="F331" s="239">
        <v>0</v>
      </c>
      <c r="G331" s="239">
        <v>173047</v>
      </c>
      <c r="H331" s="239">
        <v>0</v>
      </c>
      <c r="I331" s="239">
        <v>173047</v>
      </c>
      <c r="J331" s="239">
        <v>0</v>
      </c>
      <c r="K331" s="239">
        <v>0</v>
      </c>
      <c r="L331" s="239">
        <v>0</v>
      </c>
      <c r="M331" s="239">
        <v>0</v>
      </c>
      <c r="N331" s="239">
        <v>0</v>
      </c>
      <c r="O331" s="239">
        <v>0</v>
      </c>
      <c r="P331" s="239">
        <v>173047</v>
      </c>
      <c r="Q331" s="239">
        <v>0</v>
      </c>
      <c r="R331" s="239">
        <v>173047</v>
      </c>
      <c r="S331" s="239">
        <v>-3593670</v>
      </c>
      <c r="T331" s="239">
        <v>0</v>
      </c>
      <c r="U331" s="239">
        <v>-3593670</v>
      </c>
      <c r="V331" s="239">
        <v>-28122</v>
      </c>
      <c r="W331" s="239">
        <v>0</v>
      </c>
      <c r="X331" s="239">
        <v>-28122</v>
      </c>
      <c r="Y331" s="239">
        <v>-198911</v>
      </c>
      <c r="Z331" s="239">
        <v>0</v>
      </c>
      <c r="AA331" s="239">
        <v>-198911</v>
      </c>
      <c r="AB331" s="239">
        <v>-198911</v>
      </c>
      <c r="AC331" s="239">
        <v>0</v>
      </c>
      <c r="AD331" s="239">
        <v>-198911</v>
      </c>
      <c r="AE331" s="239">
        <v>-4596</v>
      </c>
      <c r="AF331" s="239">
        <v>0</v>
      </c>
      <c r="AG331" s="239">
        <v>-4596</v>
      </c>
      <c r="AH331" s="239">
        <v>2886547</v>
      </c>
      <c r="AI331" s="239">
        <v>0</v>
      </c>
      <c r="AJ331" s="239">
        <v>2886547</v>
      </c>
      <c r="AK331" s="239">
        <v>-18425</v>
      </c>
      <c r="AL331" s="239">
        <v>0</v>
      </c>
      <c r="AM331" s="239">
        <v>-18425</v>
      </c>
      <c r="AN331" s="239">
        <v>-9085775</v>
      </c>
      <c r="AO331" s="239">
        <v>0</v>
      </c>
      <c r="AP331" s="239">
        <v>-9085775</v>
      </c>
      <c r="AQ331" s="239">
        <v>989820</v>
      </c>
      <c r="AR331" s="239">
        <v>0</v>
      </c>
      <c r="AS331" s="239">
        <v>989820</v>
      </c>
      <c r="AT331" s="239">
        <v>-94554</v>
      </c>
      <c r="AU331" s="239">
        <v>0</v>
      </c>
      <c r="AV331" s="239">
        <v>-94554</v>
      </c>
      <c r="AW331" s="239">
        <v>-45</v>
      </c>
      <c r="AX331" s="239">
        <v>0</v>
      </c>
      <c r="AY331" s="239">
        <v>-45</v>
      </c>
      <c r="AZ331" s="239">
        <v>-8089</v>
      </c>
      <c r="BA331" s="239">
        <v>0</v>
      </c>
      <c r="BB331" s="239">
        <v>-8089</v>
      </c>
      <c r="BC331" s="239">
        <v>0</v>
      </c>
      <c r="BD331" s="239">
        <v>0</v>
      </c>
      <c r="BE331" s="239">
        <v>0</v>
      </c>
      <c r="BF331" s="239">
        <v>-9123102</v>
      </c>
      <c r="BG331" s="239">
        <v>0</v>
      </c>
      <c r="BH331" s="239">
        <v>-9123102</v>
      </c>
      <c r="BI331" s="239">
        <v>-52468</v>
      </c>
      <c r="BJ331" s="239">
        <v>0</v>
      </c>
      <c r="BK331" s="239">
        <v>-52468</v>
      </c>
      <c r="BL331" s="239">
        <v>-28298</v>
      </c>
      <c r="BM331" s="239">
        <v>0</v>
      </c>
      <c r="BN331" s="239">
        <v>-28298</v>
      </c>
      <c r="BO331" s="239">
        <v>-3205404</v>
      </c>
      <c r="BP331" s="239">
        <v>0</v>
      </c>
      <c r="BQ331" s="239">
        <v>-3205404</v>
      </c>
      <c r="BR331" s="239">
        <v>-397657</v>
      </c>
      <c r="BS331" s="239">
        <v>0</v>
      </c>
      <c r="BT331" s="239">
        <v>-397657</v>
      </c>
      <c r="BU331" s="239">
        <v>-3683827</v>
      </c>
      <c r="BV331" s="239">
        <v>0</v>
      </c>
      <c r="BW331" s="239">
        <v>-3683827</v>
      </c>
      <c r="BX331" s="239">
        <v>-74333</v>
      </c>
      <c r="BY331" s="239">
        <v>0</v>
      </c>
      <c r="BZ331" s="239">
        <v>-74333</v>
      </c>
      <c r="CA331" s="239">
        <v>-22</v>
      </c>
      <c r="CB331" s="239">
        <v>0</v>
      </c>
      <c r="CC331" s="239">
        <v>-22</v>
      </c>
      <c r="CD331" s="239">
        <v>-9713</v>
      </c>
      <c r="CE331" s="239">
        <v>0</v>
      </c>
      <c r="CF331" s="239">
        <v>-9713</v>
      </c>
      <c r="CG331" s="239">
        <v>1234</v>
      </c>
      <c r="CH331" s="239">
        <v>0</v>
      </c>
      <c r="CI331" s="239">
        <v>1234</v>
      </c>
      <c r="CJ331" s="239">
        <v>-13212</v>
      </c>
      <c r="CK331" s="239">
        <v>0</v>
      </c>
      <c r="CL331" s="239">
        <v>-13212</v>
      </c>
      <c r="CM331" s="239">
        <v>-7</v>
      </c>
      <c r="CN331" s="239">
        <v>0</v>
      </c>
      <c r="CO331" s="239">
        <v>-7</v>
      </c>
      <c r="CP331" s="239">
        <v>-2808</v>
      </c>
      <c r="CQ331" s="239">
        <v>0</v>
      </c>
      <c r="CR331" s="239">
        <v>-2808</v>
      </c>
      <c r="CS331" s="239">
        <v>0</v>
      </c>
      <c r="CT331" s="239">
        <v>0</v>
      </c>
      <c r="CU331" s="239">
        <v>0</v>
      </c>
      <c r="CV331" s="239">
        <v>-32633</v>
      </c>
      <c r="CW331" s="239">
        <v>0</v>
      </c>
      <c r="CX331" s="239">
        <v>-32633</v>
      </c>
      <c r="CY331" s="239">
        <v>2691</v>
      </c>
      <c r="CZ331" s="239">
        <v>0</v>
      </c>
      <c r="DA331" s="239">
        <v>2691</v>
      </c>
      <c r="DB331" s="239">
        <v>-22343</v>
      </c>
      <c r="DC331" s="239">
        <v>0</v>
      </c>
      <c r="DD331" s="239">
        <v>-22343</v>
      </c>
      <c r="DE331" s="239">
        <v>0</v>
      </c>
      <c r="DF331" s="239">
        <v>0</v>
      </c>
      <c r="DG331" s="239">
        <v>0</v>
      </c>
      <c r="DH331" s="239">
        <v>0</v>
      </c>
      <c r="DI331" s="239">
        <v>0</v>
      </c>
      <c r="DJ331" s="239">
        <v>-151146</v>
      </c>
      <c r="DK331" s="239">
        <v>0</v>
      </c>
      <c r="DL331" s="239">
        <v>-151146</v>
      </c>
      <c r="DM331" s="239">
        <v>-2695</v>
      </c>
      <c r="DN331" s="239">
        <v>0</v>
      </c>
      <c r="DO331" s="239">
        <v>-2695</v>
      </c>
      <c r="DP331" s="239">
        <v>3529</v>
      </c>
      <c r="DQ331" s="239">
        <v>0</v>
      </c>
      <c r="DR331" s="239">
        <v>3529</v>
      </c>
      <c r="DS331" s="239">
        <v>-64216</v>
      </c>
      <c r="DT331" s="239">
        <v>0</v>
      </c>
      <c r="DU331" s="239">
        <v>-64216</v>
      </c>
      <c r="DV331" s="239">
        <v>-42976</v>
      </c>
      <c r="DW331" s="239">
        <v>0</v>
      </c>
      <c r="DX331" s="239">
        <v>-42976</v>
      </c>
      <c r="DY331" s="239">
        <v>0</v>
      </c>
      <c r="DZ331" s="239">
        <v>0</v>
      </c>
      <c r="EA331" s="239">
        <v>0</v>
      </c>
      <c r="EB331" s="239">
        <v>-9546</v>
      </c>
      <c r="EC331" s="239">
        <v>0</v>
      </c>
      <c r="ED331" s="239">
        <v>-9546</v>
      </c>
      <c r="EE331" s="239">
        <v>-57463</v>
      </c>
      <c r="EF331" s="239">
        <v>0</v>
      </c>
      <c r="EG331" s="239">
        <v>-57463</v>
      </c>
      <c r="EH331" s="239">
        <v>91375</v>
      </c>
      <c r="EI331" s="239">
        <v>0</v>
      </c>
      <c r="EJ331" s="239">
        <v>91375</v>
      </c>
      <c r="EK331" s="239">
        <v>0</v>
      </c>
      <c r="EL331" s="239">
        <v>0</v>
      </c>
      <c r="EM331" s="239">
        <v>0</v>
      </c>
      <c r="EN331" s="239">
        <v>0</v>
      </c>
      <c r="EO331" s="239">
        <v>0</v>
      </c>
      <c r="EP331" s="239">
        <v>0</v>
      </c>
      <c r="EQ331" s="239">
        <v>-81992</v>
      </c>
      <c r="ER331" s="239">
        <v>0</v>
      </c>
      <c r="ES331" s="239">
        <v>-81992</v>
      </c>
      <c r="ET331" s="239">
        <v>0</v>
      </c>
      <c r="EU331" s="239">
        <v>0</v>
      </c>
      <c r="EV331" s="239">
        <v>0</v>
      </c>
      <c r="EW331" s="239">
        <v>0</v>
      </c>
      <c r="EX331" s="239">
        <v>0</v>
      </c>
      <c r="EY331" s="239">
        <v>0</v>
      </c>
      <c r="EZ331" s="239">
        <v>0</v>
      </c>
      <c r="FA331" s="239">
        <v>0</v>
      </c>
      <c r="FB331" s="239">
        <v>0</v>
      </c>
      <c r="FC331" s="239">
        <v>114119269</v>
      </c>
      <c r="FD331" s="239">
        <v>0</v>
      </c>
      <c r="FE331" s="239">
        <v>114119269</v>
      </c>
      <c r="FF331" s="239">
        <v>173047</v>
      </c>
      <c r="FG331" s="239">
        <v>0</v>
      </c>
      <c r="FH331" s="239">
        <v>173047</v>
      </c>
      <c r="FI331" s="239">
        <v>-9123102</v>
      </c>
      <c r="FJ331" s="239">
        <v>0</v>
      </c>
      <c r="FK331" s="239">
        <v>-9123102</v>
      </c>
      <c r="FL331" s="239">
        <v>-3683827</v>
      </c>
      <c r="FM331" s="239">
        <v>0</v>
      </c>
      <c r="FN331" s="239">
        <v>-3683827</v>
      </c>
      <c r="FO331" s="239">
        <v>-151146</v>
      </c>
      <c r="FP331" s="239">
        <v>0</v>
      </c>
      <c r="FQ331" s="239">
        <v>-151146</v>
      </c>
      <c r="FR331" s="239">
        <v>-81992</v>
      </c>
      <c r="FS331" s="239">
        <v>0</v>
      </c>
      <c r="FT331" s="239">
        <v>-81992</v>
      </c>
      <c r="FU331" s="239">
        <v>0</v>
      </c>
      <c r="FV331" s="239">
        <v>0</v>
      </c>
      <c r="FW331" s="239">
        <v>0</v>
      </c>
      <c r="FX331" s="239">
        <v>-12867020</v>
      </c>
      <c r="FY331" s="239">
        <v>0</v>
      </c>
      <c r="FZ331" s="239">
        <v>-12867020</v>
      </c>
      <c r="GA331" s="239">
        <v>101252249</v>
      </c>
      <c r="GB331" s="239">
        <v>0</v>
      </c>
      <c r="GC331" s="239">
        <v>101252249</v>
      </c>
      <c r="GD331" s="214" t="s">
        <v>747</v>
      </c>
    </row>
    <row r="332" spans="2:186" s="214" customFormat="1" x14ac:dyDescent="0.2">
      <c r="B332" s="609" t="s">
        <v>1182</v>
      </c>
      <c r="C332" s="609" t="s">
        <v>1176</v>
      </c>
      <c r="D332" s="239">
        <v>0</v>
      </c>
      <c r="E332" s="239">
        <v>0</v>
      </c>
      <c r="F332" s="239">
        <v>0</v>
      </c>
      <c r="G332" s="239">
        <v>81771503.450000003</v>
      </c>
      <c r="H332" s="239">
        <v>549782</v>
      </c>
      <c r="I332" s="239">
        <v>82321285.450000003</v>
      </c>
      <c r="J332" s="239">
        <v>0</v>
      </c>
      <c r="K332" s="239">
        <v>0</v>
      </c>
      <c r="L332" s="239">
        <v>0</v>
      </c>
      <c r="M332" s="239">
        <v>26479925.020000003</v>
      </c>
      <c r="N332" s="239">
        <v>220335</v>
      </c>
      <c r="O332" s="239">
        <v>26700260.020000003</v>
      </c>
      <c r="P332" s="239">
        <v>108251428</v>
      </c>
      <c r="Q332" s="239">
        <v>770117</v>
      </c>
      <c r="R332" s="239">
        <v>109021545</v>
      </c>
      <c r="S332" s="239">
        <v>-1162893781</v>
      </c>
      <c r="T332" s="239">
        <v>-2572324</v>
      </c>
      <c r="U332" s="239">
        <v>-1165466105</v>
      </c>
      <c r="V332" s="239">
        <v>-3077139.6799999997</v>
      </c>
      <c r="W332" s="239">
        <v>-19131</v>
      </c>
      <c r="X332" s="239">
        <v>-3096270.6799999997</v>
      </c>
      <c r="Y332" s="239">
        <v>-61563862.299999997</v>
      </c>
      <c r="Z332" s="239">
        <v>-163204</v>
      </c>
      <c r="AA332" s="239">
        <v>-61727066.299999997</v>
      </c>
      <c r="AB332" s="239">
        <v>-42717786</v>
      </c>
      <c r="AC332" s="239">
        <v>-131543</v>
      </c>
      <c r="AD332" s="239">
        <v>-42849329</v>
      </c>
      <c r="AE332" s="239">
        <v>-190816.85</v>
      </c>
      <c r="AF332" s="239">
        <v>-5021</v>
      </c>
      <c r="AG332" s="239">
        <v>-195837.85</v>
      </c>
      <c r="AH332" s="239">
        <v>646420456.44000006</v>
      </c>
      <c r="AI332" s="239">
        <v>4701871.91</v>
      </c>
      <c r="AJ332" s="239">
        <v>651122328.35000002</v>
      </c>
      <c r="AK332" s="239">
        <v>-7630195.4399999995</v>
      </c>
      <c r="AL332" s="239">
        <v>-127747</v>
      </c>
      <c r="AM332" s="239">
        <v>-7757942.4399999995</v>
      </c>
      <c r="AN332" s="239">
        <v>-1609854194</v>
      </c>
      <c r="AO332" s="239">
        <v>-6644576</v>
      </c>
      <c r="AP332" s="239">
        <v>-1616498770</v>
      </c>
      <c r="AQ332" s="239">
        <v>-14287111.720000001</v>
      </c>
      <c r="AR332" s="239">
        <v>-310382</v>
      </c>
      <c r="AS332" s="239">
        <v>-14597493.720000001</v>
      </c>
      <c r="AT332" s="239">
        <v>-19468956</v>
      </c>
      <c r="AU332" s="239">
        <v>0</v>
      </c>
      <c r="AV332" s="239">
        <v>-19468956</v>
      </c>
      <c r="AW332" s="239">
        <v>-825013</v>
      </c>
      <c r="AX332" s="239">
        <v>0</v>
      </c>
      <c r="AY332" s="239">
        <v>-825013</v>
      </c>
      <c r="AZ332" s="239">
        <v>-5823102</v>
      </c>
      <c r="BA332" s="239">
        <v>0</v>
      </c>
      <c r="BB332" s="239">
        <v>-5823102</v>
      </c>
      <c r="BC332" s="239">
        <v>-135576.32000000001</v>
      </c>
      <c r="BD332" s="239">
        <v>0</v>
      </c>
      <c r="BE332" s="239">
        <v>-135576.32000000001</v>
      </c>
      <c r="BF332" s="239">
        <v>-2236061335</v>
      </c>
      <c r="BG332" s="239">
        <v>-5116361</v>
      </c>
      <c r="BH332" s="239">
        <v>-2241177696</v>
      </c>
      <c r="BI332" s="239">
        <v>-27986240</v>
      </c>
      <c r="BJ332" s="239">
        <v>-13059</v>
      </c>
      <c r="BK332" s="239">
        <v>-27999299</v>
      </c>
      <c r="BL332" s="239">
        <v>-2041272</v>
      </c>
      <c r="BM332" s="239">
        <v>-73339</v>
      </c>
      <c r="BN332" s="239">
        <v>-2114611</v>
      </c>
      <c r="BO332" s="239">
        <v>-933388127</v>
      </c>
      <c r="BP332" s="239">
        <v>-16278039</v>
      </c>
      <c r="BQ332" s="239">
        <v>-949666166</v>
      </c>
      <c r="BR332" s="239">
        <v>-18728054.140000001</v>
      </c>
      <c r="BS332" s="239">
        <v>428409</v>
      </c>
      <c r="BT332" s="239">
        <v>-18299645.140000001</v>
      </c>
      <c r="BU332" s="239">
        <v>-982143693</v>
      </c>
      <c r="BV332" s="239">
        <v>-15936028</v>
      </c>
      <c r="BW332" s="239">
        <v>-998079721</v>
      </c>
      <c r="BX332" s="239">
        <v>-43546442</v>
      </c>
      <c r="BY332" s="239">
        <v>-65529</v>
      </c>
      <c r="BZ332" s="239">
        <v>-43611971</v>
      </c>
      <c r="CA332" s="239">
        <v>-1018949.29</v>
      </c>
      <c r="CB332" s="239">
        <v>-14185</v>
      </c>
      <c r="CC332" s="239">
        <v>-1033134.29</v>
      </c>
      <c r="CD332" s="239">
        <v>-40349141</v>
      </c>
      <c r="CE332" s="239">
        <v>-321563</v>
      </c>
      <c r="CF332" s="239">
        <v>-40670704</v>
      </c>
      <c r="CG332" s="239">
        <v>-3684514.06</v>
      </c>
      <c r="CH332" s="239">
        <v>-16496</v>
      </c>
      <c r="CI332" s="239">
        <v>-3701010.06</v>
      </c>
      <c r="CJ332" s="239">
        <v>-1336227</v>
      </c>
      <c r="CK332" s="239">
        <v>0</v>
      </c>
      <c r="CL332" s="239">
        <v>-1336227</v>
      </c>
      <c r="CM332" s="239">
        <v>-146138</v>
      </c>
      <c r="CN332" s="239">
        <v>0</v>
      </c>
      <c r="CO332" s="239">
        <v>-146138</v>
      </c>
      <c r="CP332" s="239">
        <v>-2849273</v>
      </c>
      <c r="CQ332" s="239">
        <v>0</v>
      </c>
      <c r="CR332" s="239">
        <v>-2849273</v>
      </c>
      <c r="CS332" s="239">
        <v>-50427</v>
      </c>
      <c r="CT332" s="239">
        <v>0</v>
      </c>
      <c r="CU332" s="239">
        <v>-50427</v>
      </c>
      <c r="CV332" s="239">
        <v>-1595270</v>
      </c>
      <c r="CW332" s="239">
        <v>0</v>
      </c>
      <c r="CX332" s="239">
        <v>-1595270</v>
      </c>
      <c r="CY332" s="239">
        <v>-34508.080000000002</v>
      </c>
      <c r="CZ332" s="239">
        <v>0</v>
      </c>
      <c r="DA332" s="239">
        <v>-34508.080000000002</v>
      </c>
      <c r="DB332" s="239">
        <v>-5980295</v>
      </c>
      <c r="DC332" s="239">
        <v>-11063546</v>
      </c>
      <c r="DD332" s="239">
        <v>-17043841</v>
      </c>
      <c r="DE332" s="239">
        <v>-482466.06</v>
      </c>
      <c r="DF332" s="239">
        <v>-1694727</v>
      </c>
      <c r="DG332" s="239">
        <v>-2177193.06</v>
      </c>
      <c r="DH332" s="239">
        <v>-12533574</v>
      </c>
      <c r="DI332" s="239">
        <v>-3154793</v>
      </c>
      <c r="DJ332" s="239">
        <v>-101073650</v>
      </c>
      <c r="DK332" s="239">
        <v>-13176046</v>
      </c>
      <c r="DL332" s="239">
        <v>-114249696</v>
      </c>
      <c r="DM332" s="239">
        <v>-6989776</v>
      </c>
      <c r="DN332" s="239">
        <v>-297262</v>
      </c>
      <c r="DO332" s="239">
        <v>-7287038</v>
      </c>
      <c r="DP332" s="239">
        <v>-658953</v>
      </c>
      <c r="DQ332" s="239">
        <v>-11897</v>
      </c>
      <c r="DR332" s="239">
        <v>-670850</v>
      </c>
      <c r="DS332" s="239">
        <v>-9612530</v>
      </c>
      <c r="DT332" s="239">
        <v>-52141</v>
      </c>
      <c r="DU332" s="239">
        <v>-9664671</v>
      </c>
      <c r="DV332" s="239">
        <v>-2614150</v>
      </c>
      <c r="DW332" s="239">
        <v>-9328</v>
      </c>
      <c r="DX332" s="239">
        <v>-2623478</v>
      </c>
      <c r="DY332" s="239">
        <v>0</v>
      </c>
      <c r="DZ332" s="239">
        <v>0</v>
      </c>
      <c r="EA332" s="239">
        <v>0</v>
      </c>
      <c r="EB332" s="239">
        <v>-1731390.62</v>
      </c>
      <c r="EC332" s="239">
        <v>-22284</v>
      </c>
      <c r="ED332" s="239">
        <v>-1753674.62</v>
      </c>
      <c r="EE332" s="239">
        <v>-1593659</v>
      </c>
      <c r="EF332" s="239">
        <v>0</v>
      </c>
      <c r="EG332" s="239">
        <v>-1593659</v>
      </c>
      <c r="EH332" s="239">
        <v>-810178</v>
      </c>
      <c r="EI332" s="239">
        <v>0</v>
      </c>
      <c r="EJ332" s="239">
        <v>-810178</v>
      </c>
      <c r="EK332" s="239">
        <v>-2140767</v>
      </c>
      <c r="EL332" s="239">
        <v>2829</v>
      </c>
      <c r="EM332" s="239">
        <v>-2137938</v>
      </c>
      <c r="EN332" s="239">
        <v>142408.72</v>
      </c>
      <c r="EO332" s="239">
        <v>254</v>
      </c>
      <c r="EP332" s="239">
        <v>142662.72</v>
      </c>
      <c r="EQ332" s="239">
        <v>-26008995</v>
      </c>
      <c r="ER332" s="239">
        <v>-389829</v>
      </c>
      <c r="ES332" s="239">
        <v>-26398824</v>
      </c>
      <c r="ET332" s="239">
        <v>-1899545</v>
      </c>
      <c r="EU332" s="239">
        <v>-7865</v>
      </c>
      <c r="EV332" s="239">
        <v>-1907410</v>
      </c>
      <c r="EW332" s="239">
        <v>2254</v>
      </c>
      <c r="EX332" s="239">
        <v>-725</v>
      </c>
      <c r="EY332" s="239">
        <v>1529</v>
      </c>
      <c r="EZ332" s="239">
        <v>-1897291</v>
      </c>
      <c r="FA332" s="239">
        <v>-8590</v>
      </c>
      <c r="FB332" s="239">
        <v>-1905881</v>
      </c>
      <c r="FC332" s="239">
        <v>27016751442.889999</v>
      </c>
      <c r="FD332" s="239">
        <v>197817857</v>
      </c>
      <c r="FE332" s="239">
        <v>27214569299.889999</v>
      </c>
      <c r="FF332" s="239">
        <v>108251428</v>
      </c>
      <c r="FG332" s="239">
        <v>770117</v>
      </c>
      <c r="FH332" s="239">
        <v>109021545</v>
      </c>
      <c r="FI332" s="239">
        <v>-2236061335</v>
      </c>
      <c r="FJ332" s="239">
        <v>-5116361</v>
      </c>
      <c r="FK332" s="239">
        <v>-2241177696</v>
      </c>
      <c r="FL332" s="239">
        <v>-982143693</v>
      </c>
      <c r="FM332" s="239">
        <v>-15936028</v>
      </c>
      <c r="FN332" s="239">
        <v>-998079721</v>
      </c>
      <c r="FO332" s="239">
        <v>-101073650</v>
      </c>
      <c r="FP332" s="239">
        <v>-13176046</v>
      </c>
      <c r="FQ332" s="239">
        <v>-114249696</v>
      </c>
      <c r="FR332" s="239">
        <v>-26008995</v>
      </c>
      <c r="FS332" s="239">
        <v>-389829</v>
      </c>
      <c r="FT332" s="239">
        <v>-26398824</v>
      </c>
      <c r="FU332" s="239">
        <v>-1897291</v>
      </c>
      <c r="FV332" s="239">
        <v>-8590</v>
      </c>
      <c r="FW332" s="239">
        <v>-1905881</v>
      </c>
      <c r="FX332" s="239">
        <v>-3238933536</v>
      </c>
      <c r="FY332" s="239">
        <v>-33856737</v>
      </c>
      <c r="FZ332" s="239">
        <v>-3272790273</v>
      </c>
      <c r="GA332" s="239">
        <v>23777817906.889999</v>
      </c>
      <c r="GB332" s="239">
        <v>163961120</v>
      </c>
      <c r="GC332" s="239">
        <v>23941779026.889999</v>
      </c>
    </row>
  </sheetData>
  <mergeCells count="60">
    <mergeCell ref="AK2:AM2"/>
    <mergeCell ref="D2:F2"/>
    <mergeCell ref="G2:I2"/>
    <mergeCell ref="J2:L2"/>
    <mergeCell ref="M2:O2"/>
    <mergeCell ref="P2:R2"/>
    <mergeCell ref="S2:U2"/>
    <mergeCell ref="V2:X2"/>
    <mergeCell ref="Y2:AA2"/>
    <mergeCell ref="AB2:AD2"/>
    <mergeCell ref="AE2:AG2"/>
    <mergeCell ref="AH2:AJ2"/>
    <mergeCell ref="BU2:BW2"/>
    <mergeCell ref="AN2:AP2"/>
    <mergeCell ref="AQ2:AS2"/>
    <mergeCell ref="AT2:AV2"/>
    <mergeCell ref="AW2:AY2"/>
    <mergeCell ref="AZ2:BB2"/>
    <mergeCell ref="BC2:BE2"/>
    <mergeCell ref="BF2:BH2"/>
    <mergeCell ref="BI2:BK2"/>
    <mergeCell ref="BL2:BN2"/>
    <mergeCell ref="BO2:BQ2"/>
    <mergeCell ref="BR2:BT2"/>
    <mergeCell ref="DE2:DG2"/>
    <mergeCell ref="BX2:BZ2"/>
    <mergeCell ref="CA2:CC2"/>
    <mergeCell ref="CD2:CF2"/>
    <mergeCell ref="CG2:CI2"/>
    <mergeCell ref="CJ2:CL2"/>
    <mergeCell ref="CM2:CO2"/>
    <mergeCell ref="CP2:CR2"/>
    <mergeCell ref="CS2:CU2"/>
    <mergeCell ref="CV2:CX2"/>
    <mergeCell ref="CY2:DA2"/>
    <mergeCell ref="DB2:DD2"/>
    <mergeCell ref="EQ2:ES2"/>
    <mergeCell ref="DJ2:DL2"/>
    <mergeCell ref="DM2:DO2"/>
    <mergeCell ref="DP2:DR2"/>
    <mergeCell ref="DS2:DU2"/>
    <mergeCell ref="DV2:DX2"/>
    <mergeCell ref="DY2:EA2"/>
    <mergeCell ref="EB2:ED2"/>
    <mergeCell ref="EE2:EG2"/>
    <mergeCell ref="EH2:EJ2"/>
    <mergeCell ref="EK2:EM2"/>
    <mergeCell ref="EN2:EP2"/>
    <mergeCell ref="ET2:EV2"/>
    <mergeCell ref="EW2:EY2"/>
    <mergeCell ref="EZ2:FB2"/>
    <mergeCell ref="FC2:FE2"/>
    <mergeCell ref="FF2:FH2"/>
    <mergeCell ref="GA2:GC2"/>
    <mergeCell ref="FI2:FK2"/>
    <mergeCell ref="FL2:FN2"/>
    <mergeCell ref="FO2:FQ2"/>
    <mergeCell ref="FR2:FT2"/>
    <mergeCell ref="FU2:FW2"/>
    <mergeCell ref="FX2:FZ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332"/>
  <sheetViews>
    <sheetView workbookViewId="0"/>
  </sheetViews>
  <sheetFormatPr defaultRowHeight="12.75" x14ac:dyDescent="0.2"/>
  <cols>
    <col min="1" max="1" width="3.85546875" customWidth="1"/>
    <col min="3" max="3" width="30.42578125" customWidth="1"/>
    <col min="4" max="4" width="11.7109375" bestFit="1" customWidth="1"/>
    <col min="5" max="5" width="9.28515625" bestFit="1" customWidth="1"/>
    <col min="6" max="6" width="11.7109375" bestFit="1" customWidth="1"/>
    <col min="7" max="9" width="9.28515625" bestFit="1" customWidth="1"/>
    <col min="10" max="10" width="11.7109375" bestFit="1" customWidth="1"/>
    <col min="11" max="11" width="9.28515625" bestFit="1" customWidth="1"/>
    <col min="12" max="12" width="12.140625" customWidth="1"/>
    <col min="13" max="13" width="11.85546875" customWidth="1"/>
    <col min="14" max="14" width="10.140625" bestFit="1" customWidth="1"/>
    <col min="15" max="15" width="10.42578125" customWidth="1"/>
    <col min="16" max="16" width="11.85546875" customWidth="1"/>
    <col min="17" max="17" width="11" customWidth="1"/>
    <col min="18" max="18" width="12" customWidth="1"/>
    <col min="19" max="19" width="10.140625" bestFit="1" customWidth="1"/>
    <col min="20" max="20" width="9.28515625" bestFit="1" customWidth="1"/>
    <col min="21" max="21" width="10.140625" bestFit="1" customWidth="1"/>
    <col min="22" max="22" width="9.28515625" bestFit="1" customWidth="1"/>
    <col min="23" max="23" width="10.140625" bestFit="1" customWidth="1"/>
    <col min="24" max="24" width="10.140625" customWidth="1"/>
    <col min="25" max="36" width="9.28515625" bestFit="1" customWidth="1"/>
    <col min="37" max="37" width="11.140625" bestFit="1" customWidth="1"/>
    <col min="38" max="38" width="10.140625" bestFit="1" customWidth="1"/>
    <col min="39" max="39" width="9.28515625" bestFit="1" customWidth="1"/>
    <col min="40" max="40" width="11.140625" bestFit="1" customWidth="1"/>
    <col min="41" max="41" width="10.140625" bestFit="1" customWidth="1"/>
    <col min="42" max="42" width="9.28515625" bestFit="1" customWidth="1"/>
    <col min="43" max="43" width="10.140625" bestFit="1" customWidth="1"/>
    <col min="44" max="72" width="9.28515625" bestFit="1" customWidth="1"/>
    <col min="73" max="73" width="11.140625" bestFit="1" customWidth="1"/>
    <col min="74" max="74" width="10.140625" bestFit="1" customWidth="1"/>
    <col min="75" max="75" width="9.28515625" bestFit="1" customWidth="1"/>
    <col min="76" max="76" width="11.140625" bestFit="1" customWidth="1"/>
    <col min="77" max="77" width="10.140625" bestFit="1" customWidth="1"/>
    <col min="78" max="78" width="9.28515625" bestFit="1" customWidth="1"/>
    <col min="79" max="79" width="9.7109375" bestFit="1" customWidth="1"/>
    <col min="80" max="87" width="9.28515625" bestFit="1" customWidth="1"/>
    <col min="88" max="88" width="9.7109375" bestFit="1" customWidth="1"/>
    <col min="89" max="99" width="9.28515625" bestFit="1" customWidth="1"/>
    <col min="100" max="100" width="11.140625" bestFit="1" customWidth="1"/>
    <col min="101" max="101" width="10.140625" bestFit="1" customWidth="1"/>
    <col min="102" max="102" width="9.28515625" bestFit="1" customWidth="1"/>
    <col min="103" max="103" width="11.140625" bestFit="1" customWidth="1"/>
    <col min="104" max="104" width="10.140625" bestFit="1" customWidth="1"/>
    <col min="105" max="105" width="9.28515625" bestFit="1" customWidth="1"/>
    <col min="106" max="106" width="9.7109375" bestFit="1" customWidth="1"/>
    <col min="107" max="108" width="9.28515625" bestFit="1" customWidth="1"/>
  </cols>
  <sheetData>
    <row r="1" spans="2:113" s="214" customFormat="1" x14ac:dyDescent="0.2">
      <c r="D1" s="214">
        <v>3</v>
      </c>
      <c r="E1" s="214">
        <v>4</v>
      </c>
      <c r="F1" s="214">
        <v>5</v>
      </c>
      <c r="G1" s="214">
        <v>6</v>
      </c>
      <c r="H1" s="214">
        <v>7</v>
      </c>
      <c r="I1" s="214">
        <v>8</v>
      </c>
      <c r="J1" s="214">
        <v>9</v>
      </c>
      <c r="K1" s="214">
        <v>10</v>
      </c>
      <c r="L1" s="214">
        <v>11</v>
      </c>
      <c r="M1" s="214">
        <v>12</v>
      </c>
      <c r="N1" s="214">
        <v>13</v>
      </c>
      <c r="O1" s="214">
        <v>14</v>
      </c>
      <c r="P1" s="214">
        <v>15</v>
      </c>
      <c r="Q1" s="214">
        <v>16</v>
      </c>
      <c r="R1" s="214">
        <v>17</v>
      </c>
      <c r="S1" s="214">
        <v>18</v>
      </c>
      <c r="T1" s="214">
        <v>19</v>
      </c>
      <c r="U1" s="214">
        <v>20</v>
      </c>
      <c r="V1" s="214">
        <v>21</v>
      </c>
      <c r="W1" s="214">
        <v>22</v>
      </c>
      <c r="X1" s="214">
        <v>23</v>
      </c>
      <c r="Y1" s="214">
        <v>24</v>
      </c>
      <c r="Z1" s="214">
        <v>25</v>
      </c>
      <c r="AA1" s="214">
        <v>26</v>
      </c>
      <c r="AB1" s="214">
        <v>27</v>
      </c>
      <c r="AC1" s="214">
        <v>28</v>
      </c>
      <c r="AD1" s="214">
        <v>29</v>
      </c>
      <c r="AE1" s="214">
        <v>30</v>
      </c>
      <c r="AF1" s="214">
        <v>31</v>
      </c>
      <c r="AG1" s="214">
        <v>32</v>
      </c>
      <c r="AH1" s="214">
        <v>33</v>
      </c>
      <c r="AI1" s="214">
        <v>34</v>
      </c>
      <c r="AJ1" s="214">
        <v>35</v>
      </c>
      <c r="AK1" s="214">
        <v>36</v>
      </c>
      <c r="AL1" s="214">
        <v>37</v>
      </c>
      <c r="AM1" s="214">
        <v>38</v>
      </c>
      <c r="AN1" s="214">
        <v>39</v>
      </c>
      <c r="AO1" s="214">
        <v>40</v>
      </c>
      <c r="AP1" s="214">
        <v>41</v>
      </c>
      <c r="AQ1" s="214">
        <v>42</v>
      </c>
      <c r="AR1" s="214">
        <v>43</v>
      </c>
      <c r="AS1" s="214">
        <v>44</v>
      </c>
      <c r="AT1" s="214">
        <v>45</v>
      </c>
      <c r="AU1" s="214">
        <v>46</v>
      </c>
      <c r="AV1" s="214">
        <v>47</v>
      </c>
      <c r="AW1" s="214">
        <v>48</v>
      </c>
      <c r="AX1" s="214">
        <v>49</v>
      </c>
      <c r="AY1" s="214">
        <v>50</v>
      </c>
      <c r="AZ1" s="214">
        <v>51</v>
      </c>
      <c r="BA1" s="214">
        <v>52</v>
      </c>
      <c r="BB1" s="214">
        <v>53</v>
      </c>
      <c r="BC1" s="214">
        <v>54</v>
      </c>
      <c r="BD1" s="214">
        <v>55</v>
      </c>
      <c r="BE1" s="214">
        <v>56</v>
      </c>
      <c r="BF1" s="214">
        <v>57</v>
      </c>
      <c r="BG1" s="214">
        <v>58</v>
      </c>
      <c r="BH1" s="214">
        <v>59</v>
      </c>
      <c r="BI1" s="214">
        <v>60</v>
      </c>
      <c r="BJ1" s="214">
        <v>61</v>
      </c>
      <c r="BK1" s="214">
        <v>62</v>
      </c>
      <c r="BL1" s="214">
        <v>63</v>
      </c>
      <c r="BM1" s="214">
        <v>64</v>
      </c>
      <c r="BN1" s="214">
        <v>65</v>
      </c>
      <c r="BO1" s="214">
        <v>66</v>
      </c>
      <c r="BP1" s="214">
        <v>67</v>
      </c>
      <c r="BQ1" s="214">
        <v>68</v>
      </c>
      <c r="BR1" s="214">
        <v>69</v>
      </c>
      <c r="BS1" s="214">
        <v>70</v>
      </c>
      <c r="BT1" s="214">
        <v>71</v>
      </c>
      <c r="BU1" s="214">
        <v>72</v>
      </c>
      <c r="BV1" s="214">
        <v>73</v>
      </c>
      <c r="BW1" s="214">
        <v>74</v>
      </c>
      <c r="BX1" s="214">
        <v>75</v>
      </c>
      <c r="BY1" s="214">
        <v>76</v>
      </c>
      <c r="BZ1" s="214">
        <v>77</v>
      </c>
      <c r="CA1" s="214">
        <v>78</v>
      </c>
      <c r="CB1" s="214">
        <v>79</v>
      </c>
      <c r="CC1" s="214">
        <v>80</v>
      </c>
      <c r="CD1" s="214">
        <v>81</v>
      </c>
      <c r="CE1" s="214">
        <v>82</v>
      </c>
      <c r="CF1" s="214">
        <v>83</v>
      </c>
      <c r="CG1" s="214">
        <v>84</v>
      </c>
      <c r="CH1" s="214">
        <v>85</v>
      </c>
      <c r="CI1" s="214">
        <v>86</v>
      </c>
      <c r="CJ1" s="214">
        <v>87</v>
      </c>
      <c r="CK1" s="214">
        <v>88</v>
      </c>
      <c r="CL1" s="214">
        <v>89</v>
      </c>
      <c r="CM1" s="214">
        <v>90</v>
      </c>
      <c r="CN1" s="214">
        <v>91</v>
      </c>
      <c r="CO1" s="214">
        <v>92</v>
      </c>
      <c r="CP1" s="214">
        <v>93</v>
      </c>
      <c r="CQ1" s="214">
        <v>94</v>
      </c>
      <c r="CR1" s="214">
        <v>95</v>
      </c>
      <c r="CS1" s="214">
        <v>96</v>
      </c>
      <c r="CT1" s="214">
        <v>97</v>
      </c>
      <c r="CU1" s="214">
        <v>98</v>
      </c>
      <c r="CV1" s="214">
        <v>99</v>
      </c>
      <c r="CW1" s="214">
        <v>100</v>
      </c>
      <c r="CX1" s="214">
        <v>101</v>
      </c>
      <c r="CY1" s="214">
        <v>102</v>
      </c>
      <c r="CZ1" s="214">
        <v>103</v>
      </c>
      <c r="DA1" s="214">
        <v>104</v>
      </c>
      <c r="DB1" s="214">
        <v>105</v>
      </c>
      <c r="DC1" s="214">
        <v>106</v>
      </c>
      <c r="DD1" s="214">
        <v>107</v>
      </c>
      <c r="DE1" s="214">
        <v>108</v>
      </c>
      <c r="DF1" s="214">
        <v>109</v>
      </c>
      <c r="DG1" s="214">
        <v>110</v>
      </c>
      <c r="DH1" s="214">
        <v>111</v>
      </c>
    </row>
    <row r="2" spans="2:113" s="608" customFormat="1" ht="102" customHeight="1" x14ac:dyDescent="0.2">
      <c r="B2" s="634"/>
      <c r="C2" s="610"/>
      <c r="D2" s="935" t="s">
        <v>1246</v>
      </c>
      <c r="E2" s="935"/>
      <c r="F2" s="935"/>
      <c r="G2" s="935" t="s">
        <v>1247</v>
      </c>
      <c r="H2" s="935"/>
      <c r="I2" s="935"/>
      <c r="J2" s="935" t="s">
        <v>1138</v>
      </c>
      <c r="K2" s="935"/>
      <c r="L2" s="935"/>
      <c r="M2" s="611" t="s">
        <v>1248</v>
      </c>
      <c r="N2" s="611" t="s">
        <v>1139</v>
      </c>
      <c r="O2" s="611" t="s">
        <v>1140</v>
      </c>
      <c r="P2" s="611" t="s">
        <v>1249</v>
      </c>
      <c r="Q2" s="611" t="s">
        <v>1141</v>
      </c>
      <c r="R2" s="611" t="s">
        <v>1142</v>
      </c>
      <c r="S2" s="935" t="s">
        <v>1250</v>
      </c>
      <c r="T2" s="935"/>
      <c r="U2" s="935" t="s">
        <v>1143</v>
      </c>
      <c r="V2" s="935"/>
      <c r="W2" s="935" t="s">
        <v>1144</v>
      </c>
      <c r="X2" s="935"/>
      <c r="Y2" s="935" t="s">
        <v>1145</v>
      </c>
      <c r="Z2" s="935"/>
      <c r="AA2" s="935"/>
      <c r="AB2" s="935"/>
      <c r="AC2" s="935" t="s">
        <v>1146</v>
      </c>
      <c r="AD2" s="935"/>
      <c r="AE2" s="935"/>
      <c r="AF2" s="935"/>
      <c r="AG2" s="935" t="s">
        <v>1147</v>
      </c>
      <c r="AH2" s="935"/>
      <c r="AI2" s="935"/>
      <c r="AJ2" s="935"/>
      <c r="AK2" s="935" t="s">
        <v>1251</v>
      </c>
      <c r="AL2" s="935"/>
      <c r="AM2" s="935"/>
      <c r="AN2" s="935" t="s">
        <v>1148</v>
      </c>
      <c r="AO2" s="935"/>
      <c r="AP2" s="935"/>
      <c r="AQ2" s="935" t="s">
        <v>1149</v>
      </c>
      <c r="AR2" s="935"/>
      <c r="AS2" s="935"/>
      <c r="AT2" s="935" t="s">
        <v>1252</v>
      </c>
      <c r="AU2" s="935"/>
      <c r="AV2" s="935"/>
      <c r="AW2" s="935" t="s">
        <v>1150</v>
      </c>
      <c r="AX2" s="935"/>
      <c r="AY2" s="935"/>
      <c r="AZ2" s="935" t="s">
        <v>1151</v>
      </c>
      <c r="BA2" s="935"/>
      <c r="BB2" s="935"/>
      <c r="BC2" s="935" t="s">
        <v>1253</v>
      </c>
      <c r="BD2" s="935"/>
      <c r="BE2" s="935"/>
      <c r="BF2" s="935" t="s">
        <v>1152</v>
      </c>
      <c r="BG2" s="935"/>
      <c r="BH2" s="935"/>
      <c r="BI2" s="936" t="s">
        <v>1153</v>
      </c>
      <c r="BJ2" s="936"/>
      <c r="BK2" s="936"/>
      <c r="BL2" s="935" t="s">
        <v>1254</v>
      </c>
      <c r="BM2" s="935"/>
      <c r="BN2" s="935"/>
      <c r="BO2" s="935" t="s">
        <v>1154</v>
      </c>
      <c r="BP2" s="935"/>
      <c r="BQ2" s="935"/>
      <c r="BR2" s="935" t="s">
        <v>1155</v>
      </c>
      <c r="BS2" s="935"/>
      <c r="BT2" s="935"/>
      <c r="BU2" s="935" t="s">
        <v>1255</v>
      </c>
      <c r="BV2" s="935"/>
      <c r="BW2" s="935"/>
      <c r="BX2" s="935" t="s">
        <v>1156</v>
      </c>
      <c r="BY2" s="935"/>
      <c r="BZ2" s="935"/>
      <c r="CA2" s="935" t="s">
        <v>1157</v>
      </c>
      <c r="CB2" s="935"/>
      <c r="CC2" s="935"/>
      <c r="CD2" s="935" t="s">
        <v>1256</v>
      </c>
      <c r="CE2" s="935"/>
      <c r="CF2" s="935"/>
      <c r="CG2" s="935" t="s">
        <v>1158</v>
      </c>
      <c r="CH2" s="935"/>
      <c r="CI2" s="935"/>
      <c r="CJ2" s="935" t="s">
        <v>1159</v>
      </c>
      <c r="CK2" s="935"/>
      <c r="CL2" s="935"/>
      <c r="CM2" s="935" t="s">
        <v>1257</v>
      </c>
      <c r="CN2" s="935"/>
      <c r="CO2" s="935"/>
      <c r="CP2" s="935" t="s">
        <v>1160</v>
      </c>
      <c r="CQ2" s="935"/>
      <c r="CR2" s="935"/>
      <c r="CS2" s="935" t="s">
        <v>1161</v>
      </c>
      <c r="CT2" s="935"/>
      <c r="CU2" s="935"/>
      <c r="CV2" s="935" t="s">
        <v>1258</v>
      </c>
      <c r="CW2" s="935"/>
      <c r="CX2" s="935"/>
      <c r="CY2" s="935" t="s">
        <v>1259</v>
      </c>
      <c r="CZ2" s="935"/>
      <c r="DA2" s="935"/>
      <c r="DB2" s="935" t="s">
        <v>1260</v>
      </c>
      <c r="DC2" s="935"/>
      <c r="DD2" s="935"/>
      <c r="DE2" s="935" t="s">
        <v>942</v>
      </c>
      <c r="DF2" s="935"/>
      <c r="DG2" s="935"/>
      <c r="DH2" s="935"/>
    </row>
    <row r="3" spans="2:113" s="214" customFormat="1" x14ac:dyDescent="0.2">
      <c r="C3" s="214" t="s">
        <v>1071</v>
      </c>
      <c r="D3" s="214">
        <v>1</v>
      </c>
      <c r="G3" s="214">
        <v>2</v>
      </c>
      <c r="J3" s="214">
        <v>3</v>
      </c>
      <c r="M3" s="214">
        <v>4</v>
      </c>
      <c r="N3" s="214">
        <v>5</v>
      </c>
      <c r="O3" s="214">
        <v>6</v>
      </c>
      <c r="P3" s="214">
        <v>7</v>
      </c>
      <c r="Q3" s="214">
        <v>8</v>
      </c>
      <c r="R3" s="214">
        <v>9</v>
      </c>
      <c r="S3" s="214">
        <v>10</v>
      </c>
      <c r="U3" s="214">
        <v>11</v>
      </c>
      <c r="W3" s="214">
        <v>12</v>
      </c>
      <c r="Y3" s="214">
        <v>13</v>
      </c>
      <c r="AC3" s="214">
        <v>14</v>
      </c>
      <c r="AG3" s="214">
        <v>15</v>
      </c>
      <c r="AK3" s="214">
        <v>16</v>
      </c>
      <c r="AN3" s="214">
        <v>17</v>
      </c>
      <c r="AQ3" s="214">
        <v>18</v>
      </c>
      <c r="AT3" s="214">
        <v>19</v>
      </c>
      <c r="AW3" s="214">
        <v>20</v>
      </c>
      <c r="AZ3" s="214">
        <v>21</v>
      </c>
      <c r="BC3" s="214">
        <v>22</v>
      </c>
      <c r="BF3" s="214">
        <v>23</v>
      </c>
      <c r="BI3" s="214">
        <v>24</v>
      </c>
      <c r="BL3" s="214">
        <v>25</v>
      </c>
      <c r="BO3" s="214">
        <v>26</v>
      </c>
      <c r="BR3" s="214">
        <v>27</v>
      </c>
      <c r="BU3" s="214">
        <v>28</v>
      </c>
      <c r="BX3" s="214">
        <v>29</v>
      </c>
      <c r="CA3" s="214">
        <v>30</v>
      </c>
      <c r="CD3" s="214">
        <v>31</v>
      </c>
      <c r="CG3" s="214">
        <v>32</v>
      </c>
      <c r="CJ3" s="214">
        <v>33</v>
      </c>
      <c r="CM3" s="214">
        <v>34</v>
      </c>
      <c r="CP3" s="214">
        <v>35</v>
      </c>
      <c r="CS3" s="214">
        <v>36</v>
      </c>
      <c r="CV3" s="214">
        <v>37</v>
      </c>
      <c r="CY3" s="214">
        <v>38</v>
      </c>
      <c r="DB3" s="214">
        <v>39</v>
      </c>
      <c r="DE3" s="214">
        <v>40</v>
      </c>
    </row>
    <row r="4" spans="2:113" s="214" customFormat="1" x14ac:dyDescent="0.2">
      <c r="C4" s="214" t="s">
        <v>1084</v>
      </c>
      <c r="D4" s="214">
        <v>1</v>
      </c>
      <c r="E4" s="214">
        <v>2</v>
      </c>
      <c r="F4" s="214">
        <v>3</v>
      </c>
      <c r="G4" s="214">
        <v>1</v>
      </c>
      <c r="H4" s="214">
        <v>2</v>
      </c>
      <c r="I4" s="214">
        <v>3</v>
      </c>
      <c r="J4" s="214">
        <v>1</v>
      </c>
      <c r="K4" s="214">
        <v>2</v>
      </c>
      <c r="L4" s="214">
        <v>3</v>
      </c>
      <c r="M4" s="214">
        <v>5</v>
      </c>
      <c r="N4" s="214">
        <v>5</v>
      </c>
      <c r="O4" s="214">
        <v>5</v>
      </c>
      <c r="P4" s="214">
        <v>5</v>
      </c>
      <c r="Q4" s="214">
        <v>5</v>
      </c>
      <c r="R4" s="214">
        <v>5</v>
      </c>
      <c r="S4" s="214">
        <v>5</v>
      </c>
      <c r="T4" s="214">
        <v>6</v>
      </c>
      <c r="U4" s="214">
        <v>5</v>
      </c>
      <c r="V4" s="214">
        <v>6</v>
      </c>
      <c r="W4" s="214">
        <v>5</v>
      </c>
      <c r="X4" s="214">
        <v>6</v>
      </c>
      <c r="Y4" s="214">
        <v>4</v>
      </c>
      <c r="Z4" s="214">
        <v>5</v>
      </c>
      <c r="AA4" s="214">
        <v>6</v>
      </c>
      <c r="AB4" s="214">
        <v>7</v>
      </c>
      <c r="AC4" s="214">
        <v>4</v>
      </c>
      <c r="AD4" s="214">
        <v>5</v>
      </c>
      <c r="AE4" s="214">
        <v>6</v>
      </c>
      <c r="AF4" s="214">
        <v>7</v>
      </c>
      <c r="AG4" s="214">
        <v>4</v>
      </c>
      <c r="AH4" s="214">
        <v>5</v>
      </c>
      <c r="AI4" s="214">
        <v>6</v>
      </c>
      <c r="AJ4" s="214">
        <v>7</v>
      </c>
      <c r="AK4" s="214">
        <v>5</v>
      </c>
      <c r="AL4" s="214">
        <v>6</v>
      </c>
      <c r="AM4" s="214">
        <v>7</v>
      </c>
      <c r="AN4" s="214">
        <v>5</v>
      </c>
      <c r="AO4" s="214">
        <v>6</v>
      </c>
      <c r="AP4" s="214">
        <v>7</v>
      </c>
      <c r="AQ4" s="214">
        <v>5</v>
      </c>
      <c r="AR4" s="214">
        <v>6</v>
      </c>
      <c r="AS4" s="214">
        <v>7</v>
      </c>
      <c r="AT4" s="214">
        <v>5</v>
      </c>
      <c r="AU4" s="214">
        <v>6</v>
      </c>
      <c r="AV4" s="214">
        <v>7</v>
      </c>
      <c r="AW4" s="214">
        <v>5</v>
      </c>
      <c r="AX4" s="214">
        <v>6</v>
      </c>
      <c r="AY4" s="214">
        <v>7</v>
      </c>
      <c r="AZ4" s="214">
        <v>5</v>
      </c>
      <c r="BA4" s="214">
        <v>6</v>
      </c>
      <c r="BB4" s="214">
        <v>7</v>
      </c>
      <c r="BC4" s="214">
        <v>5</v>
      </c>
      <c r="BD4" s="214">
        <v>6</v>
      </c>
      <c r="BE4" s="214">
        <v>7</v>
      </c>
      <c r="BF4" s="214">
        <v>5</v>
      </c>
      <c r="BG4" s="214">
        <v>6</v>
      </c>
      <c r="BH4" s="214">
        <v>7</v>
      </c>
      <c r="BI4" s="214">
        <v>5</v>
      </c>
      <c r="BJ4" s="214">
        <v>6</v>
      </c>
      <c r="BK4" s="214">
        <v>7</v>
      </c>
      <c r="BL4" s="214">
        <v>5</v>
      </c>
      <c r="BM4" s="214">
        <v>6</v>
      </c>
      <c r="BN4" s="214">
        <v>7</v>
      </c>
      <c r="BO4" s="214">
        <v>5</v>
      </c>
      <c r="BP4" s="214">
        <v>6</v>
      </c>
      <c r="BQ4" s="214">
        <v>7</v>
      </c>
      <c r="BR4" s="214">
        <v>5</v>
      </c>
      <c r="BS4" s="214">
        <v>6</v>
      </c>
      <c r="BT4" s="214">
        <v>7</v>
      </c>
      <c r="BU4" s="214">
        <v>5</v>
      </c>
      <c r="BV4" s="214">
        <v>6</v>
      </c>
      <c r="BW4" s="214">
        <v>7</v>
      </c>
      <c r="BX4" s="214">
        <v>5</v>
      </c>
      <c r="BY4" s="214">
        <v>6</v>
      </c>
      <c r="BZ4" s="214">
        <v>7</v>
      </c>
      <c r="CA4" s="214">
        <v>5</v>
      </c>
      <c r="CB4" s="214">
        <v>6</v>
      </c>
      <c r="CC4" s="214">
        <v>7</v>
      </c>
      <c r="CD4" s="214">
        <v>5</v>
      </c>
      <c r="CE4" s="214">
        <v>6</v>
      </c>
      <c r="CF4" s="214">
        <v>7</v>
      </c>
      <c r="CG4" s="214">
        <v>5</v>
      </c>
      <c r="CH4" s="214">
        <v>6</v>
      </c>
      <c r="CI4" s="214">
        <v>7</v>
      </c>
      <c r="CJ4" s="214">
        <v>5</v>
      </c>
      <c r="CK4" s="214">
        <v>6</v>
      </c>
      <c r="CL4" s="214">
        <v>7</v>
      </c>
      <c r="CM4" s="214">
        <v>5</v>
      </c>
      <c r="CN4" s="214">
        <v>6</v>
      </c>
      <c r="CO4" s="214">
        <v>7</v>
      </c>
      <c r="CP4" s="214">
        <v>5</v>
      </c>
      <c r="CQ4" s="214">
        <v>6</v>
      </c>
      <c r="CR4" s="214">
        <v>7</v>
      </c>
      <c r="CS4" s="214">
        <v>5</v>
      </c>
      <c r="CT4" s="214">
        <v>6</v>
      </c>
      <c r="CU4" s="214">
        <v>7</v>
      </c>
      <c r="CV4" s="214">
        <v>5</v>
      </c>
      <c r="CW4" s="214">
        <v>6</v>
      </c>
      <c r="CX4" s="214">
        <v>7</v>
      </c>
      <c r="CY4" s="214">
        <v>5</v>
      </c>
      <c r="CZ4" s="214">
        <v>6</v>
      </c>
      <c r="DA4" s="214">
        <v>7</v>
      </c>
      <c r="DB4" s="214">
        <v>5</v>
      </c>
      <c r="DC4" s="214">
        <v>6</v>
      </c>
      <c r="DD4" s="214">
        <v>7</v>
      </c>
      <c r="DE4" s="214">
        <v>8</v>
      </c>
      <c r="DF4" s="214">
        <v>9</v>
      </c>
      <c r="DG4" s="214">
        <v>10</v>
      </c>
      <c r="DH4" s="214">
        <v>11</v>
      </c>
    </row>
    <row r="5" spans="2:113" s="634" customFormat="1" x14ac:dyDescent="0.2">
      <c r="B5" s="634" t="s">
        <v>1085</v>
      </c>
      <c r="C5" s="634" t="s">
        <v>1086</v>
      </c>
      <c r="DI5" s="634" t="s">
        <v>1189</v>
      </c>
    </row>
    <row r="6" spans="2:113" s="214" customFormat="1" x14ac:dyDescent="0.2">
      <c r="B6" s="609" t="s">
        <v>94</v>
      </c>
      <c r="C6" s="609" t="s">
        <v>93</v>
      </c>
      <c r="D6" s="239">
        <v>-1082156</v>
      </c>
      <c r="E6" s="239">
        <v>0</v>
      </c>
      <c r="F6" s="239">
        <v>-1082156</v>
      </c>
      <c r="G6" s="239">
        <v>0</v>
      </c>
      <c r="H6" s="239">
        <v>0</v>
      </c>
      <c r="I6" s="239">
        <v>0</v>
      </c>
      <c r="J6" s="239">
        <v>-1082156</v>
      </c>
      <c r="K6" s="239">
        <v>0</v>
      </c>
      <c r="L6" s="239">
        <v>-1082156</v>
      </c>
      <c r="M6" s="239">
        <v>86697</v>
      </c>
      <c r="N6" s="239">
        <v>86697</v>
      </c>
      <c r="O6" s="239">
        <v>0</v>
      </c>
      <c r="P6" s="239">
        <v>0</v>
      </c>
      <c r="Q6" s="239">
        <v>0</v>
      </c>
      <c r="R6" s="239">
        <v>0</v>
      </c>
      <c r="S6" s="239">
        <v>0</v>
      </c>
      <c r="T6" s="239">
        <v>0</v>
      </c>
      <c r="U6" s="239">
        <v>0</v>
      </c>
      <c r="V6" s="239">
        <v>0</v>
      </c>
      <c r="W6" s="239">
        <v>0</v>
      </c>
      <c r="X6" s="239">
        <v>0</v>
      </c>
      <c r="Y6" s="239">
        <v>0</v>
      </c>
      <c r="Z6" s="239">
        <v>0</v>
      </c>
      <c r="AA6" s="239">
        <v>0</v>
      </c>
      <c r="AB6" s="239">
        <v>0</v>
      </c>
      <c r="AC6" s="239">
        <v>0</v>
      </c>
      <c r="AD6" s="239">
        <v>0</v>
      </c>
      <c r="AE6" s="239">
        <v>0</v>
      </c>
      <c r="AF6" s="239">
        <v>0</v>
      </c>
      <c r="AG6" s="239">
        <v>0</v>
      </c>
      <c r="AH6" s="239">
        <v>0</v>
      </c>
      <c r="AI6" s="239">
        <v>0</v>
      </c>
      <c r="AJ6" s="239">
        <v>0</v>
      </c>
      <c r="AK6" s="239">
        <v>292357.63140495867</v>
      </c>
      <c r="AL6" s="239">
        <v>73089.407851239666</v>
      </c>
      <c r="AM6" s="239">
        <v>0</v>
      </c>
      <c r="AN6" s="239">
        <v>261531</v>
      </c>
      <c r="AO6" s="239">
        <v>65383</v>
      </c>
      <c r="AP6" s="239">
        <v>0</v>
      </c>
      <c r="AQ6" s="239">
        <v>30827</v>
      </c>
      <c r="AR6" s="239">
        <v>7706</v>
      </c>
      <c r="AS6" s="239">
        <v>0</v>
      </c>
      <c r="AT6" s="239">
        <v>0</v>
      </c>
      <c r="AU6" s="239">
        <v>0</v>
      </c>
      <c r="AV6" s="239">
        <v>0</v>
      </c>
      <c r="AW6" s="239">
        <v>0</v>
      </c>
      <c r="AX6" s="239">
        <v>0</v>
      </c>
      <c r="AY6" s="239">
        <v>0</v>
      </c>
      <c r="AZ6" s="239">
        <v>0</v>
      </c>
      <c r="BA6" s="239">
        <v>0</v>
      </c>
      <c r="BB6" s="239">
        <v>0</v>
      </c>
      <c r="BC6" s="239">
        <v>-2943.1595041322312</v>
      </c>
      <c r="BD6" s="239">
        <v>-735.78987603305779</v>
      </c>
      <c r="BE6" s="239">
        <v>0</v>
      </c>
      <c r="BF6" s="239">
        <v>5647</v>
      </c>
      <c r="BG6" s="239">
        <v>1412</v>
      </c>
      <c r="BH6" s="239">
        <v>0</v>
      </c>
      <c r="BI6" s="239">
        <v>-8590</v>
      </c>
      <c r="BJ6" s="239">
        <v>-2148</v>
      </c>
      <c r="BK6" s="239">
        <v>0</v>
      </c>
      <c r="BL6" s="239">
        <v>428.5090909090909</v>
      </c>
      <c r="BM6" s="239">
        <v>107.12727272727273</v>
      </c>
      <c r="BN6" s="239">
        <v>0</v>
      </c>
      <c r="BO6" s="239">
        <v>854</v>
      </c>
      <c r="BP6" s="239">
        <v>214</v>
      </c>
      <c r="BQ6" s="239">
        <v>0</v>
      </c>
      <c r="BR6" s="239">
        <v>-425</v>
      </c>
      <c r="BS6" s="239">
        <v>-107</v>
      </c>
      <c r="BT6" s="239">
        <v>0</v>
      </c>
      <c r="BU6" s="239">
        <v>2948.0289256198348</v>
      </c>
      <c r="BV6" s="239">
        <v>737.0072314049587</v>
      </c>
      <c r="BW6" s="239">
        <v>0</v>
      </c>
      <c r="BX6" s="239">
        <v>0</v>
      </c>
      <c r="BY6" s="239">
        <v>0</v>
      </c>
      <c r="BZ6" s="239">
        <v>0</v>
      </c>
      <c r="CA6" s="239">
        <v>2948</v>
      </c>
      <c r="CB6" s="239">
        <v>737</v>
      </c>
      <c r="CC6" s="239">
        <v>0</v>
      </c>
      <c r="CD6" s="239">
        <v>0</v>
      </c>
      <c r="CE6" s="239">
        <v>0</v>
      </c>
      <c r="CF6" s="239">
        <v>0</v>
      </c>
      <c r="CG6" s="239">
        <v>0</v>
      </c>
      <c r="CH6" s="239">
        <v>0</v>
      </c>
      <c r="CI6" s="239">
        <v>0</v>
      </c>
      <c r="CJ6" s="239">
        <v>0</v>
      </c>
      <c r="CK6" s="239">
        <v>0</v>
      </c>
      <c r="CL6" s="239">
        <v>0</v>
      </c>
      <c r="CM6" s="239">
        <v>1100.0834710743802</v>
      </c>
      <c r="CN6" s="239">
        <v>275.02086776859505</v>
      </c>
      <c r="CO6" s="239">
        <v>0</v>
      </c>
      <c r="CP6" s="239">
        <v>1263</v>
      </c>
      <c r="CQ6" s="239">
        <v>316</v>
      </c>
      <c r="CR6" s="239">
        <v>0</v>
      </c>
      <c r="CS6" s="239">
        <v>-163</v>
      </c>
      <c r="CT6" s="239">
        <v>-41</v>
      </c>
      <c r="CU6" s="239">
        <v>0</v>
      </c>
      <c r="CV6" s="239">
        <v>100849.25454545455</v>
      </c>
      <c r="CW6" s="239">
        <v>25212.313636363637</v>
      </c>
      <c r="CX6" s="239">
        <v>0</v>
      </c>
      <c r="CY6" s="239">
        <v>109165</v>
      </c>
      <c r="CZ6" s="239">
        <v>27291</v>
      </c>
      <c r="DA6" s="239">
        <v>0</v>
      </c>
      <c r="DB6" s="239">
        <v>-8316</v>
      </c>
      <c r="DC6" s="239">
        <v>-2079</v>
      </c>
      <c r="DD6" s="239">
        <v>0</v>
      </c>
      <c r="DE6" s="641">
        <v>0.5</v>
      </c>
      <c r="DF6" s="641">
        <v>0.4</v>
      </c>
      <c r="DG6" s="641">
        <v>0.1</v>
      </c>
      <c r="DH6" s="641">
        <v>0</v>
      </c>
      <c r="DI6" s="214" t="s">
        <v>1190</v>
      </c>
    </row>
    <row r="7" spans="2:113" s="214" customFormat="1" x14ac:dyDescent="0.2">
      <c r="B7" s="609" t="s">
        <v>96</v>
      </c>
      <c r="C7" s="609" t="s">
        <v>95</v>
      </c>
      <c r="D7" s="239">
        <v>-47415</v>
      </c>
      <c r="E7" s="239">
        <v>0</v>
      </c>
      <c r="F7" s="239">
        <v>-47415</v>
      </c>
      <c r="G7" s="239">
        <v>0</v>
      </c>
      <c r="H7" s="239">
        <v>0</v>
      </c>
      <c r="I7" s="239">
        <v>0</v>
      </c>
      <c r="J7" s="239">
        <v>-47415</v>
      </c>
      <c r="K7" s="239">
        <v>0</v>
      </c>
      <c r="L7" s="239">
        <v>-47415</v>
      </c>
      <c r="M7" s="239">
        <v>182110</v>
      </c>
      <c r="N7" s="239">
        <v>182110</v>
      </c>
      <c r="O7" s="239">
        <v>0</v>
      </c>
      <c r="P7" s="239">
        <v>0</v>
      </c>
      <c r="Q7" s="239">
        <v>0</v>
      </c>
      <c r="R7" s="239">
        <v>0</v>
      </c>
      <c r="S7" s="239">
        <v>434386</v>
      </c>
      <c r="T7" s="239">
        <v>0</v>
      </c>
      <c r="U7" s="239">
        <v>425597</v>
      </c>
      <c r="V7" s="239">
        <v>0</v>
      </c>
      <c r="W7" s="239">
        <v>8789</v>
      </c>
      <c r="X7" s="239">
        <v>0</v>
      </c>
      <c r="Y7" s="239">
        <v>0</v>
      </c>
      <c r="Z7" s="239">
        <v>0</v>
      </c>
      <c r="AA7" s="239">
        <v>0</v>
      </c>
      <c r="AB7" s="239">
        <v>0</v>
      </c>
      <c r="AC7" s="239">
        <v>0</v>
      </c>
      <c r="AD7" s="239">
        <v>0</v>
      </c>
      <c r="AE7" s="239">
        <v>0</v>
      </c>
      <c r="AF7" s="239">
        <v>0</v>
      </c>
      <c r="AG7" s="239">
        <v>0</v>
      </c>
      <c r="AH7" s="239">
        <v>0</v>
      </c>
      <c r="AI7" s="239">
        <v>0</v>
      </c>
      <c r="AJ7" s="239">
        <v>0</v>
      </c>
      <c r="AK7" s="239">
        <v>735807.73057851242</v>
      </c>
      <c r="AL7" s="239">
        <v>183951.9326446281</v>
      </c>
      <c r="AM7" s="239">
        <v>0</v>
      </c>
      <c r="AN7" s="239">
        <v>726074</v>
      </c>
      <c r="AO7" s="239">
        <v>181518</v>
      </c>
      <c r="AP7" s="239">
        <v>0</v>
      </c>
      <c r="AQ7" s="239">
        <v>9734</v>
      </c>
      <c r="AR7" s="239">
        <v>2434</v>
      </c>
      <c r="AS7" s="239">
        <v>0</v>
      </c>
      <c r="AT7" s="239">
        <v>8107.5867768595044</v>
      </c>
      <c r="AU7" s="239">
        <v>2026.8966942148761</v>
      </c>
      <c r="AV7" s="239">
        <v>0</v>
      </c>
      <c r="AW7" s="239">
        <v>4123</v>
      </c>
      <c r="AX7" s="239">
        <v>1031</v>
      </c>
      <c r="AY7" s="239">
        <v>0</v>
      </c>
      <c r="AZ7" s="239">
        <v>3985</v>
      </c>
      <c r="BA7" s="239">
        <v>996</v>
      </c>
      <c r="BB7" s="239">
        <v>0</v>
      </c>
      <c r="BC7" s="239">
        <v>0</v>
      </c>
      <c r="BD7" s="239">
        <v>0</v>
      </c>
      <c r="BE7" s="239">
        <v>0</v>
      </c>
      <c r="BF7" s="239">
        <v>0</v>
      </c>
      <c r="BG7" s="239">
        <v>0</v>
      </c>
      <c r="BH7" s="239">
        <v>0</v>
      </c>
      <c r="BI7" s="239">
        <v>0</v>
      </c>
      <c r="BJ7" s="239">
        <v>0</v>
      </c>
      <c r="BK7" s="239">
        <v>0</v>
      </c>
      <c r="BL7" s="239">
        <v>15503.42644628099</v>
      </c>
      <c r="BM7" s="239">
        <v>3875.8566115702474</v>
      </c>
      <c r="BN7" s="239">
        <v>0</v>
      </c>
      <c r="BO7" s="239">
        <v>11996</v>
      </c>
      <c r="BP7" s="239">
        <v>2999</v>
      </c>
      <c r="BQ7" s="239">
        <v>0</v>
      </c>
      <c r="BR7" s="239">
        <v>3507</v>
      </c>
      <c r="BS7" s="239">
        <v>877</v>
      </c>
      <c r="BT7" s="239">
        <v>0</v>
      </c>
      <c r="BU7" s="239">
        <v>-3968.5785123966944</v>
      </c>
      <c r="BV7" s="239">
        <v>-992.14462809917359</v>
      </c>
      <c r="BW7" s="239">
        <v>0</v>
      </c>
      <c r="BX7" s="239">
        <v>0</v>
      </c>
      <c r="BY7" s="239">
        <v>0</v>
      </c>
      <c r="BZ7" s="239">
        <v>0</v>
      </c>
      <c r="CA7" s="239">
        <v>-3969</v>
      </c>
      <c r="CB7" s="239">
        <v>-992</v>
      </c>
      <c r="CC7" s="239">
        <v>0</v>
      </c>
      <c r="CD7" s="239">
        <v>55023.245454545453</v>
      </c>
      <c r="CE7" s="239">
        <v>13755.811363636363</v>
      </c>
      <c r="CF7" s="239">
        <v>0</v>
      </c>
      <c r="CG7" s="239">
        <v>0</v>
      </c>
      <c r="CH7" s="239">
        <v>0</v>
      </c>
      <c r="CI7" s="239">
        <v>0</v>
      </c>
      <c r="CJ7" s="239">
        <v>55023</v>
      </c>
      <c r="CK7" s="239">
        <v>13756</v>
      </c>
      <c r="CL7" s="239">
        <v>0</v>
      </c>
      <c r="CM7" s="239">
        <v>1755.0206611570247</v>
      </c>
      <c r="CN7" s="239">
        <v>438.75516528925618</v>
      </c>
      <c r="CO7" s="239">
        <v>0</v>
      </c>
      <c r="CP7" s="239">
        <v>4058</v>
      </c>
      <c r="CQ7" s="239">
        <v>1014</v>
      </c>
      <c r="CR7" s="239">
        <v>0</v>
      </c>
      <c r="CS7" s="239">
        <v>-2303</v>
      </c>
      <c r="CT7" s="239">
        <v>-575</v>
      </c>
      <c r="CU7" s="239">
        <v>0</v>
      </c>
      <c r="CV7" s="239">
        <v>163113.60082644629</v>
      </c>
      <c r="CW7" s="239">
        <v>39207.789669421487</v>
      </c>
      <c r="CX7" s="239">
        <v>0</v>
      </c>
      <c r="CY7" s="239">
        <v>166969</v>
      </c>
      <c r="CZ7" s="239">
        <v>40204</v>
      </c>
      <c r="DA7" s="239">
        <v>0</v>
      </c>
      <c r="DB7" s="239">
        <v>-3855</v>
      </c>
      <c r="DC7" s="239">
        <v>-996</v>
      </c>
      <c r="DD7" s="239">
        <v>0</v>
      </c>
      <c r="DE7" s="641">
        <v>0.5</v>
      </c>
      <c r="DF7" s="641">
        <v>0.4</v>
      </c>
      <c r="DG7" s="641">
        <v>0.1</v>
      </c>
      <c r="DH7" s="641">
        <v>0</v>
      </c>
      <c r="DI7" s="214" t="s">
        <v>1190</v>
      </c>
    </row>
    <row r="8" spans="2:113" s="214" customFormat="1" x14ac:dyDescent="0.2">
      <c r="B8" s="609" t="s">
        <v>98</v>
      </c>
      <c r="C8" s="609" t="s">
        <v>97</v>
      </c>
      <c r="D8" s="239">
        <v>9969</v>
      </c>
      <c r="E8" s="239">
        <v>0</v>
      </c>
      <c r="F8" s="239">
        <v>9969</v>
      </c>
      <c r="G8" s="239">
        <v>0</v>
      </c>
      <c r="H8" s="239">
        <v>0</v>
      </c>
      <c r="I8" s="239">
        <v>0</v>
      </c>
      <c r="J8" s="239">
        <v>9969</v>
      </c>
      <c r="K8" s="239">
        <v>0</v>
      </c>
      <c r="L8" s="239">
        <v>9969</v>
      </c>
      <c r="M8" s="239">
        <v>151716</v>
      </c>
      <c r="N8" s="239">
        <v>151716</v>
      </c>
      <c r="O8" s="239">
        <v>0</v>
      </c>
      <c r="P8" s="239">
        <v>0</v>
      </c>
      <c r="Q8" s="239">
        <v>0</v>
      </c>
      <c r="R8" s="239">
        <v>0</v>
      </c>
      <c r="S8" s="239">
        <v>8066</v>
      </c>
      <c r="T8" s="239">
        <v>0</v>
      </c>
      <c r="U8" s="239">
        <v>0</v>
      </c>
      <c r="V8" s="239">
        <v>0</v>
      </c>
      <c r="W8" s="239">
        <v>8066</v>
      </c>
      <c r="X8" s="239">
        <v>0</v>
      </c>
      <c r="Y8" s="239">
        <v>0</v>
      </c>
      <c r="Z8" s="239">
        <v>0</v>
      </c>
      <c r="AA8" s="239">
        <v>0</v>
      </c>
      <c r="AB8" s="239">
        <v>0</v>
      </c>
      <c r="AC8" s="239">
        <v>0</v>
      </c>
      <c r="AD8" s="239">
        <v>0</v>
      </c>
      <c r="AE8" s="239">
        <v>0</v>
      </c>
      <c r="AF8" s="239">
        <v>0</v>
      </c>
      <c r="AG8" s="239">
        <v>0</v>
      </c>
      <c r="AH8" s="239">
        <v>0</v>
      </c>
      <c r="AI8" s="239">
        <v>0</v>
      </c>
      <c r="AJ8" s="239">
        <v>0</v>
      </c>
      <c r="AK8" s="239">
        <v>608922.7801652893</v>
      </c>
      <c r="AL8" s="239">
        <v>137007.62553719006</v>
      </c>
      <c r="AM8" s="239">
        <v>15223.069504132232</v>
      </c>
      <c r="AN8" s="239">
        <v>543952</v>
      </c>
      <c r="AO8" s="239">
        <v>122389</v>
      </c>
      <c r="AP8" s="239">
        <v>13599</v>
      </c>
      <c r="AQ8" s="239">
        <v>64971</v>
      </c>
      <c r="AR8" s="239">
        <v>14619</v>
      </c>
      <c r="AS8" s="239">
        <v>1624</v>
      </c>
      <c r="AT8" s="239">
        <v>0</v>
      </c>
      <c r="AU8" s="239">
        <v>0</v>
      </c>
      <c r="AV8" s="239">
        <v>0</v>
      </c>
      <c r="AW8" s="239">
        <v>440</v>
      </c>
      <c r="AX8" s="239">
        <v>99</v>
      </c>
      <c r="AY8" s="239">
        <v>11</v>
      </c>
      <c r="AZ8" s="239">
        <v>-440</v>
      </c>
      <c r="BA8" s="239">
        <v>-99</v>
      </c>
      <c r="BB8" s="239">
        <v>-11</v>
      </c>
      <c r="BC8" s="239">
        <v>0</v>
      </c>
      <c r="BD8" s="239">
        <v>0</v>
      </c>
      <c r="BE8" s="239">
        <v>0</v>
      </c>
      <c r="BF8" s="239">
        <v>0</v>
      </c>
      <c r="BG8" s="239">
        <v>0</v>
      </c>
      <c r="BH8" s="239">
        <v>0</v>
      </c>
      <c r="BI8" s="239">
        <v>0</v>
      </c>
      <c r="BJ8" s="239">
        <v>0</v>
      </c>
      <c r="BK8" s="239">
        <v>0</v>
      </c>
      <c r="BL8" s="239">
        <v>3546.1561983471074</v>
      </c>
      <c r="BM8" s="239">
        <v>797.88514462809917</v>
      </c>
      <c r="BN8" s="239">
        <v>88.653904958677685</v>
      </c>
      <c r="BO8" s="239">
        <v>5018</v>
      </c>
      <c r="BP8" s="239">
        <v>1129</v>
      </c>
      <c r="BQ8" s="239">
        <v>125</v>
      </c>
      <c r="BR8" s="239">
        <v>-1472</v>
      </c>
      <c r="BS8" s="239">
        <v>-331</v>
      </c>
      <c r="BT8" s="239">
        <v>-36</v>
      </c>
      <c r="BU8" s="239">
        <v>-662.24132231404963</v>
      </c>
      <c r="BV8" s="239">
        <v>-149.00429752066114</v>
      </c>
      <c r="BW8" s="239">
        <v>-16.556033057851238</v>
      </c>
      <c r="BX8" s="239">
        <v>0</v>
      </c>
      <c r="BY8" s="239">
        <v>0</v>
      </c>
      <c r="BZ8" s="239">
        <v>0</v>
      </c>
      <c r="CA8" s="239">
        <v>-662</v>
      </c>
      <c r="CB8" s="239">
        <v>-149</v>
      </c>
      <c r="CC8" s="239">
        <v>-17</v>
      </c>
      <c r="CD8" s="239">
        <v>0</v>
      </c>
      <c r="CE8" s="239">
        <v>0</v>
      </c>
      <c r="CF8" s="239">
        <v>0</v>
      </c>
      <c r="CG8" s="239">
        <v>0</v>
      </c>
      <c r="CH8" s="239">
        <v>0</v>
      </c>
      <c r="CI8" s="239">
        <v>0</v>
      </c>
      <c r="CJ8" s="239">
        <v>0</v>
      </c>
      <c r="CK8" s="239">
        <v>0</v>
      </c>
      <c r="CL8" s="239">
        <v>0</v>
      </c>
      <c r="CM8" s="239">
        <v>6129.7900826446294</v>
      </c>
      <c r="CN8" s="239">
        <v>1379.2027685950413</v>
      </c>
      <c r="CO8" s="239">
        <v>153.24475206611572</v>
      </c>
      <c r="CP8" s="239">
        <v>6847</v>
      </c>
      <c r="CQ8" s="239">
        <v>1540</v>
      </c>
      <c r="CR8" s="239">
        <v>171</v>
      </c>
      <c r="CS8" s="239">
        <v>-717</v>
      </c>
      <c r="CT8" s="239">
        <v>-161</v>
      </c>
      <c r="CU8" s="239">
        <v>-18</v>
      </c>
      <c r="CV8" s="239">
        <v>174595.40000000002</v>
      </c>
      <c r="CW8" s="239">
        <v>39257.717169421485</v>
      </c>
      <c r="CX8" s="239">
        <v>4361.9685743801656</v>
      </c>
      <c r="CY8" s="239">
        <v>178913</v>
      </c>
      <c r="CZ8" s="239">
        <v>40255</v>
      </c>
      <c r="DA8" s="239">
        <v>4473</v>
      </c>
      <c r="DB8" s="239">
        <v>-4318</v>
      </c>
      <c r="DC8" s="239">
        <v>-997</v>
      </c>
      <c r="DD8" s="239">
        <v>-111</v>
      </c>
      <c r="DE8" s="641">
        <v>0.5</v>
      </c>
      <c r="DF8" s="641">
        <v>0.4</v>
      </c>
      <c r="DG8" s="641">
        <v>0.09</v>
      </c>
      <c r="DH8" s="641">
        <v>0.01</v>
      </c>
      <c r="DI8" s="214" t="s">
        <v>1190</v>
      </c>
    </row>
    <row r="9" spans="2:113" s="214" customFormat="1" x14ac:dyDescent="0.2">
      <c r="B9" s="609" t="s">
        <v>100</v>
      </c>
      <c r="C9" s="609" t="s">
        <v>99</v>
      </c>
      <c r="D9" s="239">
        <v>-92775</v>
      </c>
      <c r="E9" s="239">
        <v>0</v>
      </c>
      <c r="F9" s="239">
        <v>-92775</v>
      </c>
      <c r="G9" s="239">
        <v>0</v>
      </c>
      <c r="H9" s="239">
        <v>0</v>
      </c>
      <c r="I9" s="239">
        <v>0</v>
      </c>
      <c r="J9" s="239">
        <v>-92775</v>
      </c>
      <c r="K9" s="239">
        <v>0</v>
      </c>
      <c r="L9" s="239">
        <v>-92775</v>
      </c>
      <c r="M9" s="239">
        <v>177222</v>
      </c>
      <c r="N9" s="239">
        <v>177222</v>
      </c>
      <c r="O9" s="239">
        <v>0</v>
      </c>
      <c r="P9" s="239">
        <v>0</v>
      </c>
      <c r="Q9" s="239">
        <v>0</v>
      </c>
      <c r="R9" s="239">
        <v>0</v>
      </c>
      <c r="S9" s="239">
        <v>0</v>
      </c>
      <c r="T9" s="239">
        <v>0</v>
      </c>
      <c r="U9" s="239">
        <v>0</v>
      </c>
      <c r="V9" s="239">
        <v>0</v>
      </c>
      <c r="W9" s="239">
        <v>0</v>
      </c>
      <c r="X9" s="239">
        <v>0</v>
      </c>
      <c r="Y9" s="239">
        <v>0</v>
      </c>
      <c r="Z9" s="239">
        <v>0</v>
      </c>
      <c r="AA9" s="239">
        <v>0</v>
      </c>
      <c r="AB9" s="239">
        <v>0</v>
      </c>
      <c r="AC9" s="239">
        <v>0</v>
      </c>
      <c r="AD9" s="239">
        <v>0</v>
      </c>
      <c r="AE9" s="239">
        <v>0</v>
      </c>
      <c r="AF9" s="239">
        <v>0</v>
      </c>
      <c r="AG9" s="239">
        <v>0</v>
      </c>
      <c r="AH9" s="239">
        <v>0</v>
      </c>
      <c r="AI9" s="239">
        <v>0</v>
      </c>
      <c r="AJ9" s="239">
        <v>0</v>
      </c>
      <c r="AK9" s="239">
        <v>746590.04999999993</v>
      </c>
      <c r="AL9" s="239">
        <v>186647.51249999998</v>
      </c>
      <c r="AM9" s="239">
        <v>0</v>
      </c>
      <c r="AN9" s="239">
        <v>688160</v>
      </c>
      <c r="AO9" s="239">
        <v>172040</v>
      </c>
      <c r="AP9" s="239">
        <v>0</v>
      </c>
      <c r="AQ9" s="239">
        <v>58430</v>
      </c>
      <c r="AR9" s="239">
        <v>14608</v>
      </c>
      <c r="AS9" s="239">
        <v>0</v>
      </c>
      <c r="AT9" s="239">
        <v>5797.452066115703</v>
      </c>
      <c r="AU9" s="239">
        <v>1449.3630165289258</v>
      </c>
      <c r="AV9" s="239">
        <v>0</v>
      </c>
      <c r="AW9" s="239">
        <v>5460</v>
      </c>
      <c r="AX9" s="239">
        <v>1365</v>
      </c>
      <c r="AY9" s="239">
        <v>0</v>
      </c>
      <c r="AZ9" s="239">
        <v>337</v>
      </c>
      <c r="BA9" s="239">
        <v>84</v>
      </c>
      <c r="BB9" s="239">
        <v>0</v>
      </c>
      <c r="BC9" s="239">
        <v>0</v>
      </c>
      <c r="BD9" s="239">
        <v>0</v>
      </c>
      <c r="BE9" s="239">
        <v>0</v>
      </c>
      <c r="BF9" s="239">
        <v>0</v>
      </c>
      <c r="BG9" s="239">
        <v>0</v>
      </c>
      <c r="BH9" s="239">
        <v>0</v>
      </c>
      <c r="BI9" s="239">
        <v>0</v>
      </c>
      <c r="BJ9" s="239">
        <v>0</v>
      </c>
      <c r="BK9" s="239">
        <v>0</v>
      </c>
      <c r="BL9" s="239">
        <v>17514.903305785127</v>
      </c>
      <c r="BM9" s="239">
        <v>4378.7258264462816</v>
      </c>
      <c r="BN9" s="239">
        <v>0</v>
      </c>
      <c r="BO9" s="239">
        <v>10100</v>
      </c>
      <c r="BP9" s="239">
        <v>2525</v>
      </c>
      <c r="BQ9" s="239">
        <v>0</v>
      </c>
      <c r="BR9" s="239">
        <v>7415</v>
      </c>
      <c r="BS9" s="239">
        <v>1854</v>
      </c>
      <c r="BT9" s="239">
        <v>0</v>
      </c>
      <c r="BU9" s="239">
        <v>-8774.2917355371901</v>
      </c>
      <c r="BV9" s="239">
        <v>-2193.5729338842975</v>
      </c>
      <c r="BW9" s="239">
        <v>0</v>
      </c>
      <c r="BX9" s="239">
        <v>0</v>
      </c>
      <c r="BY9" s="239">
        <v>0</v>
      </c>
      <c r="BZ9" s="239">
        <v>0</v>
      </c>
      <c r="CA9" s="239">
        <v>-8774</v>
      </c>
      <c r="CB9" s="239">
        <v>-2194</v>
      </c>
      <c r="CC9" s="239">
        <v>0</v>
      </c>
      <c r="CD9" s="239">
        <v>0</v>
      </c>
      <c r="CE9" s="239">
        <v>0</v>
      </c>
      <c r="CF9" s="239">
        <v>0</v>
      </c>
      <c r="CG9" s="239">
        <v>0</v>
      </c>
      <c r="CH9" s="239">
        <v>0</v>
      </c>
      <c r="CI9" s="239">
        <v>0</v>
      </c>
      <c r="CJ9" s="239">
        <v>0</v>
      </c>
      <c r="CK9" s="239">
        <v>0</v>
      </c>
      <c r="CL9" s="239">
        <v>0</v>
      </c>
      <c r="CM9" s="239">
        <v>236.57272727272732</v>
      </c>
      <c r="CN9" s="239">
        <v>59.14318181818183</v>
      </c>
      <c r="CO9" s="239">
        <v>0</v>
      </c>
      <c r="CP9" s="239">
        <v>0</v>
      </c>
      <c r="CQ9" s="239">
        <v>0</v>
      </c>
      <c r="CR9" s="239">
        <v>0</v>
      </c>
      <c r="CS9" s="239">
        <v>237</v>
      </c>
      <c r="CT9" s="239">
        <v>59</v>
      </c>
      <c r="CU9" s="239">
        <v>0</v>
      </c>
      <c r="CV9" s="239">
        <v>215637.84628099174</v>
      </c>
      <c r="CW9" s="239">
        <v>53909.461570247935</v>
      </c>
      <c r="CX9" s="239">
        <v>0</v>
      </c>
      <c r="CY9" s="239">
        <v>201286</v>
      </c>
      <c r="CZ9" s="239">
        <v>50321</v>
      </c>
      <c r="DA9" s="239">
        <v>0</v>
      </c>
      <c r="DB9" s="239">
        <v>14352</v>
      </c>
      <c r="DC9" s="239">
        <v>3588</v>
      </c>
      <c r="DD9" s="239">
        <v>0</v>
      </c>
      <c r="DE9" s="641">
        <v>0.5</v>
      </c>
      <c r="DF9" s="641">
        <v>0.4</v>
      </c>
      <c r="DG9" s="641">
        <v>0.1</v>
      </c>
      <c r="DH9" s="641">
        <v>0</v>
      </c>
      <c r="DI9" s="214" t="s">
        <v>1190</v>
      </c>
    </row>
    <row r="10" spans="2:113" s="214" customFormat="1" x14ac:dyDescent="0.2">
      <c r="B10" s="609" t="s">
        <v>102</v>
      </c>
      <c r="C10" s="609" t="s">
        <v>101</v>
      </c>
      <c r="D10" s="239">
        <v>0</v>
      </c>
      <c r="E10" s="239">
        <v>0</v>
      </c>
      <c r="F10" s="239">
        <v>0</v>
      </c>
      <c r="G10" s="239">
        <v>0</v>
      </c>
      <c r="H10" s="239">
        <v>0</v>
      </c>
      <c r="I10" s="239">
        <v>0</v>
      </c>
      <c r="J10" s="239">
        <v>0</v>
      </c>
      <c r="K10" s="239">
        <v>0</v>
      </c>
      <c r="L10" s="239">
        <v>0</v>
      </c>
      <c r="M10" s="239">
        <v>132117</v>
      </c>
      <c r="N10" s="239">
        <v>132117</v>
      </c>
      <c r="O10" s="239">
        <v>0</v>
      </c>
      <c r="P10" s="239">
        <v>0</v>
      </c>
      <c r="Q10" s="239">
        <v>0</v>
      </c>
      <c r="R10" s="239">
        <v>0</v>
      </c>
      <c r="S10" s="239">
        <v>0</v>
      </c>
      <c r="T10" s="239">
        <v>0</v>
      </c>
      <c r="U10" s="239">
        <v>0</v>
      </c>
      <c r="V10" s="239">
        <v>0</v>
      </c>
      <c r="W10" s="239">
        <v>0</v>
      </c>
      <c r="X10" s="239">
        <v>0</v>
      </c>
      <c r="Y10" s="239">
        <v>0</v>
      </c>
      <c r="Z10" s="239">
        <v>0</v>
      </c>
      <c r="AA10" s="239">
        <v>0</v>
      </c>
      <c r="AB10" s="239">
        <v>0</v>
      </c>
      <c r="AC10" s="239">
        <v>0</v>
      </c>
      <c r="AD10" s="239">
        <v>0</v>
      </c>
      <c r="AE10" s="239">
        <v>0</v>
      </c>
      <c r="AF10" s="239">
        <v>0</v>
      </c>
      <c r="AG10" s="239">
        <v>0</v>
      </c>
      <c r="AH10" s="239">
        <v>0</v>
      </c>
      <c r="AI10" s="239">
        <v>0</v>
      </c>
      <c r="AJ10" s="239">
        <v>0</v>
      </c>
      <c r="AK10" s="239">
        <v>436466.13140495867</v>
      </c>
      <c r="AL10" s="239">
        <v>98204.879566115706</v>
      </c>
      <c r="AM10" s="239">
        <v>10911.653285123968</v>
      </c>
      <c r="AN10" s="239">
        <v>399563</v>
      </c>
      <c r="AO10" s="239">
        <v>89902</v>
      </c>
      <c r="AP10" s="239">
        <v>9989</v>
      </c>
      <c r="AQ10" s="239">
        <v>36903</v>
      </c>
      <c r="AR10" s="239">
        <v>8303</v>
      </c>
      <c r="AS10" s="239">
        <v>923</v>
      </c>
      <c r="AT10" s="239">
        <v>-758.00661157024797</v>
      </c>
      <c r="AU10" s="239">
        <v>-170.55148760330579</v>
      </c>
      <c r="AV10" s="239">
        <v>-18.950165289256201</v>
      </c>
      <c r="AW10" s="239">
        <v>0</v>
      </c>
      <c r="AX10" s="239">
        <v>0</v>
      </c>
      <c r="AY10" s="239">
        <v>0</v>
      </c>
      <c r="AZ10" s="239">
        <v>-758</v>
      </c>
      <c r="BA10" s="239">
        <v>-171</v>
      </c>
      <c r="BB10" s="239">
        <v>-19</v>
      </c>
      <c r="BC10" s="239">
        <v>21993.147933884298</v>
      </c>
      <c r="BD10" s="239">
        <v>4948.4582851239666</v>
      </c>
      <c r="BE10" s="239">
        <v>549.82869834710743</v>
      </c>
      <c r="BF10" s="239">
        <v>10144</v>
      </c>
      <c r="BG10" s="239">
        <v>2283</v>
      </c>
      <c r="BH10" s="239">
        <v>254</v>
      </c>
      <c r="BI10" s="239">
        <v>11849</v>
      </c>
      <c r="BJ10" s="239">
        <v>2665</v>
      </c>
      <c r="BK10" s="239">
        <v>296</v>
      </c>
      <c r="BL10" s="239">
        <v>2860.3793388429758</v>
      </c>
      <c r="BM10" s="239">
        <v>643.58535123966942</v>
      </c>
      <c r="BN10" s="239">
        <v>71.50948347107439</v>
      </c>
      <c r="BO10" s="239">
        <v>4058</v>
      </c>
      <c r="BP10" s="239">
        <v>913</v>
      </c>
      <c r="BQ10" s="239">
        <v>101</v>
      </c>
      <c r="BR10" s="239">
        <v>-1198</v>
      </c>
      <c r="BS10" s="239">
        <v>-269</v>
      </c>
      <c r="BT10" s="239">
        <v>-29</v>
      </c>
      <c r="BU10" s="239">
        <v>0</v>
      </c>
      <c r="BV10" s="239">
        <v>0</v>
      </c>
      <c r="BW10" s="239">
        <v>0</v>
      </c>
      <c r="BX10" s="239">
        <v>0</v>
      </c>
      <c r="BY10" s="239">
        <v>0</v>
      </c>
      <c r="BZ10" s="239">
        <v>0</v>
      </c>
      <c r="CA10" s="239">
        <v>0</v>
      </c>
      <c r="CB10" s="239">
        <v>0</v>
      </c>
      <c r="CC10" s="239">
        <v>0</v>
      </c>
      <c r="CD10" s="239">
        <v>0</v>
      </c>
      <c r="CE10" s="239">
        <v>0</v>
      </c>
      <c r="CF10" s="239">
        <v>0</v>
      </c>
      <c r="CG10" s="239">
        <v>0</v>
      </c>
      <c r="CH10" s="239">
        <v>0</v>
      </c>
      <c r="CI10" s="239">
        <v>0</v>
      </c>
      <c r="CJ10" s="239">
        <v>0</v>
      </c>
      <c r="CK10" s="239">
        <v>0</v>
      </c>
      <c r="CL10" s="239">
        <v>0</v>
      </c>
      <c r="CM10" s="239">
        <v>759.62975206611577</v>
      </c>
      <c r="CN10" s="239">
        <v>170.91669421487603</v>
      </c>
      <c r="CO10" s="239">
        <v>18.990743801652894</v>
      </c>
      <c r="CP10" s="239">
        <v>760</v>
      </c>
      <c r="CQ10" s="239">
        <v>171</v>
      </c>
      <c r="CR10" s="239">
        <v>19</v>
      </c>
      <c r="CS10" s="239">
        <v>0</v>
      </c>
      <c r="CT10" s="239">
        <v>0</v>
      </c>
      <c r="CU10" s="239">
        <v>0</v>
      </c>
      <c r="CV10" s="239">
        <v>201161.97355371906</v>
      </c>
      <c r="CW10" s="239">
        <v>45261.444049586782</v>
      </c>
      <c r="CX10" s="239">
        <v>5029.0493388429759</v>
      </c>
      <c r="CY10" s="239">
        <v>201910</v>
      </c>
      <c r="CZ10" s="239">
        <v>45430</v>
      </c>
      <c r="DA10" s="239">
        <v>5048</v>
      </c>
      <c r="DB10" s="239">
        <v>-748</v>
      </c>
      <c r="DC10" s="239">
        <v>-169</v>
      </c>
      <c r="DD10" s="239">
        <v>-19</v>
      </c>
      <c r="DE10" s="641">
        <v>0.5</v>
      </c>
      <c r="DF10" s="641">
        <v>0.4</v>
      </c>
      <c r="DG10" s="641">
        <v>0.09</v>
      </c>
      <c r="DH10" s="641">
        <v>0.01</v>
      </c>
      <c r="DI10" s="214" t="s">
        <v>1190</v>
      </c>
    </row>
    <row r="11" spans="2:113" s="214" customFormat="1" x14ac:dyDescent="0.2">
      <c r="B11" s="609" t="s">
        <v>104</v>
      </c>
      <c r="C11" s="609" t="s">
        <v>103</v>
      </c>
      <c r="D11" s="239">
        <v>-39219</v>
      </c>
      <c r="E11" s="239">
        <v>0</v>
      </c>
      <c r="F11" s="239">
        <v>-39219</v>
      </c>
      <c r="G11" s="239">
        <v>0</v>
      </c>
      <c r="H11" s="239">
        <v>0</v>
      </c>
      <c r="I11" s="239">
        <v>0</v>
      </c>
      <c r="J11" s="239">
        <v>-39219</v>
      </c>
      <c r="K11" s="239">
        <v>0</v>
      </c>
      <c r="L11" s="239">
        <v>-39219</v>
      </c>
      <c r="M11" s="239">
        <v>180852</v>
      </c>
      <c r="N11" s="239">
        <v>180852</v>
      </c>
      <c r="O11" s="239">
        <v>0</v>
      </c>
      <c r="P11" s="239">
        <v>0</v>
      </c>
      <c r="Q11" s="239">
        <v>0</v>
      </c>
      <c r="R11" s="239">
        <v>0</v>
      </c>
      <c r="S11" s="239">
        <v>100788</v>
      </c>
      <c r="T11" s="239">
        <v>0</v>
      </c>
      <c r="U11" s="239">
        <v>54000</v>
      </c>
      <c r="V11" s="239">
        <v>0</v>
      </c>
      <c r="W11" s="239">
        <v>46788</v>
      </c>
      <c r="X11" s="239">
        <v>0</v>
      </c>
      <c r="Y11" s="239">
        <v>0</v>
      </c>
      <c r="Z11" s="239">
        <v>0</v>
      </c>
      <c r="AA11" s="239">
        <v>0</v>
      </c>
      <c r="AB11" s="239">
        <v>0</v>
      </c>
      <c r="AC11" s="239">
        <v>0</v>
      </c>
      <c r="AD11" s="239">
        <v>0</v>
      </c>
      <c r="AE11" s="239">
        <v>0</v>
      </c>
      <c r="AF11" s="239">
        <v>0</v>
      </c>
      <c r="AG11" s="239">
        <v>0</v>
      </c>
      <c r="AH11" s="239">
        <v>0</v>
      </c>
      <c r="AI11" s="239">
        <v>0</v>
      </c>
      <c r="AJ11" s="239">
        <v>0</v>
      </c>
      <c r="AK11" s="239">
        <v>629619.45680165279</v>
      </c>
      <c r="AL11" s="239">
        <v>141664.37778037187</v>
      </c>
      <c r="AM11" s="239">
        <v>15740.486420041321</v>
      </c>
      <c r="AN11" s="239">
        <v>537718</v>
      </c>
      <c r="AO11" s="239">
        <v>120987</v>
      </c>
      <c r="AP11" s="239">
        <v>13443</v>
      </c>
      <c r="AQ11" s="239">
        <v>91901</v>
      </c>
      <c r="AR11" s="239">
        <v>20677</v>
      </c>
      <c r="AS11" s="239">
        <v>2297</v>
      </c>
      <c r="AT11" s="239">
        <v>4048.8996198347108</v>
      </c>
      <c r="AU11" s="239">
        <v>911.00241446280984</v>
      </c>
      <c r="AV11" s="239">
        <v>101.22249049586777</v>
      </c>
      <c r="AW11" s="239">
        <v>1478</v>
      </c>
      <c r="AX11" s="239">
        <v>332</v>
      </c>
      <c r="AY11" s="239">
        <v>37</v>
      </c>
      <c r="AZ11" s="239">
        <v>2571</v>
      </c>
      <c r="BA11" s="239">
        <v>579</v>
      </c>
      <c r="BB11" s="239">
        <v>64</v>
      </c>
      <c r="BC11" s="239">
        <v>1798.8454545454547</v>
      </c>
      <c r="BD11" s="239">
        <v>404.74022727272734</v>
      </c>
      <c r="BE11" s="239">
        <v>44.971136363636369</v>
      </c>
      <c r="BF11" s="239">
        <v>3433</v>
      </c>
      <c r="BG11" s="239">
        <v>773</v>
      </c>
      <c r="BH11" s="239">
        <v>86</v>
      </c>
      <c r="BI11" s="239">
        <v>-1634</v>
      </c>
      <c r="BJ11" s="239">
        <v>-368</v>
      </c>
      <c r="BK11" s="239">
        <v>-41</v>
      </c>
      <c r="BL11" s="239">
        <v>3380.1900826446285</v>
      </c>
      <c r="BM11" s="239">
        <v>760.54276859504137</v>
      </c>
      <c r="BN11" s="239">
        <v>84.504752066115714</v>
      </c>
      <c r="BO11" s="239">
        <v>3151</v>
      </c>
      <c r="BP11" s="239">
        <v>709</v>
      </c>
      <c r="BQ11" s="239">
        <v>79</v>
      </c>
      <c r="BR11" s="239">
        <v>229</v>
      </c>
      <c r="BS11" s="239">
        <v>52</v>
      </c>
      <c r="BT11" s="239">
        <v>6</v>
      </c>
      <c r="BU11" s="239">
        <v>-6917.8247933884304</v>
      </c>
      <c r="BV11" s="239">
        <v>-1556.5105785123967</v>
      </c>
      <c r="BW11" s="239">
        <v>-172.94561983471075</v>
      </c>
      <c r="BX11" s="239">
        <v>0</v>
      </c>
      <c r="BY11" s="239">
        <v>0</v>
      </c>
      <c r="BZ11" s="239">
        <v>0</v>
      </c>
      <c r="CA11" s="239">
        <v>-6918</v>
      </c>
      <c r="CB11" s="239">
        <v>-1557</v>
      </c>
      <c r="CC11" s="239">
        <v>-173</v>
      </c>
      <c r="CD11" s="239">
        <v>0</v>
      </c>
      <c r="CE11" s="239">
        <v>0</v>
      </c>
      <c r="CF11" s="239">
        <v>0</v>
      </c>
      <c r="CG11" s="239">
        <v>0</v>
      </c>
      <c r="CH11" s="239">
        <v>0</v>
      </c>
      <c r="CI11" s="239">
        <v>0</v>
      </c>
      <c r="CJ11" s="239">
        <v>0</v>
      </c>
      <c r="CK11" s="239">
        <v>0</v>
      </c>
      <c r="CL11" s="239">
        <v>0</v>
      </c>
      <c r="CM11" s="239">
        <v>510.88347107438017</v>
      </c>
      <c r="CN11" s="239">
        <v>114.94878099173553</v>
      </c>
      <c r="CO11" s="239">
        <v>12.772086776859503</v>
      </c>
      <c r="CP11" s="239">
        <v>2841</v>
      </c>
      <c r="CQ11" s="239">
        <v>639</v>
      </c>
      <c r="CR11" s="239">
        <v>71</v>
      </c>
      <c r="CS11" s="239">
        <v>-2330</v>
      </c>
      <c r="CT11" s="239">
        <v>-524</v>
      </c>
      <c r="CU11" s="239">
        <v>-58</v>
      </c>
      <c r="CV11" s="239">
        <v>275012.17603305791</v>
      </c>
      <c r="CW11" s="239">
        <v>61549.762128099173</v>
      </c>
      <c r="CX11" s="239">
        <v>6838.862458677685</v>
      </c>
      <c r="CY11" s="239">
        <v>278699</v>
      </c>
      <c r="CZ11" s="239">
        <v>62532</v>
      </c>
      <c r="DA11" s="239">
        <v>6948</v>
      </c>
      <c r="DB11" s="239">
        <v>-3687</v>
      </c>
      <c r="DC11" s="239">
        <v>-982</v>
      </c>
      <c r="DD11" s="239">
        <v>-109</v>
      </c>
      <c r="DE11" s="641">
        <v>0.5</v>
      </c>
      <c r="DF11" s="641">
        <v>0.4</v>
      </c>
      <c r="DG11" s="641">
        <v>0.09</v>
      </c>
      <c r="DH11" s="641">
        <v>0.01</v>
      </c>
      <c r="DI11" s="214" t="s">
        <v>1190</v>
      </c>
    </row>
    <row r="12" spans="2:113" s="214" customFormat="1" x14ac:dyDescent="0.2">
      <c r="B12" s="609" t="s">
        <v>106</v>
      </c>
      <c r="C12" s="609" t="s">
        <v>105</v>
      </c>
      <c r="D12" s="239">
        <v>-37182</v>
      </c>
      <c r="E12" s="239">
        <v>0</v>
      </c>
      <c r="F12" s="239">
        <v>-37182</v>
      </c>
      <c r="G12" s="239">
        <v>0</v>
      </c>
      <c r="H12" s="239">
        <v>0</v>
      </c>
      <c r="I12" s="239">
        <v>0</v>
      </c>
      <c r="J12" s="239">
        <v>-37182</v>
      </c>
      <c r="K12" s="239">
        <v>0</v>
      </c>
      <c r="L12" s="239">
        <v>-37182</v>
      </c>
      <c r="M12" s="239">
        <v>227027</v>
      </c>
      <c r="N12" s="239">
        <v>227027</v>
      </c>
      <c r="O12" s="239">
        <v>0</v>
      </c>
      <c r="P12" s="239">
        <v>208743</v>
      </c>
      <c r="Q12" s="239">
        <v>25047</v>
      </c>
      <c r="R12" s="239">
        <v>183696</v>
      </c>
      <c r="S12" s="239">
        <v>0</v>
      </c>
      <c r="T12" s="239">
        <v>0</v>
      </c>
      <c r="U12" s="239">
        <v>0</v>
      </c>
      <c r="V12" s="239">
        <v>0</v>
      </c>
      <c r="W12" s="239">
        <v>0</v>
      </c>
      <c r="X12" s="239">
        <v>0</v>
      </c>
      <c r="Y12" s="239">
        <v>0</v>
      </c>
      <c r="Z12" s="239">
        <v>0</v>
      </c>
      <c r="AA12" s="239">
        <v>0</v>
      </c>
      <c r="AB12" s="239">
        <v>0</v>
      </c>
      <c r="AC12" s="239">
        <v>0</v>
      </c>
      <c r="AD12" s="239">
        <v>0</v>
      </c>
      <c r="AE12" s="239">
        <v>0</v>
      </c>
      <c r="AF12" s="239">
        <v>0</v>
      </c>
      <c r="AG12" s="239">
        <v>0</v>
      </c>
      <c r="AH12" s="239">
        <v>0</v>
      </c>
      <c r="AI12" s="239">
        <v>0</v>
      </c>
      <c r="AJ12" s="239">
        <v>0</v>
      </c>
      <c r="AK12" s="239">
        <v>689598.54380165285</v>
      </c>
      <c r="AL12" s="239">
        <v>155159.67235537188</v>
      </c>
      <c r="AM12" s="239">
        <v>17239.963595041321</v>
      </c>
      <c r="AN12" s="239">
        <v>673848</v>
      </c>
      <c r="AO12" s="239">
        <v>151616</v>
      </c>
      <c r="AP12" s="239">
        <v>16846</v>
      </c>
      <c r="AQ12" s="239">
        <v>15751</v>
      </c>
      <c r="AR12" s="239">
        <v>3544</v>
      </c>
      <c r="AS12" s="239">
        <v>394</v>
      </c>
      <c r="AT12" s="239">
        <v>2661.9504132231405</v>
      </c>
      <c r="AU12" s="239">
        <v>598.93884297520663</v>
      </c>
      <c r="AV12" s="239">
        <v>66.548760330578517</v>
      </c>
      <c r="AW12" s="239">
        <v>7640</v>
      </c>
      <c r="AX12" s="239">
        <v>1719</v>
      </c>
      <c r="AY12" s="239">
        <v>191</v>
      </c>
      <c r="AZ12" s="239">
        <v>-4978</v>
      </c>
      <c r="BA12" s="239">
        <v>-1120</v>
      </c>
      <c r="BB12" s="239">
        <v>-124</v>
      </c>
      <c r="BC12" s="239">
        <v>14381.024793388431</v>
      </c>
      <c r="BD12" s="239">
        <v>3122.9730371900823</v>
      </c>
      <c r="BE12" s="239">
        <v>346.99700413223144</v>
      </c>
      <c r="BF12" s="239">
        <v>42999</v>
      </c>
      <c r="BG12" s="239">
        <v>9675</v>
      </c>
      <c r="BH12" s="239">
        <v>1075</v>
      </c>
      <c r="BI12" s="239">
        <v>-28618</v>
      </c>
      <c r="BJ12" s="239">
        <v>-6552</v>
      </c>
      <c r="BK12" s="239">
        <v>-728</v>
      </c>
      <c r="BL12" s="239">
        <v>6956.374380165289</v>
      </c>
      <c r="BM12" s="239">
        <v>1565.1842355371898</v>
      </c>
      <c r="BN12" s="239">
        <v>173.90935950413223</v>
      </c>
      <c r="BO12" s="239">
        <v>5572</v>
      </c>
      <c r="BP12" s="239">
        <v>1253</v>
      </c>
      <c r="BQ12" s="239">
        <v>139</v>
      </c>
      <c r="BR12" s="239">
        <v>1384</v>
      </c>
      <c r="BS12" s="239">
        <v>312</v>
      </c>
      <c r="BT12" s="239">
        <v>35</v>
      </c>
      <c r="BU12" s="239">
        <v>5580.3570247933894</v>
      </c>
      <c r="BV12" s="239">
        <v>1255.5803305785123</v>
      </c>
      <c r="BW12" s="239">
        <v>139.50892561983471</v>
      </c>
      <c r="BX12" s="239">
        <v>0</v>
      </c>
      <c r="BY12" s="239">
        <v>0</v>
      </c>
      <c r="BZ12" s="239">
        <v>0</v>
      </c>
      <c r="CA12" s="239">
        <v>5580</v>
      </c>
      <c r="CB12" s="239">
        <v>1256</v>
      </c>
      <c r="CC12" s="239">
        <v>140</v>
      </c>
      <c r="CD12" s="239">
        <v>0</v>
      </c>
      <c r="CE12" s="239">
        <v>0</v>
      </c>
      <c r="CF12" s="239">
        <v>0</v>
      </c>
      <c r="CG12" s="239">
        <v>0</v>
      </c>
      <c r="CH12" s="239">
        <v>0</v>
      </c>
      <c r="CI12" s="239">
        <v>0</v>
      </c>
      <c r="CJ12" s="239">
        <v>0</v>
      </c>
      <c r="CK12" s="239">
        <v>0</v>
      </c>
      <c r="CL12" s="239">
        <v>0</v>
      </c>
      <c r="CM12" s="239">
        <v>0</v>
      </c>
      <c r="CN12" s="239">
        <v>0</v>
      </c>
      <c r="CO12" s="239">
        <v>0</v>
      </c>
      <c r="CP12" s="239">
        <v>3378</v>
      </c>
      <c r="CQ12" s="239">
        <v>760</v>
      </c>
      <c r="CR12" s="239">
        <v>84</v>
      </c>
      <c r="CS12" s="239">
        <v>-3378</v>
      </c>
      <c r="CT12" s="239">
        <v>-760</v>
      </c>
      <c r="CU12" s="239">
        <v>-84</v>
      </c>
      <c r="CV12" s="239">
        <v>316261.51280991739</v>
      </c>
      <c r="CW12" s="239">
        <v>70479.563057851235</v>
      </c>
      <c r="CX12" s="239">
        <v>7831.0625619834718</v>
      </c>
      <c r="CY12" s="239">
        <v>296296</v>
      </c>
      <c r="CZ12" s="239">
        <v>66585</v>
      </c>
      <c r="DA12" s="239">
        <v>7398</v>
      </c>
      <c r="DB12" s="239">
        <v>19966</v>
      </c>
      <c r="DC12" s="239">
        <v>3895</v>
      </c>
      <c r="DD12" s="239">
        <v>433</v>
      </c>
      <c r="DE12" s="641">
        <v>0.5</v>
      </c>
      <c r="DF12" s="641">
        <v>0.4</v>
      </c>
      <c r="DG12" s="641">
        <v>0.09</v>
      </c>
      <c r="DH12" s="641">
        <v>0.01</v>
      </c>
      <c r="DI12" s="214" t="s">
        <v>1190</v>
      </c>
    </row>
    <row r="13" spans="2:113" s="214" customFormat="1" x14ac:dyDescent="0.2">
      <c r="B13" s="609" t="s">
        <v>108</v>
      </c>
      <c r="C13" s="609" t="s">
        <v>107</v>
      </c>
      <c r="D13" s="239">
        <v>-43898</v>
      </c>
      <c r="E13" s="239">
        <v>0</v>
      </c>
      <c r="F13" s="239">
        <v>-43898</v>
      </c>
      <c r="G13" s="239">
        <v>0</v>
      </c>
      <c r="H13" s="239">
        <v>0</v>
      </c>
      <c r="I13" s="239">
        <v>0</v>
      </c>
      <c r="J13" s="239">
        <v>-43898</v>
      </c>
      <c r="K13" s="239">
        <v>0</v>
      </c>
      <c r="L13" s="239">
        <v>-43898</v>
      </c>
      <c r="M13" s="239">
        <v>128746</v>
      </c>
      <c r="N13" s="239">
        <v>128746</v>
      </c>
      <c r="O13" s="239">
        <v>0</v>
      </c>
      <c r="P13" s="239">
        <v>0</v>
      </c>
      <c r="Q13" s="239">
        <v>0</v>
      </c>
      <c r="R13" s="239">
        <v>0</v>
      </c>
      <c r="S13" s="239">
        <v>0</v>
      </c>
      <c r="T13" s="239">
        <v>0</v>
      </c>
      <c r="U13" s="239">
        <v>0</v>
      </c>
      <c r="V13" s="239">
        <v>0</v>
      </c>
      <c r="W13" s="239">
        <v>0</v>
      </c>
      <c r="X13" s="239">
        <v>0</v>
      </c>
      <c r="Y13" s="239">
        <v>0</v>
      </c>
      <c r="Z13" s="239">
        <v>0</v>
      </c>
      <c r="AA13" s="239">
        <v>0</v>
      </c>
      <c r="AB13" s="239">
        <v>0</v>
      </c>
      <c r="AC13" s="239">
        <v>0</v>
      </c>
      <c r="AD13" s="239">
        <v>0</v>
      </c>
      <c r="AE13" s="239">
        <v>0</v>
      </c>
      <c r="AF13" s="239">
        <v>0</v>
      </c>
      <c r="AG13" s="239">
        <v>0</v>
      </c>
      <c r="AH13" s="239">
        <v>0</v>
      </c>
      <c r="AI13" s="239">
        <v>0</v>
      </c>
      <c r="AJ13" s="239">
        <v>0</v>
      </c>
      <c r="AK13" s="239">
        <v>501950.72024793393</v>
      </c>
      <c r="AL13" s="239">
        <v>125487.68006198348</v>
      </c>
      <c r="AM13" s="239">
        <v>0</v>
      </c>
      <c r="AN13" s="239">
        <v>474528</v>
      </c>
      <c r="AO13" s="239">
        <v>118632</v>
      </c>
      <c r="AP13" s="239">
        <v>0</v>
      </c>
      <c r="AQ13" s="239">
        <v>27423</v>
      </c>
      <c r="AR13" s="239">
        <v>6856</v>
      </c>
      <c r="AS13" s="239">
        <v>0</v>
      </c>
      <c r="AT13" s="239">
        <v>8023.9950413223141</v>
      </c>
      <c r="AU13" s="239">
        <v>2005.9987603305785</v>
      </c>
      <c r="AV13" s="239">
        <v>0</v>
      </c>
      <c r="AW13" s="239">
        <v>1981</v>
      </c>
      <c r="AX13" s="239">
        <v>495</v>
      </c>
      <c r="AY13" s="239">
        <v>0</v>
      </c>
      <c r="AZ13" s="239">
        <v>6043</v>
      </c>
      <c r="BA13" s="239">
        <v>1511</v>
      </c>
      <c r="BB13" s="239">
        <v>0</v>
      </c>
      <c r="BC13" s="239">
        <v>4144.28347107438</v>
      </c>
      <c r="BD13" s="239">
        <v>1036.070867768595</v>
      </c>
      <c r="BE13" s="239">
        <v>0</v>
      </c>
      <c r="BF13" s="239">
        <v>948</v>
      </c>
      <c r="BG13" s="239">
        <v>237</v>
      </c>
      <c r="BH13" s="239">
        <v>0</v>
      </c>
      <c r="BI13" s="239">
        <v>3196</v>
      </c>
      <c r="BJ13" s="239">
        <v>799</v>
      </c>
      <c r="BK13" s="239">
        <v>0</v>
      </c>
      <c r="BL13" s="239">
        <v>6672.3247933884304</v>
      </c>
      <c r="BM13" s="239">
        <v>1668.0811983471076</v>
      </c>
      <c r="BN13" s="239">
        <v>0</v>
      </c>
      <c r="BO13" s="239">
        <v>7266</v>
      </c>
      <c r="BP13" s="239">
        <v>1816</v>
      </c>
      <c r="BQ13" s="239">
        <v>0</v>
      </c>
      <c r="BR13" s="239">
        <v>-594</v>
      </c>
      <c r="BS13" s="239">
        <v>-148</v>
      </c>
      <c r="BT13" s="239">
        <v>0</v>
      </c>
      <c r="BU13" s="239">
        <v>-1174.7479338842975</v>
      </c>
      <c r="BV13" s="239">
        <v>-293.68698347107437</v>
      </c>
      <c r="BW13" s="239">
        <v>0</v>
      </c>
      <c r="BX13" s="239">
        <v>0</v>
      </c>
      <c r="BY13" s="239">
        <v>0</v>
      </c>
      <c r="BZ13" s="239">
        <v>0</v>
      </c>
      <c r="CA13" s="239">
        <v>-1175</v>
      </c>
      <c r="CB13" s="239">
        <v>-294</v>
      </c>
      <c r="CC13" s="239">
        <v>0</v>
      </c>
      <c r="CD13" s="239">
        <v>0</v>
      </c>
      <c r="CE13" s="239">
        <v>0</v>
      </c>
      <c r="CF13" s="239">
        <v>0</v>
      </c>
      <c r="CG13" s="239">
        <v>0</v>
      </c>
      <c r="CH13" s="239">
        <v>0</v>
      </c>
      <c r="CI13" s="239">
        <v>0</v>
      </c>
      <c r="CJ13" s="239">
        <v>0</v>
      </c>
      <c r="CK13" s="239">
        <v>0</v>
      </c>
      <c r="CL13" s="239">
        <v>0</v>
      </c>
      <c r="CM13" s="239">
        <v>0</v>
      </c>
      <c r="CN13" s="239">
        <v>0</v>
      </c>
      <c r="CO13" s="239">
        <v>0</v>
      </c>
      <c r="CP13" s="239">
        <v>1612</v>
      </c>
      <c r="CQ13" s="239">
        <v>403</v>
      </c>
      <c r="CR13" s="239">
        <v>0</v>
      </c>
      <c r="CS13" s="239">
        <v>-1612</v>
      </c>
      <c r="CT13" s="239">
        <v>-403</v>
      </c>
      <c r="CU13" s="239">
        <v>0</v>
      </c>
      <c r="CV13" s="239">
        <v>139310.19917355373</v>
      </c>
      <c r="CW13" s="239">
        <v>34827.549793388433</v>
      </c>
      <c r="CX13" s="239">
        <v>0</v>
      </c>
      <c r="CY13" s="239">
        <v>137922</v>
      </c>
      <c r="CZ13" s="239">
        <v>34481</v>
      </c>
      <c r="DA13" s="239">
        <v>0</v>
      </c>
      <c r="DB13" s="239">
        <v>1388</v>
      </c>
      <c r="DC13" s="239">
        <v>347</v>
      </c>
      <c r="DD13" s="239">
        <v>0</v>
      </c>
      <c r="DE13" s="641">
        <v>0.5</v>
      </c>
      <c r="DF13" s="641">
        <v>0.4</v>
      </c>
      <c r="DG13" s="641">
        <v>0.1</v>
      </c>
      <c r="DH13" s="641">
        <v>0</v>
      </c>
      <c r="DI13" s="214" t="s">
        <v>1190</v>
      </c>
    </row>
    <row r="14" spans="2:113" s="214" customFormat="1" x14ac:dyDescent="0.2">
      <c r="B14" s="609" t="s">
        <v>110</v>
      </c>
      <c r="C14" s="609" t="s">
        <v>109</v>
      </c>
      <c r="D14" s="239">
        <v>-159026</v>
      </c>
      <c r="E14" s="239">
        <v>0</v>
      </c>
      <c r="F14" s="239">
        <v>-159026</v>
      </c>
      <c r="G14" s="239">
        <v>0</v>
      </c>
      <c r="H14" s="239">
        <v>0</v>
      </c>
      <c r="I14" s="239">
        <v>0</v>
      </c>
      <c r="J14" s="239">
        <v>-159026</v>
      </c>
      <c r="K14" s="239">
        <v>0</v>
      </c>
      <c r="L14" s="239">
        <v>-159026</v>
      </c>
      <c r="M14" s="239">
        <v>201892</v>
      </c>
      <c r="N14" s="239">
        <v>201892</v>
      </c>
      <c r="O14" s="239">
        <v>0</v>
      </c>
      <c r="P14" s="239">
        <v>0</v>
      </c>
      <c r="Q14" s="239">
        <v>0</v>
      </c>
      <c r="R14" s="239">
        <v>0</v>
      </c>
      <c r="S14" s="239">
        <v>0</v>
      </c>
      <c r="T14" s="239">
        <v>0</v>
      </c>
      <c r="U14" s="239">
        <v>0</v>
      </c>
      <c r="V14" s="239">
        <v>0</v>
      </c>
      <c r="W14" s="239">
        <v>0</v>
      </c>
      <c r="X14" s="239">
        <v>0</v>
      </c>
      <c r="Y14" s="239">
        <v>0</v>
      </c>
      <c r="Z14" s="239">
        <v>0</v>
      </c>
      <c r="AA14" s="239">
        <v>0</v>
      </c>
      <c r="AB14" s="239">
        <v>0</v>
      </c>
      <c r="AC14" s="239">
        <v>0</v>
      </c>
      <c r="AD14" s="239">
        <v>0</v>
      </c>
      <c r="AE14" s="239">
        <v>0</v>
      </c>
      <c r="AF14" s="239">
        <v>0</v>
      </c>
      <c r="AG14" s="239">
        <v>0</v>
      </c>
      <c r="AH14" s="239">
        <v>0</v>
      </c>
      <c r="AI14" s="239">
        <v>0</v>
      </c>
      <c r="AJ14" s="239">
        <v>0</v>
      </c>
      <c r="AK14" s="239">
        <v>421064.20196280995</v>
      </c>
      <c r="AL14" s="239">
        <v>280709.46797520661</v>
      </c>
      <c r="AM14" s="239">
        <v>0</v>
      </c>
      <c r="AN14" s="239">
        <v>410179</v>
      </c>
      <c r="AO14" s="239">
        <v>273453</v>
      </c>
      <c r="AP14" s="239">
        <v>0</v>
      </c>
      <c r="AQ14" s="239">
        <v>10885</v>
      </c>
      <c r="AR14" s="239">
        <v>7256</v>
      </c>
      <c r="AS14" s="239">
        <v>0</v>
      </c>
      <c r="AT14" s="239">
        <v>2189.7179752066113</v>
      </c>
      <c r="AU14" s="239">
        <v>1459.8119834710744</v>
      </c>
      <c r="AV14" s="239">
        <v>0</v>
      </c>
      <c r="AW14" s="239">
        <v>0</v>
      </c>
      <c r="AX14" s="239">
        <v>0</v>
      </c>
      <c r="AY14" s="239">
        <v>0</v>
      </c>
      <c r="AZ14" s="239">
        <v>2190</v>
      </c>
      <c r="BA14" s="239">
        <v>1460</v>
      </c>
      <c r="BB14" s="239">
        <v>0</v>
      </c>
      <c r="BC14" s="239">
        <v>0</v>
      </c>
      <c r="BD14" s="239">
        <v>0</v>
      </c>
      <c r="BE14" s="239">
        <v>0</v>
      </c>
      <c r="BF14" s="239">
        <v>0</v>
      </c>
      <c r="BG14" s="239">
        <v>0</v>
      </c>
      <c r="BH14" s="239">
        <v>0</v>
      </c>
      <c r="BI14" s="239">
        <v>0</v>
      </c>
      <c r="BJ14" s="239">
        <v>0</v>
      </c>
      <c r="BK14" s="239">
        <v>0</v>
      </c>
      <c r="BL14" s="239">
        <v>0</v>
      </c>
      <c r="BM14" s="239">
        <v>0</v>
      </c>
      <c r="BN14" s="239">
        <v>0</v>
      </c>
      <c r="BO14" s="239">
        <v>55304</v>
      </c>
      <c r="BP14" s="239">
        <v>36869</v>
      </c>
      <c r="BQ14" s="239">
        <v>0</v>
      </c>
      <c r="BR14" s="239">
        <v>-55304</v>
      </c>
      <c r="BS14" s="239">
        <v>-36869</v>
      </c>
      <c r="BT14" s="239">
        <v>0</v>
      </c>
      <c r="BU14" s="239">
        <v>-6804.103512396694</v>
      </c>
      <c r="BV14" s="239">
        <v>-4536.0690082644633</v>
      </c>
      <c r="BW14" s="239">
        <v>0</v>
      </c>
      <c r="BX14" s="239">
        <v>0</v>
      </c>
      <c r="BY14" s="239">
        <v>0</v>
      </c>
      <c r="BZ14" s="239">
        <v>0</v>
      </c>
      <c r="CA14" s="239">
        <v>-6804</v>
      </c>
      <c r="CB14" s="239">
        <v>-4536</v>
      </c>
      <c r="CC14" s="239">
        <v>0</v>
      </c>
      <c r="CD14" s="239">
        <v>0</v>
      </c>
      <c r="CE14" s="239">
        <v>0</v>
      </c>
      <c r="CF14" s="239">
        <v>0</v>
      </c>
      <c r="CG14" s="239">
        <v>0</v>
      </c>
      <c r="CH14" s="239">
        <v>0</v>
      </c>
      <c r="CI14" s="239">
        <v>0</v>
      </c>
      <c r="CJ14" s="239">
        <v>0</v>
      </c>
      <c r="CK14" s="239">
        <v>0</v>
      </c>
      <c r="CL14" s="239">
        <v>0</v>
      </c>
      <c r="CM14" s="239">
        <v>0</v>
      </c>
      <c r="CN14" s="239">
        <v>0</v>
      </c>
      <c r="CO14" s="239">
        <v>0</v>
      </c>
      <c r="CP14" s="239">
        <v>0</v>
      </c>
      <c r="CQ14" s="239">
        <v>0</v>
      </c>
      <c r="CR14" s="239">
        <v>0</v>
      </c>
      <c r="CS14" s="239">
        <v>0</v>
      </c>
      <c r="CT14" s="239">
        <v>0</v>
      </c>
      <c r="CU14" s="239">
        <v>0</v>
      </c>
      <c r="CV14" s="239">
        <v>264364.973553719</v>
      </c>
      <c r="CW14" s="239">
        <v>176243.31570247933</v>
      </c>
      <c r="CX14" s="239">
        <v>0</v>
      </c>
      <c r="CY14" s="239">
        <v>250969</v>
      </c>
      <c r="CZ14" s="239">
        <v>167313</v>
      </c>
      <c r="DA14" s="239">
        <v>0</v>
      </c>
      <c r="DB14" s="239">
        <v>13396</v>
      </c>
      <c r="DC14" s="239">
        <v>8930</v>
      </c>
      <c r="DD14" s="239">
        <v>0</v>
      </c>
      <c r="DE14" s="641">
        <v>0.5</v>
      </c>
      <c r="DF14" s="641">
        <v>0.3</v>
      </c>
      <c r="DG14" s="641">
        <v>0.2</v>
      </c>
      <c r="DH14" s="641">
        <v>0</v>
      </c>
      <c r="DI14" s="214" t="s">
        <v>1191</v>
      </c>
    </row>
    <row r="15" spans="2:113" s="214" customFormat="1" x14ac:dyDescent="0.2">
      <c r="B15" s="609" t="s">
        <v>112</v>
      </c>
      <c r="C15" s="609" t="s">
        <v>111</v>
      </c>
      <c r="D15" s="239">
        <v>-243180</v>
      </c>
      <c r="E15" s="239">
        <v>0</v>
      </c>
      <c r="F15" s="239">
        <v>-243180</v>
      </c>
      <c r="G15" s="239">
        <v>0</v>
      </c>
      <c r="H15" s="239">
        <v>0</v>
      </c>
      <c r="I15" s="239">
        <v>0</v>
      </c>
      <c r="J15" s="239">
        <v>-243180</v>
      </c>
      <c r="K15" s="239">
        <v>0</v>
      </c>
      <c r="L15" s="239">
        <v>-243180</v>
      </c>
      <c r="M15" s="239">
        <v>415924</v>
      </c>
      <c r="N15" s="239">
        <v>415924</v>
      </c>
      <c r="O15" s="239">
        <v>0</v>
      </c>
      <c r="P15" s="239">
        <v>0</v>
      </c>
      <c r="Q15" s="239">
        <v>0</v>
      </c>
      <c r="R15" s="239">
        <v>0</v>
      </c>
      <c r="S15" s="239">
        <v>0</v>
      </c>
      <c r="T15" s="239">
        <v>0</v>
      </c>
      <c r="U15" s="239">
        <v>0</v>
      </c>
      <c r="V15" s="239">
        <v>0</v>
      </c>
      <c r="W15" s="239">
        <v>0</v>
      </c>
      <c r="X15" s="239">
        <v>0</v>
      </c>
      <c r="Y15" s="239">
        <v>0</v>
      </c>
      <c r="Z15" s="239">
        <v>0</v>
      </c>
      <c r="AA15" s="239">
        <v>0</v>
      </c>
      <c r="AB15" s="239">
        <v>0</v>
      </c>
      <c r="AC15" s="239">
        <v>0</v>
      </c>
      <c r="AD15" s="239">
        <v>0</v>
      </c>
      <c r="AE15" s="239">
        <v>0</v>
      </c>
      <c r="AF15" s="239">
        <v>0</v>
      </c>
      <c r="AG15" s="239">
        <v>0</v>
      </c>
      <c r="AH15" s="239">
        <v>0</v>
      </c>
      <c r="AI15" s="239">
        <v>0</v>
      </c>
      <c r="AJ15" s="239">
        <v>0</v>
      </c>
      <c r="AK15" s="239">
        <v>665024.04452479328</v>
      </c>
      <c r="AL15" s="239">
        <v>443349.36301652895</v>
      </c>
      <c r="AM15" s="239">
        <v>0</v>
      </c>
      <c r="AN15" s="239">
        <v>588686</v>
      </c>
      <c r="AO15" s="239">
        <v>392458</v>
      </c>
      <c r="AP15" s="239">
        <v>0</v>
      </c>
      <c r="AQ15" s="239">
        <v>76338</v>
      </c>
      <c r="AR15" s="239">
        <v>50891</v>
      </c>
      <c r="AS15" s="239">
        <v>0</v>
      </c>
      <c r="AT15" s="239">
        <v>0</v>
      </c>
      <c r="AU15" s="239">
        <v>0</v>
      </c>
      <c r="AV15" s="239">
        <v>0</v>
      </c>
      <c r="AW15" s="239">
        <v>0</v>
      </c>
      <c r="AX15" s="239">
        <v>0</v>
      </c>
      <c r="AY15" s="239">
        <v>0</v>
      </c>
      <c r="AZ15" s="239">
        <v>0</v>
      </c>
      <c r="BA15" s="239">
        <v>0</v>
      </c>
      <c r="BB15" s="239">
        <v>0</v>
      </c>
      <c r="BC15" s="239">
        <v>2891.2190082644629</v>
      </c>
      <c r="BD15" s="239">
        <v>1927.4793388429753</v>
      </c>
      <c r="BE15" s="239">
        <v>0</v>
      </c>
      <c r="BF15" s="239">
        <v>0</v>
      </c>
      <c r="BG15" s="239">
        <v>0</v>
      </c>
      <c r="BH15" s="239">
        <v>0</v>
      </c>
      <c r="BI15" s="239">
        <v>2891</v>
      </c>
      <c r="BJ15" s="239">
        <v>1927</v>
      </c>
      <c r="BK15" s="239">
        <v>0</v>
      </c>
      <c r="BL15" s="239">
        <v>-9265.2917355371901</v>
      </c>
      <c r="BM15" s="239">
        <v>-6176.8611570247949</v>
      </c>
      <c r="BN15" s="239">
        <v>0</v>
      </c>
      <c r="BO15" s="239">
        <v>0</v>
      </c>
      <c r="BP15" s="239">
        <v>0</v>
      </c>
      <c r="BQ15" s="239">
        <v>0</v>
      </c>
      <c r="BR15" s="239">
        <v>-9265</v>
      </c>
      <c r="BS15" s="239">
        <v>-6177</v>
      </c>
      <c r="BT15" s="239">
        <v>0</v>
      </c>
      <c r="BU15" s="239">
        <v>2939.3045454545454</v>
      </c>
      <c r="BV15" s="239">
        <v>1959.5363636363636</v>
      </c>
      <c r="BW15" s="239">
        <v>0</v>
      </c>
      <c r="BX15" s="239">
        <v>0</v>
      </c>
      <c r="BY15" s="239">
        <v>0</v>
      </c>
      <c r="BZ15" s="239">
        <v>0</v>
      </c>
      <c r="CA15" s="239">
        <v>2939</v>
      </c>
      <c r="CB15" s="239">
        <v>1960</v>
      </c>
      <c r="CC15" s="239">
        <v>0</v>
      </c>
      <c r="CD15" s="239">
        <v>0</v>
      </c>
      <c r="CE15" s="239">
        <v>0</v>
      </c>
      <c r="CF15" s="239">
        <v>0</v>
      </c>
      <c r="CG15" s="239">
        <v>0</v>
      </c>
      <c r="CH15" s="239">
        <v>0</v>
      </c>
      <c r="CI15" s="239">
        <v>0</v>
      </c>
      <c r="CJ15" s="239">
        <v>0</v>
      </c>
      <c r="CK15" s="239">
        <v>0</v>
      </c>
      <c r="CL15" s="239">
        <v>0</v>
      </c>
      <c r="CM15" s="239">
        <v>3271.0338842975207</v>
      </c>
      <c r="CN15" s="239">
        <v>2180.6892561983473</v>
      </c>
      <c r="CO15" s="239">
        <v>0</v>
      </c>
      <c r="CP15" s="239">
        <v>6130</v>
      </c>
      <c r="CQ15" s="239">
        <v>4086</v>
      </c>
      <c r="CR15" s="239">
        <v>0</v>
      </c>
      <c r="CS15" s="239">
        <v>-2859</v>
      </c>
      <c r="CT15" s="239">
        <v>-1905</v>
      </c>
      <c r="CU15" s="239">
        <v>0</v>
      </c>
      <c r="CV15" s="239">
        <v>467850.22685950412</v>
      </c>
      <c r="CW15" s="239">
        <v>311900.15123966947</v>
      </c>
      <c r="CX15" s="239">
        <v>0</v>
      </c>
      <c r="CY15" s="239">
        <v>478532</v>
      </c>
      <c r="CZ15" s="239">
        <v>319021</v>
      </c>
      <c r="DA15" s="239">
        <v>0</v>
      </c>
      <c r="DB15" s="239">
        <v>-10682</v>
      </c>
      <c r="DC15" s="239">
        <v>-7121</v>
      </c>
      <c r="DD15" s="239">
        <v>0</v>
      </c>
      <c r="DE15" s="641">
        <v>0.5</v>
      </c>
      <c r="DF15" s="641">
        <v>0.3</v>
      </c>
      <c r="DG15" s="641">
        <v>0.2</v>
      </c>
      <c r="DH15" s="641">
        <v>0</v>
      </c>
      <c r="DI15" s="214" t="s">
        <v>1191</v>
      </c>
    </row>
    <row r="16" spans="2:113" s="214" customFormat="1" x14ac:dyDescent="0.2">
      <c r="B16" s="609" t="s">
        <v>114</v>
      </c>
      <c r="C16" s="609" t="s">
        <v>113</v>
      </c>
      <c r="D16" s="239">
        <v>-132240</v>
      </c>
      <c r="E16" s="239">
        <v>0</v>
      </c>
      <c r="F16" s="239">
        <v>-132240</v>
      </c>
      <c r="G16" s="239">
        <v>0</v>
      </c>
      <c r="H16" s="239">
        <v>0</v>
      </c>
      <c r="I16" s="239">
        <v>0</v>
      </c>
      <c r="J16" s="239">
        <v>-132240</v>
      </c>
      <c r="K16" s="239">
        <v>0</v>
      </c>
      <c r="L16" s="239">
        <v>-132240</v>
      </c>
      <c r="M16" s="239">
        <v>270426</v>
      </c>
      <c r="N16" s="239">
        <v>270426</v>
      </c>
      <c r="O16" s="239">
        <v>0</v>
      </c>
      <c r="P16" s="239">
        <v>443008</v>
      </c>
      <c r="Q16" s="239">
        <v>252385</v>
      </c>
      <c r="R16" s="239">
        <v>190623</v>
      </c>
      <c r="S16" s="239">
        <v>52682</v>
      </c>
      <c r="T16" s="239">
        <v>0</v>
      </c>
      <c r="U16" s="239">
        <v>52000</v>
      </c>
      <c r="V16" s="239">
        <v>0</v>
      </c>
      <c r="W16" s="239">
        <v>682</v>
      </c>
      <c r="X16" s="239">
        <v>0</v>
      </c>
      <c r="Y16" s="239">
        <v>311123.57024793391</v>
      </c>
      <c r="Z16" s="239">
        <v>311123.57024793391</v>
      </c>
      <c r="AA16" s="239">
        <v>0</v>
      </c>
      <c r="AB16" s="239">
        <v>0</v>
      </c>
      <c r="AC16" s="239">
        <v>241525</v>
      </c>
      <c r="AD16" s="239">
        <v>241525</v>
      </c>
      <c r="AE16" s="239">
        <v>0</v>
      </c>
      <c r="AF16" s="239">
        <v>0</v>
      </c>
      <c r="AG16" s="239">
        <v>69599</v>
      </c>
      <c r="AH16" s="239">
        <v>69599</v>
      </c>
      <c r="AI16" s="239">
        <v>0</v>
      </c>
      <c r="AJ16" s="239">
        <v>0</v>
      </c>
      <c r="AK16" s="239">
        <v>1354398.4224793389</v>
      </c>
      <c r="AL16" s="239">
        <v>0</v>
      </c>
      <c r="AM16" s="239">
        <v>27640.784132231405</v>
      </c>
      <c r="AN16" s="239">
        <v>1244510</v>
      </c>
      <c r="AO16" s="239">
        <v>0</v>
      </c>
      <c r="AP16" s="239">
        <v>25398</v>
      </c>
      <c r="AQ16" s="239">
        <v>109888</v>
      </c>
      <c r="AR16" s="239">
        <v>0</v>
      </c>
      <c r="AS16" s="239">
        <v>2243</v>
      </c>
      <c r="AT16" s="239">
        <v>0</v>
      </c>
      <c r="AU16" s="239">
        <v>0</v>
      </c>
      <c r="AV16" s="239">
        <v>0</v>
      </c>
      <c r="AW16" s="239">
        <v>0</v>
      </c>
      <c r="AX16" s="239">
        <v>0</v>
      </c>
      <c r="AY16" s="239">
        <v>0</v>
      </c>
      <c r="AZ16" s="239">
        <v>0</v>
      </c>
      <c r="BA16" s="239">
        <v>0</v>
      </c>
      <c r="BB16" s="239">
        <v>0</v>
      </c>
      <c r="BC16" s="239">
        <v>0</v>
      </c>
      <c r="BD16" s="239">
        <v>0</v>
      </c>
      <c r="BE16" s="239">
        <v>0</v>
      </c>
      <c r="BF16" s="239">
        <v>0</v>
      </c>
      <c r="BG16" s="239">
        <v>0</v>
      </c>
      <c r="BH16" s="239">
        <v>0</v>
      </c>
      <c r="BI16" s="239">
        <v>0</v>
      </c>
      <c r="BJ16" s="239">
        <v>0</v>
      </c>
      <c r="BK16" s="239">
        <v>0</v>
      </c>
      <c r="BL16" s="239">
        <v>2070.8635123966942</v>
      </c>
      <c r="BM16" s="239">
        <v>0</v>
      </c>
      <c r="BN16" s="239">
        <v>42.262520661157026</v>
      </c>
      <c r="BO16" s="239">
        <v>6904</v>
      </c>
      <c r="BP16" s="239">
        <v>0</v>
      </c>
      <c r="BQ16" s="239">
        <v>141</v>
      </c>
      <c r="BR16" s="239">
        <v>-4833</v>
      </c>
      <c r="BS16" s="239">
        <v>0</v>
      </c>
      <c r="BT16" s="239">
        <v>-99</v>
      </c>
      <c r="BU16" s="239">
        <v>-16304.446280991737</v>
      </c>
      <c r="BV16" s="239">
        <v>0</v>
      </c>
      <c r="BW16" s="239">
        <v>-332.74380165289261</v>
      </c>
      <c r="BX16" s="239">
        <v>0</v>
      </c>
      <c r="BY16" s="239">
        <v>0</v>
      </c>
      <c r="BZ16" s="239">
        <v>0</v>
      </c>
      <c r="CA16" s="239">
        <v>-16304</v>
      </c>
      <c r="CB16" s="239">
        <v>0</v>
      </c>
      <c r="CC16" s="239">
        <v>-333</v>
      </c>
      <c r="CD16" s="239">
        <v>0</v>
      </c>
      <c r="CE16" s="239">
        <v>0</v>
      </c>
      <c r="CF16" s="239">
        <v>0</v>
      </c>
      <c r="CG16" s="239">
        <v>0</v>
      </c>
      <c r="CH16" s="239">
        <v>0</v>
      </c>
      <c r="CI16" s="239">
        <v>0</v>
      </c>
      <c r="CJ16" s="239">
        <v>0</v>
      </c>
      <c r="CK16" s="239">
        <v>0</v>
      </c>
      <c r="CL16" s="239">
        <v>0</v>
      </c>
      <c r="CM16" s="239">
        <v>4471.2955578512392</v>
      </c>
      <c r="CN16" s="239">
        <v>0</v>
      </c>
      <c r="CO16" s="239">
        <v>91.250929752066114</v>
      </c>
      <c r="CP16" s="239">
        <v>10181</v>
      </c>
      <c r="CQ16" s="239">
        <v>0</v>
      </c>
      <c r="CR16" s="239">
        <v>208</v>
      </c>
      <c r="CS16" s="239">
        <v>-5710</v>
      </c>
      <c r="CT16" s="239">
        <v>0</v>
      </c>
      <c r="CU16" s="239">
        <v>-117</v>
      </c>
      <c r="CV16" s="239">
        <v>374951.76278925617</v>
      </c>
      <c r="CW16" s="239">
        <v>0</v>
      </c>
      <c r="CX16" s="239">
        <v>7505.7692355371901</v>
      </c>
      <c r="CY16" s="239">
        <v>373353</v>
      </c>
      <c r="CZ16" s="239">
        <v>0</v>
      </c>
      <c r="DA16" s="239">
        <v>7458</v>
      </c>
      <c r="DB16" s="239">
        <v>1599</v>
      </c>
      <c r="DC16" s="239">
        <v>0</v>
      </c>
      <c r="DD16" s="239">
        <v>48</v>
      </c>
      <c r="DE16" s="641">
        <v>0.5</v>
      </c>
      <c r="DF16" s="641">
        <v>0.49</v>
      </c>
      <c r="DG16" s="641">
        <v>0</v>
      </c>
      <c r="DH16" s="641">
        <v>0.01</v>
      </c>
      <c r="DI16" s="214" t="s">
        <v>1192</v>
      </c>
    </row>
    <row r="17" spans="2:113" s="214" customFormat="1" x14ac:dyDescent="0.2">
      <c r="B17" s="609" t="s">
        <v>116</v>
      </c>
      <c r="C17" s="609" t="s">
        <v>115</v>
      </c>
      <c r="D17" s="239">
        <v>-554669</v>
      </c>
      <c r="E17" s="239">
        <v>0</v>
      </c>
      <c r="F17" s="239">
        <v>-554669</v>
      </c>
      <c r="G17" s="239">
        <v>0</v>
      </c>
      <c r="H17" s="239">
        <v>0</v>
      </c>
      <c r="I17" s="239">
        <v>0</v>
      </c>
      <c r="J17" s="239">
        <v>-554669</v>
      </c>
      <c r="K17" s="239">
        <v>0</v>
      </c>
      <c r="L17" s="239">
        <v>-554669</v>
      </c>
      <c r="M17" s="239">
        <v>95866</v>
      </c>
      <c r="N17" s="239">
        <v>95866</v>
      </c>
      <c r="O17" s="239">
        <v>0</v>
      </c>
      <c r="P17" s="239">
        <v>0</v>
      </c>
      <c r="Q17" s="239">
        <v>0</v>
      </c>
      <c r="R17" s="239">
        <v>0</v>
      </c>
      <c r="S17" s="239">
        <v>92917</v>
      </c>
      <c r="T17" s="239">
        <v>0</v>
      </c>
      <c r="U17" s="239">
        <v>27500</v>
      </c>
      <c r="V17" s="239">
        <v>0</v>
      </c>
      <c r="W17" s="239">
        <v>65417</v>
      </c>
      <c r="X17" s="239">
        <v>0</v>
      </c>
      <c r="Y17" s="239">
        <v>0</v>
      </c>
      <c r="Z17" s="239">
        <v>0</v>
      </c>
      <c r="AA17" s="239">
        <v>0</v>
      </c>
      <c r="AB17" s="239">
        <v>0</v>
      </c>
      <c r="AC17" s="239">
        <v>0</v>
      </c>
      <c r="AD17" s="239">
        <v>0</v>
      </c>
      <c r="AE17" s="239">
        <v>0</v>
      </c>
      <c r="AF17" s="239">
        <v>0</v>
      </c>
      <c r="AG17" s="239">
        <v>0</v>
      </c>
      <c r="AH17" s="239">
        <v>0</v>
      </c>
      <c r="AI17" s="239">
        <v>0</v>
      </c>
      <c r="AJ17" s="239">
        <v>0</v>
      </c>
      <c r="AK17" s="239">
        <v>300243.4566115702</v>
      </c>
      <c r="AL17" s="239">
        <v>75060.864152892551</v>
      </c>
      <c r="AM17" s="239">
        <v>0</v>
      </c>
      <c r="AN17" s="239">
        <v>282931</v>
      </c>
      <c r="AO17" s="239">
        <v>70733</v>
      </c>
      <c r="AP17" s="239">
        <v>0</v>
      </c>
      <c r="AQ17" s="239">
        <v>17312</v>
      </c>
      <c r="AR17" s="239">
        <v>4328</v>
      </c>
      <c r="AS17" s="239">
        <v>0</v>
      </c>
      <c r="AT17" s="239">
        <v>98.605785123966939</v>
      </c>
      <c r="AU17" s="239">
        <v>24.651446280991735</v>
      </c>
      <c r="AV17" s="239">
        <v>0</v>
      </c>
      <c r="AW17" s="239">
        <v>62</v>
      </c>
      <c r="AX17" s="239">
        <v>16</v>
      </c>
      <c r="AY17" s="239">
        <v>0</v>
      </c>
      <c r="AZ17" s="239">
        <v>37</v>
      </c>
      <c r="BA17" s="239">
        <v>9</v>
      </c>
      <c r="BB17" s="239">
        <v>0</v>
      </c>
      <c r="BC17" s="239">
        <v>0</v>
      </c>
      <c r="BD17" s="239">
        <v>0</v>
      </c>
      <c r="BE17" s="239">
        <v>0</v>
      </c>
      <c r="BF17" s="239">
        <v>0</v>
      </c>
      <c r="BG17" s="239">
        <v>0</v>
      </c>
      <c r="BH17" s="239">
        <v>0</v>
      </c>
      <c r="BI17" s="239">
        <v>0</v>
      </c>
      <c r="BJ17" s="239">
        <v>0</v>
      </c>
      <c r="BK17" s="239">
        <v>0</v>
      </c>
      <c r="BL17" s="239">
        <v>-263.76033057851242</v>
      </c>
      <c r="BM17" s="239">
        <v>-65.940082644628106</v>
      </c>
      <c r="BN17" s="239">
        <v>0</v>
      </c>
      <c r="BO17" s="239">
        <v>1298</v>
      </c>
      <c r="BP17" s="239">
        <v>324</v>
      </c>
      <c r="BQ17" s="239">
        <v>0</v>
      </c>
      <c r="BR17" s="239">
        <v>-1562</v>
      </c>
      <c r="BS17" s="239">
        <v>-390</v>
      </c>
      <c r="BT17" s="239">
        <v>0</v>
      </c>
      <c r="BU17" s="239">
        <v>6553.4297520661166</v>
      </c>
      <c r="BV17" s="239">
        <v>1638.3574380165292</v>
      </c>
      <c r="BW17" s="239">
        <v>0</v>
      </c>
      <c r="BX17" s="239">
        <v>0</v>
      </c>
      <c r="BY17" s="239">
        <v>0</v>
      </c>
      <c r="BZ17" s="239">
        <v>0</v>
      </c>
      <c r="CA17" s="239">
        <v>6553</v>
      </c>
      <c r="CB17" s="239">
        <v>1638</v>
      </c>
      <c r="CC17" s="239">
        <v>0</v>
      </c>
      <c r="CD17" s="239">
        <v>0</v>
      </c>
      <c r="CE17" s="239">
        <v>0</v>
      </c>
      <c r="CF17" s="239">
        <v>0</v>
      </c>
      <c r="CG17" s="239">
        <v>0</v>
      </c>
      <c r="CH17" s="239">
        <v>0</v>
      </c>
      <c r="CI17" s="239">
        <v>0</v>
      </c>
      <c r="CJ17" s="239">
        <v>0</v>
      </c>
      <c r="CK17" s="239">
        <v>0</v>
      </c>
      <c r="CL17" s="239">
        <v>0</v>
      </c>
      <c r="CM17" s="239">
        <v>265.78925619834712</v>
      </c>
      <c r="CN17" s="239">
        <v>66.44731404958678</v>
      </c>
      <c r="CO17" s="239">
        <v>0</v>
      </c>
      <c r="CP17" s="239">
        <v>640</v>
      </c>
      <c r="CQ17" s="239">
        <v>160</v>
      </c>
      <c r="CR17" s="239">
        <v>0</v>
      </c>
      <c r="CS17" s="239">
        <v>-374</v>
      </c>
      <c r="CT17" s="239">
        <v>-94</v>
      </c>
      <c r="CU17" s="239">
        <v>0</v>
      </c>
      <c r="CV17" s="239">
        <v>131587.07314049589</v>
      </c>
      <c r="CW17" s="239">
        <v>32560.808057851242</v>
      </c>
      <c r="CX17" s="239">
        <v>0</v>
      </c>
      <c r="CY17" s="239">
        <v>139082</v>
      </c>
      <c r="CZ17" s="239">
        <v>34671</v>
      </c>
      <c r="DA17" s="239">
        <v>0</v>
      </c>
      <c r="DB17" s="239">
        <v>-7495</v>
      </c>
      <c r="DC17" s="239">
        <v>-2110</v>
      </c>
      <c r="DD17" s="239">
        <v>0</v>
      </c>
      <c r="DE17" s="641">
        <v>0.5</v>
      </c>
      <c r="DF17" s="641">
        <v>0.4</v>
      </c>
      <c r="DG17" s="641">
        <v>0.1</v>
      </c>
      <c r="DH17" s="641">
        <v>0</v>
      </c>
      <c r="DI17" s="214" t="s">
        <v>1190</v>
      </c>
    </row>
    <row r="18" spans="2:113" s="214" customFormat="1" x14ac:dyDescent="0.2">
      <c r="B18" s="609" t="s">
        <v>118</v>
      </c>
      <c r="C18" s="609" t="s">
        <v>117</v>
      </c>
      <c r="D18" s="239">
        <v>-226992</v>
      </c>
      <c r="E18" s="239">
        <v>0</v>
      </c>
      <c r="F18" s="239">
        <v>-226992</v>
      </c>
      <c r="G18" s="239">
        <v>0</v>
      </c>
      <c r="H18" s="239">
        <v>0</v>
      </c>
      <c r="I18" s="239">
        <v>0</v>
      </c>
      <c r="J18" s="239">
        <v>-226992</v>
      </c>
      <c r="K18" s="239">
        <v>0</v>
      </c>
      <c r="L18" s="239">
        <v>-226992</v>
      </c>
      <c r="M18" s="239">
        <v>244632</v>
      </c>
      <c r="N18" s="239">
        <v>249178</v>
      </c>
      <c r="O18" s="239">
        <v>-4546</v>
      </c>
      <c r="P18" s="239">
        <v>0</v>
      </c>
      <c r="Q18" s="239">
        <v>0</v>
      </c>
      <c r="R18" s="239">
        <v>0</v>
      </c>
      <c r="S18" s="239">
        <v>55</v>
      </c>
      <c r="T18" s="239">
        <v>0</v>
      </c>
      <c r="U18" s="239">
        <v>19937</v>
      </c>
      <c r="V18" s="239">
        <v>0</v>
      </c>
      <c r="W18" s="239">
        <v>-19882</v>
      </c>
      <c r="X18" s="239">
        <v>0</v>
      </c>
      <c r="Y18" s="239">
        <v>0</v>
      </c>
      <c r="Z18" s="239">
        <v>0</v>
      </c>
      <c r="AA18" s="239">
        <v>0</v>
      </c>
      <c r="AB18" s="239">
        <v>0</v>
      </c>
      <c r="AC18" s="239">
        <v>0</v>
      </c>
      <c r="AD18" s="239">
        <v>0</v>
      </c>
      <c r="AE18" s="239">
        <v>0</v>
      </c>
      <c r="AF18" s="239">
        <v>0</v>
      </c>
      <c r="AG18" s="239">
        <v>0</v>
      </c>
      <c r="AH18" s="239">
        <v>0</v>
      </c>
      <c r="AI18" s="239">
        <v>0</v>
      </c>
      <c r="AJ18" s="239">
        <v>0</v>
      </c>
      <c r="AK18" s="239">
        <v>544676.85041322303</v>
      </c>
      <c r="AL18" s="239">
        <v>122552.29134297519</v>
      </c>
      <c r="AM18" s="239">
        <v>13616.921260330577</v>
      </c>
      <c r="AN18" s="239">
        <v>519467</v>
      </c>
      <c r="AO18" s="239">
        <v>116880</v>
      </c>
      <c r="AP18" s="239">
        <v>12987</v>
      </c>
      <c r="AQ18" s="239">
        <v>25210</v>
      </c>
      <c r="AR18" s="239">
        <v>5672</v>
      </c>
      <c r="AS18" s="239">
        <v>630</v>
      </c>
      <c r="AT18" s="239">
        <v>2885.5380165289257</v>
      </c>
      <c r="AU18" s="239">
        <v>649.24605371900827</v>
      </c>
      <c r="AV18" s="239">
        <v>72.13845041322314</v>
      </c>
      <c r="AW18" s="239">
        <v>0</v>
      </c>
      <c r="AX18" s="239">
        <v>0</v>
      </c>
      <c r="AY18" s="239">
        <v>0</v>
      </c>
      <c r="AZ18" s="239">
        <v>2886</v>
      </c>
      <c r="BA18" s="239">
        <v>649</v>
      </c>
      <c r="BB18" s="239">
        <v>72</v>
      </c>
      <c r="BC18" s="239">
        <v>0</v>
      </c>
      <c r="BD18" s="239">
        <v>0</v>
      </c>
      <c r="BE18" s="239">
        <v>0</v>
      </c>
      <c r="BF18" s="239">
        <v>0</v>
      </c>
      <c r="BG18" s="239">
        <v>0</v>
      </c>
      <c r="BH18" s="239">
        <v>0</v>
      </c>
      <c r="BI18" s="239">
        <v>0</v>
      </c>
      <c r="BJ18" s="239">
        <v>0</v>
      </c>
      <c r="BK18" s="239">
        <v>0</v>
      </c>
      <c r="BL18" s="239">
        <v>0</v>
      </c>
      <c r="BM18" s="239">
        <v>0</v>
      </c>
      <c r="BN18" s="239">
        <v>0</v>
      </c>
      <c r="BO18" s="239">
        <v>0</v>
      </c>
      <c r="BP18" s="239">
        <v>0</v>
      </c>
      <c r="BQ18" s="239">
        <v>0</v>
      </c>
      <c r="BR18" s="239">
        <v>0</v>
      </c>
      <c r="BS18" s="239">
        <v>0</v>
      </c>
      <c r="BT18" s="239">
        <v>0</v>
      </c>
      <c r="BU18" s="239">
        <v>2100.7495867768594</v>
      </c>
      <c r="BV18" s="239">
        <v>472.66865702479333</v>
      </c>
      <c r="BW18" s="239">
        <v>52.518739669421485</v>
      </c>
      <c r="BX18" s="239">
        <v>0</v>
      </c>
      <c r="BY18" s="239">
        <v>0</v>
      </c>
      <c r="BZ18" s="239">
        <v>0</v>
      </c>
      <c r="CA18" s="239">
        <v>2101</v>
      </c>
      <c r="CB18" s="239">
        <v>473</v>
      </c>
      <c r="CC18" s="239">
        <v>53</v>
      </c>
      <c r="CD18" s="239">
        <v>0</v>
      </c>
      <c r="CE18" s="239">
        <v>0</v>
      </c>
      <c r="CF18" s="239">
        <v>0</v>
      </c>
      <c r="CG18" s="239">
        <v>0</v>
      </c>
      <c r="CH18" s="239">
        <v>0</v>
      </c>
      <c r="CI18" s="239">
        <v>0</v>
      </c>
      <c r="CJ18" s="239">
        <v>0</v>
      </c>
      <c r="CK18" s="239">
        <v>0</v>
      </c>
      <c r="CL18" s="239">
        <v>0</v>
      </c>
      <c r="CM18" s="239">
        <v>3796.9314049586778</v>
      </c>
      <c r="CN18" s="239">
        <v>854.30956611570241</v>
      </c>
      <c r="CO18" s="239">
        <v>94.923285123966949</v>
      </c>
      <c r="CP18" s="239">
        <v>0</v>
      </c>
      <c r="CQ18" s="239">
        <v>0</v>
      </c>
      <c r="CR18" s="239">
        <v>0</v>
      </c>
      <c r="CS18" s="239">
        <v>3797</v>
      </c>
      <c r="CT18" s="239">
        <v>854</v>
      </c>
      <c r="CU18" s="239">
        <v>95</v>
      </c>
      <c r="CV18" s="239">
        <v>531494.45826446277</v>
      </c>
      <c r="CW18" s="239">
        <v>119586.0741322314</v>
      </c>
      <c r="CX18" s="239">
        <v>13287.341570247934</v>
      </c>
      <c r="CY18" s="239">
        <v>479754</v>
      </c>
      <c r="CZ18" s="239">
        <v>107880</v>
      </c>
      <c r="DA18" s="239">
        <v>11987</v>
      </c>
      <c r="DB18" s="239">
        <v>51740</v>
      </c>
      <c r="DC18" s="239">
        <v>11706</v>
      </c>
      <c r="DD18" s="239">
        <v>1300</v>
      </c>
      <c r="DE18" s="641">
        <v>0.5</v>
      </c>
      <c r="DF18" s="641">
        <v>0.4</v>
      </c>
      <c r="DG18" s="641">
        <v>0.09</v>
      </c>
      <c r="DH18" s="641">
        <v>0.01</v>
      </c>
      <c r="DI18" s="214" t="s">
        <v>1190</v>
      </c>
    </row>
    <row r="19" spans="2:113" s="214" customFormat="1" x14ac:dyDescent="0.2">
      <c r="B19" s="609" t="s">
        <v>120</v>
      </c>
      <c r="C19" s="609" t="s">
        <v>119</v>
      </c>
      <c r="D19" s="239">
        <v>-868431</v>
      </c>
      <c r="E19" s="239">
        <v>0</v>
      </c>
      <c r="F19" s="239">
        <v>-868431</v>
      </c>
      <c r="G19" s="239">
        <v>0</v>
      </c>
      <c r="H19" s="239">
        <v>0</v>
      </c>
      <c r="I19" s="239">
        <v>0</v>
      </c>
      <c r="J19" s="239">
        <v>-868431</v>
      </c>
      <c r="K19" s="239">
        <v>0</v>
      </c>
      <c r="L19" s="239">
        <v>-868431</v>
      </c>
      <c r="M19" s="239">
        <v>203511</v>
      </c>
      <c r="N19" s="239">
        <v>203511</v>
      </c>
      <c r="O19" s="239">
        <v>0</v>
      </c>
      <c r="P19" s="239">
        <v>0</v>
      </c>
      <c r="Q19" s="239">
        <v>0</v>
      </c>
      <c r="R19" s="239">
        <v>0</v>
      </c>
      <c r="S19" s="239">
        <v>110379</v>
      </c>
      <c r="T19" s="239">
        <v>203826</v>
      </c>
      <c r="U19" s="239">
        <v>96398</v>
      </c>
      <c r="V19" s="239">
        <v>215985</v>
      </c>
      <c r="W19" s="239">
        <v>13981</v>
      </c>
      <c r="X19" s="239">
        <v>-12159</v>
      </c>
      <c r="Y19" s="239">
        <v>0</v>
      </c>
      <c r="Z19" s="239">
        <v>0</v>
      </c>
      <c r="AA19" s="239">
        <v>0</v>
      </c>
      <c r="AB19" s="239">
        <v>0</v>
      </c>
      <c r="AC19" s="239">
        <v>0</v>
      </c>
      <c r="AD19" s="239">
        <v>0</v>
      </c>
      <c r="AE19" s="239">
        <v>0</v>
      </c>
      <c r="AF19" s="239">
        <v>0</v>
      </c>
      <c r="AG19" s="239">
        <v>0</v>
      </c>
      <c r="AH19" s="239">
        <v>0</v>
      </c>
      <c r="AI19" s="239">
        <v>0</v>
      </c>
      <c r="AJ19" s="239">
        <v>0</v>
      </c>
      <c r="AK19" s="239">
        <v>370945.22479338845</v>
      </c>
      <c r="AL19" s="239">
        <v>83462.675578512397</v>
      </c>
      <c r="AM19" s="239">
        <v>9273.630619834712</v>
      </c>
      <c r="AN19" s="239">
        <v>342867</v>
      </c>
      <c r="AO19" s="239">
        <v>77145</v>
      </c>
      <c r="AP19" s="239">
        <v>8572</v>
      </c>
      <c r="AQ19" s="239">
        <v>28078</v>
      </c>
      <c r="AR19" s="239">
        <v>6318</v>
      </c>
      <c r="AS19" s="239">
        <v>702</v>
      </c>
      <c r="AT19" s="239">
        <v>11030.862809917357</v>
      </c>
      <c r="AU19" s="239">
        <v>2481.9441322314051</v>
      </c>
      <c r="AV19" s="239">
        <v>275.77157024793388</v>
      </c>
      <c r="AW19" s="239">
        <v>6922</v>
      </c>
      <c r="AX19" s="239">
        <v>1558</v>
      </c>
      <c r="AY19" s="239">
        <v>173</v>
      </c>
      <c r="AZ19" s="239">
        <v>4109</v>
      </c>
      <c r="BA19" s="239">
        <v>924</v>
      </c>
      <c r="BB19" s="239">
        <v>103</v>
      </c>
      <c r="BC19" s="239">
        <v>0</v>
      </c>
      <c r="BD19" s="239">
        <v>0</v>
      </c>
      <c r="BE19" s="239">
        <v>0</v>
      </c>
      <c r="BF19" s="239">
        <v>0</v>
      </c>
      <c r="BG19" s="239">
        <v>0</v>
      </c>
      <c r="BH19" s="239">
        <v>0</v>
      </c>
      <c r="BI19" s="239">
        <v>0</v>
      </c>
      <c r="BJ19" s="239">
        <v>0</v>
      </c>
      <c r="BK19" s="239">
        <v>0</v>
      </c>
      <c r="BL19" s="239">
        <v>51849.194214876035</v>
      </c>
      <c r="BM19" s="239">
        <v>11666.068698347108</v>
      </c>
      <c r="BN19" s="239">
        <v>1296.2298553719008</v>
      </c>
      <c r="BO19" s="239">
        <v>30540</v>
      </c>
      <c r="BP19" s="239">
        <v>6872</v>
      </c>
      <c r="BQ19" s="239">
        <v>764</v>
      </c>
      <c r="BR19" s="239">
        <v>21309</v>
      </c>
      <c r="BS19" s="239">
        <v>4794</v>
      </c>
      <c r="BT19" s="239">
        <v>532</v>
      </c>
      <c r="BU19" s="239">
        <v>3217.4702479338848</v>
      </c>
      <c r="BV19" s="239">
        <v>723.93080578512399</v>
      </c>
      <c r="BW19" s="239">
        <v>80.436756198347112</v>
      </c>
      <c r="BX19" s="239">
        <v>0</v>
      </c>
      <c r="BY19" s="239">
        <v>0</v>
      </c>
      <c r="BZ19" s="239">
        <v>0</v>
      </c>
      <c r="CA19" s="239">
        <v>3217</v>
      </c>
      <c r="CB19" s="239">
        <v>724</v>
      </c>
      <c r="CC19" s="239">
        <v>80</v>
      </c>
      <c r="CD19" s="239">
        <v>0</v>
      </c>
      <c r="CE19" s="239">
        <v>0</v>
      </c>
      <c r="CF19" s="239">
        <v>0</v>
      </c>
      <c r="CG19" s="239">
        <v>0</v>
      </c>
      <c r="CH19" s="239">
        <v>0</v>
      </c>
      <c r="CI19" s="239">
        <v>0</v>
      </c>
      <c r="CJ19" s="239">
        <v>0</v>
      </c>
      <c r="CK19" s="239">
        <v>0</v>
      </c>
      <c r="CL19" s="239">
        <v>0</v>
      </c>
      <c r="CM19" s="239">
        <v>1905.1611570247935</v>
      </c>
      <c r="CN19" s="239">
        <v>428.66126033057856</v>
      </c>
      <c r="CO19" s="239">
        <v>47.629028925619842</v>
      </c>
      <c r="CP19" s="239">
        <v>2141</v>
      </c>
      <c r="CQ19" s="239">
        <v>482</v>
      </c>
      <c r="CR19" s="239">
        <v>54</v>
      </c>
      <c r="CS19" s="239">
        <v>-236</v>
      </c>
      <c r="CT19" s="239">
        <v>-53</v>
      </c>
      <c r="CU19" s="239">
        <v>-6</v>
      </c>
      <c r="CV19" s="239">
        <v>427454.52851239673</v>
      </c>
      <c r="CW19" s="239">
        <v>98765.977747933881</v>
      </c>
      <c r="CX19" s="239">
        <v>10646.453450413223</v>
      </c>
      <c r="CY19" s="239">
        <v>443719</v>
      </c>
      <c r="CZ19" s="239">
        <v>102647</v>
      </c>
      <c r="DA19" s="239">
        <v>11058</v>
      </c>
      <c r="DB19" s="239">
        <v>-16264</v>
      </c>
      <c r="DC19" s="239">
        <v>-3881</v>
      </c>
      <c r="DD19" s="239">
        <v>-412</v>
      </c>
      <c r="DE19" s="641">
        <v>0.5</v>
      </c>
      <c r="DF19" s="641">
        <v>0.4</v>
      </c>
      <c r="DG19" s="641">
        <v>0.09</v>
      </c>
      <c r="DH19" s="641">
        <v>0.01</v>
      </c>
      <c r="DI19" s="214" t="s">
        <v>1190</v>
      </c>
    </row>
    <row r="20" spans="2:113" s="214" customFormat="1" x14ac:dyDescent="0.2">
      <c r="B20" s="609" t="s">
        <v>122</v>
      </c>
      <c r="C20" s="609" t="s">
        <v>121</v>
      </c>
      <c r="D20" s="239">
        <v>-201244</v>
      </c>
      <c r="E20" s="239">
        <v>0</v>
      </c>
      <c r="F20" s="239">
        <v>-201244</v>
      </c>
      <c r="G20" s="239">
        <v>0</v>
      </c>
      <c r="H20" s="239">
        <v>0</v>
      </c>
      <c r="I20" s="239">
        <v>0</v>
      </c>
      <c r="J20" s="239">
        <v>-201244</v>
      </c>
      <c r="K20" s="239">
        <v>0</v>
      </c>
      <c r="L20" s="239">
        <v>-201244</v>
      </c>
      <c r="M20" s="239">
        <v>174205</v>
      </c>
      <c r="N20" s="239">
        <v>174205</v>
      </c>
      <c r="O20" s="239">
        <v>0</v>
      </c>
      <c r="P20" s="239">
        <v>0</v>
      </c>
      <c r="Q20" s="239">
        <v>0</v>
      </c>
      <c r="R20" s="239">
        <v>0</v>
      </c>
      <c r="S20" s="239">
        <v>550009</v>
      </c>
      <c r="T20" s="239">
        <v>0</v>
      </c>
      <c r="U20" s="239">
        <v>485070</v>
      </c>
      <c r="V20" s="239">
        <v>0</v>
      </c>
      <c r="W20" s="239">
        <v>64939</v>
      </c>
      <c r="X20" s="239">
        <v>0</v>
      </c>
      <c r="Y20" s="239">
        <v>0</v>
      </c>
      <c r="Z20" s="239">
        <v>0</v>
      </c>
      <c r="AA20" s="239">
        <v>0</v>
      </c>
      <c r="AB20" s="239">
        <v>0</v>
      </c>
      <c r="AC20" s="239">
        <v>0</v>
      </c>
      <c r="AD20" s="239">
        <v>0</v>
      </c>
      <c r="AE20" s="239">
        <v>0</v>
      </c>
      <c r="AF20" s="239">
        <v>0</v>
      </c>
      <c r="AG20" s="239">
        <v>0</v>
      </c>
      <c r="AH20" s="239">
        <v>0</v>
      </c>
      <c r="AI20" s="239">
        <v>0</v>
      </c>
      <c r="AJ20" s="239">
        <v>0</v>
      </c>
      <c r="AK20" s="239">
        <v>567455.59834710753</v>
      </c>
      <c r="AL20" s="239">
        <v>127677.50962809917</v>
      </c>
      <c r="AM20" s="239">
        <v>14186.389958677686</v>
      </c>
      <c r="AN20" s="239">
        <v>536346</v>
      </c>
      <c r="AO20" s="239">
        <v>120678</v>
      </c>
      <c r="AP20" s="239">
        <v>13409</v>
      </c>
      <c r="AQ20" s="239">
        <v>31110</v>
      </c>
      <c r="AR20" s="239">
        <v>7000</v>
      </c>
      <c r="AS20" s="239">
        <v>777</v>
      </c>
      <c r="AT20" s="239">
        <v>6638.644628099174</v>
      </c>
      <c r="AU20" s="239">
        <v>1493.695041322314</v>
      </c>
      <c r="AV20" s="239">
        <v>165.96611570247933</v>
      </c>
      <c r="AW20" s="239">
        <v>6696</v>
      </c>
      <c r="AX20" s="239">
        <v>1506</v>
      </c>
      <c r="AY20" s="239">
        <v>167</v>
      </c>
      <c r="AZ20" s="239">
        <v>-57</v>
      </c>
      <c r="BA20" s="239">
        <v>-12</v>
      </c>
      <c r="BB20" s="239">
        <v>-1</v>
      </c>
      <c r="BC20" s="239">
        <v>22071.870247933886</v>
      </c>
      <c r="BD20" s="239">
        <v>4966.1708057851238</v>
      </c>
      <c r="BE20" s="239">
        <v>551.79675619834711</v>
      </c>
      <c r="BF20" s="239">
        <v>31306</v>
      </c>
      <c r="BG20" s="239">
        <v>7044</v>
      </c>
      <c r="BH20" s="239">
        <v>783</v>
      </c>
      <c r="BI20" s="239">
        <v>-9234</v>
      </c>
      <c r="BJ20" s="239">
        <v>-2078</v>
      </c>
      <c r="BK20" s="239">
        <v>-231</v>
      </c>
      <c r="BL20" s="239">
        <v>10640.497520661158</v>
      </c>
      <c r="BM20" s="239">
        <v>2394.1119421487601</v>
      </c>
      <c r="BN20" s="239">
        <v>266.0124380165289</v>
      </c>
      <c r="BO20" s="239">
        <v>6756</v>
      </c>
      <c r="BP20" s="239">
        <v>1520</v>
      </c>
      <c r="BQ20" s="239">
        <v>169</v>
      </c>
      <c r="BR20" s="239">
        <v>3884</v>
      </c>
      <c r="BS20" s="239">
        <v>874</v>
      </c>
      <c r="BT20" s="239">
        <v>97</v>
      </c>
      <c r="BU20" s="239">
        <v>2252.5132231404959</v>
      </c>
      <c r="BV20" s="239">
        <v>506.81547520661155</v>
      </c>
      <c r="BW20" s="239">
        <v>56.312830578512397</v>
      </c>
      <c r="BX20" s="239">
        <v>0</v>
      </c>
      <c r="BY20" s="239">
        <v>0</v>
      </c>
      <c r="BZ20" s="239">
        <v>0</v>
      </c>
      <c r="CA20" s="239">
        <v>2253</v>
      </c>
      <c r="CB20" s="239">
        <v>507</v>
      </c>
      <c r="CC20" s="239">
        <v>56</v>
      </c>
      <c r="CD20" s="239">
        <v>0</v>
      </c>
      <c r="CE20" s="239">
        <v>0</v>
      </c>
      <c r="CF20" s="239">
        <v>0</v>
      </c>
      <c r="CG20" s="239">
        <v>0</v>
      </c>
      <c r="CH20" s="239">
        <v>0</v>
      </c>
      <c r="CI20" s="239">
        <v>0</v>
      </c>
      <c r="CJ20" s="239">
        <v>0</v>
      </c>
      <c r="CK20" s="239">
        <v>0</v>
      </c>
      <c r="CL20" s="239">
        <v>0</v>
      </c>
      <c r="CM20" s="239">
        <v>4698.9917355371899</v>
      </c>
      <c r="CN20" s="239">
        <v>1057.2731404958677</v>
      </c>
      <c r="CO20" s="239">
        <v>117.47479338842976</v>
      </c>
      <c r="CP20" s="239">
        <v>4820</v>
      </c>
      <c r="CQ20" s="239">
        <v>1085</v>
      </c>
      <c r="CR20" s="239">
        <v>121</v>
      </c>
      <c r="CS20" s="239">
        <v>-121</v>
      </c>
      <c r="CT20" s="239">
        <v>-28</v>
      </c>
      <c r="CU20" s="239">
        <v>-4</v>
      </c>
      <c r="CV20" s="239">
        <v>303918.70785123965</v>
      </c>
      <c r="CW20" s="239">
        <v>66591.907252066114</v>
      </c>
      <c r="CX20" s="239">
        <v>7399.1008057851241</v>
      </c>
      <c r="CY20" s="239">
        <v>292751</v>
      </c>
      <c r="CZ20" s="239">
        <v>64291</v>
      </c>
      <c r="DA20" s="239">
        <v>7143</v>
      </c>
      <c r="DB20" s="239">
        <v>11168</v>
      </c>
      <c r="DC20" s="239">
        <v>2301</v>
      </c>
      <c r="DD20" s="239">
        <v>256</v>
      </c>
      <c r="DE20" s="641">
        <v>0.5</v>
      </c>
      <c r="DF20" s="641">
        <v>0.4</v>
      </c>
      <c r="DG20" s="641">
        <v>0.09</v>
      </c>
      <c r="DH20" s="641">
        <v>0.01</v>
      </c>
      <c r="DI20" s="214" t="s">
        <v>1190</v>
      </c>
    </row>
    <row r="21" spans="2:113" s="214" customFormat="1" x14ac:dyDescent="0.2">
      <c r="B21" s="609" t="s">
        <v>124</v>
      </c>
      <c r="C21" s="609" t="s">
        <v>123</v>
      </c>
      <c r="D21" s="239">
        <v>-108933</v>
      </c>
      <c r="E21" s="239">
        <v>246</v>
      </c>
      <c r="F21" s="239">
        <v>-108687</v>
      </c>
      <c r="G21" s="239">
        <v>0</v>
      </c>
      <c r="H21" s="239">
        <v>0</v>
      </c>
      <c r="I21" s="239">
        <v>0</v>
      </c>
      <c r="J21" s="239">
        <v>-108933</v>
      </c>
      <c r="K21" s="239">
        <v>246</v>
      </c>
      <c r="L21" s="239">
        <v>-108687</v>
      </c>
      <c r="M21" s="239">
        <v>259777</v>
      </c>
      <c r="N21" s="239">
        <v>259777</v>
      </c>
      <c r="O21" s="239">
        <v>0</v>
      </c>
      <c r="P21" s="239">
        <v>594870</v>
      </c>
      <c r="Q21" s="239">
        <v>590317</v>
      </c>
      <c r="R21" s="239">
        <v>4553</v>
      </c>
      <c r="S21" s="239">
        <v>46472</v>
      </c>
      <c r="T21" s="239">
        <v>0</v>
      </c>
      <c r="U21" s="239">
        <v>29000</v>
      </c>
      <c r="V21" s="239">
        <v>0</v>
      </c>
      <c r="W21" s="239">
        <v>17472</v>
      </c>
      <c r="X21" s="239">
        <v>0</v>
      </c>
      <c r="Y21" s="239">
        <v>0</v>
      </c>
      <c r="Z21" s="239">
        <v>0</v>
      </c>
      <c r="AA21" s="239">
        <v>0</v>
      </c>
      <c r="AB21" s="239">
        <v>0</v>
      </c>
      <c r="AC21" s="239">
        <v>0</v>
      </c>
      <c r="AD21" s="239">
        <v>0</v>
      </c>
      <c r="AE21" s="239">
        <v>0</v>
      </c>
      <c r="AF21" s="239">
        <v>0</v>
      </c>
      <c r="AG21" s="239">
        <v>0</v>
      </c>
      <c r="AH21" s="239">
        <v>0</v>
      </c>
      <c r="AI21" s="239">
        <v>0</v>
      </c>
      <c r="AJ21" s="239">
        <v>0</v>
      </c>
      <c r="AK21" s="239">
        <v>1137168.2039876033</v>
      </c>
      <c r="AL21" s="239">
        <v>0</v>
      </c>
      <c r="AM21" s="239">
        <v>22176.126590909091</v>
      </c>
      <c r="AN21" s="239">
        <v>1021340</v>
      </c>
      <c r="AO21" s="239">
        <v>0</v>
      </c>
      <c r="AP21" s="239">
        <v>19865</v>
      </c>
      <c r="AQ21" s="239">
        <v>115828</v>
      </c>
      <c r="AR21" s="239">
        <v>0</v>
      </c>
      <c r="AS21" s="239">
        <v>2311</v>
      </c>
      <c r="AT21" s="239">
        <v>5074.7589049586777</v>
      </c>
      <c r="AU21" s="239">
        <v>0</v>
      </c>
      <c r="AV21" s="239">
        <v>103.56650826446281</v>
      </c>
      <c r="AW21" s="239">
        <v>3779</v>
      </c>
      <c r="AX21" s="239">
        <v>0</v>
      </c>
      <c r="AY21" s="239">
        <v>77</v>
      </c>
      <c r="AZ21" s="239">
        <v>1296</v>
      </c>
      <c r="BA21" s="239">
        <v>0</v>
      </c>
      <c r="BB21" s="239">
        <v>27</v>
      </c>
      <c r="BC21" s="239">
        <v>0</v>
      </c>
      <c r="BD21" s="239">
        <v>0</v>
      </c>
      <c r="BE21" s="239">
        <v>0</v>
      </c>
      <c r="BF21" s="239">
        <v>0</v>
      </c>
      <c r="BG21" s="239">
        <v>0</v>
      </c>
      <c r="BH21" s="239">
        <v>0</v>
      </c>
      <c r="BI21" s="239">
        <v>0</v>
      </c>
      <c r="BJ21" s="239">
        <v>0</v>
      </c>
      <c r="BK21" s="239">
        <v>0</v>
      </c>
      <c r="BL21" s="239">
        <v>17478.068161157025</v>
      </c>
      <c r="BM21" s="239">
        <v>0</v>
      </c>
      <c r="BN21" s="239">
        <v>356.69526859504128</v>
      </c>
      <c r="BO21" s="239">
        <v>23600</v>
      </c>
      <c r="BP21" s="239">
        <v>0</v>
      </c>
      <c r="BQ21" s="239">
        <v>482</v>
      </c>
      <c r="BR21" s="239">
        <v>-6122</v>
      </c>
      <c r="BS21" s="239">
        <v>0</v>
      </c>
      <c r="BT21" s="239">
        <v>-125</v>
      </c>
      <c r="BU21" s="239">
        <v>8926.7959297520665</v>
      </c>
      <c r="BV21" s="239">
        <v>0</v>
      </c>
      <c r="BW21" s="239">
        <v>151.12452479338842</v>
      </c>
      <c r="BX21" s="239">
        <v>0</v>
      </c>
      <c r="BY21" s="239">
        <v>0</v>
      </c>
      <c r="BZ21" s="239">
        <v>0</v>
      </c>
      <c r="CA21" s="239">
        <v>8927</v>
      </c>
      <c r="CB21" s="239">
        <v>0</v>
      </c>
      <c r="CC21" s="239">
        <v>151</v>
      </c>
      <c r="CD21" s="239">
        <v>-83.013491735537187</v>
      </c>
      <c r="CE21" s="239">
        <v>0</v>
      </c>
      <c r="CF21" s="239">
        <v>-1.6941528925619835</v>
      </c>
      <c r="CG21" s="239">
        <v>0</v>
      </c>
      <c r="CH21" s="239">
        <v>0</v>
      </c>
      <c r="CI21" s="239">
        <v>0</v>
      </c>
      <c r="CJ21" s="239">
        <v>-83</v>
      </c>
      <c r="CK21" s="239">
        <v>0</v>
      </c>
      <c r="CL21" s="239">
        <v>-2</v>
      </c>
      <c r="CM21" s="239">
        <v>-6.9592148760330579</v>
      </c>
      <c r="CN21" s="239">
        <v>0</v>
      </c>
      <c r="CO21" s="239">
        <v>-0.14202479338842974</v>
      </c>
      <c r="CP21" s="239">
        <v>331</v>
      </c>
      <c r="CQ21" s="239">
        <v>0</v>
      </c>
      <c r="CR21" s="239">
        <v>7</v>
      </c>
      <c r="CS21" s="239">
        <v>-338</v>
      </c>
      <c r="CT21" s="239">
        <v>0</v>
      </c>
      <c r="CU21" s="239">
        <v>-7</v>
      </c>
      <c r="CV21" s="239">
        <v>453035.40791322308</v>
      </c>
      <c r="CW21" s="239">
        <v>0</v>
      </c>
      <c r="CX21" s="239">
        <v>9056.3224586776869</v>
      </c>
      <c r="CY21" s="239">
        <v>477957</v>
      </c>
      <c r="CZ21" s="239">
        <v>0</v>
      </c>
      <c r="DA21" s="239">
        <v>9571</v>
      </c>
      <c r="DB21" s="239">
        <v>-24922</v>
      </c>
      <c r="DC21" s="239">
        <v>0</v>
      </c>
      <c r="DD21" s="239">
        <v>-515</v>
      </c>
      <c r="DE21" s="641">
        <v>0.5</v>
      </c>
      <c r="DF21" s="641">
        <v>0.49</v>
      </c>
      <c r="DG21" s="641">
        <v>0</v>
      </c>
      <c r="DH21" s="641">
        <v>0.01</v>
      </c>
      <c r="DI21" s="214" t="s">
        <v>747</v>
      </c>
    </row>
    <row r="22" spans="2:113" s="214" customFormat="1" x14ac:dyDescent="0.2">
      <c r="B22" s="609" t="s">
        <v>126</v>
      </c>
      <c r="C22" s="609" t="s">
        <v>125</v>
      </c>
      <c r="D22" s="239">
        <v>-45880</v>
      </c>
      <c r="E22" s="239">
        <v>0</v>
      </c>
      <c r="F22" s="239">
        <v>-45880</v>
      </c>
      <c r="G22" s="239">
        <v>0</v>
      </c>
      <c r="H22" s="239">
        <v>0</v>
      </c>
      <c r="I22" s="239">
        <v>0</v>
      </c>
      <c r="J22" s="239">
        <v>-45880</v>
      </c>
      <c r="K22" s="239">
        <v>0</v>
      </c>
      <c r="L22" s="239">
        <v>-45880</v>
      </c>
      <c r="M22" s="239">
        <v>231612</v>
      </c>
      <c r="N22" s="239">
        <v>231612</v>
      </c>
      <c r="O22" s="239">
        <v>0</v>
      </c>
      <c r="P22" s="239">
        <v>0</v>
      </c>
      <c r="Q22" s="239">
        <v>0</v>
      </c>
      <c r="R22" s="239">
        <v>0</v>
      </c>
      <c r="S22" s="239">
        <v>767999</v>
      </c>
      <c r="T22" s="239">
        <v>0</v>
      </c>
      <c r="U22" s="239">
        <v>0</v>
      </c>
      <c r="V22" s="239">
        <v>0</v>
      </c>
      <c r="W22" s="239">
        <v>767999</v>
      </c>
      <c r="X22" s="239">
        <v>0</v>
      </c>
      <c r="Y22" s="239">
        <v>0</v>
      </c>
      <c r="Z22" s="239">
        <v>0</v>
      </c>
      <c r="AA22" s="239">
        <v>0</v>
      </c>
      <c r="AB22" s="239">
        <v>0</v>
      </c>
      <c r="AC22" s="239">
        <v>0</v>
      </c>
      <c r="AD22" s="239">
        <v>0</v>
      </c>
      <c r="AE22" s="239">
        <v>0</v>
      </c>
      <c r="AF22" s="239">
        <v>0</v>
      </c>
      <c r="AG22" s="239">
        <v>0</v>
      </c>
      <c r="AH22" s="239">
        <v>0</v>
      </c>
      <c r="AI22" s="239">
        <v>0</v>
      </c>
      <c r="AJ22" s="239">
        <v>0</v>
      </c>
      <c r="AK22" s="239">
        <v>850764.01859504124</v>
      </c>
      <c r="AL22" s="239">
        <v>0</v>
      </c>
      <c r="AM22" s="239">
        <v>17362.530991735537</v>
      </c>
      <c r="AN22" s="239">
        <v>818458</v>
      </c>
      <c r="AO22" s="239">
        <v>0</v>
      </c>
      <c r="AP22" s="239">
        <v>16703</v>
      </c>
      <c r="AQ22" s="239">
        <v>32306</v>
      </c>
      <c r="AR22" s="239">
        <v>0</v>
      </c>
      <c r="AS22" s="239">
        <v>660</v>
      </c>
      <c r="AT22" s="239">
        <v>5925.2743801652887</v>
      </c>
      <c r="AU22" s="239">
        <v>0</v>
      </c>
      <c r="AV22" s="239">
        <v>120.92396694214875</v>
      </c>
      <c r="AW22" s="239">
        <v>746</v>
      </c>
      <c r="AX22" s="239">
        <v>0</v>
      </c>
      <c r="AY22" s="239">
        <v>15</v>
      </c>
      <c r="AZ22" s="239">
        <v>5179</v>
      </c>
      <c r="BA22" s="239">
        <v>0</v>
      </c>
      <c r="BB22" s="239">
        <v>106</v>
      </c>
      <c r="BC22" s="239">
        <v>101055.75338842974</v>
      </c>
      <c r="BD22" s="239">
        <v>0</v>
      </c>
      <c r="BE22" s="239">
        <v>2062.362314049587</v>
      </c>
      <c r="BF22" s="239">
        <v>34466</v>
      </c>
      <c r="BG22" s="239">
        <v>0</v>
      </c>
      <c r="BH22" s="239">
        <v>703</v>
      </c>
      <c r="BI22" s="239">
        <v>66590</v>
      </c>
      <c r="BJ22" s="239">
        <v>0</v>
      </c>
      <c r="BK22" s="239">
        <v>1359</v>
      </c>
      <c r="BL22" s="239">
        <v>13897.552107438016</v>
      </c>
      <c r="BM22" s="239">
        <v>0</v>
      </c>
      <c r="BN22" s="239">
        <v>283.6235123966942</v>
      </c>
      <c r="BO22" s="239">
        <v>15399</v>
      </c>
      <c r="BP22" s="239">
        <v>0</v>
      </c>
      <c r="BQ22" s="239">
        <v>314</v>
      </c>
      <c r="BR22" s="239">
        <v>-1501</v>
      </c>
      <c r="BS22" s="239">
        <v>0</v>
      </c>
      <c r="BT22" s="239">
        <v>-30</v>
      </c>
      <c r="BU22" s="239">
        <v>-1892.9064462809918</v>
      </c>
      <c r="BV22" s="239">
        <v>0</v>
      </c>
      <c r="BW22" s="239">
        <v>-38.630743801652891</v>
      </c>
      <c r="BX22" s="239">
        <v>0</v>
      </c>
      <c r="BY22" s="239">
        <v>0</v>
      </c>
      <c r="BZ22" s="239">
        <v>0</v>
      </c>
      <c r="CA22" s="239">
        <v>-1893</v>
      </c>
      <c r="CB22" s="239">
        <v>0</v>
      </c>
      <c r="CC22" s="239">
        <v>-39</v>
      </c>
      <c r="CD22" s="239">
        <v>0</v>
      </c>
      <c r="CE22" s="239">
        <v>0</v>
      </c>
      <c r="CF22" s="239">
        <v>0</v>
      </c>
      <c r="CG22" s="239">
        <v>0</v>
      </c>
      <c r="CH22" s="239">
        <v>0</v>
      </c>
      <c r="CI22" s="239">
        <v>0</v>
      </c>
      <c r="CJ22" s="239">
        <v>0</v>
      </c>
      <c r="CK22" s="239">
        <v>0</v>
      </c>
      <c r="CL22" s="239">
        <v>0</v>
      </c>
      <c r="CM22" s="239">
        <v>0</v>
      </c>
      <c r="CN22" s="239">
        <v>0</v>
      </c>
      <c r="CO22" s="239">
        <v>0</v>
      </c>
      <c r="CP22" s="239">
        <v>0</v>
      </c>
      <c r="CQ22" s="239">
        <v>0</v>
      </c>
      <c r="CR22" s="239">
        <v>0</v>
      </c>
      <c r="CS22" s="239">
        <v>0</v>
      </c>
      <c r="CT22" s="239">
        <v>0</v>
      </c>
      <c r="CU22" s="239">
        <v>0</v>
      </c>
      <c r="CV22" s="239">
        <v>478102.50466942147</v>
      </c>
      <c r="CW22" s="239">
        <v>0</v>
      </c>
      <c r="CX22" s="239">
        <v>9530.5118595041331</v>
      </c>
      <c r="CY22" s="239">
        <v>470386</v>
      </c>
      <c r="CZ22" s="239">
        <v>0</v>
      </c>
      <c r="DA22" s="239">
        <v>9600</v>
      </c>
      <c r="DB22" s="239">
        <v>7717</v>
      </c>
      <c r="DC22" s="239">
        <v>0</v>
      </c>
      <c r="DD22" s="239">
        <v>-69</v>
      </c>
      <c r="DE22" s="641">
        <v>0.5</v>
      </c>
      <c r="DF22" s="641">
        <v>0.49</v>
      </c>
      <c r="DG22" s="641">
        <v>0</v>
      </c>
      <c r="DH22" s="641">
        <v>0.01</v>
      </c>
      <c r="DI22" s="214" t="s">
        <v>747</v>
      </c>
    </row>
    <row r="23" spans="2:113" s="214" customFormat="1" x14ac:dyDescent="0.2">
      <c r="B23" s="609" t="s">
        <v>128</v>
      </c>
      <c r="C23" s="609" t="s">
        <v>127</v>
      </c>
      <c r="D23" s="239">
        <v>-22531</v>
      </c>
      <c r="E23" s="239">
        <v>0</v>
      </c>
      <c r="F23" s="239">
        <v>-22531</v>
      </c>
      <c r="G23" s="239">
        <v>0</v>
      </c>
      <c r="H23" s="239">
        <v>0</v>
      </c>
      <c r="I23" s="239">
        <v>0</v>
      </c>
      <c r="J23" s="239">
        <v>-22531</v>
      </c>
      <c r="K23" s="239">
        <v>0</v>
      </c>
      <c r="L23" s="239">
        <v>-22531</v>
      </c>
      <c r="M23" s="239">
        <v>253817</v>
      </c>
      <c r="N23" s="239">
        <v>253817</v>
      </c>
      <c r="O23" s="239">
        <v>0</v>
      </c>
      <c r="P23" s="239">
        <v>0</v>
      </c>
      <c r="Q23" s="239">
        <v>0</v>
      </c>
      <c r="R23" s="239">
        <v>0</v>
      </c>
      <c r="S23" s="239">
        <v>0</v>
      </c>
      <c r="T23" s="239">
        <v>0</v>
      </c>
      <c r="U23" s="239">
        <v>0</v>
      </c>
      <c r="V23" s="239">
        <v>0</v>
      </c>
      <c r="W23" s="239">
        <v>0</v>
      </c>
      <c r="X23" s="239">
        <v>0</v>
      </c>
      <c r="Y23" s="239">
        <v>0</v>
      </c>
      <c r="Z23" s="239">
        <v>0</v>
      </c>
      <c r="AA23" s="239">
        <v>0</v>
      </c>
      <c r="AB23" s="239">
        <v>0</v>
      </c>
      <c r="AC23" s="239">
        <v>0</v>
      </c>
      <c r="AD23" s="239">
        <v>0</v>
      </c>
      <c r="AE23" s="239">
        <v>0</v>
      </c>
      <c r="AF23" s="239">
        <v>0</v>
      </c>
      <c r="AG23" s="239">
        <v>0</v>
      </c>
      <c r="AH23" s="239">
        <v>0</v>
      </c>
      <c r="AI23" s="239">
        <v>0</v>
      </c>
      <c r="AJ23" s="239">
        <v>0</v>
      </c>
      <c r="AK23" s="239">
        <v>621214.6202479339</v>
      </c>
      <c r="AL23" s="239">
        <v>414143.08016528928</v>
      </c>
      <c r="AM23" s="239">
        <v>0</v>
      </c>
      <c r="AN23" s="239">
        <v>618027</v>
      </c>
      <c r="AO23" s="239">
        <v>412019</v>
      </c>
      <c r="AP23" s="239">
        <v>0</v>
      </c>
      <c r="AQ23" s="239">
        <v>3188</v>
      </c>
      <c r="AR23" s="239">
        <v>2124</v>
      </c>
      <c r="AS23" s="239">
        <v>0</v>
      </c>
      <c r="AT23" s="239">
        <v>0</v>
      </c>
      <c r="AU23" s="239">
        <v>0</v>
      </c>
      <c r="AV23" s="239">
        <v>0</v>
      </c>
      <c r="AW23" s="239">
        <v>0</v>
      </c>
      <c r="AX23" s="239">
        <v>0</v>
      </c>
      <c r="AY23" s="239">
        <v>0</v>
      </c>
      <c r="AZ23" s="239">
        <v>0</v>
      </c>
      <c r="BA23" s="239">
        <v>0</v>
      </c>
      <c r="BB23" s="239">
        <v>0</v>
      </c>
      <c r="BC23" s="239">
        <v>0</v>
      </c>
      <c r="BD23" s="239">
        <v>0</v>
      </c>
      <c r="BE23" s="239">
        <v>0</v>
      </c>
      <c r="BF23" s="239">
        <v>0</v>
      </c>
      <c r="BG23" s="239">
        <v>0</v>
      </c>
      <c r="BH23" s="239">
        <v>0</v>
      </c>
      <c r="BI23" s="239">
        <v>0</v>
      </c>
      <c r="BJ23" s="239">
        <v>0</v>
      </c>
      <c r="BK23" s="239">
        <v>0</v>
      </c>
      <c r="BL23" s="239">
        <v>1424.0014462809918</v>
      </c>
      <c r="BM23" s="239">
        <v>949.33429752066127</v>
      </c>
      <c r="BN23" s="239">
        <v>0</v>
      </c>
      <c r="BO23" s="239">
        <v>907</v>
      </c>
      <c r="BP23" s="239">
        <v>605</v>
      </c>
      <c r="BQ23" s="239">
        <v>0</v>
      </c>
      <c r="BR23" s="239">
        <v>517</v>
      </c>
      <c r="BS23" s="239">
        <v>344</v>
      </c>
      <c r="BT23" s="239">
        <v>0</v>
      </c>
      <c r="BU23" s="239">
        <v>-810.15</v>
      </c>
      <c r="BV23" s="239">
        <v>-540.1</v>
      </c>
      <c r="BW23" s="239">
        <v>0</v>
      </c>
      <c r="BX23" s="239">
        <v>0</v>
      </c>
      <c r="BY23" s="239">
        <v>0</v>
      </c>
      <c r="BZ23" s="239">
        <v>0</v>
      </c>
      <c r="CA23" s="239">
        <v>-810</v>
      </c>
      <c r="CB23" s="239">
        <v>-540</v>
      </c>
      <c r="CC23" s="239">
        <v>0</v>
      </c>
      <c r="CD23" s="239">
        <v>0</v>
      </c>
      <c r="CE23" s="239">
        <v>0</v>
      </c>
      <c r="CF23" s="239">
        <v>0</v>
      </c>
      <c r="CG23" s="239">
        <v>0</v>
      </c>
      <c r="CH23" s="239">
        <v>0</v>
      </c>
      <c r="CI23" s="239">
        <v>0</v>
      </c>
      <c r="CJ23" s="239">
        <v>0</v>
      </c>
      <c r="CK23" s="239">
        <v>0</v>
      </c>
      <c r="CL23" s="239">
        <v>0</v>
      </c>
      <c r="CM23" s="239">
        <v>0</v>
      </c>
      <c r="CN23" s="239">
        <v>0</v>
      </c>
      <c r="CO23" s="239">
        <v>0</v>
      </c>
      <c r="CP23" s="239">
        <v>11</v>
      </c>
      <c r="CQ23" s="239">
        <v>8</v>
      </c>
      <c r="CR23" s="239">
        <v>0</v>
      </c>
      <c r="CS23" s="239">
        <v>-11</v>
      </c>
      <c r="CT23" s="239">
        <v>-8</v>
      </c>
      <c r="CU23" s="239">
        <v>0</v>
      </c>
      <c r="CV23" s="239">
        <v>311206.81425619835</v>
      </c>
      <c r="CW23" s="239">
        <v>207471.20950413225</v>
      </c>
      <c r="CX23" s="239">
        <v>0</v>
      </c>
      <c r="CY23" s="239">
        <v>311304</v>
      </c>
      <c r="CZ23" s="239">
        <v>207536</v>
      </c>
      <c r="DA23" s="239">
        <v>0</v>
      </c>
      <c r="DB23" s="239">
        <v>-97</v>
      </c>
      <c r="DC23" s="239">
        <v>-65</v>
      </c>
      <c r="DD23" s="239">
        <v>0</v>
      </c>
      <c r="DE23" s="641">
        <v>0.5</v>
      </c>
      <c r="DF23" s="641">
        <v>0.3</v>
      </c>
      <c r="DG23" s="641">
        <v>0.2</v>
      </c>
      <c r="DH23" s="641">
        <v>0</v>
      </c>
      <c r="DI23" s="214" t="s">
        <v>1191</v>
      </c>
    </row>
    <row r="24" spans="2:113" s="214" customFormat="1" x14ac:dyDescent="0.2">
      <c r="B24" s="609" t="s">
        <v>130</v>
      </c>
      <c r="C24" s="609" t="s">
        <v>129</v>
      </c>
      <c r="D24" s="239">
        <v>-1667074</v>
      </c>
      <c r="E24" s="239">
        <v>-11729</v>
      </c>
      <c r="F24" s="239">
        <v>-1678803</v>
      </c>
      <c r="G24" s="239">
        <v>0</v>
      </c>
      <c r="H24" s="239">
        <v>0</v>
      </c>
      <c r="I24" s="239">
        <v>0</v>
      </c>
      <c r="J24" s="239">
        <v>-1667074</v>
      </c>
      <c r="K24" s="239">
        <v>-11729</v>
      </c>
      <c r="L24" s="239">
        <v>-1678803</v>
      </c>
      <c r="M24" s="239">
        <v>1924036</v>
      </c>
      <c r="N24" s="239">
        <v>1924036</v>
      </c>
      <c r="O24" s="239">
        <v>0</v>
      </c>
      <c r="P24" s="239">
        <v>3677010</v>
      </c>
      <c r="Q24" s="239">
        <v>5870388</v>
      </c>
      <c r="R24" s="239">
        <v>-2193378</v>
      </c>
      <c r="S24" s="239">
        <v>0</v>
      </c>
      <c r="T24" s="239">
        <v>0</v>
      </c>
      <c r="U24" s="239">
        <v>0</v>
      </c>
      <c r="V24" s="239">
        <v>0</v>
      </c>
      <c r="W24" s="239">
        <v>0</v>
      </c>
      <c r="X24" s="239">
        <v>0</v>
      </c>
      <c r="Y24" s="239">
        <v>924130.98347107437</v>
      </c>
      <c r="Z24" s="239">
        <v>924130.98347107437</v>
      </c>
      <c r="AA24" s="239">
        <v>0</v>
      </c>
      <c r="AB24" s="239">
        <v>0</v>
      </c>
      <c r="AC24" s="239">
        <v>423987</v>
      </c>
      <c r="AD24" s="239">
        <v>423987</v>
      </c>
      <c r="AE24" s="239">
        <v>0</v>
      </c>
      <c r="AF24" s="239">
        <v>0</v>
      </c>
      <c r="AG24" s="239">
        <v>500144</v>
      </c>
      <c r="AH24" s="239">
        <v>500144</v>
      </c>
      <c r="AI24" s="239">
        <v>0</v>
      </c>
      <c r="AJ24" s="239">
        <v>0</v>
      </c>
      <c r="AK24" s="239">
        <v>6558780.9064359507</v>
      </c>
      <c r="AL24" s="239">
        <v>0</v>
      </c>
      <c r="AM24" s="239">
        <v>130057.05895661157</v>
      </c>
      <c r="AN24" s="239">
        <v>6417648</v>
      </c>
      <c r="AO24" s="239">
        <v>0</v>
      </c>
      <c r="AP24" s="239">
        <v>126949</v>
      </c>
      <c r="AQ24" s="239">
        <v>141133</v>
      </c>
      <c r="AR24" s="239">
        <v>0</v>
      </c>
      <c r="AS24" s="239">
        <v>3108</v>
      </c>
      <c r="AT24" s="239">
        <v>19095.243615702479</v>
      </c>
      <c r="AU24" s="239">
        <v>0</v>
      </c>
      <c r="AV24" s="239">
        <v>285.56113636363642</v>
      </c>
      <c r="AW24" s="239">
        <v>0</v>
      </c>
      <c r="AX24" s="239">
        <v>0</v>
      </c>
      <c r="AY24" s="239">
        <v>0</v>
      </c>
      <c r="AZ24" s="239">
        <v>19095</v>
      </c>
      <c r="BA24" s="239">
        <v>0</v>
      </c>
      <c r="BB24" s="239">
        <v>286</v>
      </c>
      <c r="BC24" s="239">
        <v>73585.15553719009</v>
      </c>
      <c r="BD24" s="239">
        <v>0</v>
      </c>
      <c r="BE24" s="239">
        <v>1077.2783471074381</v>
      </c>
      <c r="BF24" s="239">
        <v>0</v>
      </c>
      <c r="BG24" s="239">
        <v>0</v>
      </c>
      <c r="BH24" s="239">
        <v>0</v>
      </c>
      <c r="BI24" s="239">
        <v>73585</v>
      </c>
      <c r="BJ24" s="239">
        <v>0</v>
      </c>
      <c r="BK24" s="239">
        <v>1077</v>
      </c>
      <c r="BL24" s="239">
        <v>54314.683760330576</v>
      </c>
      <c r="BM24" s="239">
        <v>0</v>
      </c>
      <c r="BN24" s="239">
        <v>1108.4629338842974</v>
      </c>
      <c r="BO24" s="239">
        <v>0</v>
      </c>
      <c r="BP24" s="239">
        <v>0</v>
      </c>
      <c r="BQ24" s="239">
        <v>0</v>
      </c>
      <c r="BR24" s="239">
        <v>54315</v>
      </c>
      <c r="BS24" s="239">
        <v>0</v>
      </c>
      <c r="BT24" s="239">
        <v>1108</v>
      </c>
      <c r="BU24" s="239">
        <v>112106.47938016528</v>
      </c>
      <c r="BV24" s="239">
        <v>0</v>
      </c>
      <c r="BW24" s="239">
        <v>1926.2416942148761</v>
      </c>
      <c r="BX24" s="239">
        <v>0</v>
      </c>
      <c r="BY24" s="239">
        <v>0</v>
      </c>
      <c r="BZ24" s="239">
        <v>0</v>
      </c>
      <c r="CA24" s="239">
        <v>112106</v>
      </c>
      <c r="CB24" s="239">
        <v>0</v>
      </c>
      <c r="CC24" s="239">
        <v>1926</v>
      </c>
      <c r="CD24" s="239">
        <v>0</v>
      </c>
      <c r="CE24" s="239">
        <v>0</v>
      </c>
      <c r="CF24" s="239">
        <v>0</v>
      </c>
      <c r="CG24" s="239">
        <v>0</v>
      </c>
      <c r="CH24" s="239">
        <v>0</v>
      </c>
      <c r="CI24" s="239">
        <v>0</v>
      </c>
      <c r="CJ24" s="239">
        <v>0</v>
      </c>
      <c r="CK24" s="239">
        <v>0</v>
      </c>
      <c r="CL24" s="239">
        <v>0</v>
      </c>
      <c r="CM24" s="239">
        <v>0</v>
      </c>
      <c r="CN24" s="239">
        <v>0</v>
      </c>
      <c r="CO24" s="239">
        <v>0</v>
      </c>
      <c r="CP24" s="239">
        <v>0</v>
      </c>
      <c r="CQ24" s="239">
        <v>0</v>
      </c>
      <c r="CR24" s="239">
        <v>0</v>
      </c>
      <c r="CS24" s="239">
        <v>0</v>
      </c>
      <c r="CT24" s="239">
        <v>0</v>
      </c>
      <c r="CU24" s="239">
        <v>0</v>
      </c>
      <c r="CV24" s="239">
        <v>2968731.7719008261</v>
      </c>
      <c r="CW24" s="239">
        <v>0</v>
      </c>
      <c r="CX24" s="239">
        <v>59501.058677685956</v>
      </c>
      <c r="CY24" s="239">
        <v>3068082</v>
      </c>
      <c r="CZ24" s="239">
        <v>0</v>
      </c>
      <c r="DA24" s="239">
        <v>60756</v>
      </c>
      <c r="DB24" s="239">
        <v>-99350</v>
      </c>
      <c r="DC24" s="239">
        <v>0</v>
      </c>
      <c r="DD24" s="239">
        <v>-1255</v>
      </c>
      <c r="DE24" s="641">
        <v>0.5</v>
      </c>
      <c r="DF24" s="641">
        <v>0.49</v>
      </c>
      <c r="DG24" s="641">
        <v>0</v>
      </c>
      <c r="DH24" s="641">
        <v>0.01</v>
      </c>
      <c r="DI24" s="214" t="s">
        <v>1192</v>
      </c>
    </row>
    <row r="25" spans="2:113" s="214" customFormat="1" x14ac:dyDescent="0.2">
      <c r="B25" s="609" t="s">
        <v>132</v>
      </c>
      <c r="C25" s="609" t="s">
        <v>131</v>
      </c>
      <c r="D25" s="239">
        <v>-28906</v>
      </c>
      <c r="E25" s="239">
        <v>0</v>
      </c>
      <c r="F25" s="239">
        <v>-28906</v>
      </c>
      <c r="G25" s="239">
        <v>0</v>
      </c>
      <c r="H25" s="239">
        <v>0</v>
      </c>
      <c r="I25" s="239">
        <v>0</v>
      </c>
      <c r="J25" s="239">
        <v>-28906</v>
      </c>
      <c r="K25" s="239">
        <v>0</v>
      </c>
      <c r="L25" s="239">
        <v>-28906</v>
      </c>
      <c r="M25" s="239">
        <v>101202</v>
      </c>
      <c r="N25" s="239">
        <v>101202</v>
      </c>
      <c r="O25" s="239">
        <v>0</v>
      </c>
      <c r="P25" s="239">
        <v>0</v>
      </c>
      <c r="Q25" s="239">
        <v>0</v>
      </c>
      <c r="R25" s="239">
        <v>0</v>
      </c>
      <c r="S25" s="239">
        <v>0</v>
      </c>
      <c r="T25" s="239">
        <v>0</v>
      </c>
      <c r="U25" s="239">
        <v>0</v>
      </c>
      <c r="V25" s="239">
        <v>0</v>
      </c>
      <c r="W25" s="239">
        <v>0</v>
      </c>
      <c r="X25" s="239">
        <v>0</v>
      </c>
      <c r="Y25" s="239">
        <v>0</v>
      </c>
      <c r="Z25" s="239">
        <v>0</v>
      </c>
      <c r="AA25" s="239">
        <v>0</v>
      </c>
      <c r="AB25" s="239">
        <v>0</v>
      </c>
      <c r="AC25" s="239">
        <v>0</v>
      </c>
      <c r="AD25" s="239">
        <v>0</v>
      </c>
      <c r="AE25" s="239">
        <v>0</v>
      </c>
      <c r="AF25" s="239">
        <v>0</v>
      </c>
      <c r="AG25" s="239">
        <v>0</v>
      </c>
      <c r="AH25" s="239">
        <v>0</v>
      </c>
      <c r="AI25" s="239">
        <v>0</v>
      </c>
      <c r="AJ25" s="239">
        <v>0</v>
      </c>
      <c r="AK25" s="239">
        <v>309087.13760330575</v>
      </c>
      <c r="AL25" s="239">
        <v>69544.605960743793</v>
      </c>
      <c r="AM25" s="239">
        <v>7727.1784400826446</v>
      </c>
      <c r="AN25" s="239">
        <v>256096</v>
      </c>
      <c r="AO25" s="239">
        <v>57622</v>
      </c>
      <c r="AP25" s="239">
        <v>6402</v>
      </c>
      <c r="AQ25" s="239">
        <v>52991</v>
      </c>
      <c r="AR25" s="239">
        <v>11923</v>
      </c>
      <c r="AS25" s="239">
        <v>1325</v>
      </c>
      <c r="AT25" s="239">
        <v>4967.6214876033064</v>
      </c>
      <c r="AU25" s="239">
        <v>1117.7148347107436</v>
      </c>
      <c r="AV25" s="239">
        <v>124.19053719008264</v>
      </c>
      <c r="AW25" s="239">
        <v>0</v>
      </c>
      <c r="AX25" s="239">
        <v>0</v>
      </c>
      <c r="AY25" s="239">
        <v>0</v>
      </c>
      <c r="AZ25" s="239">
        <v>4968</v>
      </c>
      <c r="BA25" s="239">
        <v>1118</v>
      </c>
      <c r="BB25" s="239">
        <v>124</v>
      </c>
      <c r="BC25" s="239">
        <v>9272.5958677685958</v>
      </c>
      <c r="BD25" s="239">
        <v>2086.3340702479341</v>
      </c>
      <c r="BE25" s="239">
        <v>231.81489669421489</v>
      </c>
      <c r="BF25" s="239">
        <v>0</v>
      </c>
      <c r="BG25" s="239">
        <v>0</v>
      </c>
      <c r="BH25" s="239">
        <v>0</v>
      </c>
      <c r="BI25" s="239">
        <v>9273</v>
      </c>
      <c r="BJ25" s="239">
        <v>2086</v>
      </c>
      <c r="BK25" s="239">
        <v>232</v>
      </c>
      <c r="BL25" s="239">
        <v>403.35041322314055</v>
      </c>
      <c r="BM25" s="239">
        <v>90.753842975206609</v>
      </c>
      <c r="BN25" s="239">
        <v>10.083760330578512</v>
      </c>
      <c r="BO25" s="239">
        <v>0</v>
      </c>
      <c r="BP25" s="239">
        <v>0</v>
      </c>
      <c r="BQ25" s="239">
        <v>0</v>
      </c>
      <c r="BR25" s="239">
        <v>403</v>
      </c>
      <c r="BS25" s="239">
        <v>91</v>
      </c>
      <c r="BT25" s="239">
        <v>10</v>
      </c>
      <c r="BU25" s="239">
        <v>3434.1595041322312</v>
      </c>
      <c r="BV25" s="239">
        <v>772.68588842975191</v>
      </c>
      <c r="BW25" s="239">
        <v>85.853987603305782</v>
      </c>
      <c r="BX25" s="239">
        <v>0</v>
      </c>
      <c r="BY25" s="239">
        <v>0</v>
      </c>
      <c r="BZ25" s="239">
        <v>0</v>
      </c>
      <c r="CA25" s="239">
        <v>3434</v>
      </c>
      <c r="CB25" s="239">
        <v>773</v>
      </c>
      <c r="CC25" s="239">
        <v>86</v>
      </c>
      <c r="CD25" s="239">
        <v>0</v>
      </c>
      <c r="CE25" s="239">
        <v>0</v>
      </c>
      <c r="CF25" s="239">
        <v>0</v>
      </c>
      <c r="CG25" s="239">
        <v>0</v>
      </c>
      <c r="CH25" s="239">
        <v>0</v>
      </c>
      <c r="CI25" s="239">
        <v>0</v>
      </c>
      <c r="CJ25" s="239">
        <v>0</v>
      </c>
      <c r="CK25" s="239">
        <v>0</v>
      </c>
      <c r="CL25" s="239">
        <v>0</v>
      </c>
      <c r="CM25" s="239">
        <v>472.33388429752068</v>
      </c>
      <c r="CN25" s="239">
        <v>106.27512396694215</v>
      </c>
      <c r="CO25" s="239">
        <v>11.808347107438017</v>
      </c>
      <c r="CP25" s="239">
        <v>0</v>
      </c>
      <c r="CQ25" s="239">
        <v>0</v>
      </c>
      <c r="CR25" s="239">
        <v>0</v>
      </c>
      <c r="CS25" s="239">
        <v>472</v>
      </c>
      <c r="CT25" s="239">
        <v>106</v>
      </c>
      <c r="CU25" s="239">
        <v>12</v>
      </c>
      <c r="CV25" s="239">
        <v>251958.86198347111</v>
      </c>
      <c r="CW25" s="239">
        <v>56690.743946280993</v>
      </c>
      <c r="CX25" s="239">
        <v>6298.9715495867767</v>
      </c>
      <c r="CY25" s="239">
        <v>247783</v>
      </c>
      <c r="CZ25" s="239">
        <v>55751</v>
      </c>
      <c r="DA25" s="239">
        <v>6195</v>
      </c>
      <c r="DB25" s="239">
        <v>4176</v>
      </c>
      <c r="DC25" s="239">
        <v>940</v>
      </c>
      <c r="DD25" s="239">
        <v>104</v>
      </c>
      <c r="DE25" s="641">
        <v>0.5</v>
      </c>
      <c r="DF25" s="641">
        <v>0.4</v>
      </c>
      <c r="DG25" s="641">
        <v>0.09</v>
      </c>
      <c r="DH25" s="641">
        <v>0.01</v>
      </c>
      <c r="DI25" s="214" t="s">
        <v>1190</v>
      </c>
    </row>
    <row r="26" spans="2:113" s="214" customFormat="1" x14ac:dyDescent="0.2">
      <c r="B26" s="609" t="s">
        <v>134</v>
      </c>
      <c r="C26" s="609" t="s">
        <v>133</v>
      </c>
      <c r="D26" s="239">
        <v>-93380</v>
      </c>
      <c r="E26" s="239">
        <v>0</v>
      </c>
      <c r="F26" s="239">
        <v>-93380</v>
      </c>
      <c r="G26" s="239">
        <v>0</v>
      </c>
      <c r="H26" s="239">
        <v>0</v>
      </c>
      <c r="I26" s="239">
        <v>0</v>
      </c>
      <c r="J26" s="239">
        <v>-93380</v>
      </c>
      <c r="K26" s="239">
        <v>0</v>
      </c>
      <c r="L26" s="239">
        <v>-93380</v>
      </c>
      <c r="M26" s="239">
        <v>255158</v>
      </c>
      <c r="N26" s="239">
        <v>255158</v>
      </c>
      <c r="O26" s="239">
        <v>0</v>
      </c>
      <c r="P26" s="239">
        <v>0</v>
      </c>
      <c r="Q26" s="239">
        <v>0</v>
      </c>
      <c r="R26" s="239">
        <v>0</v>
      </c>
      <c r="S26" s="239">
        <v>0</v>
      </c>
      <c r="T26" s="239">
        <v>0</v>
      </c>
      <c r="U26" s="239">
        <v>0</v>
      </c>
      <c r="V26" s="239">
        <v>0</v>
      </c>
      <c r="W26" s="239">
        <v>0</v>
      </c>
      <c r="X26" s="239">
        <v>0</v>
      </c>
      <c r="Y26" s="239">
        <v>0</v>
      </c>
      <c r="Z26" s="239">
        <v>0</v>
      </c>
      <c r="AA26" s="239">
        <v>0</v>
      </c>
      <c r="AB26" s="239">
        <v>0</v>
      </c>
      <c r="AC26" s="239">
        <v>0</v>
      </c>
      <c r="AD26" s="239">
        <v>0</v>
      </c>
      <c r="AE26" s="239">
        <v>0</v>
      </c>
      <c r="AF26" s="239">
        <v>0</v>
      </c>
      <c r="AG26" s="239">
        <v>0</v>
      </c>
      <c r="AH26" s="239">
        <v>0</v>
      </c>
      <c r="AI26" s="239">
        <v>0</v>
      </c>
      <c r="AJ26" s="239">
        <v>0</v>
      </c>
      <c r="AK26" s="239">
        <v>1414566.3030371901</v>
      </c>
      <c r="AL26" s="239">
        <v>0</v>
      </c>
      <c r="AM26" s="239">
        <v>28868.700061983473</v>
      </c>
      <c r="AN26" s="239">
        <v>1359532</v>
      </c>
      <c r="AO26" s="239">
        <v>0</v>
      </c>
      <c r="AP26" s="239">
        <v>27746</v>
      </c>
      <c r="AQ26" s="239">
        <v>55034</v>
      </c>
      <c r="AR26" s="239">
        <v>0</v>
      </c>
      <c r="AS26" s="239">
        <v>1123</v>
      </c>
      <c r="AT26" s="239">
        <v>8362.4908471074377</v>
      </c>
      <c r="AU26" s="239">
        <v>0</v>
      </c>
      <c r="AV26" s="239">
        <v>170.66307851239671</v>
      </c>
      <c r="AW26" s="239">
        <v>14913</v>
      </c>
      <c r="AX26" s="239">
        <v>0</v>
      </c>
      <c r="AY26" s="239">
        <v>304</v>
      </c>
      <c r="AZ26" s="239">
        <v>-6551</v>
      </c>
      <c r="BA26" s="239">
        <v>0</v>
      </c>
      <c r="BB26" s="239">
        <v>-133</v>
      </c>
      <c r="BC26" s="239">
        <v>105265.58130165288</v>
      </c>
      <c r="BD26" s="239">
        <v>0</v>
      </c>
      <c r="BE26" s="239">
        <v>2148.2771694214875</v>
      </c>
      <c r="BF26" s="239">
        <v>49709</v>
      </c>
      <c r="BG26" s="239">
        <v>0</v>
      </c>
      <c r="BH26" s="239">
        <v>1014</v>
      </c>
      <c r="BI26" s="239">
        <v>55557</v>
      </c>
      <c r="BJ26" s="239">
        <v>0</v>
      </c>
      <c r="BK26" s="239">
        <v>1134</v>
      </c>
      <c r="BL26" s="239">
        <v>31513.810392561983</v>
      </c>
      <c r="BM26" s="239">
        <v>0</v>
      </c>
      <c r="BN26" s="239">
        <v>643.13898760330585</v>
      </c>
      <c r="BO26" s="239">
        <v>74563</v>
      </c>
      <c r="BP26" s="239">
        <v>0</v>
      </c>
      <c r="BQ26" s="239">
        <v>1522</v>
      </c>
      <c r="BR26" s="239">
        <v>-43049</v>
      </c>
      <c r="BS26" s="239">
        <v>0</v>
      </c>
      <c r="BT26" s="239">
        <v>-879</v>
      </c>
      <c r="BU26" s="239">
        <v>-2123.0576239669422</v>
      </c>
      <c r="BV26" s="239">
        <v>0</v>
      </c>
      <c r="BW26" s="239">
        <v>-43.32770661157025</v>
      </c>
      <c r="BX26" s="239">
        <v>0</v>
      </c>
      <c r="BY26" s="239">
        <v>0</v>
      </c>
      <c r="BZ26" s="239">
        <v>0</v>
      </c>
      <c r="CA26" s="239">
        <v>-2123</v>
      </c>
      <c r="CB26" s="239">
        <v>0</v>
      </c>
      <c r="CC26" s="239">
        <v>-43</v>
      </c>
      <c r="CD26" s="239">
        <v>0</v>
      </c>
      <c r="CE26" s="239">
        <v>0</v>
      </c>
      <c r="CF26" s="239">
        <v>0</v>
      </c>
      <c r="CG26" s="239">
        <v>0</v>
      </c>
      <c r="CH26" s="239">
        <v>0</v>
      </c>
      <c r="CI26" s="239">
        <v>0</v>
      </c>
      <c r="CJ26" s="239">
        <v>0</v>
      </c>
      <c r="CK26" s="239">
        <v>0</v>
      </c>
      <c r="CL26" s="239">
        <v>0</v>
      </c>
      <c r="CM26" s="239">
        <v>0</v>
      </c>
      <c r="CN26" s="239">
        <v>0</v>
      </c>
      <c r="CO26" s="239">
        <v>0</v>
      </c>
      <c r="CP26" s="239">
        <v>4971</v>
      </c>
      <c r="CQ26" s="239">
        <v>0</v>
      </c>
      <c r="CR26" s="239">
        <v>101</v>
      </c>
      <c r="CS26" s="239">
        <v>-4971</v>
      </c>
      <c r="CT26" s="239">
        <v>0</v>
      </c>
      <c r="CU26" s="239">
        <v>-101</v>
      </c>
      <c r="CV26" s="239">
        <v>325919.33702479338</v>
      </c>
      <c r="CW26" s="239">
        <v>0</v>
      </c>
      <c r="CX26" s="239">
        <v>6651.4150413223151</v>
      </c>
      <c r="CY26" s="239">
        <v>331599</v>
      </c>
      <c r="CZ26" s="239">
        <v>0</v>
      </c>
      <c r="DA26" s="239">
        <v>6767</v>
      </c>
      <c r="DB26" s="239">
        <v>-5680</v>
      </c>
      <c r="DC26" s="239">
        <v>0</v>
      </c>
      <c r="DD26" s="239">
        <v>-116</v>
      </c>
      <c r="DE26" s="641">
        <v>0.5</v>
      </c>
      <c r="DF26" s="641">
        <v>0.49</v>
      </c>
      <c r="DG26" s="641">
        <v>0</v>
      </c>
      <c r="DH26" s="641">
        <v>0.01</v>
      </c>
      <c r="DI26" s="214" t="s">
        <v>747</v>
      </c>
    </row>
    <row r="27" spans="2:113" s="214" customFormat="1" x14ac:dyDescent="0.2">
      <c r="B27" s="609" t="s">
        <v>136</v>
      </c>
      <c r="C27" s="609" t="s">
        <v>135</v>
      </c>
      <c r="D27" s="239">
        <v>233872</v>
      </c>
      <c r="E27" s="239">
        <v>0</v>
      </c>
      <c r="F27" s="239">
        <v>233872</v>
      </c>
      <c r="G27" s="239">
        <v>0</v>
      </c>
      <c r="H27" s="239">
        <v>0</v>
      </c>
      <c r="I27" s="239">
        <v>0</v>
      </c>
      <c r="J27" s="239">
        <v>233872</v>
      </c>
      <c r="K27" s="239">
        <v>0</v>
      </c>
      <c r="L27" s="239">
        <v>233872</v>
      </c>
      <c r="M27" s="239">
        <v>270621</v>
      </c>
      <c r="N27" s="239">
        <v>270621</v>
      </c>
      <c r="O27" s="239">
        <v>0</v>
      </c>
      <c r="P27" s="239">
        <v>0</v>
      </c>
      <c r="Q27" s="239">
        <v>0</v>
      </c>
      <c r="R27" s="239">
        <v>0</v>
      </c>
      <c r="S27" s="239">
        <v>0</v>
      </c>
      <c r="T27" s="239">
        <v>0</v>
      </c>
      <c r="U27" s="239">
        <v>0</v>
      </c>
      <c r="V27" s="239">
        <v>0</v>
      </c>
      <c r="W27" s="239">
        <v>0</v>
      </c>
      <c r="X27" s="239">
        <v>0</v>
      </c>
      <c r="Y27" s="239">
        <v>14376.96694214876</v>
      </c>
      <c r="Z27" s="239">
        <v>14089.427603305785</v>
      </c>
      <c r="AA27" s="239">
        <v>0</v>
      </c>
      <c r="AB27" s="239">
        <v>287.53933884297521</v>
      </c>
      <c r="AC27" s="239">
        <v>0</v>
      </c>
      <c r="AD27" s="239">
        <v>0</v>
      </c>
      <c r="AE27" s="239">
        <v>0</v>
      </c>
      <c r="AF27" s="239">
        <v>0</v>
      </c>
      <c r="AG27" s="239">
        <v>14377</v>
      </c>
      <c r="AH27" s="239">
        <v>14089</v>
      </c>
      <c r="AI27" s="239">
        <v>0</v>
      </c>
      <c r="AJ27" s="239">
        <v>288</v>
      </c>
      <c r="AK27" s="239">
        <v>1602201.8972417356</v>
      </c>
      <c r="AL27" s="239">
        <v>0</v>
      </c>
      <c r="AM27" s="239">
        <v>32697.997902892563</v>
      </c>
      <c r="AN27" s="239">
        <v>1536995</v>
      </c>
      <c r="AO27" s="239">
        <v>0</v>
      </c>
      <c r="AP27" s="239">
        <v>31367</v>
      </c>
      <c r="AQ27" s="239">
        <v>65207</v>
      </c>
      <c r="AR27" s="239">
        <v>0</v>
      </c>
      <c r="AS27" s="239">
        <v>1331</v>
      </c>
      <c r="AT27" s="239">
        <v>2070.8635123966942</v>
      </c>
      <c r="AU27" s="239">
        <v>0</v>
      </c>
      <c r="AV27" s="239">
        <v>42.262520661157026</v>
      </c>
      <c r="AW27" s="239">
        <v>2610</v>
      </c>
      <c r="AX27" s="239">
        <v>0</v>
      </c>
      <c r="AY27" s="239">
        <v>53</v>
      </c>
      <c r="AZ27" s="239">
        <v>-539</v>
      </c>
      <c r="BA27" s="239">
        <v>0</v>
      </c>
      <c r="BB27" s="239">
        <v>-11</v>
      </c>
      <c r="BC27" s="239">
        <v>0</v>
      </c>
      <c r="BD27" s="239">
        <v>0</v>
      </c>
      <c r="BE27" s="239">
        <v>0</v>
      </c>
      <c r="BF27" s="239">
        <v>0</v>
      </c>
      <c r="BG27" s="239">
        <v>0</v>
      </c>
      <c r="BH27" s="239">
        <v>0</v>
      </c>
      <c r="BI27" s="239">
        <v>0</v>
      </c>
      <c r="BJ27" s="239">
        <v>0</v>
      </c>
      <c r="BK27" s="239">
        <v>0</v>
      </c>
      <c r="BL27" s="239">
        <v>52516.223801652894</v>
      </c>
      <c r="BM27" s="239">
        <v>0</v>
      </c>
      <c r="BN27" s="239">
        <v>1071.7596694214876</v>
      </c>
      <c r="BO27" s="239">
        <v>42602</v>
      </c>
      <c r="BP27" s="239">
        <v>0</v>
      </c>
      <c r="BQ27" s="239">
        <v>869</v>
      </c>
      <c r="BR27" s="239">
        <v>9914</v>
      </c>
      <c r="BS27" s="239">
        <v>0</v>
      </c>
      <c r="BT27" s="239">
        <v>203</v>
      </c>
      <c r="BU27" s="239">
        <v>-2321.8923347107439</v>
      </c>
      <c r="BV27" s="239">
        <v>0</v>
      </c>
      <c r="BW27" s="239">
        <v>-47.385557851239675</v>
      </c>
      <c r="BX27" s="239">
        <v>0</v>
      </c>
      <c r="BY27" s="239">
        <v>0</v>
      </c>
      <c r="BZ27" s="239">
        <v>0</v>
      </c>
      <c r="CA27" s="239">
        <v>-2322</v>
      </c>
      <c r="CB27" s="239">
        <v>0</v>
      </c>
      <c r="CC27" s="239">
        <v>-47</v>
      </c>
      <c r="CD27" s="239">
        <v>0</v>
      </c>
      <c r="CE27" s="239">
        <v>0</v>
      </c>
      <c r="CF27" s="239">
        <v>0</v>
      </c>
      <c r="CG27" s="239">
        <v>0</v>
      </c>
      <c r="CH27" s="239">
        <v>0</v>
      </c>
      <c r="CI27" s="239">
        <v>0</v>
      </c>
      <c r="CJ27" s="239">
        <v>0</v>
      </c>
      <c r="CK27" s="239">
        <v>0</v>
      </c>
      <c r="CL27" s="239">
        <v>0</v>
      </c>
      <c r="CM27" s="239">
        <v>1265.085847107438</v>
      </c>
      <c r="CN27" s="239">
        <v>0</v>
      </c>
      <c r="CO27" s="239">
        <v>25.818078512396692</v>
      </c>
      <c r="CP27" s="239">
        <v>2485</v>
      </c>
      <c r="CQ27" s="239">
        <v>0</v>
      </c>
      <c r="CR27" s="239">
        <v>51</v>
      </c>
      <c r="CS27" s="239">
        <v>-1220</v>
      </c>
      <c r="CT27" s="239">
        <v>0</v>
      </c>
      <c r="CU27" s="239">
        <v>-25</v>
      </c>
      <c r="CV27" s="239">
        <v>361445.28564049589</v>
      </c>
      <c r="CW27" s="239">
        <v>0</v>
      </c>
      <c r="CX27" s="239">
        <v>7376.4344008264461</v>
      </c>
      <c r="CY27" s="239">
        <v>347662</v>
      </c>
      <c r="CZ27" s="239">
        <v>0</v>
      </c>
      <c r="DA27" s="239">
        <v>7095</v>
      </c>
      <c r="DB27" s="239">
        <v>13783</v>
      </c>
      <c r="DC27" s="239">
        <v>0</v>
      </c>
      <c r="DD27" s="239">
        <v>281</v>
      </c>
      <c r="DE27" s="641">
        <v>0.5</v>
      </c>
      <c r="DF27" s="641">
        <v>0.49</v>
      </c>
      <c r="DG27" s="641">
        <v>0</v>
      </c>
      <c r="DH27" s="641">
        <v>0.01</v>
      </c>
      <c r="DI27" s="214" t="s">
        <v>747</v>
      </c>
    </row>
    <row r="28" spans="2:113" s="214" customFormat="1" x14ac:dyDescent="0.2">
      <c r="B28" s="609" t="s">
        <v>138</v>
      </c>
      <c r="C28" s="609" t="s">
        <v>137</v>
      </c>
      <c r="D28" s="239">
        <v>-519049</v>
      </c>
      <c r="E28" s="239">
        <v>0</v>
      </c>
      <c r="F28" s="239">
        <v>-519049</v>
      </c>
      <c r="G28" s="239">
        <v>0</v>
      </c>
      <c r="H28" s="239">
        <v>0</v>
      </c>
      <c r="I28" s="239">
        <v>0</v>
      </c>
      <c r="J28" s="239">
        <v>-519049</v>
      </c>
      <c r="K28" s="239">
        <v>0</v>
      </c>
      <c r="L28" s="239">
        <v>-519049</v>
      </c>
      <c r="M28" s="239">
        <v>95614</v>
      </c>
      <c r="N28" s="239">
        <v>95614</v>
      </c>
      <c r="O28" s="239">
        <v>0</v>
      </c>
      <c r="P28" s="239">
        <v>0</v>
      </c>
      <c r="Q28" s="239">
        <v>0</v>
      </c>
      <c r="R28" s="239">
        <v>0</v>
      </c>
      <c r="S28" s="239">
        <v>34210</v>
      </c>
      <c r="T28" s="239">
        <v>0</v>
      </c>
      <c r="U28" s="239">
        <v>21005</v>
      </c>
      <c r="V28" s="239">
        <v>0</v>
      </c>
      <c r="W28" s="239">
        <v>13205</v>
      </c>
      <c r="X28" s="239">
        <v>0</v>
      </c>
      <c r="Y28" s="239">
        <v>0</v>
      </c>
      <c r="Z28" s="239">
        <v>0</v>
      </c>
      <c r="AA28" s="239">
        <v>0</v>
      </c>
      <c r="AB28" s="239">
        <v>0</v>
      </c>
      <c r="AC28" s="239">
        <v>0</v>
      </c>
      <c r="AD28" s="239">
        <v>0</v>
      </c>
      <c r="AE28" s="239">
        <v>0</v>
      </c>
      <c r="AF28" s="239">
        <v>0</v>
      </c>
      <c r="AG28" s="239">
        <v>0</v>
      </c>
      <c r="AH28" s="239">
        <v>0</v>
      </c>
      <c r="AI28" s="239">
        <v>0</v>
      </c>
      <c r="AJ28" s="239">
        <v>0</v>
      </c>
      <c r="AK28" s="239">
        <v>301252.23842975206</v>
      </c>
      <c r="AL28" s="239">
        <v>67781.753646694211</v>
      </c>
      <c r="AM28" s="239">
        <v>7531.3059607438017</v>
      </c>
      <c r="AN28" s="239">
        <v>275401</v>
      </c>
      <c r="AO28" s="239">
        <v>61965</v>
      </c>
      <c r="AP28" s="239">
        <v>6885</v>
      </c>
      <c r="AQ28" s="239">
        <v>25851</v>
      </c>
      <c r="AR28" s="239">
        <v>5817</v>
      </c>
      <c r="AS28" s="239">
        <v>646</v>
      </c>
      <c r="AT28" s="239">
        <v>0</v>
      </c>
      <c r="AU28" s="239">
        <v>0</v>
      </c>
      <c r="AV28" s="239">
        <v>0</v>
      </c>
      <c r="AW28" s="239">
        <v>0</v>
      </c>
      <c r="AX28" s="239">
        <v>0</v>
      </c>
      <c r="AY28" s="239">
        <v>0</v>
      </c>
      <c r="AZ28" s="239">
        <v>0</v>
      </c>
      <c r="BA28" s="239">
        <v>0</v>
      </c>
      <c r="BB28" s="239">
        <v>0</v>
      </c>
      <c r="BC28" s="239">
        <v>1120.3727272727272</v>
      </c>
      <c r="BD28" s="239">
        <v>252.08386363636362</v>
      </c>
      <c r="BE28" s="239">
        <v>28.00931818181818</v>
      </c>
      <c r="BF28" s="239">
        <v>754</v>
      </c>
      <c r="BG28" s="239">
        <v>170</v>
      </c>
      <c r="BH28" s="239">
        <v>19</v>
      </c>
      <c r="BI28" s="239">
        <v>366</v>
      </c>
      <c r="BJ28" s="239">
        <v>82</v>
      </c>
      <c r="BK28" s="239">
        <v>9</v>
      </c>
      <c r="BL28" s="239">
        <v>0</v>
      </c>
      <c r="BM28" s="239">
        <v>0</v>
      </c>
      <c r="BN28" s="239">
        <v>0</v>
      </c>
      <c r="BO28" s="239">
        <v>0</v>
      </c>
      <c r="BP28" s="239">
        <v>0</v>
      </c>
      <c r="BQ28" s="239">
        <v>0</v>
      </c>
      <c r="BR28" s="239">
        <v>0</v>
      </c>
      <c r="BS28" s="239">
        <v>0</v>
      </c>
      <c r="BT28" s="239">
        <v>0</v>
      </c>
      <c r="BU28" s="239">
        <v>4559.4016528925622</v>
      </c>
      <c r="BV28" s="239">
        <v>1025.8653719008264</v>
      </c>
      <c r="BW28" s="239">
        <v>113.98504132231405</v>
      </c>
      <c r="BX28" s="239">
        <v>0</v>
      </c>
      <c r="BY28" s="239">
        <v>0</v>
      </c>
      <c r="BZ28" s="239">
        <v>0</v>
      </c>
      <c r="CA28" s="239">
        <v>4559</v>
      </c>
      <c r="CB28" s="239">
        <v>1026</v>
      </c>
      <c r="CC28" s="239">
        <v>114</v>
      </c>
      <c r="CD28" s="239">
        <v>0</v>
      </c>
      <c r="CE28" s="239">
        <v>0</v>
      </c>
      <c r="CF28" s="239">
        <v>0</v>
      </c>
      <c r="CG28" s="239">
        <v>0</v>
      </c>
      <c r="CH28" s="239">
        <v>0</v>
      </c>
      <c r="CI28" s="239">
        <v>0</v>
      </c>
      <c r="CJ28" s="239">
        <v>0</v>
      </c>
      <c r="CK28" s="239">
        <v>0</v>
      </c>
      <c r="CL28" s="239">
        <v>0</v>
      </c>
      <c r="CM28" s="239">
        <v>0</v>
      </c>
      <c r="CN28" s="239">
        <v>0</v>
      </c>
      <c r="CO28" s="239">
        <v>0</v>
      </c>
      <c r="CP28" s="239">
        <v>0</v>
      </c>
      <c r="CQ28" s="239">
        <v>0</v>
      </c>
      <c r="CR28" s="239">
        <v>0</v>
      </c>
      <c r="CS28" s="239">
        <v>0</v>
      </c>
      <c r="CT28" s="239">
        <v>0</v>
      </c>
      <c r="CU28" s="239">
        <v>0</v>
      </c>
      <c r="CV28" s="239">
        <v>153176.4702479339</v>
      </c>
      <c r="CW28" s="239">
        <v>34353.381942148757</v>
      </c>
      <c r="CX28" s="239">
        <v>3817.0424380165296</v>
      </c>
      <c r="CY28" s="239">
        <v>136986</v>
      </c>
      <c r="CZ28" s="239">
        <v>30754</v>
      </c>
      <c r="DA28" s="239">
        <v>3417</v>
      </c>
      <c r="DB28" s="239">
        <v>16190</v>
      </c>
      <c r="DC28" s="239">
        <v>3599</v>
      </c>
      <c r="DD28" s="239">
        <v>400</v>
      </c>
      <c r="DE28" s="641">
        <v>0.5</v>
      </c>
      <c r="DF28" s="641">
        <v>0.4</v>
      </c>
      <c r="DG28" s="641">
        <v>0.09</v>
      </c>
      <c r="DH28" s="641">
        <v>0.01</v>
      </c>
      <c r="DI28" s="214" t="s">
        <v>1190</v>
      </c>
    </row>
    <row r="29" spans="2:113" s="214" customFormat="1" x14ac:dyDescent="0.2">
      <c r="B29" s="609" t="s">
        <v>140</v>
      </c>
      <c r="C29" s="609" t="s">
        <v>139</v>
      </c>
      <c r="D29" s="239">
        <v>-218821</v>
      </c>
      <c r="E29" s="239">
        <v>0</v>
      </c>
      <c r="F29" s="239">
        <v>-218821</v>
      </c>
      <c r="G29" s="239">
        <v>0</v>
      </c>
      <c r="H29" s="239">
        <v>0</v>
      </c>
      <c r="I29" s="239">
        <v>0</v>
      </c>
      <c r="J29" s="239">
        <v>-218821</v>
      </c>
      <c r="K29" s="239">
        <v>0</v>
      </c>
      <c r="L29" s="239">
        <v>-218821</v>
      </c>
      <c r="M29" s="239">
        <v>400997</v>
      </c>
      <c r="N29" s="239">
        <v>400997</v>
      </c>
      <c r="O29" s="239">
        <v>0</v>
      </c>
      <c r="P29" s="239">
        <v>0</v>
      </c>
      <c r="Q29" s="239">
        <v>0</v>
      </c>
      <c r="R29" s="239">
        <v>0</v>
      </c>
      <c r="S29" s="239">
        <v>0</v>
      </c>
      <c r="T29" s="239">
        <v>0</v>
      </c>
      <c r="U29" s="239">
        <v>0</v>
      </c>
      <c r="V29" s="239">
        <v>0</v>
      </c>
      <c r="W29" s="239">
        <v>0</v>
      </c>
      <c r="X29" s="239">
        <v>0</v>
      </c>
      <c r="Y29" s="239">
        <v>0</v>
      </c>
      <c r="Z29" s="239">
        <v>0</v>
      </c>
      <c r="AA29" s="239">
        <v>0</v>
      </c>
      <c r="AB29" s="239">
        <v>0</v>
      </c>
      <c r="AC29" s="239">
        <v>0</v>
      </c>
      <c r="AD29" s="239">
        <v>0</v>
      </c>
      <c r="AE29" s="239">
        <v>0</v>
      </c>
      <c r="AF29" s="239">
        <v>0</v>
      </c>
      <c r="AG29" s="239">
        <v>0</v>
      </c>
      <c r="AH29" s="239">
        <v>0</v>
      </c>
      <c r="AI29" s="239">
        <v>0</v>
      </c>
      <c r="AJ29" s="239">
        <v>0</v>
      </c>
      <c r="AK29" s="239">
        <v>2032005.2448760329</v>
      </c>
      <c r="AL29" s="239">
        <v>0</v>
      </c>
      <c r="AM29" s="239">
        <v>41469.494793388432</v>
      </c>
      <c r="AN29" s="239">
        <v>1839221</v>
      </c>
      <c r="AO29" s="239">
        <v>0</v>
      </c>
      <c r="AP29" s="239">
        <v>37535</v>
      </c>
      <c r="AQ29" s="239">
        <v>192784</v>
      </c>
      <c r="AR29" s="239">
        <v>0</v>
      </c>
      <c r="AS29" s="239">
        <v>3934</v>
      </c>
      <c r="AT29" s="239">
        <v>0</v>
      </c>
      <c r="AU29" s="239">
        <v>0</v>
      </c>
      <c r="AV29" s="239">
        <v>0</v>
      </c>
      <c r="AW29" s="239">
        <v>0</v>
      </c>
      <c r="AX29" s="239">
        <v>0</v>
      </c>
      <c r="AY29" s="239">
        <v>0</v>
      </c>
      <c r="AZ29" s="239">
        <v>0</v>
      </c>
      <c r="BA29" s="239">
        <v>0</v>
      </c>
      <c r="BB29" s="239">
        <v>0</v>
      </c>
      <c r="BC29" s="239">
        <v>6910.9974586776852</v>
      </c>
      <c r="BD29" s="239">
        <v>0</v>
      </c>
      <c r="BE29" s="239">
        <v>141.0407644628099</v>
      </c>
      <c r="BF29" s="239">
        <v>1988</v>
      </c>
      <c r="BG29" s="239">
        <v>0</v>
      </c>
      <c r="BH29" s="239">
        <v>41</v>
      </c>
      <c r="BI29" s="239">
        <v>4923</v>
      </c>
      <c r="BJ29" s="239">
        <v>0</v>
      </c>
      <c r="BK29" s="239">
        <v>100</v>
      </c>
      <c r="BL29" s="239">
        <v>46861.364628099174</v>
      </c>
      <c r="BM29" s="239">
        <v>0</v>
      </c>
      <c r="BN29" s="239">
        <v>956.35438016528917</v>
      </c>
      <c r="BO29" s="239">
        <v>89973</v>
      </c>
      <c r="BP29" s="239">
        <v>0</v>
      </c>
      <c r="BQ29" s="239">
        <v>1836</v>
      </c>
      <c r="BR29" s="239">
        <v>-43112</v>
      </c>
      <c r="BS29" s="239">
        <v>0</v>
      </c>
      <c r="BT29" s="239">
        <v>-880</v>
      </c>
      <c r="BU29" s="239">
        <v>-8229.2715909090912</v>
      </c>
      <c r="BV29" s="239">
        <v>0</v>
      </c>
      <c r="BW29" s="239">
        <v>-167.9443181818182</v>
      </c>
      <c r="BX29" s="239">
        <v>0</v>
      </c>
      <c r="BY29" s="239">
        <v>0</v>
      </c>
      <c r="BZ29" s="239">
        <v>0</v>
      </c>
      <c r="CA29" s="239">
        <v>-8229</v>
      </c>
      <c r="CB29" s="239">
        <v>0</v>
      </c>
      <c r="CC29" s="239">
        <v>-168</v>
      </c>
      <c r="CD29" s="239">
        <v>0</v>
      </c>
      <c r="CE29" s="239">
        <v>0</v>
      </c>
      <c r="CF29" s="239">
        <v>0</v>
      </c>
      <c r="CG29" s="239">
        <v>0</v>
      </c>
      <c r="CH29" s="239">
        <v>0</v>
      </c>
      <c r="CI29" s="239">
        <v>0</v>
      </c>
      <c r="CJ29" s="239">
        <v>0</v>
      </c>
      <c r="CK29" s="239">
        <v>0</v>
      </c>
      <c r="CL29" s="239">
        <v>0</v>
      </c>
      <c r="CM29" s="239">
        <v>0</v>
      </c>
      <c r="CN29" s="239">
        <v>0</v>
      </c>
      <c r="CO29" s="239">
        <v>0</v>
      </c>
      <c r="CP29" s="239">
        <v>29825</v>
      </c>
      <c r="CQ29" s="239">
        <v>0</v>
      </c>
      <c r="CR29" s="239">
        <v>609</v>
      </c>
      <c r="CS29" s="239">
        <v>-29825</v>
      </c>
      <c r="CT29" s="239">
        <v>0</v>
      </c>
      <c r="CU29" s="239">
        <v>-609</v>
      </c>
      <c r="CV29" s="239">
        <v>619969.01330578513</v>
      </c>
      <c r="CW29" s="239">
        <v>0</v>
      </c>
      <c r="CX29" s="239">
        <v>12652.428842975207</v>
      </c>
      <c r="CY29" s="239">
        <v>651355</v>
      </c>
      <c r="CZ29" s="239">
        <v>0</v>
      </c>
      <c r="DA29" s="239">
        <v>13293</v>
      </c>
      <c r="DB29" s="239">
        <v>-31386</v>
      </c>
      <c r="DC29" s="239">
        <v>0</v>
      </c>
      <c r="DD29" s="239">
        <v>-641</v>
      </c>
      <c r="DE29" s="641">
        <v>0.5</v>
      </c>
      <c r="DF29" s="641">
        <v>0.49</v>
      </c>
      <c r="DG29" s="641">
        <v>0</v>
      </c>
      <c r="DH29" s="641">
        <v>0.01</v>
      </c>
      <c r="DI29" s="214" t="s">
        <v>1192</v>
      </c>
    </row>
    <row r="30" spans="2:113" s="214" customFormat="1" x14ac:dyDescent="0.2">
      <c r="B30" s="609" t="s">
        <v>142</v>
      </c>
      <c r="C30" s="609" t="s">
        <v>141</v>
      </c>
      <c r="D30" s="239">
        <v>-122586</v>
      </c>
      <c r="E30" s="239">
        <v>0</v>
      </c>
      <c r="F30" s="239">
        <v>-122586</v>
      </c>
      <c r="G30" s="239">
        <v>0</v>
      </c>
      <c r="H30" s="239">
        <v>0</v>
      </c>
      <c r="I30" s="239">
        <v>0</v>
      </c>
      <c r="J30" s="239">
        <v>-122586</v>
      </c>
      <c r="K30" s="239">
        <v>0</v>
      </c>
      <c r="L30" s="239">
        <v>-122586</v>
      </c>
      <c r="M30" s="239">
        <v>90714</v>
      </c>
      <c r="N30" s="239">
        <v>90714</v>
      </c>
      <c r="O30" s="239">
        <v>0</v>
      </c>
      <c r="P30" s="239">
        <v>0</v>
      </c>
      <c r="Q30" s="239">
        <v>0</v>
      </c>
      <c r="R30" s="239">
        <v>0</v>
      </c>
      <c r="S30" s="239">
        <v>136280</v>
      </c>
      <c r="T30" s="239">
        <v>0</v>
      </c>
      <c r="U30" s="239">
        <v>112000</v>
      </c>
      <c r="V30" s="239">
        <v>0</v>
      </c>
      <c r="W30" s="239">
        <v>24280</v>
      </c>
      <c r="X30" s="239">
        <v>0</v>
      </c>
      <c r="Y30" s="239">
        <v>0</v>
      </c>
      <c r="Z30" s="239">
        <v>0</v>
      </c>
      <c r="AA30" s="239">
        <v>0</v>
      </c>
      <c r="AB30" s="239">
        <v>0</v>
      </c>
      <c r="AC30" s="239">
        <v>0</v>
      </c>
      <c r="AD30" s="239">
        <v>0</v>
      </c>
      <c r="AE30" s="239">
        <v>0</v>
      </c>
      <c r="AF30" s="239">
        <v>0</v>
      </c>
      <c r="AG30" s="239">
        <v>0</v>
      </c>
      <c r="AH30" s="239">
        <v>0</v>
      </c>
      <c r="AI30" s="239">
        <v>0</v>
      </c>
      <c r="AJ30" s="239">
        <v>0</v>
      </c>
      <c r="AK30" s="239">
        <v>330739.42603305785</v>
      </c>
      <c r="AL30" s="239">
        <v>82684.856508264464</v>
      </c>
      <c r="AM30" s="239">
        <v>0</v>
      </c>
      <c r="AN30" s="239">
        <v>316173</v>
      </c>
      <c r="AO30" s="239">
        <v>79043</v>
      </c>
      <c r="AP30" s="239">
        <v>0</v>
      </c>
      <c r="AQ30" s="239">
        <v>14566</v>
      </c>
      <c r="AR30" s="239">
        <v>3642</v>
      </c>
      <c r="AS30" s="239">
        <v>0</v>
      </c>
      <c r="AT30" s="239">
        <v>372.91652892561984</v>
      </c>
      <c r="AU30" s="239">
        <v>93.229132231404961</v>
      </c>
      <c r="AV30" s="239">
        <v>0</v>
      </c>
      <c r="AW30" s="239">
        <v>0</v>
      </c>
      <c r="AX30" s="239">
        <v>0</v>
      </c>
      <c r="AY30" s="239">
        <v>0</v>
      </c>
      <c r="AZ30" s="239">
        <v>373</v>
      </c>
      <c r="BA30" s="239">
        <v>93</v>
      </c>
      <c r="BB30" s="239">
        <v>0</v>
      </c>
      <c r="BC30" s="239">
        <v>0</v>
      </c>
      <c r="BD30" s="239">
        <v>0</v>
      </c>
      <c r="BE30" s="239">
        <v>0</v>
      </c>
      <c r="BF30" s="239">
        <v>0</v>
      </c>
      <c r="BG30" s="239">
        <v>0</v>
      </c>
      <c r="BH30" s="239">
        <v>0</v>
      </c>
      <c r="BI30" s="239">
        <v>0</v>
      </c>
      <c r="BJ30" s="239">
        <v>0</v>
      </c>
      <c r="BK30" s="239">
        <v>0</v>
      </c>
      <c r="BL30" s="239">
        <v>4072.8652892561986</v>
      </c>
      <c r="BM30" s="239">
        <v>1018.2163223140496</v>
      </c>
      <c r="BN30" s="239">
        <v>0</v>
      </c>
      <c r="BO30" s="239">
        <v>3435</v>
      </c>
      <c r="BP30" s="239">
        <v>859</v>
      </c>
      <c r="BQ30" s="239">
        <v>0</v>
      </c>
      <c r="BR30" s="239">
        <v>638</v>
      </c>
      <c r="BS30" s="239">
        <v>159</v>
      </c>
      <c r="BT30" s="239">
        <v>0</v>
      </c>
      <c r="BU30" s="239">
        <v>-1423.0884297520661</v>
      </c>
      <c r="BV30" s="239">
        <v>-355.77210743801652</v>
      </c>
      <c r="BW30" s="239">
        <v>0</v>
      </c>
      <c r="BX30" s="239">
        <v>0</v>
      </c>
      <c r="BY30" s="239">
        <v>0</v>
      </c>
      <c r="BZ30" s="239">
        <v>0</v>
      </c>
      <c r="CA30" s="239">
        <v>-1423</v>
      </c>
      <c r="CB30" s="239">
        <v>-356</v>
      </c>
      <c r="CC30" s="239">
        <v>0</v>
      </c>
      <c r="CD30" s="239">
        <v>-106.31570247933885</v>
      </c>
      <c r="CE30" s="239">
        <v>-26.578925619834713</v>
      </c>
      <c r="CF30" s="239">
        <v>0</v>
      </c>
      <c r="CG30" s="239">
        <v>0</v>
      </c>
      <c r="CH30" s="239">
        <v>0</v>
      </c>
      <c r="CI30" s="239">
        <v>0</v>
      </c>
      <c r="CJ30" s="239">
        <v>-106</v>
      </c>
      <c r="CK30" s="239">
        <v>-27</v>
      </c>
      <c r="CL30" s="239">
        <v>0</v>
      </c>
      <c r="CM30" s="239">
        <v>0</v>
      </c>
      <c r="CN30" s="239">
        <v>0</v>
      </c>
      <c r="CO30" s="239">
        <v>0</v>
      </c>
      <c r="CP30" s="239">
        <v>203</v>
      </c>
      <c r="CQ30" s="239">
        <v>51</v>
      </c>
      <c r="CR30" s="239">
        <v>0</v>
      </c>
      <c r="CS30" s="239">
        <v>-203</v>
      </c>
      <c r="CT30" s="239">
        <v>-51</v>
      </c>
      <c r="CU30" s="239">
        <v>0</v>
      </c>
      <c r="CV30" s="239">
        <v>117128.79008264463</v>
      </c>
      <c r="CW30" s="239">
        <v>28789.44958677686</v>
      </c>
      <c r="CX30" s="239">
        <v>0</v>
      </c>
      <c r="CY30" s="239">
        <v>117386</v>
      </c>
      <c r="CZ30" s="239">
        <v>28942</v>
      </c>
      <c r="DA30" s="239">
        <v>0</v>
      </c>
      <c r="DB30" s="239">
        <v>-257</v>
      </c>
      <c r="DC30" s="239">
        <v>-153</v>
      </c>
      <c r="DD30" s="239">
        <v>0</v>
      </c>
      <c r="DE30" s="641">
        <v>0.5</v>
      </c>
      <c r="DF30" s="641">
        <v>0.4</v>
      </c>
      <c r="DG30" s="641">
        <v>0.1</v>
      </c>
      <c r="DH30" s="641">
        <v>0</v>
      </c>
      <c r="DI30" s="214" t="s">
        <v>1190</v>
      </c>
    </row>
    <row r="31" spans="2:113" s="214" customFormat="1" x14ac:dyDescent="0.2">
      <c r="B31" s="609" t="s">
        <v>144</v>
      </c>
      <c r="C31" s="609" t="s">
        <v>143</v>
      </c>
      <c r="D31" s="239">
        <v>-43431</v>
      </c>
      <c r="E31" s="239">
        <v>0</v>
      </c>
      <c r="F31" s="239">
        <v>-43431</v>
      </c>
      <c r="G31" s="239">
        <v>0</v>
      </c>
      <c r="H31" s="239">
        <v>0</v>
      </c>
      <c r="I31" s="239">
        <v>0</v>
      </c>
      <c r="J31" s="239">
        <v>-43431</v>
      </c>
      <c r="K31" s="239">
        <v>0</v>
      </c>
      <c r="L31" s="239">
        <v>-43431</v>
      </c>
      <c r="M31" s="239">
        <v>299908</v>
      </c>
      <c r="N31" s="239">
        <v>299908</v>
      </c>
      <c r="O31" s="239">
        <v>0</v>
      </c>
      <c r="P31" s="239">
        <v>0</v>
      </c>
      <c r="Q31" s="239">
        <v>0</v>
      </c>
      <c r="R31" s="239">
        <v>0</v>
      </c>
      <c r="S31" s="239">
        <v>190</v>
      </c>
      <c r="T31" s="239">
        <v>0</v>
      </c>
      <c r="U31" s="239">
        <v>190</v>
      </c>
      <c r="V31" s="239">
        <v>0</v>
      </c>
      <c r="W31" s="239">
        <v>0</v>
      </c>
      <c r="X31" s="239">
        <v>0</v>
      </c>
      <c r="Y31" s="239">
        <v>0</v>
      </c>
      <c r="Z31" s="239">
        <v>0</v>
      </c>
      <c r="AA31" s="239">
        <v>0</v>
      </c>
      <c r="AB31" s="239">
        <v>0</v>
      </c>
      <c r="AC31" s="239">
        <v>0</v>
      </c>
      <c r="AD31" s="239">
        <v>0</v>
      </c>
      <c r="AE31" s="239">
        <v>0</v>
      </c>
      <c r="AF31" s="239">
        <v>0</v>
      </c>
      <c r="AG31" s="239">
        <v>0</v>
      </c>
      <c r="AH31" s="239">
        <v>0</v>
      </c>
      <c r="AI31" s="239">
        <v>0</v>
      </c>
      <c r="AJ31" s="239">
        <v>0</v>
      </c>
      <c r="AK31" s="239">
        <v>1188235.9828615703</v>
      </c>
      <c r="AL31" s="239">
        <v>0</v>
      </c>
      <c r="AM31" s="239">
        <v>24249.713935950418</v>
      </c>
      <c r="AN31" s="239">
        <v>1130464</v>
      </c>
      <c r="AO31" s="239">
        <v>0</v>
      </c>
      <c r="AP31" s="239">
        <v>23071</v>
      </c>
      <c r="AQ31" s="239">
        <v>57772</v>
      </c>
      <c r="AR31" s="239">
        <v>0</v>
      </c>
      <c r="AS31" s="239">
        <v>1179</v>
      </c>
      <c r="AT31" s="239">
        <v>5398.8594834710739</v>
      </c>
      <c r="AU31" s="239">
        <v>0</v>
      </c>
      <c r="AV31" s="239">
        <v>110.18080578512397</v>
      </c>
      <c r="AW31" s="239">
        <v>1268</v>
      </c>
      <c r="AX31" s="239">
        <v>0</v>
      </c>
      <c r="AY31" s="239">
        <v>26</v>
      </c>
      <c r="AZ31" s="239">
        <v>4131</v>
      </c>
      <c r="BA31" s="239">
        <v>0</v>
      </c>
      <c r="BB31" s="239">
        <v>84</v>
      </c>
      <c r="BC31" s="239">
        <v>2812.0198966942148</v>
      </c>
      <c r="BD31" s="239">
        <v>0</v>
      </c>
      <c r="BE31" s="239">
        <v>57.38816115702479</v>
      </c>
      <c r="BF31" s="239">
        <v>0</v>
      </c>
      <c r="BG31" s="239">
        <v>0</v>
      </c>
      <c r="BH31" s="239">
        <v>0</v>
      </c>
      <c r="BI31" s="239">
        <v>2812</v>
      </c>
      <c r="BJ31" s="239">
        <v>0</v>
      </c>
      <c r="BK31" s="239">
        <v>57</v>
      </c>
      <c r="BL31" s="239">
        <v>29781.960061983475</v>
      </c>
      <c r="BM31" s="239">
        <v>0</v>
      </c>
      <c r="BN31" s="239">
        <v>607.79510330578512</v>
      </c>
      <c r="BO31" s="239">
        <v>24165</v>
      </c>
      <c r="BP31" s="239">
        <v>0</v>
      </c>
      <c r="BQ31" s="239">
        <v>493</v>
      </c>
      <c r="BR31" s="239">
        <v>5617</v>
      </c>
      <c r="BS31" s="239">
        <v>0</v>
      </c>
      <c r="BT31" s="239">
        <v>115</v>
      </c>
      <c r="BU31" s="239">
        <v>-11465.803595041321</v>
      </c>
      <c r="BV31" s="239">
        <v>0</v>
      </c>
      <c r="BW31" s="239">
        <v>-233.99599173553719</v>
      </c>
      <c r="BX31" s="239">
        <v>0</v>
      </c>
      <c r="BY31" s="239">
        <v>0</v>
      </c>
      <c r="BZ31" s="239">
        <v>0</v>
      </c>
      <c r="CA31" s="239">
        <v>-11466</v>
      </c>
      <c r="CB31" s="239">
        <v>0</v>
      </c>
      <c r="CC31" s="239">
        <v>-234</v>
      </c>
      <c r="CD31" s="239">
        <v>0</v>
      </c>
      <c r="CE31" s="239">
        <v>0</v>
      </c>
      <c r="CF31" s="239">
        <v>0</v>
      </c>
      <c r="CG31" s="239">
        <v>0</v>
      </c>
      <c r="CH31" s="239">
        <v>0</v>
      </c>
      <c r="CI31" s="239">
        <v>0</v>
      </c>
      <c r="CJ31" s="239">
        <v>0</v>
      </c>
      <c r="CK31" s="239">
        <v>0</v>
      </c>
      <c r="CL31" s="239">
        <v>0</v>
      </c>
      <c r="CM31" s="239">
        <v>419.54123966942149</v>
      </c>
      <c r="CN31" s="239">
        <v>0</v>
      </c>
      <c r="CO31" s="239">
        <v>8.5620661157024784</v>
      </c>
      <c r="CP31" s="239">
        <v>548</v>
      </c>
      <c r="CQ31" s="239">
        <v>0</v>
      </c>
      <c r="CR31" s="239">
        <v>11</v>
      </c>
      <c r="CS31" s="239">
        <v>-128</v>
      </c>
      <c r="CT31" s="239">
        <v>0</v>
      </c>
      <c r="CU31" s="239">
        <v>-2</v>
      </c>
      <c r="CV31" s="239">
        <v>476715.12457169418</v>
      </c>
      <c r="CW31" s="239">
        <v>0</v>
      </c>
      <c r="CX31" s="239">
        <v>9728.8240130165286</v>
      </c>
      <c r="CY31" s="239">
        <v>498374</v>
      </c>
      <c r="CZ31" s="239">
        <v>0</v>
      </c>
      <c r="DA31" s="239">
        <v>10171</v>
      </c>
      <c r="DB31" s="239">
        <v>-21659</v>
      </c>
      <c r="DC31" s="239">
        <v>0</v>
      </c>
      <c r="DD31" s="239">
        <v>-442</v>
      </c>
      <c r="DE31" s="641">
        <v>0.5</v>
      </c>
      <c r="DF31" s="641">
        <v>0.49</v>
      </c>
      <c r="DG31" s="641">
        <v>0</v>
      </c>
      <c r="DH31" s="641">
        <v>0.01</v>
      </c>
      <c r="DI31" s="214" t="s">
        <v>747</v>
      </c>
    </row>
    <row r="32" spans="2:113" s="214" customFormat="1" x14ac:dyDescent="0.2">
      <c r="B32" s="609" t="s">
        <v>146</v>
      </c>
      <c r="C32" s="609" t="s">
        <v>145</v>
      </c>
      <c r="D32" s="239">
        <v>134965</v>
      </c>
      <c r="E32" s="239">
        <v>0</v>
      </c>
      <c r="F32" s="239">
        <v>134965</v>
      </c>
      <c r="G32" s="239">
        <v>0</v>
      </c>
      <c r="H32" s="239">
        <v>0</v>
      </c>
      <c r="I32" s="239">
        <v>0</v>
      </c>
      <c r="J32" s="239">
        <v>134965</v>
      </c>
      <c r="K32" s="239">
        <v>0</v>
      </c>
      <c r="L32" s="239">
        <v>134965</v>
      </c>
      <c r="M32" s="239">
        <v>149777</v>
      </c>
      <c r="N32" s="239">
        <v>149777</v>
      </c>
      <c r="O32" s="239">
        <v>0</v>
      </c>
      <c r="P32" s="239">
        <v>0</v>
      </c>
      <c r="Q32" s="239">
        <v>0</v>
      </c>
      <c r="R32" s="239">
        <v>0</v>
      </c>
      <c r="S32" s="239">
        <v>765</v>
      </c>
      <c r="T32" s="239">
        <v>0</v>
      </c>
      <c r="U32" s="239">
        <v>768</v>
      </c>
      <c r="V32" s="239">
        <v>0</v>
      </c>
      <c r="W32" s="239">
        <v>-3</v>
      </c>
      <c r="X32" s="239">
        <v>0</v>
      </c>
      <c r="Y32" s="239">
        <v>0</v>
      </c>
      <c r="Z32" s="239">
        <v>0</v>
      </c>
      <c r="AA32" s="239">
        <v>0</v>
      </c>
      <c r="AB32" s="239">
        <v>0</v>
      </c>
      <c r="AC32" s="239">
        <v>0</v>
      </c>
      <c r="AD32" s="239">
        <v>0</v>
      </c>
      <c r="AE32" s="239">
        <v>0</v>
      </c>
      <c r="AF32" s="239">
        <v>0</v>
      </c>
      <c r="AG32" s="239">
        <v>0</v>
      </c>
      <c r="AH32" s="239">
        <v>0</v>
      </c>
      <c r="AI32" s="239">
        <v>0</v>
      </c>
      <c r="AJ32" s="239">
        <v>0</v>
      </c>
      <c r="AK32" s="239">
        <v>234790.48857438017</v>
      </c>
      <c r="AL32" s="239">
        <v>0</v>
      </c>
      <c r="AM32" s="239">
        <v>4791.6426239669418</v>
      </c>
      <c r="AN32" s="239">
        <v>248544</v>
      </c>
      <c r="AO32" s="239">
        <v>0</v>
      </c>
      <c r="AP32" s="239">
        <v>5072</v>
      </c>
      <c r="AQ32" s="239">
        <v>-13754</v>
      </c>
      <c r="AR32" s="239">
        <v>0</v>
      </c>
      <c r="AS32" s="239">
        <v>-280</v>
      </c>
      <c r="AT32" s="239">
        <v>3837.5099173553717</v>
      </c>
      <c r="AU32" s="239">
        <v>0</v>
      </c>
      <c r="AV32" s="239">
        <v>78.316528925619835</v>
      </c>
      <c r="AW32" s="239">
        <v>4971</v>
      </c>
      <c r="AX32" s="239">
        <v>0</v>
      </c>
      <c r="AY32" s="239">
        <v>101</v>
      </c>
      <c r="AZ32" s="239">
        <v>-1133</v>
      </c>
      <c r="BA32" s="239">
        <v>0</v>
      </c>
      <c r="BB32" s="239">
        <v>-23</v>
      </c>
      <c r="BC32" s="239">
        <v>0</v>
      </c>
      <c r="BD32" s="239">
        <v>0</v>
      </c>
      <c r="BE32" s="239">
        <v>0</v>
      </c>
      <c r="BF32" s="239">
        <v>0</v>
      </c>
      <c r="BG32" s="239">
        <v>0</v>
      </c>
      <c r="BH32" s="239">
        <v>0</v>
      </c>
      <c r="BI32" s="239">
        <v>0</v>
      </c>
      <c r="BJ32" s="239">
        <v>0</v>
      </c>
      <c r="BK32" s="239">
        <v>0</v>
      </c>
      <c r="BL32" s="239">
        <v>857.97177685950442</v>
      </c>
      <c r="BM32" s="239">
        <v>0</v>
      </c>
      <c r="BN32" s="239">
        <v>17.509628099173554</v>
      </c>
      <c r="BO32" s="239">
        <v>24855</v>
      </c>
      <c r="BP32" s="239">
        <v>0</v>
      </c>
      <c r="BQ32" s="239">
        <v>507</v>
      </c>
      <c r="BR32" s="239">
        <v>-23997</v>
      </c>
      <c r="BS32" s="239">
        <v>0</v>
      </c>
      <c r="BT32" s="239">
        <v>-489</v>
      </c>
      <c r="BU32" s="239">
        <v>1050.8414462809917</v>
      </c>
      <c r="BV32" s="239">
        <v>0</v>
      </c>
      <c r="BW32" s="239">
        <v>21.445743801652892</v>
      </c>
      <c r="BX32" s="239">
        <v>0</v>
      </c>
      <c r="BY32" s="239">
        <v>0</v>
      </c>
      <c r="BZ32" s="239">
        <v>0</v>
      </c>
      <c r="CA32" s="239">
        <v>1051</v>
      </c>
      <c r="CB32" s="239">
        <v>0</v>
      </c>
      <c r="CC32" s="239">
        <v>21</v>
      </c>
      <c r="CD32" s="239">
        <v>0</v>
      </c>
      <c r="CE32" s="239">
        <v>0</v>
      </c>
      <c r="CF32" s="239">
        <v>0</v>
      </c>
      <c r="CG32" s="239">
        <v>0</v>
      </c>
      <c r="CH32" s="239">
        <v>0</v>
      </c>
      <c r="CI32" s="239">
        <v>0</v>
      </c>
      <c r="CJ32" s="239">
        <v>0</v>
      </c>
      <c r="CK32" s="239">
        <v>0</v>
      </c>
      <c r="CL32" s="239">
        <v>0</v>
      </c>
      <c r="CM32" s="239">
        <v>0</v>
      </c>
      <c r="CN32" s="239">
        <v>0</v>
      </c>
      <c r="CO32" s="239">
        <v>0</v>
      </c>
      <c r="CP32" s="239">
        <v>0</v>
      </c>
      <c r="CQ32" s="239">
        <v>0</v>
      </c>
      <c r="CR32" s="239">
        <v>0</v>
      </c>
      <c r="CS32" s="239">
        <v>0</v>
      </c>
      <c r="CT32" s="239">
        <v>0</v>
      </c>
      <c r="CU32" s="239">
        <v>0</v>
      </c>
      <c r="CV32" s="239">
        <v>434564.08545454551</v>
      </c>
      <c r="CW32" s="239">
        <v>0</v>
      </c>
      <c r="CX32" s="239">
        <v>8868.4290082644638</v>
      </c>
      <c r="CY32" s="239">
        <v>442385</v>
      </c>
      <c r="CZ32" s="239">
        <v>0</v>
      </c>
      <c r="DA32" s="239">
        <v>9028</v>
      </c>
      <c r="DB32" s="239">
        <v>-7821</v>
      </c>
      <c r="DC32" s="239">
        <v>0</v>
      </c>
      <c r="DD32" s="239">
        <v>-160</v>
      </c>
      <c r="DE32" s="641">
        <v>0.5</v>
      </c>
      <c r="DF32" s="641">
        <v>0.49</v>
      </c>
      <c r="DG32" s="641">
        <v>0</v>
      </c>
      <c r="DH32" s="641">
        <v>0.01</v>
      </c>
      <c r="DI32" s="214" t="s">
        <v>747</v>
      </c>
    </row>
    <row r="33" spans="1:113" s="214" customFormat="1" x14ac:dyDescent="0.2">
      <c r="B33" s="609" t="s">
        <v>148</v>
      </c>
      <c r="C33" s="609" t="s">
        <v>147</v>
      </c>
      <c r="D33" s="239">
        <v>-347206</v>
      </c>
      <c r="E33" s="239">
        <v>0</v>
      </c>
      <c r="F33" s="239">
        <v>-347206</v>
      </c>
      <c r="G33" s="239">
        <v>0</v>
      </c>
      <c r="H33" s="239">
        <v>0</v>
      </c>
      <c r="I33" s="239">
        <v>0</v>
      </c>
      <c r="J33" s="239">
        <v>-347206</v>
      </c>
      <c r="K33" s="239">
        <v>0</v>
      </c>
      <c r="L33" s="239">
        <v>-347206</v>
      </c>
      <c r="M33" s="239">
        <v>741111</v>
      </c>
      <c r="N33" s="239">
        <v>741111</v>
      </c>
      <c r="O33" s="239">
        <v>0</v>
      </c>
      <c r="P33" s="239">
        <v>0</v>
      </c>
      <c r="Q33" s="239">
        <v>0</v>
      </c>
      <c r="R33" s="239">
        <v>0</v>
      </c>
      <c r="S33" s="239">
        <v>0</v>
      </c>
      <c r="T33" s="239">
        <v>0</v>
      </c>
      <c r="U33" s="239">
        <v>0</v>
      </c>
      <c r="V33" s="239">
        <v>0</v>
      </c>
      <c r="W33" s="239">
        <v>0</v>
      </c>
      <c r="X33" s="239">
        <v>0</v>
      </c>
      <c r="Y33" s="239">
        <v>0</v>
      </c>
      <c r="Z33" s="239">
        <v>0</v>
      </c>
      <c r="AA33" s="239">
        <v>0</v>
      </c>
      <c r="AB33" s="239">
        <v>0</v>
      </c>
      <c r="AC33" s="239">
        <v>0</v>
      </c>
      <c r="AD33" s="239">
        <v>0</v>
      </c>
      <c r="AE33" s="239">
        <v>0</v>
      </c>
      <c r="AF33" s="239">
        <v>0</v>
      </c>
      <c r="AG33" s="239">
        <v>0</v>
      </c>
      <c r="AH33" s="239">
        <v>0</v>
      </c>
      <c r="AI33" s="239">
        <v>0</v>
      </c>
      <c r="AJ33" s="239">
        <v>0</v>
      </c>
      <c r="AK33" s="239">
        <v>3979278.0719421492</v>
      </c>
      <c r="AL33" s="239">
        <v>0</v>
      </c>
      <c r="AM33" s="239">
        <v>81209.756570247948</v>
      </c>
      <c r="AN33" s="239">
        <v>4086053</v>
      </c>
      <c r="AO33" s="239">
        <v>0</v>
      </c>
      <c r="AP33" s="239">
        <v>83389</v>
      </c>
      <c r="AQ33" s="239">
        <v>-106775</v>
      </c>
      <c r="AR33" s="239">
        <v>0</v>
      </c>
      <c r="AS33" s="239">
        <v>-2179</v>
      </c>
      <c r="AT33" s="239">
        <v>38369.134132231411</v>
      </c>
      <c r="AU33" s="239">
        <v>0</v>
      </c>
      <c r="AV33" s="239">
        <v>783.04355371900829</v>
      </c>
      <c r="AW33" s="239">
        <v>29825</v>
      </c>
      <c r="AX33" s="239">
        <v>0</v>
      </c>
      <c r="AY33" s="239">
        <v>609</v>
      </c>
      <c r="AZ33" s="239">
        <v>8544</v>
      </c>
      <c r="BA33" s="239">
        <v>0</v>
      </c>
      <c r="BB33" s="239">
        <v>174</v>
      </c>
      <c r="BC33" s="239">
        <v>39423.952272727271</v>
      </c>
      <c r="BD33" s="239">
        <v>0</v>
      </c>
      <c r="BE33" s="239">
        <v>804.5704545454546</v>
      </c>
      <c r="BF33" s="239">
        <v>9942</v>
      </c>
      <c r="BG33" s="239">
        <v>0</v>
      </c>
      <c r="BH33" s="239">
        <v>203</v>
      </c>
      <c r="BI33" s="239">
        <v>29482</v>
      </c>
      <c r="BJ33" s="239">
        <v>0</v>
      </c>
      <c r="BK33" s="239">
        <v>602</v>
      </c>
      <c r="BL33" s="239">
        <v>17498.448719008265</v>
      </c>
      <c r="BM33" s="239">
        <v>0</v>
      </c>
      <c r="BN33" s="239">
        <v>357.11119834710746</v>
      </c>
      <c r="BO33" s="239">
        <v>48794</v>
      </c>
      <c r="BP33" s="239">
        <v>0</v>
      </c>
      <c r="BQ33" s="239">
        <v>996</v>
      </c>
      <c r="BR33" s="239">
        <v>-31296</v>
      </c>
      <c r="BS33" s="239">
        <v>0</v>
      </c>
      <c r="BT33" s="239">
        <v>-639</v>
      </c>
      <c r="BU33" s="239">
        <v>20015.199070247931</v>
      </c>
      <c r="BV33" s="239">
        <v>0</v>
      </c>
      <c r="BW33" s="239">
        <v>408.47345041322313</v>
      </c>
      <c r="BX33" s="239">
        <v>0</v>
      </c>
      <c r="BY33" s="239">
        <v>0</v>
      </c>
      <c r="BZ33" s="239">
        <v>0</v>
      </c>
      <c r="CA33" s="239">
        <v>20015</v>
      </c>
      <c r="CB33" s="239">
        <v>0</v>
      </c>
      <c r="CC33" s="239">
        <v>408</v>
      </c>
      <c r="CD33" s="239">
        <v>103047.08301652892</v>
      </c>
      <c r="CE33" s="239">
        <v>0</v>
      </c>
      <c r="CF33" s="239">
        <v>2103.0016942148759</v>
      </c>
      <c r="CG33" s="239">
        <v>0</v>
      </c>
      <c r="CH33" s="239">
        <v>0</v>
      </c>
      <c r="CI33" s="239">
        <v>0</v>
      </c>
      <c r="CJ33" s="239">
        <v>103047</v>
      </c>
      <c r="CK33" s="239">
        <v>0</v>
      </c>
      <c r="CL33" s="239">
        <v>2103</v>
      </c>
      <c r="CM33" s="239">
        <v>10306.597231404958</v>
      </c>
      <c r="CN33" s="239">
        <v>0</v>
      </c>
      <c r="CO33" s="239">
        <v>210.33871900826446</v>
      </c>
      <c r="CP33" s="239">
        <v>12427</v>
      </c>
      <c r="CQ33" s="239">
        <v>0</v>
      </c>
      <c r="CR33" s="239">
        <v>254</v>
      </c>
      <c r="CS33" s="239">
        <v>-2120</v>
      </c>
      <c r="CT33" s="239">
        <v>0</v>
      </c>
      <c r="CU33" s="239">
        <v>-44</v>
      </c>
      <c r="CV33" s="239">
        <v>995000.47225206625</v>
      </c>
      <c r="CW33" s="239">
        <v>0</v>
      </c>
      <c r="CX33" s="239">
        <v>20306.132086776859</v>
      </c>
      <c r="CY33" s="239">
        <v>1060492</v>
      </c>
      <c r="CZ33" s="239">
        <v>0</v>
      </c>
      <c r="DA33" s="239">
        <v>21643</v>
      </c>
      <c r="DB33" s="239">
        <v>-65492</v>
      </c>
      <c r="DC33" s="239">
        <v>0</v>
      </c>
      <c r="DD33" s="239">
        <v>-1337</v>
      </c>
      <c r="DE33" s="641">
        <v>0.5</v>
      </c>
      <c r="DF33" s="641">
        <v>0.49</v>
      </c>
      <c r="DG33" s="641">
        <v>0</v>
      </c>
      <c r="DH33" s="641">
        <v>0.01</v>
      </c>
      <c r="DI33" s="214" t="s">
        <v>1192</v>
      </c>
    </row>
    <row r="34" spans="1:113" s="214" customFormat="1" x14ac:dyDescent="0.2">
      <c r="B34" s="609" t="s">
        <v>150</v>
      </c>
      <c r="C34" s="609" t="s">
        <v>149</v>
      </c>
      <c r="D34" s="239">
        <v>-78480</v>
      </c>
      <c r="E34" s="239">
        <v>0</v>
      </c>
      <c r="F34" s="239">
        <v>-78480</v>
      </c>
      <c r="G34" s="239">
        <v>0</v>
      </c>
      <c r="H34" s="239">
        <v>0</v>
      </c>
      <c r="I34" s="239">
        <v>0</v>
      </c>
      <c r="J34" s="239">
        <v>-78480</v>
      </c>
      <c r="K34" s="239">
        <v>0</v>
      </c>
      <c r="L34" s="239">
        <v>-78480</v>
      </c>
      <c r="M34" s="239">
        <v>194671</v>
      </c>
      <c r="N34" s="239">
        <v>194671</v>
      </c>
      <c r="O34" s="239">
        <v>0</v>
      </c>
      <c r="P34" s="239">
        <v>0</v>
      </c>
      <c r="Q34" s="239">
        <v>0</v>
      </c>
      <c r="R34" s="239">
        <v>0</v>
      </c>
      <c r="S34" s="239">
        <v>93933</v>
      </c>
      <c r="T34" s="239">
        <v>89957</v>
      </c>
      <c r="U34" s="239">
        <v>0</v>
      </c>
      <c r="V34" s="239">
        <v>0</v>
      </c>
      <c r="W34" s="239">
        <v>93933</v>
      </c>
      <c r="X34" s="239">
        <v>89957</v>
      </c>
      <c r="Y34" s="239">
        <v>0</v>
      </c>
      <c r="Z34" s="239">
        <v>0</v>
      </c>
      <c r="AA34" s="239">
        <v>0</v>
      </c>
      <c r="AB34" s="239">
        <v>0</v>
      </c>
      <c r="AC34" s="239">
        <v>0</v>
      </c>
      <c r="AD34" s="239">
        <v>0</v>
      </c>
      <c r="AE34" s="239">
        <v>0</v>
      </c>
      <c r="AF34" s="239">
        <v>0</v>
      </c>
      <c r="AG34" s="239">
        <v>0</v>
      </c>
      <c r="AH34" s="239">
        <v>0</v>
      </c>
      <c r="AI34" s="239">
        <v>0</v>
      </c>
      <c r="AJ34" s="239">
        <v>0</v>
      </c>
      <c r="AK34" s="239">
        <v>704885.48388429754</v>
      </c>
      <c r="AL34" s="239">
        <v>158599.23387396696</v>
      </c>
      <c r="AM34" s="239">
        <v>17622.137097107439</v>
      </c>
      <c r="AN34" s="239">
        <v>669748</v>
      </c>
      <c r="AO34" s="239">
        <v>150693</v>
      </c>
      <c r="AP34" s="239">
        <v>16744</v>
      </c>
      <c r="AQ34" s="239">
        <v>35137</v>
      </c>
      <c r="AR34" s="239">
        <v>7906</v>
      </c>
      <c r="AS34" s="239">
        <v>878</v>
      </c>
      <c r="AT34" s="239">
        <v>0</v>
      </c>
      <c r="AU34" s="239">
        <v>0</v>
      </c>
      <c r="AV34" s="239">
        <v>0</v>
      </c>
      <c r="AW34" s="239">
        <v>0</v>
      </c>
      <c r="AX34" s="239">
        <v>0</v>
      </c>
      <c r="AY34" s="239">
        <v>0</v>
      </c>
      <c r="AZ34" s="239">
        <v>0</v>
      </c>
      <c r="BA34" s="239">
        <v>0</v>
      </c>
      <c r="BB34" s="239">
        <v>0</v>
      </c>
      <c r="BC34" s="239">
        <v>3648.0082644628101</v>
      </c>
      <c r="BD34" s="239">
        <v>820.80185950413227</v>
      </c>
      <c r="BE34" s="239">
        <v>91.200206611570252</v>
      </c>
      <c r="BF34" s="239">
        <v>4075</v>
      </c>
      <c r="BG34" s="239">
        <v>917</v>
      </c>
      <c r="BH34" s="239">
        <v>102</v>
      </c>
      <c r="BI34" s="239">
        <v>-427</v>
      </c>
      <c r="BJ34" s="239">
        <v>-96</v>
      </c>
      <c r="BK34" s="239">
        <v>-11</v>
      </c>
      <c r="BL34" s="239">
        <v>10629.135537190083</v>
      </c>
      <c r="BM34" s="239">
        <v>2391.5554958677685</v>
      </c>
      <c r="BN34" s="239">
        <v>265.72838842975204</v>
      </c>
      <c r="BO34" s="239">
        <v>9722</v>
      </c>
      <c r="BP34" s="239">
        <v>2187</v>
      </c>
      <c r="BQ34" s="239">
        <v>243</v>
      </c>
      <c r="BR34" s="239">
        <v>907</v>
      </c>
      <c r="BS34" s="239">
        <v>205</v>
      </c>
      <c r="BT34" s="239">
        <v>23</v>
      </c>
      <c r="BU34" s="239">
        <v>1882.4371900826445</v>
      </c>
      <c r="BV34" s="239">
        <v>423.54836776859503</v>
      </c>
      <c r="BW34" s="239">
        <v>47.060929752066116</v>
      </c>
      <c r="BX34" s="239">
        <v>0</v>
      </c>
      <c r="BY34" s="239">
        <v>0</v>
      </c>
      <c r="BZ34" s="239">
        <v>0</v>
      </c>
      <c r="CA34" s="239">
        <v>1882</v>
      </c>
      <c r="CB34" s="239">
        <v>424</v>
      </c>
      <c r="CC34" s="239">
        <v>47</v>
      </c>
      <c r="CD34" s="239">
        <v>0</v>
      </c>
      <c r="CE34" s="239">
        <v>0</v>
      </c>
      <c r="CF34" s="239">
        <v>0</v>
      </c>
      <c r="CG34" s="239">
        <v>0</v>
      </c>
      <c r="CH34" s="239">
        <v>0</v>
      </c>
      <c r="CI34" s="239">
        <v>0</v>
      </c>
      <c r="CJ34" s="239">
        <v>0</v>
      </c>
      <c r="CK34" s="239">
        <v>0</v>
      </c>
      <c r="CL34" s="239">
        <v>0</v>
      </c>
      <c r="CM34" s="239">
        <v>1792.7586776859505</v>
      </c>
      <c r="CN34" s="239">
        <v>403.37070247933877</v>
      </c>
      <c r="CO34" s="239">
        <v>44.818966942148762</v>
      </c>
      <c r="CP34" s="239">
        <v>4869</v>
      </c>
      <c r="CQ34" s="239">
        <v>1096</v>
      </c>
      <c r="CR34" s="239">
        <v>122</v>
      </c>
      <c r="CS34" s="239">
        <v>-3076</v>
      </c>
      <c r="CT34" s="239">
        <v>-693</v>
      </c>
      <c r="CU34" s="239">
        <v>-77</v>
      </c>
      <c r="CV34" s="239">
        <v>257611.34173553716</v>
      </c>
      <c r="CW34" s="239">
        <v>58957.912479338847</v>
      </c>
      <c r="CX34" s="239">
        <v>6406.3201652892558</v>
      </c>
      <c r="CY34" s="239">
        <v>245758</v>
      </c>
      <c r="CZ34" s="239">
        <v>55295</v>
      </c>
      <c r="DA34" s="239">
        <v>6144</v>
      </c>
      <c r="DB34" s="239">
        <v>11853</v>
      </c>
      <c r="DC34" s="239">
        <v>3663</v>
      </c>
      <c r="DD34" s="239">
        <v>262</v>
      </c>
      <c r="DE34" s="641">
        <v>0.5</v>
      </c>
      <c r="DF34" s="641">
        <v>0.4</v>
      </c>
      <c r="DG34" s="641">
        <v>0.09</v>
      </c>
      <c r="DH34" s="641">
        <v>0.01</v>
      </c>
      <c r="DI34" s="214" t="s">
        <v>1190</v>
      </c>
    </row>
    <row r="35" spans="1:113" s="214" customFormat="1" x14ac:dyDescent="0.2">
      <c r="B35" s="609" t="s">
        <v>152</v>
      </c>
      <c r="C35" s="609" t="s">
        <v>151</v>
      </c>
      <c r="D35" s="239">
        <v>-134699</v>
      </c>
      <c r="E35" s="239">
        <v>0</v>
      </c>
      <c r="F35" s="239">
        <v>-134699</v>
      </c>
      <c r="G35" s="239">
        <v>0</v>
      </c>
      <c r="H35" s="239">
        <v>0</v>
      </c>
      <c r="I35" s="239">
        <v>0</v>
      </c>
      <c r="J35" s="239">
        <v>-134699</v>
      </c>
      <c r="K35" s="239">
        <v>0</v>
      </c>
      <c r="L35" s="239">
        <v>-134699</v>
      </c>
      <c r="M35" s="239">
        <v>165631</v>
      </c>
      <c r="N35" s="239">
        <v>165631</v>
      </c>
      <c r="O35" s="239">
        <v>0</v>
      </c>
      <c r="P35" s="239">
        <v>0</v>
      </c>
      <c r="Q35" s="239">
        <v>0</v>
      </c>
      <c r="R35" s="239">
        <v>0</v>
      </c>
      <c r="S35" s="239">
        <v>195073</v>
      </c>
      <c r="T35" s="239">
        <v>0</v>
      </c>
      <c r="U35" s="239">
        <v>158295</v>
      </c>
      <c r="V35" s="239">
        <v>0</v>
      </c>
      <c r="W35" s="239">
        <v>36778</v>
      </c>
      <c r="X35" s="239">
        <v>0</v>
      </c>
      <c r="Y35" s="239">
        <v>0</v>
      </c>
      <c r="Z35" s="239">
        <v>0</v>
      </c>
      <c r="AA35" s="239">
        <v>0</v>
      </c>
      <c r="AB35" s="239">
        <v>0</v>
      </c>
      <c r="AC35" s="239">
        <v>0</v>
      </c>
      <c r="AD35" s="239">
        <v>0</v>
      </c>
      <c r="AE35" s="239">
        <v>0</v>
      </c>
      <c r="AF35" s="239">
        <v>0</v>
      </c>
      <c r="AG35" s="239">
        <v>0</v>
      </c>
      <c r="AH35" s="239">
        <v>0</v>
      </c>
      <c r="AI35" s="239">
        <v>0</v>
      </c>
      <c r="AJ35" s="239">
        <v>0</v>
      </c>
      <c r="AK35" s="239">
        <v>633251.83016528934</v>
      </c>
      <c r="AL35" s="239">
        <v>158312.95754132234</v>
      </c>
      <c r="AM35" s="239">
        <v>0</v>
      </c>
      <c r="AN35" s="239">
        <v>607685</v>
      </c>
      <c r="AO35" s="239">
        <v>151921</v>
      </c>
      <c r="AP35" s="239">
        <v>0</v>
      </c>
      <c r="AQ35" s="239">
        <v>25567</v>
      </c>
      <c r="AR35" s="239">
        <v>6392</v>
      </c>
      <c r="AS35" s="239">
        <v>0</v>
      </c>
      <c r="AT35" s="239">
        <v>81.968595041322317</v>
      </c>
      <c r="AU35" s="239">
        <v>20.492148760330579</v>
      </c>
      <c r="AV35" s="239">
        <v>0</v>
      </c>
      <c r="AW35" s="239">
        <v>491</v>
      </c>
      <c r="AX35" s="239">
        <v>123</v>
      </c>
      <c r="AY35" s="239">
        <v>0</v>
      </c>
      <c r="AZ35" s="239">
        <v>-409</v>
      </c>
      <c r="BA35" s="239">
        <v>-103</v>
      </c>
      <c r="BB35" s="239">
        <v>0</v>
      </c>
      <c r="BC35" s="239">
        <v>0</v>
      </c>
      <c r="BD35" s="239">
        <v>0</v>
      </c>
      <c r="BE35" s="239">
        <v>0</v>
      </c>
      <c r="BF35" s="239">
        <v>0</v>
      </c>
      <c r="BG35" s="239">
        <v>0</v>
      </c>
      <c r="BH35" s="239">
        <v>0</v>
      </c>
      <c r="BI35" s="239">
        <v>0</v>
      </c>
      <c r="BJ35" s="239">
        <v>0</v>
      </c>
      <c r="BK35" s="239">
        <v>0</v>
      </c>
      <c r="BL35" s="239">
        <v>7283.4371900826445</v>
      </c>
      <c r="BM35" s="239">
        <v>1820.8592975206611</v>
      </c>
      <c r="BN35" s="239">
        <v>0</v>
      </c>
      <c r="BO35" s="239">
        <v>7394</v>
      </c>
      <c r="BP35" s="239">
        <v>1849</v>
      </c>
      <c r="BQ35" s="239">
        <v>0</v>
      </c>
      <c r="BR35" s="239">
        <v>-111</v>
      </c>
      <c r="BS35" s="239">
        <v>-28</v>
      </c>
      <c r="BT35" s="239">
        <v>0</v>
      </c>
      <c r="BU35" s="239">
        <v>-3257.6429752066119</v>
      </c>
      <c r="BV35" s="239">
        <v>-814.41074380165298</v>
      </c>
      <c r="BW35" s="239">
        <v>0</v>
      </c>
      <c r="BX35" s="239">
        <v>0</v>
      </c>
      <c r="BY35" s="239">
        <v>0</v>
      </c>
      <c r="BZ35" s="239">
        <v>0</v>
      </c>
      <c r="CA35" s="239">
        <v>-3258</v>
      </c>
      <c r="CB35" s="239">
        <v>-814</v>
      </c>
      <c r="CC35" s="239">
        <v>0</v>
      </c>
      <c r="CD35" s="239">
        <v>0</v>
      </c>
      <c r="CE35" s="239">
        <v>0</v>
      </c>
      <c r="CF35" s="239">
        <v>0</v>
      </c>
      <c r="CG35" s="239">
        <v>0</v>
      </c>
      <c r="CH35" s="239">
        <v>0</v>
      </c>
      <c r="CI35" s="239">
        <v>0</v>
      </c>
      <c r="CJ35" s="239">
        <v>0</v>
      </c>
      <c r="CK35" s="239">
        <v>0</v>
      </c>
      <c r="CL35" s="239">
        <v>0</v>
      </c>
      <c r="CM35" s="239">
        <v>5991.4173553719011</v>
      </c>
      <c r="CN35" s="239">
        <v>1497.8543388429753</v>
      </c>
      <c r="CO35" s="239">
        <v>0</v>
      </c>
      <c r="CP35" s="239">
        <v>21</v>
      </c>
      <c r="CQ35" s="239">
        <v>5</v>
      </c>
      <c r="CR35" s="239">
        <v>0</v>
      </c>
      <c r="CS35" s="239">
        <v>5970</v>
      </c>
      <c r="CT35" s="239">
        <v>1493</v>
      </c>
      <c r="CU35" s="239">
        <v>0</v>
      </c>
      <c r="CV35" s="239">
        <v>179269.73099173553</v>
      </c>
      <c r="CW35" s="239">
        <v>44112.106818181819</v>
      </c>
      <c r="CX35" s="239">
        <v>0</v>
      </c>
      <c r="CY35" s="239">
        <v>181035</v>
      </c>
      <c r="CZ35" s="239">
        <v>44686</v>
      </c>
      <c r="DA35" s="239">
        <v>0</v>
      </c>
      <c r="DB35" s="239">
        <v>-1765</v>
      </c>
      <c r="DC35" s="239">
        <v>-574</v>
      </c>
      <c r="DD35" s="239">
        <v>0</v>
      </c>
      <c r="DE35" s="641">
        <v>0.5</v>
      </c>
      <c r="DF35" s="641">
        <v>0.4</v>
      </c>
      <c r="DG35" s="641">
        <v>0.1</v>
      </c>
      <c r="DH35" s="641">
        <v>0</v>
      </c>
      <c r="DI35" s="214" t="s">
        <v>1190</v>
      </c>
    </row>
    <row r="36" spans="1:113" s="214" customFormat="1" x14ac:dyDescent="0.2">
      <c r="B36" s="609" t="s">
        <v>154</v>
      </c>
      <c r="C36" s="609" t="s">
        <v>153</v>
      </c>
      <c r="D36" s="239">
        <v>-132652</v>
      </c>
      <c r="E36" s="239">
        <v>0</v>
      </c>
      <c r="F36" s="239">
        <v>-132652</v>
      </c>
      <c r="G36" s="239">
        <v>0</v>
      </c>
      <c r="H36" s="239">
        <v>0</v>
      </c>
      <c r="I36" s="239">
        <v>0</v>
      </c>
      <c r="J36" s="239">
        <v>-132652</v>
      </c>
      <c r="K36" s="239">
        <v>0</v>
      </c>
      <c r="L36" s="239">
        <v>-132652</v>
      </c>
      <c r="M36" s="239">
        <v>416161</v>
      </c>
      <c r="N36" s="239">
        <v>416161</v>
      </c>
      <c r="O36" s="239">
        <v>0</v>
      </c>
      <c r="P36" s="239">
        <v>0</v>
      </c>
      <c r="Q36" s="239">
        <v>0</v>
      </c>
      <c r="R36" s="239">
        <v>0</v>
      </c>
      <c r="S36" s="239">
        <v>0</v>
      </c>
      <c r="T36" s="239">
        <v>0</v>
      </c>
      <c r="U36" s="239">
        <v>0</v>
      </c>
      <c r="V36" s="239">
        <v>0</v>
      </c>
      <c r="W36" s="239">
        <v>0</v>
      </c>
      <c r="X36" s="239">
        <v>0</v>
      </c>
      <c r="Y36" s="239">
        <v>0</v>
      </c>
      <c r="Z36" s="239">
        <v>0</v>
      </c>
      <c r="AA36" s="239">
        <v>0</v>
      </c>
      <c r="AB36" s="239">
        <v>0</v>
      </c>
      <c r="AC36" s="239">
        <v>0</v>
      </c>
      <c r="AD36" s="239">
        <v>0</v>
      </c>
      <c r="AE36" s="239">
        <v>0</v>
      </c>
      <c r="AF36" s="239">
        <v>0</v>
      </c>
      <c r="AG36" s="239">
        <v>0</v>
      </c>
      <c r="AH36" s="239">
        <v>0</v>
      </c>
      <c r="AI36" s="239">
        <v>0</v>
      </c>
      <c r="AJ36" s="239">
        <v>0</v>
      </c>
      <c r="AK36" s="239">
        <v>741235.36022727273</v>
      </c>
      <c r="AL36" s="239">
        <v>494156.90681818186</v>
      </c>
      <c r="AM36" s="239">
        <v>0</v>
      </c>
      <c r="AN36" s="239">
        <v>682609</v>
      </c>
      <c r="AO36" s="239">
        <v>455073</v>
      </c>
      <c r="AP36" s="239">
        <v>0</v>
      </c>
      <c r="AQ36" s="239">
        <v>58626</v>
      </c>
      <c r="AR36" s="239">
        <v>39084</v>
      </c>
      <c r="AS36" s="239">
        <v>0</v>
      </c>
      <c r="AT36" s="239">
        <v>1668.3855371900825</v>
      </c>
      <c r="AU36" s="239">
        <v>1112.2570247933886</v>
      </c>
      <c r="AV36" s="239">
        <v>0</v>
      </c>
      <c r="AW36" s="239">
        <v>2075</v>
      </c>
      <c r="AX36" s="239">
        <v>1384</v>
      </c>
      <c r="AY36" s="239">
        <v>0</v>
      </c>
      <c r="AZ36" s="239">
        <v>-407</v>
      </c>
      <c r="BA36" s="239">
        <v>-272</v>
      </c>
      <c r="BB36" s="239">
        <v>0</v>
      </c>
      <c r="BC36" s="239">
        <v>58008.80950413223</v>
      </c>
      <c r="BD36" s="239">
        <v>38672.539669421494</v>
      </c>
      <c r="BE36" s="239">
        <v>0</v>
      </c>
      <c r="BF36" s="239">
        <v>6087</v>
      </c>
      <c r="BG36" s="239">
        <v>4058</v>
      </c>
      <c r="BH36" s="239">
        <v>0</v>
      </c>
      <c r="BI36" s="239">
        <v>51922</v>
      </c>
      <c r="BJ36" s="239">
        <v>34615</v>
      </c>
      <c r="BK36" s="239">
        <v>0</v>
      </c>
      <c r="BL36" s="239">
        <v>11833.607231404958</v>
      </c>
      <c r="BM36" s="239">
        <v>7889.0714876033062</v>
      </c>
      <c r="BN36" s="239">
        <v>0</v>
      </c>
      <c r="BO36" s="239">
        <v>15217</v>
      </c>
      <c r="BP36" s="239">
        <v>10145</v>
      </c>
      <c r="BQ36" s="239">
        <v>0</v>
      </c>
      <c r="BR36" s="239">
        <v>-3383</v>
      </c>
      <c r="BS36" s="239">
        <v>-2256</v>
      </c>
      <c r="BT36" s="239">
        <v>0</v>
      </c>
      <c r="BU36" s="239">
        <v>12752.101859504133</v>
      </c>
      <c r="BV36" s="239">
        <v>8501.4012396694216</v>
      </c>
      <c r="BW36" s="239">
        <v>0</v>
      </c>
      <c r="BX36" s="239">
        <v>0</v>
      </c>
      <c r="BY36" s="239">
        <v>0</v>
      </c>
      <c r="BZ36" s="239">
        <v>0</v>
      </c>
      <c r="CA36" s="239">
        <v>12752</v>
      </c>
      <c r="CB36" s="239">
        <v>8501</v>
      </c>
      <c r="CC36" s="239">
        <v>0</v>
      </c>
      <c r="CD36" s="239">
        <v>0</v>
      </c>
      <c r="CE36" s="239">
        <v>0</v>
      </c>
      <c r="CF36" s="239">
        <v>0</v>
      </c>
      <c r="CG36" s="239">
        <v>0</v>
      </c>
      <c r="CH36" s="239">
        <v>0</v>
      </c>
      <c r="CI36" s="239">
        <v>0</v>
      </c>
      <c r="CJ36" s="239">
        <v>0</v>
      </c>
      <c r="CK36" s="239">
        <v>0</v>
      </c>
      <c r="CL36" s="239">
        <v>0</v>
      </c>
      <c r="CM36" s="239">
        <v>53.563636363636348</v>
      </c>
      <c r="CN36" s="239">
        <v>35.709090909090904</v>
      </c>
      <c r="CO36" s="239">
        <v>0</v>
      </c>
      <c r="CP36" s="239">
        <v>395</v>
      </c>
      <c r="CQ36" s="239">
        <v>264</v>
      </c>
      <c r="CR36" s="239">
        <v>0</v>
      </c>
      <c r="CS36" s="239">
        <v>-341</v>
      </c>
      <c r="CT36" s="239">
        <v>-228</v>
      </c>
      <c r="CU36" s="239">
        <v>0</v>
      </c>
      <c r="CV36" s="239">
        <v>517274.74214876036</v>
      </c>
      <c r="CW36" s="239">
        <v>344849.82809917355</v>
      </c>
      <c r="CX36" s="239">
        <v>0</v>
      </c>
      <c r="CY36" s="239">
        <v>512857</v>
      </c>
      <c r="CZ36" s="239">
        <v>341904</v>
      </c>
      <c r="DA36" s="239">
        <v>0</v>
      </c>
      <c r="DB36" s="239">
        <v>4418</v>
      </c>
      <c r="DC36" s="239">
        <v>2946</v>
      </c>
      <c r="DD36" s="239">
        <v>0</v>
      </c>
      <c r="DE36" s="641">
        <v>0.5</v>
      </c>
      <c r="DF36" s="641">
        <v>0.3</v>
      </c>
      <c r="DG36" s="641">
        <v>0.2</v>
      </c>
      <c r="DH36" s="641">
        <v>0</v>
      </c>
      <c r="DI36" s="214" t="s">
        <v>1191</v>
      </c>
    </row>
    <row r="37" spans="1:113" s="214" customFormat="1" x14ac:dyDescent="0.2">
      <c r="B37" s="609" t="s">
        <v>156</v>
      </c>
      <c r="C37" s="609" t="s">
        <v>155</v>
      </c>
      <c r="D37" s="239">
        <v>31816</v>
      </c>
      <c r="E37" s="239">
        <v>0</v>
      </c>
      <c r="F37" s="239">
        <v>31816</v>
      </c>
      <c r="G37" s="239">
        <v>0</v>
      </c>
      <c r="H37" s="239">
        <v>0</v>
      </c>
      <c r="I37" s="239">
        <v>0</v>
      </c>
      <c r="J37" s="239">
        <v>31816</v>
      </c>
      <c r="K37" s="239">
        <v>0</v>
      </c>
      <c r="L37" s="239">
        <v>31816</v>
      </c>
      <c r="M37" s="239">
        <v>107735</v>
      </c>
      <c r="N37" s="239">
        <v>107735</v>
      </c>
      <c r="O37" s="239">
        <v>0</v>
      </c>
      <c r="P37" s="239">
        <v>0</v>
      </c>
      <c r="Q37" s="239">
        <v>0</v>
      </c>
      <c r="R37" s="239">
        <v>0</v>
      </c>
      <c r="S37" s="239">
        <v>0</v>
      </c>
      <c r="T37" s="239">
        <v>0</v>
      </c>
      <c r="U37" s="239">
        <v>0</v>
      </c>
      <c r="V37" s="239">
        <v>0</v>
      </c>
      <c r="W37" s="239">
        <v>0</v>
      </c>
      <c r="X37" s="239">
        <v>0</v>
      </c>
      <c r="Y37" s="239">
        <v>0</v>
      </c>
      <c r="Z37" s="239">
        <v>0</v>
      </c>
      <c r="AA37" s="239">
        <v>0</v>
      </c>
      <c r="AB37" s="239">
        <v>0</v>
      </c>
      <c r="AC37" s="239">
        <v>0</v>
      </c>
      <c r="AD37" s="239">
        <v>0</v>
      </c>
      <c r="AE37" s="239">
        <v>0</v>
      </c>
      <c r="AF37" s="239">
        <v>0</v>
      </c>
      <c r="AG37" s="239">
        <v>0</v>
      </c>
      <c r="AH37" s="239">
        <v>0</v>
      </c>
      <c r="AI37" s="239">
        <v>0</v>
      </c>
      <c r="AJ37" s="239">
        <v>0</v>
      </c>
      <c r="AK37" s="239">
        <v>266329.15330578515</v>
      </c>
      <c r="AL37" s="239">
        <v>59924.059493801658</v>
      </c>
      <c r="AM37" s="239">
        <v>6658.2288326446287</v>
      </c>
      <c r="AN37" s="239">
        <v>243471</v>
      </c>
      <c r="AO37" s="239">
        <v>54781</v>
      </c>
      <c r="AP37" s="239">
        <v>6087</v>
      </c>
      <c r="AQ37" s="239">
        <v>22858</v>
      </c>
      <c r="AR37" s="239">
        <v>5143</v>
      </c>
      <c r="AS37" s="239">
        <v>571</v>
      </c>
      <c r="AT37" s="239">
        <v>0</v>
      </c>
      <c r="AU37" s="239">
        <v>0</v>
      </c>
      <c r="AV37" s="239">
        <v>0</v>
      </c>
      <c r="AW37" s="239">
        <v>0</v>
      </c>
      <c r="AX37" s="239">
        <v>0</v>
      </c>
      <c r="AY37" s="239">
        <v>0</v>
      </c>
      <c r="AZ37" s="239">
        <v>0</v>
      </c>
      <c r="BA37" s="239">
        <v>0</v>
      </c>
      <c r="BB37" s="239">
        <v>0</v>
      </c>
      <c r="BC37" s="239">
        <v>0</v>
      </c>
      <c r="BD37" s="239">
        <v>0</v>
      </c>
      <c r="BE37" s="239">
        <v>0</v>
      </c>
      <c r="BF37" s="239">
        <v>0</v>
      </c>
      <c r="BG37" s="239">
        <v>0</v>
      </c>
      <c r="BH37" s="239">
        <v>0</v>
      </c>
      <c r="BI37" s="239">
        <v>0</v>
      </c>
      <c r="BJ37" s="239">
        <v>0</v>
      </c>
      <c r="BK37" s="239">
        <v>0</v>
      </c>
      <c r="BL37" s="239">
        <v>0</v>
      </c>
      <c r="BM37" s="239">
        <v>0</v>
      </c>
      <c r="BN37" s="239">
        <v>0</v>
      </c>
      <c r="BO37" s="239">
        <v>7304</v>
      </c>
      <c r="BP37" s="239">
        <v>1643</v>
      </c>
      <c r="BQ37" s="239">
        <v>183</v>
      </c>
      <c r="BR37" s="239">
        <v>-7304</v>
      </c>
      <c r="BS37" s="239">
        <v>-1643</v>
      </c>
      <c r="BT37" s="239">
        <v>-183</v>
      </c>
      <c r="BU37" s="239">
        <v>2963.4487603305788</v>
      </c>
      <c r="BV37" s="239">
        <v>666.7759710743801</v>
      </c>
      <c r="BW37" s="239">
        <v>74.086219008264464</v>
      </c>
      <c r="BX37" s="239">
        <v>0</v>
      </c>
      <c r="BY37" s="239">
        <v>0</v>
      </c>
      <c r="BZ37" s="239">
        <v>0</v>
      </c>
      <c r="CA37" s="239">
        <v>2963</v>
      </c>
      <c r="CB37" s="239">
        <v>667</v>
      </c>
      <c r="CC37" s="239">
        <v>74</v>
      </c>
      <c r="CD37" s="239">
        <v>0</v>
      </c>
      <c r="CE37" s="239">
        <v>0</v>
      </c>
      <c r="CF37" s="239">
        <v>0</v>
      </c>
      <c r="CG37" s="239">
        <v>0</v>
      </c>
      <c r="CH37" s="239">
        <v>0</v>
      </c>
      <c r="CI37" s="239">
        <v>0</v>
      </c>
      <c r="CJ37" s="239">
        <v>0</v>
      </c>
      <c r="CK37" s="239">
        <v>0</v>
      </c>
      <c r="CL37" s="239">
        <v>0</v>
      </c>
      <c r="CM37" s="239">
        <v>736.90578512396701</v>
      </c>
      <c r="CN37" s="239">
        <v>165.80380165289256</v>
      </c>
      <c r="CO37" s="239">
        <v>18.422644628099174</v>
      </c>
      <c r="CP37" s="239">
        <v>1623</v>
      </c>
      <c r="CQ37" s="239">
        <v>365</v>
      </c>
      <c r="CR37" s="239">
        <v>41</v>
      </c>
      <c r="CS37" s="239">
        <v>-886</v>
      </c>
      <c r="CT37" s="239">
        <v>-199</v>
      </c>
      <c r="CU37" s="239">
        <v>-23</v>
      </c>
      <c r="CV37" s="239">
        <v>176081.56942148763</v>
      </c>
      <c r="CW37" s="239">
        <v>39618.353119834712</v>
      </c>
      <c r="CX37" s="239">
        <v>4402.0392355371905</v>
      </c>
      <c r="CY37" s="239">
        <v>174616</v>
      </c>
      <c r="CZ37" s="239">
        <v>39289</v>
      </c>
      <c r="DA37" s="239">
        <v>4365</v>
      </c>
      <c r="DB37" s="239">
        <v>1466</v>
      </c>
      <c r="DC37" s="239">
        <v>329</v>
      </c>
      <c r="DD37" s="239">
        <v>37</v>
      </c>
      <c r="DE37" s="641">
        <v>0.5</v>
      </c>
      <c r="DF37" s="641">
        <v>0.4</v>
      </c>
      <c r="DG37" s="641">
        <v>0.09</v>
      </c>
      <c r="DH37" s="641">
        <v>0.01</v>
      </c>
      <c r="DI37" s="214" t="s">
        <v>1190</v>
      </c>
    </row>
    <row r="38" spans="1:113" s="214" customFormat="1" x14ac:dyDescent="0.2">
      <c r="B38" s="609" t="s">
        <v>158</v>
      </c>
      <c r="C38" s="609" t="s">
        <v>157</v>
      </c>
      <c r="D38" s="239">
        <v>-187218</v>
      </c>
      <c r="E38" s="239">
        <v>0</v>
      </c>
      <c r="F38" s="239">
        <v>-187218</v>
      </c>
      <c r="G38" s="239">
        <v>0</v>
      </c>
      <c r="H38" s="239">
        <v>0</v>
      </c>
      <c r="I38" s="239">
        <v>0</v>
      </c>
      <c r="J38" s="239">
        <v>-187218</v>
      </c>
      <c r="K38" s="239">
        <v>0</v>
      </c>
      <c r="L38" s="239">
        <v>-187218</v>
      </c>
      <c r="M38" s="239">
        <v>423529</v>
      </c>
      <c r="N38" s="239">
        <v>423529</v>
      </c>
      <c r="O38" s="239">
        <v>0</v>
      </c>
      <c r="P38" s="239">
        <v>0</v>
      </c>
      <c r="Q38" s="239">
        <v>0</v>
      </c>
      <c r="R38" s="239">
        <v>0</v>
      </c>
      <c r="S38" s="239">
        <v>0</v>
      </c>
      <c r="T38" s="239">
        <v>0</v>
      </c>
      <c r="U38" s="239">
        <v>0</v>
      </c>
      <c r="V38" s="239">
        <v>0</v>
      </c>
      <c r="W38" s="239">
        <v>0</v>
      </c>
      <c r="X38" s="239">
        <v>0</v>
      </c>
      <c r="Y38" s="239">
        <v>0</v>
      </c>
      <c r="Z38" s="239">
        <v>0</v>
      </c>
      <c r="AA38" s="239">
        <v>0</v>
      </c>
      <c r="AB38" s="239">
        <v>0</v>
      </c>
      <c r="AC38" s="239">
        <v>0</v>
      </c>
      <c r="AD38" s="239">
        <v>0</v>
      </c>
      <c r="AE38" s="239">
        <v>0</v>
      </c>
      <c r="AF38" s="239">
        <v>0</v>
      </c>
      <c r="AG38" s="239">
        <v>0</v>
      </c>
      <c r="AH38" s="239">
        <v>0</v>
      </c>
      <c r="AI38" s="239">
        <v>0</v>
      </c>
      <c r="AJ38" s="239">
        <v>0</v>
      </c>
      <c r="AK38" s="239">
        <v>1741266.645392562</v>
      </c>
      <c r="AL38" s="239">
        <v>0</v>
      </c>
      <c r="AM38" s="239">
        <v>35536.053987603307</v>
      </c>
      <c r="AN38" s="239">
        <v>1662753</v>
      </c>
      <c r="AO38" s="239">
        <v>0</v>
      </c>
      <c r="AP38" s="239">
        <v>33934</v>
      </c>
      <c r="AQ38" s="239">
        <v>78514</v>
      </c>
      <c r="AR38" s="239">
        <v>0</v>
      </c>
      <c r="AS38" s="239">
        <v>1602</v>
      </c>
      <c r="AT38" s="239">
        <v>17136.072458677685</v>
      </c>
      <c r="AU38" s="239">
        <v>0</v>
      </c>
      <c r="AV38" s="239">
        <v>349.71576446280994</v>
      </c>
      <c r="AW38" s="239">
        <v>15732</v>
      </c>
      <c r="AX38" s="239">
        <v>0</v>
      </c>
      <c r="AY38" s="239">
        <v>321</v>
      </c>
      <c r="AZ38" s="239">
        <v>1404</v>
      </c>
      <c r="BA38" s="239">
        <v>0</v>
      </c>
      <c r="BB38" s="239">
        <v>29</v>
      </c>
      <c r="BC38" s="239">
        <v>-18145.158615702479</v>
      </c>
      <c r="BD38" s="239">
        <v>0</v>
      </c>
      <c r="BE38" s="239">
        <v>-370.30935950413232</v>
      </c>
      <c r="BF38" s="239">
        <v>4445</v>
      </c>
      <c r="BG38" s="239">
        <v>0</v>
      </c>
      <c r="BH38" s="239">
        <v>91</v>
      </c>
      <c r="BI38" s="239">
        <v>-22590</v>
      </c>
      <c r="BJ38" s="239">
        <v>0</v>
      </c>
      <c r="BK38" s="239">
        <v>-461</v>
      </c>
      <c r="BL38" s="239">
        <v>90844.09973140496</v>
      </c>
      <c r="BM38" s="239">
        <v>0</v>
      </c>
      <c r="BN38" s="239">
        <v>1853.9612190082646</v>
      </c>
      <c r="BO38" s="239">
        <v>64261</v>
      </c>
      <c r="BP38" s="239">
        <v>0</v>
      </c>
      <c r="BQ38" s="239">
        <v>1311</v>
      </c>
      <c r="BR38" s="239">
        <v>26583</v>
      </c>
      <c r="BS38" s="239">
        <v>0</v>
      </c>
      <c r="BT38" s="239">
        <v>543</v>
      </c>
      <c r="BU38" s="239">
        <v>-9627.079607438016</v>
      </c>
      <c r="BV38" s="239">
        <v>0</v>
      </c>
      <c r="BW38" s="239">
        <v>-196.47101239669422</v>
      </c>
      <c r="BX38" s="239">
        <v>0</v>
      </c>
      <c r="BY38" s="239">
        <v>0</v>
      </c>
      <c r="BZ38" s="239">
        <v>0</v>
      </c>
      <c r="CA38" s="239">
        <v>-9627</v>
      </c>
      <c r="CB38" s="239">
        <v>0</v>
      </c>
      <c r="CC38" s="239">
        <v>-196</v>
      </c>
      <c r="CD38" s="239">
        <v>-376.79177685950413</v>
      </c>
      <c r="CE38" s="239">
        <v>0</v>
      </c>
      <c r="CF38" s="239">
        <v>-7.6896280991735537</v>
      </c>
      <c r="CG38" s="239">
        <v>0</v>
      </c>
      <c r="CH38" s="239">
        <v>0</v>
      </c>
      <c r="CI38" s="239">
        <v>0</v>
      </c>
      <c r="CJ38" s="239">
        <v>-377</v>
      </c>
      <c r="CK38" s="239">
        <v>0</v>
      </c>
      <c r="CL38" s="239">
        <v>-8</v>
      </c>
      <c r="CM38" s="239">
        <v>3089.8914049586774</v>
      </c>
      <c r="CN38" s="239">
        <v>0</v>
      </c>
      <c r="CO38" s="239">
        <v>63.059008264462811</v>
      </c>
      <c r="CP38" s="239">
        <v>549</v>
      </c>
      <c r="CQ38" s="239">
        <v>0</v>
      </c>
      <c r="CR38" s="239">
        <v>11</v>
      </c>
      <c r="CS38" s="239">
        <v>2541</v>
      </c>
      <c r="CT38" s="239">
        <v>0</v>
      </c>
      <c r="CU38" s="239">
        <v>52</v>
      </c>
      <c r="CV38" s="239">
        <v>764662.40107438015</v>
      </c>
      <c r="CW38" s="239">
        <v>0</v>
      </c>
      <c r="CX38" s="239">
        <v>15605.355123966943</v>
      </c>
      <c r="CY38" s="239">
        <v>780005</v>
      </c>
      <c r="CZ38" s="239">
        <v>0</v>
      </c>
      <c r="DA38" s="239">
        <v>15918</v>
      </c>
      <c r="DB38" s="239">
        <v>-15343</v>
      </c>
      <c r="DC38" s="239">
        <v>0</v>
      </c>
      <c r="DD38" s="239">
        <v>-313</v>
      </c>
      <c r="DE38" s="641">
        <v>0.5</v>
      </c>
      <c r="DF38" s="641">
        <v>0.49</v>
      </c>
      <c r="DG38" s="641">
        <v>0</v>
      </c>
      <c r="DH38" s="641">
        <v>0.01</v>
      </c>
      <c r="DI38" s="214" t="s">
        <v>747</v>
      </c>
    </row>
    <row r="39" spans="1:113" s="214" customFormat="1" x14ac:dyDescent="0.2">
      <c r="B39" s="609" t="s">
        <v>160</v>
      </c>
      <c r="C39" s="609" t="s">
        <v>159</v>
      </c>
      <c r="D39" s="239">
        <v>-6520235</v>
      </c>
      <c r="E39" s="239">
        <v>-25570</v>
      </c>
      <c r="F39" s="239">
        <v>-6545805</v>
      </c>
      <c r="G39" s="239">
        <v>0</v>
      </c>
      <c r="H39" s="239">
        <v>0</v>
      </c>
      <c r="I39" s="239">
        <v>0</v>
      </c>
      <c r="J39" s="239">
        <v>-6520235</v>
      </c>
      <c r="K39" s="239">
        <v>-25570</v>
      </c>
      <c r="L39" s="239">
        <v>-6545805</v>
      </c>
      <c r="M39" s="239">
        <v>721633</v>
      </c>
      <c r="N39" s="239">
        <v>721633</v>
      </c>
      <c r="O39" s="239">
        <v>0</v>
      </c>
      <c r="P39" s="239">
        <v>4100911</v>
      </c>
      <c r="Q39" s="239">
        <v>5812469</v>
      </c>
      <c r="R39" s="239">
        <v>-1711558</v>
      </c>
      <c r="S39" s="239">
        <v>489167</v>
      </c>
      <c r="T39" s="239">
        <v>0</v>
      </c>
      <c r="U39" s="239">
        <v>266</v>
      </c>
      <c r="V39" s="239">
        <v>0</v>
      </c>
      <c r="W39" s="239">
        <v>488901</v>
      </c>
      <c r="X39" s="239">
        <v>0</v>
      </c>
      <c r="Y39" s="239">
        <v>1224358.2086776861</v>
      </c>
      <c r="Z39" s="239">
        <v>1224358.2086776861</v>
      </c>
      <c r="AA39" s="239">
        <v>0</v>
      </c>
      <c r="AB39" s="239">
        <v>0</v>
      </c>
      <c r="AC39" s="239">
        <v>551025</v>
      </c>
      <c r="AD39" s="239">
        <v>551025</v>
      </c>
      <c r="AE39" s="239">
        <v>0</v>
      </c>
      <c r="AF39" s="239">
        <v>0</v>
      </c>
      <c r="AG39" s="239">
        <v>673333</v>
      </c>
      <c r="AH39" s="239">
        <v>673333</v>
      </c>
      <c r="AI39" s="239">
        <v>0</v>
      </c>
      <c r="AJ39" s="239">
        <v>0</v>
      </c>
      <c r="AK39" s="239">
        <v>2359959.8436880163</v>
      </c>
      <c r="AL39" s="239">
        <v>0</v>
      </c>
      <c r="AM39" s="239">
        <v>47022.334514462811</v>
      </c>
      <c r="AN39" s="239">
        <v>2160110</v>
      </c>
      <c r="AO39" s="239">
        <v>0</v>
      </c>
      <c r="AP39" s="239">
        <v>43110</v>
      </c>
      <c r="AQ39" s="239">
        <v>199850</v>
      </c>
      <c r="AR39" s="239">
        <v>0</v>
      </c>
      <c r="AS39" s="239">
        <v>3912</v>
      </c>
      <c r="AT39" s="239">
        <v>28816.120454545453</v>
      </c>
      <c r="AU39" s="239">
        <v>0</v>
      </c>
      <c r="AV39" s="239">
        <v>588.08409090909095</v>
      </c>
      <c r="AW39" s="239">
        <v>32284</v>
      </c>
      <c r="AX39" s="239">
        <v>0</v>
      </c>
      <c r="AY39" s="239">
        <v>659</v>
      </c>
      <c r="AZ39" s="239">
        <v>-3468</v>
      </c>
      <c r="BA39" s="239">
        <v>0</v>
      </c>
      <c r="BB39" s="239">
        <v>-71</v>
      </c>
      <c r="BC39" s="239">
        <v>0</v>
      </c>
      <c r="BD39" s="239">
        <v>0</v>
      </c>
      <c r="BE39" s="239">
        <v>0</v>
      </c>
      <c r="BF39" s="239">
        <v>0</v>
      </c>
      <c r="BG39" s="239">
        <v>0</v>
      </c>
      <c r="BH39" s="239">
        <v>0</v>
      </c>
      <c r="BI39" s="239">
        <v>0</v>
      </c>
      <c r="BJ39" s="239">
        <v>0</v>
      </c>
      <c r="BK39" s="239">
        <v>0</v>
      </c>
      <c r="BL39" s="239">
        <v>61692.942789256194</v>
      </c>
      <c r="BM39" s="239">
        <v>0</v>
      </c>
      <c r="BN39" s="239">
        <v>1259.0396487603307</v>
      </c>
      <c r="BO39" s="239">
        <v>80076</v>
      </c>
      <c r="BP39" s="239">
        <v>0</v>
      </c>
      <c r="BQ39" s="239">
        <v>1634</v>
      </c>
      <c r="BR39" s="239">
        <v>-18383</v>
      </c>
      <c r="BS39" s="239">
        <v>0</v>
      </c>
      <c r="BT39" s="239">
        <v>-375</v>
      </c>
      <c r="BU39" s="239">
        <v>37985.159958677687</v>
      </c>
      <c r="BV39" s="239">
        <v>0</v>
      </c>
      <c r="BW39" s="239">
        <v>794.70987603305787</v>
      </c>
      <c r="BX39" s="239">
        <v>0</v>
      </c>
      <c r="BY39" s="239">
        <v>0</v>
      </c>
      <c r="BZ39" s="239">
        <v>0</v>
      </c>
      <c r="CA39" s="239">
        <v>37985</v>
      </c>
      <c r="CB39" s="239">
        <v>0</v>
      </c>
      <c r="CC39" s="239">
        <v>795</v>
      </c>
      <c r="CD39" s="239">
        <v>0</v>
      </c>
      <c r="CE39" s="239">
        <v>0</v>
      </c>
      <c r="CF39" s="239">
        <v>0</v>
      </c>
      <c r="CG39" s="239">
        <v>0</v>
      </c>
      <c r="CH39" s="239">
        <v>0</v>
      </c>
      <c r="CI39" s="239">
        <v>0</v>
      </c>
      <c r="CJ39" s="239">
        <v>0</v>
      </c>
      <c r="CK39" s="239">
        <v>0</v>
      </c>
      <c r="CL39" s="239">
        <v>0</v>
      </c>
      <c r="CM39" s="239">
        <v>5943.2100826446285</v>
      </c>
      <c r="CN39" s="239">
        <v>0</v>
      </c>
      <c r="CO39" s="239">
        <v>126.3209090909091</v>
      </c>
      <c r="CP39" s="239">
        <v>15386</v>
      </c>
      <c r="CQ39" s="239">
        <v>0</v>
      </c>
      <c r="CR39" s="239">
        <v>314</v>
      </c>
      <c r="CS39" s="239">
        <v>-9443</v>
      </c>
      <c r="CT39" s="239">
        <v>0</v>
      </c>
      <c r="CU39" s="239">
        <v>-188</v>
      </c>
      <c r="CV39" s="239">
        <v>1465517.9870661157</v>
      </c>
      <c r="CW39" s="239">
        <v>0</v>
      </c>
      <c r="CX39" s="239">
        <v>28553.725743801653</v>
      </c>
      <c r="CY39" s="239">
        <v>1624719</v>
      </c>
      <c r="CZ39" s="239">
        <v>0</v>
      </c>
      <c r="DA39" s="239">
        <v>31279</v>
      </c>
      <c r="DB39" s="239">
        <v>-159201</v>
      </c>
      <c r="DC39" s="239">
        <v>0</v>
      </c>
      <c r="DD39" s="239">
        <v>-2725</v>
      </c>
      <c r="DE39" s="641">
        <v>0.5</v>
      </c>
      <c r="DF39" s="641">
        <v>0.49</v>
      </c>
      <c r="DG39" s="641">
        <v>0</v>
      </c>
      <c r="DH39" s="641">
        <v>0.01</v>
      </c>
      <c r="DI39" s="214" t="s">
        <v>747</v>
      </c>
    </row>
    <row r="40" spans="1:113" s="214" customFormat="1" x14ac:dyDescent="0.2">
      <c r="B40" s="609" t="s">
        <v>162</v>
      </c>
      <c r="C40" s="609" t="s">
        <v>161</v>
      </c>
      <c r="D40" s="239">
        <v>-72473</v>
      </c>
      <c r="E40" s="239">
        <v>0</v>
      </c>
      <c r="F40" s="239">
        <v>-72473</v>
      </c>
      <c r="G40" s="239">
        <v>0</v>
      </c>
      <c r="H40" s="239">
        <v>0</v>
      </c>
      <c r="I40" s="239">
        <v>0</v>
      </c>
      <c r="J40" s="239">
        <v>-72473</v>
      </c>
      <c r="K40" s="239">
        <v>0</v>
      </c>
      <c r="L40" s="239">
        <v>-72473</v>
      </c>
      <c r="M40" s="239">
        <v>138684</v>
      </c>
      <c r="N40" s="239">
        <v>138684</v>
      </c>
      <c r="O40" s="239">
        <v>0</v>
      </c>
      <c r="P40" s="239">
        <v>0</v>
      </c>
      <c r="Q40" s="239">
        <v>0</v>
      </c>
      <c r="R40" s="239">
        <v>0</v>
      </c>
      <c r="S40" s="239">
        <v>168099</v>
      </c>
      <c r="T40" s="239">
        <v>0</v>
      </c>
      <c r="U40" s="239">
        <v>126984</v>
      </c>
      <c r="V40" s="239">
        <v>0</v>
      </c>
      <c r="W40" s="239">
        <v>41115</v>
      </c>
      <c r="X40" s="239">
        <v>0</v>
      </c>
      <c r="Y40" s="239">
        <v>0</v>
      </c>
      <c r="Z40" s="239">
        <v>0</v>
      </c>
      <c r="AA40" s="239">
        <v>0</v>
      </c>
      <c r="AB40" s="239">
        <v>0</v>
      </c>
      <c r="AC40" s="239">
        <v>0</v>
      </c>
      <c r="AD40" s="239">
        <v>0</v>
      </c>
      <c r="AE40" s="239">
        <v>0</v>
      </c>
      <c r="AF40" s="239">
        <v>0</v>
      </c>
      <c r="AG40" s="239">
        <v>0</v>
      </c>
      <c r="AH40" s="239">
        <v>0</v>
      </c>
      <c r="AI40" s="239">
        <v>0</v>
      </c>
      <c r="AJ40" s="239">
        <v>0</v>
      </c>
      <c r="AK40" s="239">
        <v>580419.62148760329</v>
      </c>
      <c r="AL40" s="239">
        <v>145104.90537190082</v>
      </c>
      <c r="AM40" s="239">
        <v>0</v>
      </c>
      <c r="AN40" s="239">
        <v>549230</v>
      </c>
      <c r="AO40" s="239">
        <v>137308</v>
      </c>
      <c r="AP40" s="239">
        <v>0</v>
      </c>
      <c r="AQ40" s="239">
        <v>31190</v>
      </c>
      <c r="AR40" s="239">
        <v>7797</v>
      </c>
      <c r="AS40" s="239">
        <v>0</v>
      </c>
      <c r="AT40" s="239">
        <v>2180.6892561983473</v>
      </c>
      <c r="AU40" s="239">
        <v>545.17231404958682</v>
      </c>
      <c r="AV40" s="239">
        <v>0</v>
      </c>
      <c r="AW40" s="239">
        <v>654</v>
      </c>
      <c r="AX40" s="239">
        <v>164</v>
      </c>
      <c r="AY40" s="239">
        <v>0</v>
      </c>
      <c r="AZ40" s="239">
        <v>1527</v>
      </c>
      <c r="BA40" s="239">
        <v>381</v>
      </c>
      <c r="BB40" s="239">
        <v>0</v>
      </c>
      <c r="BC40" s="239">
        <v>-98.2</v>
      </c>
      <c r="BD40" s="239">
        <v>-24.55</v>
      </c>
      <c r="BE40" s="239">
        <v>0</v>
      </c>
      <c r="BF40" s="239">
        <v>1170</v>
      </c>
      <c r="BG40" s="239">
        <v>292</v>
      </c>
      <c r="BH40" s="239">
        <v>0</v>
      </c>
      <c r="BI40" s="239">
        <v>-1268</v>
      </c>
      <c r="BJ40" s="239">
        <v>-317</v>
      </c>
      <c r="BK40" s="239">
        <v>0</v>
      </c>
      <c r="BL40" s="239">
        <v>0</v>
      </c>
      <c r="BM40" s="239">
        <v>0</v>
      </c>
      <c r="BN40" s="239">
        <v>0</v>
      </c>
      <c r="BO40" s="239">
        <v>811</v>
      </c>
      <c r="BP40" s="239">
        <v>203</v>
      </c>
      <c r="BQ40" s="239">
        <v>0</v>
      </c>
      <c r="BR40" s="239">
        <v>-811</v>
      </c>
      <c r="BS40" s="239">
        <v>-203</v>
      </c>
      <c r="BT40" s="239">
        <v>0</v>
      </c>
      <c r="BU40" s="239">
        <v>-2023.6504132231407</v>
      </c>
      <c r="BV40" s="239">
        <v>-505.91260330578518</v>
      </c>
      <c r="BW40" s="239">
        <v>0</v>
      </c>
      <c r="BX40" s="239">
        <v>0</v>
      </c>
      <c r="BY40" s="239">
        <v>0</v>
      </c>
      <c r="BZ40" s="239">
        <v>0</v>
      </c>
      <c r="CA40" s="239">
        <v>-2024</v>
      </c>
      <c r="CB40" s="239">
        <v>-506</v>
      </c>
      <c r="CC40" s="239">
        <v>0</v>
      </c>
      <c r="CD40" s="239">
        <v>0</v>
      </c>
      <c r="CE40" s="239">
        <v>0</v>
      </c>
      <c r="CF40" s="239">
        <v>0</v>
      </c>
      <c r="CG40" s="239">
        <v>0</v>
      </c>
      <c r="CH40" s="239">
        <v>0</v>
      </c>
      <c r="CI40" s="239">
        <v>0</v>
      </c>
      <c r="CJ40" s="239">
        <v>0</v>
      </c>
      <c r="CK40" s="239">
        <v>0</v>
      </c>
      <c r="CL40" s="239">
        <v>0</v>
      </c>
      <c r="CM40" s="239">
        <v>1091.5619834710744</v>
      </c>
      <c r="CN40" s="239">
        <v>272.89049586776861</v>
      </c>
      <c r="CO40" s="239">
        <v>0</v>
      </c>
      <c r="CP40" s="239">
        <v>1416</v>
      </c>
      <c r="CQ40" s="239">
        <v>354</v>
      </c>
      <c r="CR40" s="239">
        <v>0</v>
      </c>
      <c r="CS40" s="239">
        <v>-324</v>
      </c>
      <c r="CT40" s="239">
        <v>-81</v>
      </c>
      <c r="CU40" s="239">
        <v>0</v>
      </c>
      <c r="CV40" s="239">
        <v>177295.88719008266</v>
      </c>
      <c r="CW40" s="239">
        <v>43716.175826446284</v>
      </c>
      <c r="CX40" s="239">
        <v>0</v>
      </c>
      <c r="CY40" s="239">
        <v>175111</v>
      </c>
      <c r="CZ40" s="239">
        <v>43319</v>
      </c>
      <c r="DA40" s="239">
        <v>0</v>
      </c>
      <c r="DB40" s="239">
        <v>2185</v>
      </c>
      <c r="DC40" s="239">
        <v>397</v>
      </c>
      <c r="DD40" s="239">
        <v>0</v>
      </c>
      <c r="DE40" s="641">
        <v>0.5</v>
      </c>
      <c r="DF40" s="641">
        <v>0.4</v>
      </c>
      <c r="DG40" s="641">
        <v>0.1</v>
      </c>
      <c r="DH40" s="641">
        <v>0</v>
      </c>
      <c r="DI40" s="214" t="s">
        <v>1190</v>
      </c>
    </row>
    <row r="41" spans="1:113" s="214" customFormat="1" x14ac:dyDescent="0.2">
      <c r="B41" s="609" t="s">
        <v>164</v>
      </c>
      <c r="C41" s="609" t="s">
        <v>163</v>
      </c>
      <c r="D41" s="239">
        <v>-25833</v>
      </c>
      <c r="E41" s="239">
        <v>0</v>
      </c>
      <c r="F41" s="239">
        <v>-25833</v>
      </c>
      <c r="G41" s="239">
        <v>0</v>
      </c>
      <c r="H41" s="239">
        <v>0</v>
      </c>
      <c r="I41" s="239">
        <v>0</v>
      </c>
      <c r="J41" s="239">
        <v>-25833</v>
      </c>
      <c r="K41" s="239">
        <v>0</v>
      </c>
      <c r="L41" s="239">
        <v>-25833</v>
      </c>
      <c r="M41" s="239">
        <v>336932</v>
      </c>
      <c r="N41" s="239">
        <v>336932</v>
      </c>
      <c r="O41" s="239">
        <v>0</v>
      </c>
      <c r="P41" s="239">
        <v>0</v>
      </c>
      <c r="Q41" s="239">
        <v>0</v>
      </c>
      <c r="R41" s="239">
        <v>0</v>
      </c>
      <c r="S41" s="239">
        <v>0</v>
      </c>
      <c r="T41" s="239">
        <v>0</v>
      </c>
      <c r="U41" s="239">
        <v>0</v>
      </c>
      <c r="V41" s="239">
        <v>0</v>
      </c>
      <c r="W41" s="239">
        <v>0</v>
      </c>
      <c r="X41" s="239">
        <v>0</v>
      </c>
      <c r="Y41" s="239">
        <v>0</v>
      </c>
      <c r="Z41" s="239">
        <v>0</v>
      </c>
      <c r="AA41" s="239">
        <v>0</v>
      </c>
      <c r="AB41" s="239">
        <v>0</v>
      </c>
      <c r="AC41" s="239">
        <v>0</v>
      </c>
      <c r="AD41" s="239">
        <v>0</v>
      </c>
      <c r="AE41" s="239">
        <v>0</v>
      </c>
      <c r="AF41" s="239">
        <v>0</v>
      </c>
      <c r="AG41" s="239">
        <v>0</v>
      </c>
      <c r="AH41" s="239">
        <v>0</v>
      </c>
      <c r="AI41" s="239">
        <v>0</v>
      </c>
      <c r="AJ41" s="239">
        <v>0</v>
      </c>
      <c r="AK41" s="239">
        <v>736457.08822314045</v>
      </c>
      <c r="AL41" s="239">
        <v>490971.39214876032</v>
      </c>
      <c r="AM41" s="239">
        <v>0</v>
      </c>
      <c r="AN41" s="239">
        <v>684407</v>
      </c>
      <c r="AO41" s="239">
        <v>456271</v>
      </c>
      <c r="AP41" s="239">
        <v>0</v>
      </c>
      <c r="AQ41" s="239">
        <v>52050</v>
      </c>
      <c r="AR41" s="239">
        <v>34700</v>
      </c>
      <c r="AS41" s="239">
        <v>0</v>
      </c>
      <c r="AT41" s="239">
        <v>0</v>
      </c>
      <c r="AU41" s="239">
        <v>0</v>
      </c>
      <c r="AV41" s="239">
        <v>0</v>
      </c>
      <c r="AW41" s="239">
        <v>0</v>
      </c>
      <c r="AX41" s="239">
        <v>0</v>
      </c>
      <c r="AY41" s="239">
        <v>0</v>
      </c>
      <c r="AZ41" s="239">
        <v>0</v>
      </c>
      <c r="BA41" s="239">
        <v>0</v>
      </c>
      <c r="BB41" s="239">
        <v>0</v>
      </c>
      <c r="BC41" s="239">
        <v>0</v>
      </c>
      <c r="BD41" s="239">
        <v>0</v>
      </c>
      <c r="BE41" s="239">
        <v>0</v>
      </c>
      <c r="BF41" s="239">
        <v>0</v>
      </c>
      <c r="BG41" s="239">
        <v>0</v>
      </c>
      <c r="BH41" s="239">
        <v>0</v>
      </c>
      <c r="BI41" s="239">
        <v>0</v>
      </c>
      <c r="BJ41" s="239">
        <v>0</v>
      </c>
      <c r="BK41" s="239">
        <v>0</v>
      </c>
      <c r="BL41" s="239">
        <v>24361.107024793389</v>
      </c>
      <c r="BM41" s="239">
        <v>16240.738016528925</v>
      </c>
      <c r="BN41" s="239">
        <v>0</v>
      </c>
      <c r="BO41" s="239">
        <v>7562</v>
      </c>
      <c r="BP41" s="239">
        <v>5042</v>
      </c>
      <c r="BQ41" s="239">
        <v>0</v>
      </c>
      <c r="BR41" s="239">
        <v>16799</v>
      </c>
      <c r="BS41" s="239">
        <v>11199</v>
      </c>
      <c r="BT41" s="239">
        <v>0</v>
      </c>
      <c r="BU41" s="239">
        <v>-446.16074380165287</v>
      </c>
      <c r="BV41" s="239">
        <v>-297.44049586776862</v>
      </c>
      <c r="BW41" s="239">
        <v>0</v>
      </c>
      <c r="BX41" s="239">
        <v>0</v>
      </c>
      <c r="BY41" s="239">
        <v>0</v>
      </c>
      <c r="BZ41" s="239">
        <v>0</v>
      </c>
      <c r="CA41" s="239">
        <v>-446</v>
      </c>
      <c r="CB41" s="239">
        <v>-297</v>
      </c>
      <c r="CC41" s="239">
        <v>0</v>
      </c>
      <c r="CD41" s="239">
        <v>0</v>
      </c>
      <c r="CE41" s="239">
        <v>0</v>
      </c>
      <c r="CF41" s="239">
        <v>0</v>
      </c>
      <c r="CG41" s="239">
        <v>0</v>
      </c>
      <c r="CH41" s="239">
        <v>0</v>
      </c>
      <c r="CI41" s="239">
        <v>0</v>
      </c>
      <c r="CJ41" s="239">
        <v>0</v>
      </c>
      <c r="CK41" s="239">
        <v>0</v>
      </c>
      <c r="CL41" s="239">
        <v>0</v>
      </c>
      <c r="CM41" s="239">
        <v>-696.63161157024786</v>
      </c>
      <c r="CN41" s="239">
        <v>-464.42107438016529</v>
      </c>
      <c r="CO41" s="239">
        <v>0</v>
      </c>
      <c r="CP41" s="239">
        <v>5255</v>
      </c>
      <c r="CQ41" s="239">
        <v>3504</v>
      </c>
      <c r="CR41" s="239">
        <v>0</v>
      </c>
      <c r="CS41" s="239">
        <v>-5952</v>
      </c>
      <c r="CT41" s="239">
        <v>-3968</v>
      </c>
      <c r="CU41" s="239">
        <v>0</v>
      </c>
      <c r="CV41" s="239">
        <v>360093.13946280989</v>
      </c>
      <c r="CW41" s="239">
        <v>240062.09297520661</v>
      </c>
      <c r="CX41" s="239">
        <v>0</v>
      </c>
      <c r="CY41" s="239">
        <v>362633</v>
      </c>
      <c r="CZ41" s="239">
        <v>241756</v>
      </c>
      <c r="DA41" s="239">
        <v>0</v>
      </c>
      <c r="DB41" s="239">
        <v>-2540</v>
      </c>
      <c r="DC41" s="239">
        <v>-1694</v>
      </c>
      <c r="DD41" s="239">
        <v>0</v>
      </c>
      <c r="DE41" s="641">
        <v>0.5</v>
      </c>
      <c r="DF41" s="641">
        <v>0.3</v>
      </c>
      <c r="DG41" s="641">
        <v>0.2</v>
      </c>
      <c r="DH41" s="641">
        <v>0</v>
      </c>
      <c r="DI41" s="214" t="s">
        <v>1191</v>
      </c>
    </row>
    <row r="42" spans="1:113" s="214" customFormat="1" x14ac:dyDescent="0.2">
      <c r="B42" s="609" t="s">
        <v>166</v>
      </c>
      <c r="C42" s="609" t="s">
        <v>165</v>
      </c>
      <c r="D42" s="239">
        <v>-436664</v>
      </c>
      <c r="E42" s="239">
        <v>0</v>
      </c>
      <c r="F42" s="239">
        <v>-436664</v>
      </c>
      <c r="G42" s="239">
        <v>0</v>
      </c>
      <c r="H42" s="239">
        <v>0</v>
      </c>
      <c r="I42" s="239">
        <v>0</v>
      </c>
      <c r="J42" s="239">
        <v>-436664</v>
      </c>
      <c r="K42" s="239">
        <v>0</v>
      </c>
      <c r="L42" s="239">
        <v>-436664</v>
      </c>
      <c r="M42" s="239">
        <v>123658</v>
      </c>
      <c r="N42" s="239">
        <v>123658</v>
      </c>
      <c r="O42" s="239">
        <v>0</v>
      </c>
      <c r="P42" s="239">
        <v>0</v>
      </c>
      <c r="Q42" s="239">
        <v>0</v>
      </c>
      <c r="R42" s="239">
        <v>0</v>
      </c>
      <c r="S42" s="239">
        <v>0</v>
      </c>
      <c r="T42" s="239">
        <v>0</v>
      </c>
      <c r="U42" s="239">
        <v>0</v>
      </c>
      <c r="V42" s="239">
        <v>0</v>
      </c>
      <c r="W42" s="239">
        <v>0</v>
      </c>
      <c r="X42" s="239">
        <v>0</v>
      </c>
      <c r="Y42" s="239">
        <v>0</v>
      </c>
      <c r="Z42" s="239">
        <v>0</v>
      </c>
      <c r="AA42" s="239">
        <v>0</v>
      </c>
      <c r="AB42" s="239">
        <v>0</v>
      </c>
      <c r="AC42" s="239">
        <v>0</v>
      </c>
      <c r="AD42" s="239">
        <v>0</v>
      </c>
      <c r="AE42" s="239">
        <v>0</v>
      </c>
      <c r="AF42" s="239">
        <v>0</v>
      </c>
      <c r="AG42" s="239">
        <v>0</v>
      </c>
      <c r="AH42" s="239">
        <v>0</v>
      </c>
      <c r="AI42" s="239">
        <v>0</v>
      </c>
      <c r="AJ42" s="239">
        <v>0</v>
      </c>
      <c r="AK42" s="239">
        <v>489410.94545454549</v>
      </c>
      <c r="AL42" s="239">
        <v>110117.46272727272</v>
      </c>
      <c r="AM42" s="239">
        <v>12235.273636363636</v>
      </c>
      <c r="AN42" s="239">
        <v>477345</v>
      </c>
      <c r="AO42" s="239">
        <v>107403</v>
      </c>
      <c r="AP42" s="239">
        <v>11934</v>
      </c>
      <c r="AQ42" s="239">
        <v>12066</v>
      </c>
      <c r="AR42" s="239">
        <v>2714</v>
      </c>
      <c r="AS42" s="239">
        <v>301</v>
      </c>
      <c r="AT42" s="239">
        <v>0</v>
      </c>
      <c r="AU42" s="239">
        <v>0</v>
      </c>
      <c r="AV42" s="239">
        <v>0</v>
      </c>
      <c r="AW42" s="239">
        <v>0</v>
      </c>
      <c r="AX42" s="239">
        <v>0</v>
      </c>
      <c r="AY42" s="239">
        <v>0</v>
      </c>
      <c r="AZ42" s="239">
        <v>0</v>
      </c>
      <c r="BA42" s="239">
        <v>0</v>
      </c>
      <c r="BB42" s="239">
        <v>0</v>
      </c>
      <c r="BC42" s="239">
        <v>-3516.1280991735543</v>
      </c>
      <c r="BD42" s="239">
        <v>-791.12882231404967</v>
      </c>
      <c r="BE42" s="239">
        <v>-87.903202479338859</v>
      </c>
      <c r="BF42" s="239">
        <v>10475</v>
      </c>
      <c r="BG42" s="239">
        <v>2357</v>
      </c>
      <c r="BH42" s="239">
        <v>262</v>
      </c>
      <c r="BI42" s="239">
        <v>-13991</v>
      </c>
      <c r="BJ42" s="239">
        <v>-3148</v>
      </c>
      <c r="BK42" s="239">
        <v>-350</v>
      </c>
      <c r="BL42" s="239">
        <v>10596.266942148761</v>
      </c>
      <c r="BM42" s="239">
        <v>2384.1600619834712</v>
      </c>
      <c r="BN42" s="239">
        <v>264.90667355371903</v>
      </c>
      <c r="BO42" s="239">
        <v>5946</v>
      </c>
      <c r="BP42" s="239">
        <v>1338</v>
      </c>
      <c r="BQ42" s="239">
        <v>149</v>
      </c>
      <c r="BR42" s="239">
        <v>4650</v>
      </c>
      <c r="BS42" s="239">
        <v>1046</v>
      </c>
      <c r="BT42" s="239">
        <v>116</v>
      </c>
      <c r="BU42" s="239">
        <v>339.6421487603306</v>
      </c>
      <c r="BV42" s="239">
        <v>76.419483471074372</v>
      </c>
      <c r="BW42" s="239">
        <v>8.4910537190082636</v>
      </c>
      <c r="BX42" s="239">
        <v>0</v>
      </c>
      <c r="BY42" s="239">
        <v>0</v>
      </c>
      <c r="BZ42" s="239">
        <v>0</v>
      </c>
      <c r="CA42" s="239">
        <v>340</v>
      </c>
      <c r="CB42" s="239">
        <v>76</v>
      </c>
      <c r="CC42" s="239">
        <v>8</v>
      </c>
      <c r="CD42" s="239">
        <v>0</v>
      </c>
      <c r="CE42" s="239">
        <v>0</v>
      </c>
      <c r="CF42" s="239">
        <v>0</v>
      </c>
      <c r="CG42" s="239">
        <v>0</v>
      </c>
      <c r="CH42" s="239">
        <v>0</v>
      </c>
      <c r="CI42" s="239">
        <v>0</v>
      </c>
      <c r="CJ42" s="239">
        <v>0</v>
      </c>
      <c r="CK42" s="239">
        <v>0</v>
      </c>
      <c r="CL42" s="239">
        <v>0</v>
      </c>
      <c r="CM42" s="239">
        <v>2025.2735537190085</v>
      </c>
      <c r="CN42" s="239">
        <v>455.68654958677683</v>
      </c>
      <c r="CO42" s="239">
        <v>50.631838842975206</v>
      </c>
      <c r="CP42" s="239">
        <v>296</v>
      </c>
      <c r="CQ42" s="239">
        <v>66</v>
      </c>
      <c r="CR42" s="239">
        <v>7</v>
      </c>
      <c r="CS42" s="239">
        <v>1729</v>
      </c>
      <c r="CT42" s="239">
        <v>390</v>
      </c>
      <c r="CU42" s="239">
        <v>44</v>
      </c>
      <c r="CV42" s="239">
        <v>155438.66776859507</v>
      </c>
      <c r="CW42" s="239">
        <v>34973.700247933884</v>
      </c>
      <c r="CX42" s="239">
        <v>3885.9666942148765</v>
      </c>
      <c r="CY42" s="239">
        <v>161800</v>
      </c>
      <c r="CZ42" s="239">
        <v>36405</v>
      </c>
      <c r="DA42" s="239">
        <v>4045</v>
      </c>
      <c r="DB42" s="239">
        <v>-6361</v>
      </c>
      <c r="DC42" s="239">
        <v>-1431</v>
      </c>
      <c r="DD42" s="239">
        <v>-159</v>
      </c>
      <c r="DE42" s="641">
        <v>0.5</v>
      </c>
      <c r="DF42" s="641">
        <v>0.4</v>
      </c>
      <c r="DG42" s="641">
        <v>0.09</v>
      </c>
      <c r="DH42" s="641">
        <v>0.01</v>
      </c>
      <c r="DI42" s="214" t="s">
        <v>1190</v>
      </c>
    </row>
    <row r="43" spans="1:113" s="214" customFormat="1" x14ac:dyDescent="0.2">
      <c r="B43" s="609" t="s">
        <v>168</v>
      </c>
      <c r="C43" s="609" t="s">
        <v>167</v>
      </c>
      <c r="D43" s="239">
        <v>-2806226</v>
      </c>
      <c r="E43" s="239">
        <v>0</v>
      </c>
      <c r="F43" s="239">
        <v>-2806226</v>
      </c>
      <c r="G43" s="239">
        <v>0</v>
      </c>
      <c r="H43" s="239">
        <v>0</v>
      </c>
      <c r="I43" s="239">
        <v>0</v>
      </c>
      <c r="J43" s="239">
        <v>-2806226</v>
      </c>
      <c r="K43" s="239">
        <v>0</v>
      </c>
      <c r="L43" s="239">
        <v>-2806226</v>
      </c>
      <c r="M43" s="239">
        <v>116748</v>
      </c>
      <c r="N43" s="239">
        <v>116748</v>
      </c>
      <c r="O43" s="239">
        <v>0</v>
      </c>
      <c r="P43" s="239">
        <v>0</v>
      </c>
      <c r="Q43" s="239">
        <v>0</v>
      </c>
      <c r="R43" s="239">
        <v>0</v>
      </c>
      <c r="S43" s="239">
        <v>0</v>
      </c>
      <c r="T43" s="239">
        <v>0</v>
      </c>
      <c r="U43" s="239">
        <v>0</v>
      </c>
      <c r="V43" s="239">
        <v>0</v>
      </c>
      <c r="W43" s="239">
        <v>0</v>
      </c>
      <c r="X43" s="239">
        <v>0</v>
      </c>
      <c r="Y43" s="239">
        <v>0</v>
      </c>
      <c r="Z43" s="239">
        <v>0</v>
      </c>
      <c r="AA43" s="239">
        <v>0</v>
      </c>
      <c r="AB43" s="239">
        <v>0</v>
      </c>
      <c r="AC43" s="239">
        <v>0</v>
      </c>
      <c r="AD43" s="239">
        <v>0</v>
      </c>
      <c r="AE43" s="239">
        <v>0</v>
      </c>
      <c r="AF43" s="239">
        <v>0</v>
      </c>
      <c r="AG43" s="239">
        <v>0</v>
      </c>
      <c r="AH43" s="239">
        <v>0</v>
      </c>
      <c r="AI43" s="239">
        <v>0</v>
      </c>
      <c r="AJ43" s="239">
        <v>0</v>
      </c>
      <c r="AK43" s="239">
        <v>319331.79173553718</v>
      </c>
      <c r="AL43" s="239">
        <v>79832.947933884294</v>
      </c>
      <c r="AM43" s="239">
        <v>0</v>
      </c>
      <c r="AN43" s="239">
        <v>300373</v>
      </c>
      <c r="AO43" s="239">
        <v>75093</v>
      </c>
      <c r="AP43" s="239">
        <v>0</v>
      </c>
      <c r="AQ43" s="239">
        <v>18959</v>
      </c>
      <c r="AR43" s="239">
        <v>4740</v>
      </c>
      <c r="AS43" s="239">
        <v>0</v>
      </c>
      <c r="AT43" s="239">
        <v>0</v>
      </c>
      <c r="AU43" s="239">
        <v>0</v>
      </c>
      <c r="AV43" s="239">
        <v>0</v>
      </c>
      <c r="AW43" s="239">
        <v>0</v>
      </c>
      <c r="AX43" s="239">
        <v>0</v>
      </c>
      <c r="AY43" s="239">
        <v>0</v>
      </c>
      <c r="AZ43" s="239">
        <v>0</v>
      </c>
      <c r="BA43" s="239">
        <v>0</v>
      </c>
      <c r="BB43" s="239">
        <v>0</v>
      </c>
      <c r="BC43" s="239">
        <v>135.53223140495868</v>
      </c>
      <c r="BD43" s="239">
        <v>33.88305785123967</v>
      </c>
      <c r="BE43" s="239">
        <v>0</v>
      </c>
      <c r="BF43" s="239">
        <v>0</v>
      </c>
      <c r="BG43" s="239">
        <v>0</v>
      </c>
      <c r="BH43" s="239">
        <v>0</v>
      </c>
      <c r="BI43" s="239">
        <v>136</v>
      </c>
      <c r="BJ43" s="239">
        <v>34</v>
      </c>
      <c r="BK43" s="239">
        <v>0</v>
      </c>
      <c r="BL43" s="239">
        <v>5021.9966942148767</v>
      </c>
      <c r="BM43" s="239">
        <v>1255.4991735537192</v>
      </c>
      <c r="BN43" s="239">
        <v>0</v>
      </c>
      <c r="BO43" s="239">
        <v>0</v>
      </c>
      <c r="BP43" s="239">
        <v>0</v>
      </c>
      <c r="BQ43" s="239">
        <v>0</v>
      </c>
      <c r="BR43" s="239">
        <v>5022</v>
      </c>
      <c r="BS43" s="239">
        <v>1255</v>
      </c>
      <c r="BT43" s="239">
        <v>0</v>
      </c>
      <c r="BU43" s="239">
        <v>-1354.104958677686</v>
      </c>
      <c r="BV43" s="239">
        <v>-338.5262396694215</v>
      </c>
      <c r="BW43" s="239">
        <v>0</v>
      </c>
      <c r="BX43" s="239">
        <v>0</v>
      </c>
      <c r="BY43" s="239">
        <v>0</v>
      </c>
      <c r="BZ43" s="239">
        <v>0</v>
      </c>
      <c r="CA43" s="239">
        <v>-1354</v>
      </c>
      <c r="CB43" s="239">
        <v>-339</v>
      </c>
      <c r="CC43" s="239">
        <v>0</v>
      </c>
      <c r="CD43" s="239">
        <v>0</v>
      </c>
      <c r="CE43" s="239">
        <v>0</v>
      </c>
      <c r="CF43" s="239">
        <v>0</v>
      </c>
      <c r="CG43" s="239">
        <v>0</v>
      </c>
      <c r="CH43" s="239">
        <v>0</v>
      </c>
      <c r="CI43" s="239">
        <v>0</v>
      </c>
      <c r="CJ43" s="239">
        <v>0</v>
      </c>
      <c r="CK43" s="239">
        <v>0</v>
      </c>
      <c r="CL43" s="239">
        <v>0</v>
      </c>
      <c r="CM43" s="239">
        <v>338.4247933884298</v>
      </c>
      <c r="CN43" s="239">
        <v>84.606198347107451</v>
      </c>
      <c r="CO43" s="239">
        <v>0</v>
      </c>
      <c r="CP43" s="239">
        <v>0</v>
      </c>
      <c r="CQ43" s="239">
        <v>0</v>
      </c>
      <c r="CR43" s="239">
        <v>0</v>
      </c>
      <c r="CS43" s="239">
        <v>338</v>
      </c>
      <c r="CT43" s="239">
        <v>85</v>
      </c>
      <c r="CU43" s="239">
        <v>0</v>
      </c>
      <c r="CV43" s="239">
        <v>235639.89504132236</v>
      </c>
      <c r="CW43" s="239">
        <v>58909.973760330591</v>
      </c>
      <c r="CX43" s="239">
        <v>0</v>
      </c>
      <c r="CY43" s="239">
        <v>245564</v>
      </c>
      <c r="CZ43" s="239">
        <v>61391</v>
      </c>
      <c r="DA43" s="239">
        <v>0</v>
      </c>
      <c r="DB43" s="239">
        <v>-9924</v>
      </c>
      <c r="DC43" s="239">
        <v>-2481</v>
      </c>
      <c r="DD43" s="239">
        <v>0</v>
      </c>
      <c r="DE43" s="641">
        <v>0.5</v>
      </c>
      <c r="DF43" s="641">
        <v>0.4</v>
      </c>
      <c r="DG43" s="641">
        <v>0.1</v>
      </c>
      <c r="DH43" s="641">
        <v>0</v>
      </c>
      <c r="DI43" s="214" t="s">
        <v>1190</v>
      </c>
    </row>
    <row r="44" spans="1:113" s="214" customFormat="1" x14ac:dyDescent="0.2">
      <c r="A44" s="215" t="s">
        <v>1211</v>
      </c>
      <c r="B44" s="609" t="s">
        <v>170</v>
      </c>
      <c r="C44" s="609" t="s">
        <v>169</v>
      </c>
      <c r="D44" s="239">
        <v>9155</v>
      </c>
      <c r="E44" s="239">
        <v>0</v>
      </c>
      <c r="F44" s="239">
        <v>9155</v>
      </c>
      <c r="G44" s="239">
        <v>0</v>
      </c>
      <c r="H44" s="239">
        <v>0</v>
      </c>
      <c r="I44" s="239">
        <v>0</v>
      </c>
      <c r="J44" s="239">
        <v>9155</v>
      </c>
      <c r="K44" s="239">
        <v>0</v>
      </c>
      <c r="L44" s="239">
        <v>9155</v>
      </c>
      <c r="M44" s="239">
        <v>107528</v>
      </c>
      <c r="N44" s="239">
        <v>107528</v>
      </c>
      <c r="O44" s="239">
        <v>0</v>
      </c>
      <c r="P44" s="239">
        <v>0</v>
      </c>
      <c r="Q44" s="239">
        <v>0</v>
      </c>
      <c r="R44" s="239">
        <v>0</v>
      </c>
      <c r="S44" s="239">
        <v>0</v>
      </c>
      <c r="T44" s="239">
        <v>0</v>
      </c>
      <c r="U44" s="239">
        <v>0</v>
      </c>
      <c r="V44" s="239">
        <v>0</v>
      </c>
      <c r="W44" s="239">
        <v>0</v>
      </c>
      <c r="X44" s="239">
        <v>0</v>
      </c>
      <c r="Y44" s="239">
        <v>72260.18595041323</v>
      </c>
      <c r="Z44" s="239">
        <v>72260.18595041323</v>
      </c>
      <c r="AA44" s="239">
        <v>0</v>
      </c>
      <c r="AB44" s="239">
        <v>0</v>
      </c>
      <c r="AC44" s="239">
        <v>0</v>
      </c>
      <c r="AD44" s="239">
        <v>0</v>
      </c>
      <c r="AE44" s="239">
        <v>0</v>
      </c>
      <c r="AF44" s="239">
        <v>0</v>
      </c>
      <c r="AG44" s="239">
        <v>72260</v>
      </c>
      <c r="AH44" s="239">
        <v>72260</v>
      </c>
      <c r="AI44" s="239">
        <v>0</v>
      </c>
      <c r="AJ44" s="239">
        <v>0</v>
      </c>
      <c r="AK44" s="239">
        <v>356052.40351239673</v>
      </c>
      <c r="AL44" s="239">
        <v>79621.386787190073</v>
      </c>
      <c r="AM44" s="239">
        <v>8846.8207541322317</v>
      </c>
      <c r="AN44" s="239">
        <v>348978</v>
      </c>
      <c r="AO44" s="239">
        <v>77608</v>
      </c>
      <c r="AP44" s="239">
        <v>8623</v>
      </c>
      <c r="AQ44" s="239">
        <v>7074</v>
      </c>
      <c r="AR44" s="239">
        <v>2013</v>
      </c>
      <c r="AS44" s="239">
        <v>224</v>
      </c>
      <c r="AT44" s="239">
        <v>0</v>
      </c>
      <c r="AU44" s="239">
        <v>0</v>
      </c>
      <c r="AV44" s="239">
        <v>0</v>
      </c>
      <c r="AW44" s="239">
        <v>0</v>
      </c>
      <c r="AX44" s="239">
        <v>0</v>
      </c>
      <c r="AY44" s="239">
        <v>0</v>
      </c>
      <c r="AZ44" s="239">
        <v>0</v>
      </c>
      <c r="BA44" s="239">
        <v>0</v>
      </c>
      <c r="BB44" s="239">
        <v>0</v>
      </c>
      <c r="BC44" s="239">
        <v>0</v>
      </c>
      <c r="BD44" s="239">
        <v>0</v>
      </c>
      <c r="BE44" s="239">
        <v>0</v>
      </c>
      <c r="BF44" s="239">
        <v>0</v>
      </c>
      <c r="BG44" s="239">
        <v>0</v>
      </c>
      <c r="BH44" s="239">
        <v>0</v>
      </c>
      <c r="BI44" s="239">
        <v>0</v>
      </c>
      <c r="BJ44" s="239">
        <v>0</v>
      </c>
      <c r="BK44" s="239">
        <v>0</v>
      </c>
      <c r="BL44" s="239">
        <v>0</v>
      </c>
      <c r="BM44" s="239">
        <v>0</v>
      </c>
      <c r="BN44" s="239">
        <v>0</v>
      </c>
      <c r="BO44" s="239">
        <v>0</v>
      </c>
      <c r="BP44" s="239">
        <v>0</v>
      </c>
      <c r="BQ44" s="239">
        <v>0</v>
      </c>
      <c r="BR44" s="239">
        <v>0</v>
      </c>
      <c r="BS44" s="239">
        <v>0</v>
      </c>
      <c r="BT44" s="239">
        <v>0</v>
      </c>
      <c r="BU44" s="239">
        <v>5328.3644628099173</v>
      </c>
      <c r="BV44" s="239">
        <v>1198.8820041322313</v>
      </c>
      <c r="BW44" s="239">
        <v>133.20911157024793</v>
      </c>
      <c r="BX44" s="239">
        <v>0</v>
      </c>
      <c r="BY44" s="239">
        <v>0</v>
      </c>
      <c r="BZ44" s="239">
        <v>0</v>
      </c>
      <c r="CA44" s="239">
        <v>5328</v>
      </c>
      <c r="CB44" s="239">
        <v>1199</v>
      </c>
      <c r="CC44" s="239">
        <v>133</v>
      </c>
      <c r="CD44" s="239">
        <v>0</v>
      </c>
      <c r="CE44" s="239">
        <v>0</v>
      </c>
      <c r="CF44" s="239">
        <v>0</v>
      </c>
      <c r="CG44" s="239">
        <v>0</v>
      </c>
      <c r="CH44" s="239">
        <v>0</v>
      </c>
      <c r="CI44" s="239">
        <v>0</v>
      </c>
      <c r="CJ44" s="239">
        <v>0</v>
      </c>
      <c r="CK44" s="239">
        <v>0</v>
      </c>
      <c r="CL44" s="239">
        <v>0</v>
      </c>
      <c r="CM44" s="239">
        <v>0</v>
      </c>
      <c r="CN44" s="239">
        <v>0</v>
      </c>
      <c r="CO44" s="239">
        <v>0</v>
      </c>
      <c r="CP44" s="239">
        <v>0</v>
      </c>
      <c r="CQ44" s="239">
        <v>0</v>
      </c>
      <c r="CR44" s="239">
        <v>0</v>
      </c>
      <c r="CS44" s="239">
        <v>0</v>
      </c>
      <c r="CT44" s="239">
        <v>0</v>
      </c>
      <c r="CU44" s="239">
        <v>0</v>
      </c>
      <c r="CV44" s="239">
        <v>133851.37933884299</v>
      </c>
      <c r="CW44" s="239">
        <v>30116.56035123967</v>
      </c>
      <c r="CX44" s="239">
        <v>3346.284483471075</v>
      </c>
      <c r="CY44" s="239">
        <v>150265</v>
      </c>
      <c r="CZ44" s="239">
        <v>33810</v>
      </c>
      <c r="DA44" s="239">
        <v>3757</v>
      </c>
      <c r="DB44" s="239">
        <v>-16414</v>
      </c>
      <c r="DC44" s="239">
        <v>-3693</v>
      </c>
      <c r="DD44" s="239">
        <v>-411</v>
      </c>
      <c r="DE44" s="641">
        <v>0.5</v>
      </c>
      <c r="DF44" s="641">
        <v>0.4</v>
      </c>
      <c r="DG44" s="641">
        <v>0.09</v>
      </c>
      <c r="DH44" s="641">
        <v>0.01</v>
      </c>
      <c r="DI44" s="214" t="s">
        <v>1190</v>
      </c>
    </row>
    <row r="45" spans="1:113" s="214" customFormat="1" x14ac:dyDescent="0.2">
      <c r="B45" s="609" t="s">
        <v>172</v>
      </c>
      <c r="C45" s="609" t="s">
        <v>171</v>
      </c>
      <c r="D45" s="239">
        <v>-14022</v>
      </c>
      <c r="E45" s="239">
        <v>0</v>
      </c>
      <c r="F45" s="239">
        <v>-14022</v>
      </c>
      <c r="G45" s="239">
        <v>0</v>
      </c>
      <c r="H45" s="239">
        <v>0</v>
      </c>
      <c r="I45" s="239">
        <v>0</v>
      </c>
      <c r="J45" s="239">
        <v>-14022</v>
      </c>
      <c r="K45" s="239">
        <v>0</v>
      </c>
      <c r="L45" s="239">
        <v>-14022</v>
      </c>
      <c r="M45" s="239">
        <v>151284</v>
      </c>
      <c r="N45" s="239">
        <v>151284</v>
      </c>
      <c r="O45" s="239">
        <v>0</v>
      </c>
      <c r="P45" s="239">
        <v>0</v>
      </c>
      <c r="Q45" s="239">
        <v>0</v>
      </c>
      <c r="R45" s="239">
        <v>0</v>
      </c>
      <c r="S45" s="239">
        <v>238391</v>
      </c>
      <c r="T45" s="239">
        <v>0</v>
      </c>
      <c r="U45" s="239">
        <v>238391</v>
      </c>
      <c r="V45" s="239">
        <v>0</v>
      </c>
      <c r="W45" s="239">
        <v>0</v>
      </c>
      <c r="X45" s="239">
        <v>0</v>
      </c>
      <c r="Y45" s="239">
        <v>0</v>
      </c>
      <c r="Z45" s="239">
        <v>0</v>
      </c>
      <c r="AA45" s="239">
        <v>0</v>
      </c>
      <c r="AB45" s="239">
        <v>0</v>
      </c>
      <c r="AC45" s="239">
        <v>0</v>
      </c>
      <c r="AD45" s="239">
        <v>0</v>
      </c>
      <c r="AE45" s="239">
        <v>0</v>
      </c>
      <c r="AF45" s="239">
        <v>0</v>
      </c>
      <c r="AG45" s="239">
        <v>0</v>
      </c>
      <c r="AH45" s="239">
        <v>0</v>
      </c>
      <c r="AI45" s="239">
        <v>0</v>
      </c>
      <c r="AJ45" s="239">
        <v>0</v>
      </c>
      <c r="AK45" s="239">
        <v>589891.2549586778</v>
      </c>
      <c r="AL45" s="239">
        <v>132725.53236570247</v>
      </c>
      <c r="AM45" s="239">
        <v>14747.281373966942</v>
      </c>
      <c r="AN45" s="239">
        <v>569230</v>
      </c>
      <c r="AO45" s="239">
        <v>128077</v>
      </c>
      <c r="AP45" s="239">
        <v>14231</v>
      </c>
      <c r="AQ45" s="239">
        <v>20661</v>
      </c>
      <c r="AR45" s="239">
        <v>4649</v>
      </c>
      <c r="AS45" s="239">
        <v>516</v>
      </c>
      <c r="AT45" s="239">
        <v>3173.6454545454549</v>
      </c>
      <c r="AU45" s="239">
        <v>714.07022727272727</v>
      </c>
      <c r="AV45" s="239">
        <v>79.341136363636366</v>
      </c>
      <c r="AW45" s="239">
        <v>5067</v>
      </c>
      <c r="AX45" s="239">
        <v>1140</v>
      </c>
      <c r="AY45" s="239">
        <v>127</v>
      </c>
      <c r="AZ45" s="239">
        <v>-1893</v>
      </c>
      <c r="BA45" s="239">
        <v>-426</v>
      </c>
      <c r="BB45" s="239">
        <v>-48</v>
      </c>
      <c r="BC45" s="239">
        <v>0</v>
      </c>
      <c r="BD45" s="239">
        <v>0</v>
      </c>
      <c r="BE45" s="239">
        <v>0</v>
      </c>
      <c r="BF45" s="239">
        <v>10144</v>
      </c>
      <c r="BG45" s="239">
        <v>2283</v>
      </c>
      <c r="BH45" s="239">
        <v>254</v>
      </c>
      <c r="BI45" s="239">
        <v>-10144</v>
      </c>
      <c r="BJ45" s="239">
        <v>-2283</v>
      </c>
      <c r="BK45" s="239">
        <v>-254</v>
      </c>
      <c r="BL45" s="239">
        <v>4252.6280991735539</v>
      </c>
      <c r="BM45" s="239">
        <v>956.84132231404965</v>
      </c>
      <c r="BN45" s="239">
        <v>106.31570247933885</v>
      </c>
      <c r="BO45" s="239">
        <v>10144</v>
      </c>
      <c r="BP45" s="239">
        <v>2283</v>
      </c>
      <c r="BQ45" s="239">
        <v>254</v>
      </c>
      <c r="BR45" s="239">
        <v>-5891</v>
      </c>
      <c r="BS45" s="239">
        <v>-1326</v>
      </c>
      <c r="BT45" s="239">
        <v>-148</v>
      </c>
      <c r="BU45" s="239">
        <v>-263.76033057851242</v>
      </c>
      <c r="BV45" s="239">
        <v>-59.346074380165291</v>
      </c>
      <c r="BW45" s="239">
        <v>-6.5940082644628104</v>
      </c>
      <c r="BX45" s="239">
        <v>0</v>
      </c>
      <c r="BY45" s="239">
        <v>0</v>
      </c>
      <c r="BZ45" s="239">
        <v>0</v>
      </c>
      <c r="CA45" s="239">
        <v>-264</v>
      </c>
      <c r="CB45" s="239">
        <v>-59</v>
      </c>
      <c r="CC45" s="239">
        <v>-7</v>
      </c>
      <c r="CD45" s="239">
        <v>17766.895867768595</v>
      </c>
      <c r="CE45" s="239">
        <v>3997.5515702479333</v>
      </c>
      <c r="CF45" s="239">
        <v>444.17239669421485</v>
      </c>
      <c r="CG45" s="239">
        <v>0</v>
      </c>
      <c r="CH45" s="239">
        <v>0</v>
      </c>
      <c r="CI45" s="239">
        <v>0</v>
      </c>
      <c r="CJ45" s="239">
        <v>17767</v>
      </c>
      <c r="CK45" s="239">
        <v>3998</v>
      </c>
      <c r="CL45" s="239">
        <v>444</v>
      </c>
      <c r="CM45" s="239">
        <v>0</v>
      </c>
      <c r="CN45" s="239">
        <v>0</v>
      </c>
      <c r="CO45" s="239">
        <v>0</v>
      </c>
      <c r="CP45" s="239">
        <v>10144</v>
      </c>
      <c r="CQ45" s="239">
        <v>2283</v>
      </c>
      <c r="CR45" s="239">
        <v>254</v>
      </c>
      <c r="CS45" s="239">
        <v>-10144</v>
      </c>
      <c r="CT45" s="239">
        <v>-2283</v>
      </c>
      <c r="CU45" s="239">
        <v>-254</v>
      </c>
      <c r="CV45" s="239">
        <v>173840.06818181818</v>
      </c>
      <c r="CW45" s="239">
        <v>38338.259504132227</v>
      </c>
      <c r="CX45" s="239">
        <v>4259.8066115702486</v>
      </c>
      <c r="CY45" s="239">
        <v>166286</v>
      </c>
      <c r="CZ45" s="239">
        <v>36638</v>
      </c>
      <c r="DA45" s="239">
        <v>4071</v>
      </c>
      <c r="DB45" s="239">
        <v>7554</v>
      </c>
      <c r="DC45" s="239">
        <v>1700</v>
      </c>
      <c r="DD45" s="239">
        <v>189</v>
      </c>
      <c r="DE45" s="641">
        <v>0.5</v>
      </c>
      <c r="DF45" s="641">
        <v>0.4</v>
      </c>
      <c r="DG45" s="641">
        <v>0.09</v>
      </c>
      <c r="DH45" s="641">
        <v>0.01</v>
      </c>
      <c r="DI45" s="214" t="s">
        <v>1190</v>
      </c>
    </row>
    <row r="46" spans="1:113" s="214" customFormat="1" x14ac:dyDescent="0.2">
      <c r="B46" s="609" t="s">
        <v>174</v>
      </c>
      <c r="C46" s="609" t="s">
        <v>173</v>
      </c>
      <c r="D46" s="239">
        <v>133351</v>
      </c>
      <c r="E46" s="239">
        <v>0</v>
      </c>
      <c r="F46" s="239">
        <v>133351</v>
      </c>
      <c r="G46" s="239">
        <v>0</v>
      </c>
      <c r="H46" s="239">
        <v>0</v>
      </c>
      <c r="I46" s="239">
        <v>0</v>
      </c>
      <c r="J46" s="239">
        <v>133351</v>
      </c>
      <c r="K46" s="239">
        <v>0</v>
      </c>
      <c r="L46" s="239">
        <v>133351</v>
      </c>
      <c r="M46" s="239">
        <v>244147</v>
      </c>
      <c r="N46" s="239">
        <v>244147</v>
      </c>
      <c r="O46" s="239">
        <v>0</v>
      </c>
      <c r="P46" s="239">
        <v>0</v>
      </c>
      <c r="Q46" s="239">
        <v>0</v>
      </c>
      <c r="R46" s="239">
        <v>0</v>
      </c>
      <c r="S46" s="239">
        <v>0</v>
      </c>
      <c r="T46" s="239">
        <v>0</v>
      </c>
      <c r="U46" s="239">
        <v>0</v>
      </c>
      <c r="V46" s="239">
        <v>0</v>
      </c>
      <c r="W46" s="239">
        <v>0</v>
      </c>
      <c r="X46" s="239">
        <v>0</v>
      </c>
      <c r="Y46" s="239">
        <v>0</v>
      </c>
      <c r="Z46" s="239">
        <v>0</v>
      </c>
      <c r="AA46" s="239">
        <v>0</v>
      </c>
      <c r="AB46" s="239">
        <v>0</v>
      </c>
      <c r="AC46" s="239">
        <v>0</v>
      </c>
      <c r="AD46" s="239">
        <v>0</v>
      </c>
      <c r="AE46" s="239">
        <v>0</v>
      </c>
      <c r="AF46" s="239">
        <v>0</v>
      </c>
      <c r="AG46" s="239">
        <v>0</v>
      </c>
      <c r="AH46" s="239">
        <v>0</v>
      </c>
      <c r="AI46" s="239">
        <v>0</v>
      </c>
      <c r="AJ46" s="239">
        <v>0</v>
      </c>
      <c r="AK46" s="239">
        <v>1303958.2816012395</v>
      </c>
      <c r="AL46" s="239">
        <v>0</v>
      </c>
      <c r="AM46" s="239">
        <v>26611.393502066112</v>
      </c>
      <c r="AN46" s="239">
        <v>1220287</v>
      </c>
      <c r="AO46" s="239">
        <v>0</v>
      </c>
      <c r="AP46" s="239">
        <v>24904</v>
      </c>
      <c r="AQ46" s="239">
        <v>83671</v>
      </c>
      <c r="AR46" s="239">
        <v>0</v>
      </c>
      <c r="AS46" s="239">
        <v>1707</v>
      </c>
      <c r="AT46" s="239">
        <v>5577.3136363636359</v>
      </c>
      <c r="AU46" s="239">
        <v>0</v>
      </c>
      <c r="AV46" s="239">
        <v>113.82272727272726</v>
      </c>
      <c r="AW46" s="239">
        <v>0</v>
      </c>
      <c r="AX46" s="239">
        <v>0</v>
      </c>
      <c r="AY46" s="239">
        <v>0</v>
      </c>
      <c r="AZ46" s="239">
        <v>5577</v>
      </c>
      <c r="BA46" s="239">
        <v>0</v>
      </c>
      <c r="BB46" s="239">
        <v>114</v>
      </c>
      <c r="BC46" s="239">
        <v>11217.757293388429</v>
      </c>
      <c r="BD46" s="239">
        <v>0</v>
      </c>
      <c r="BE46" s="239">
        <v>228.93382231404959</v>
      </c>
      <c r="BF46" s="239">
        <v>0</v>
      </c>
      <c r="BG46" s="239">
        <v>0</v>
      </c>
      <c r="BH46" s="239">
        <v>0</v>
      </c>
      <c r="BI46" s="239">
        <v>11218</v>
      </c>
      <c r="BJ46" s="239">
        <v>0</v>
      </c>
      <c r="BK46" s="239">
        <v>229</v>
      </c>
      <c r="BL46" s="239">
        <v>0</v>
      </c>
      <c r="BM46" s="239">
        <v>0</v>
      </c>
      <c r="BN46" s="239">
        <v>0</v>
      </c>
      <c r="BO46" s="239">
        <v>1340</v>
      </c>
      <c r="BP46" s="239">
        <v>0</v>
      </c>
      <c r="BQ46" s="239">
        <v>27</v>
      </c>
      <c r="BR46" s="239">
        <v>-1340</v>
      </c>
      <c r="BS46" s="239">
        <v>0</v>
      </c>
      <c r="BT46" s="239">
        <v>-27</v>
      </c>
      <c r="BU46" s="239">
        <v>-8506.6460123966935</v>
      </c>
      <c r="BV46" s="239">
        <v>0</v>
      </c>
      <c r="BW46" s="239">
        <v>-173.60502066115703</v>
      </c>
      <c r="BX46" s="239">
        <v>0</v>
      </c>
      <c r="BY46" s="239">
        <v>0</v>
      </c>
      <c r="BZ46" s="239">
        <v>0</v>
      </c>
      <c r="CA46" s="239">
        <v>-8507</v>
      </c>
      <c r="CB46" s="239">
        <v>0</v>
      </c>
      <c r="CC46" s="239">
        <v>-174</v>
      </c>
      <c r="CD46" s="239">
        <v>94293.881962809915</v>
      </c>
      <c r="CE46" s="239">
        <v>0</v>
      </c>
      <c r="CF46" s="239">
        <v>1924.3649380165291</v>
      </c>
      <c r="CG46" s="239">
        <v>0</v>
      </c>
      <c r="CH46" s="239">
        <v>0</v>
      </c>
      <c r="CI46" s="239">
        <v>0</v>
      </c>
      <c r="CJ46" s="239">
        <v>94294</v>
      </c>
      <c r="CK46" s="239">
        <v>0</v>
      </c>
      <c r="CL46" s="239">
        <v>1924</v>
      </c>
      <c r="CM46" s="239">
        <v>4826.215516528925</v>
      </c>
      <c r="CN46" s="239">
        <v>0</v>
      </c>
      <c r="CO46" s="239">
        <v>98.494194214876018</v>
      </c>
      <c r="CP46" s="239">
        <v>5435</v>
      </c>
      <c r="CQ46" s="239">
        <v>0</v>
      </c>
      <c r="CR46" s="239">
        <v>111</v>
      </c>
      <c r="CS46" s="239">
        <v>-609</v>
      </c>
      <c r="CT46" s="239">
        <v>0</v>
      </c>
      <c r="CU46" s="239">
        <v>-13</v>
      </c>
      <c r="CV46" s="239">
        <v>342585.87002066115</v>
      </c>
      <c r="CW46" s="239">
        <v>0</v>
      </c>
      <c r="CX46" s="239">
        <v>6991.5483677685952</v>
      </c>
      <c r="CY46" s="239">
        <v>361512</v>
      </c>
      <c r="CZ46" s="239">
        <v>0</v>
      </c>
      <c r="DA46" s="239">
        <v>7378</v>
      </c>
      <c r="DB46" s="239">
        <v>-18926</v>
      </c>
      <c r="DC46" s="239">
        <v>0</v>
      </c>
      <c r="DD46" s="239">
        <v>-386</v>
      </c>
      <c r="DE46" s="641">
        <v>0.5</v>
      </c>
      <c r="DF46" s="641">
        <v>0.49</v>
      </c>
      <c r="DG46" s="641">
        <v>0</v>
      </c>
      <c r="DH46" s="641">
        <v>0.01</v>
      </c>
      <c r="DI46" s="214" t="s">
        <v>1192</v>
      </c>
    </row>
    <row r="47" spans="1:113" s="214" customFormat="1" x14ac:dyDescent="0.2">
      <c r="B47" s="609" t="s">
        <v>176</v>
      </c>
      <c r="C47" s="609" t="s">
        <v>175</v>
      </c>
      <c r="D47" s="239">
        <v>-501673</v>
      </c>
      <c r="E47" s="239">
        <v>0</v>
      </c>
      <c r="F47" s="239">
        <v>-501673</v>
      </c>
      <c r="G47" s="239">
        <v>0</v>
      </c>
      <c r="H47" s="239">
        <v>0</v>
      </c>
      <c r="I47" s="239">
        <v>0</v>
      </c>
      <c r="J47" s="239">
        <v>-501673</v>
      </c>
      <c r="K47" s="239">
        <v>0</v>
      </c>
      <c r="L47" s="239">
        <v>-501673</v>
      </c>
      <c r="M47" s="239">
        <v>356038</v>
      </c>
      <c r="N47" s="239">
        <v>356038</v>
      </c>
      <c r="O47" s="239">
        <v>0</v>
      </c>
      <c r="P47" s="239">
        <v>0</v>
      </c>
      <c r="Q47" s="239">
        <v>0</v>
      </c>
      <c r="R47" s="239">
        <v>0</v>
      </c>
      <c r="S47" s="239">
        <v>194824</v>
      </c>
      <c r="T47" s="239">
        <v>0</v>
      </c>
      <c r="U47" s="239">
        <v>194824</v>
      </c>
      <c r="V47" s="239">
        <v>0</v>
      </c>
      <c r="W47" s="239">
        <v>0</v>
      </c>
      <c r="X47" s="239">
        <v>0</v>
      </c>
      <c r="Y47" s="239">
        <v>0</v>
      </c>
      <c r="Z47" s="239">
        <v>0</v>
      </c>
      <c r="AA47" s="239">
        <v>0</v>
      </c>
      <c r="AB47" s="239">
        <v>0</v>
      </c>
      <c r="AC47" s="239">
        <v>0</v>
      </c>
      <c r="AD47" s="239">
        <v>0</v>
      </c>
      <c r="AE47" s="239">
        <v>0</v>
      </c>
      <c r="AF47" s="239">
        <v>0</v>
      </c>
      <c r="AG47" s="239">
        <v>0</v>
      </c>
      <c r="AH47" s="239">
        <v>0</v>
      </c>
      <c r="AI47" s="239">
        <v>0</v>
      </c>
      <c r="AJ47" s="239">
        <v>0</v>
      </c>
      <c r="AK47" s="239">
        <v>1866621.2431508265</v>
      </c>
      <c r="AL47" s="239">
        <v>0</v>
      </c>
      <c r="AM47" s="239">
        <v>38094.311084710745</v>
      </c>
      <c r="AN47" s="239">
        <v>1695903</v>
      </c>
      <c r="AO47" s="239">
        <v>0</v>
      </c>
      <c r="AP47" s="239">
        <v>34610</v>
      </c>
      <c r="AQ47" s="239">
        <v>170718</v>
      </c>
      <c r="AR47" s="239">
        <v>0</v>
      </c>
      <c r="AS47" s="239">
        <v>3484</v>
      </c>
      <c r="AT47" s="239">
        <v>0</v>
      </c>
      <c r="AU47" s="239">
        <v>0</v>
      </c>
      <c r="AV47" s="239">
        <v>0</v>
      </c>
      <c r="AW47" s="239">
        <v>24855</v>
      </c>
      <c r="AX47" s="239">
        <v>0</v>
      </c>
      <c r="AY47" s="239">
        <v>507</v>
      </c>
      <c r="AZ47" s="239">
        <v>-24855</v>
      </c>
      <c r="BA47" s="239">
        <v>0</v>
      </c>
      <c r="BB47" s="239">
        <v>-507</v>
      </c>
      <c r="BC47" s="239">
        <v>0</v>
      </c>
      <c r="BD47" s="239">
        <v>0</v>
      </c>
      <c r="BE47" s="239">
        <v>0</v>
      </c>
      <c r="BF47" s="239">
        <v>0</v>
      </c>
      <c r="BG47" s="239">
        <v>0</v>
      </c>
      <c r="BH47" s="239">
        <v>0</v>
      </c>
      <c r="BI47" s="239">
        <v>0</v>
      </c>
      <c r="BJ47" s="239">
        <v>0</v>
      </c>
      <c r="BK47" s="239">
        <v>0</v>
      </c>
      <c r="BL47" s="239">
        <v>18049.220867768596</v>
      </c>
      <c r="BM47" s="239">
        <v>0</v>
      </c>
      <c r="BN47" s="239">
        <v>368.35144628099175</v>
      </c>
      <c r="BO47" s="239">
        <v>0</v>
      </c>
      <c r="BP47" s="239">
        <v>0</v>
      </c>
      <c r="BQ47" s="239">
        <v>0</v>
      </c>
      <c r="BR47" s="239">
        <v>18049</v>
      </c>
      <c r="BS47" s="239">
        <v>0</v>
      </c>
      <c r="BT47" s="239">
        <v>368</v>
      </c>
      <c r="BU47" s="239">
        <v>1571.2913016528923</v>
      </c>
      <c r="BV47" s="239">
        <v>0</v>
      </c>
      <c r="BW47" s="239">
        <v>32.067169421487606</v>
      </c>
      <c r="BX47" s="239">
        <v>0</v>
      </c>
      <c r="BY47" s="239">
        <v>0</v>
      </c>
      <c r="BZ47" s="239">
        <v>0</v>
      </c>
      <c r="CA47" s="239">
        <v>1571</v>
      </c>
      <c r="CB47" s="239">
        <v>0</v>
      </c>
      <c r="CC47" s="239">
        <v>32</v>
      </c>
      <c r="CD47" s="239">
        <v>158144.18136363639</v>
      </c>
      <c r="CE47" s="239">
        <v>0</v>
      </c>
      <c r="CF47" s="239">
        <v>3227.4322727272729</v>
      </c>
      <c r="CG47" s="239">
        <v>0</v>
      </c>
      <c r="CH47" s="239">
        <v>0</v>
      </c>
      <c r="CI47" s="239">
        <v>0</v>
      </c>
      <c r="CJ47" s="239">
        <v>158144</v>
      </c>
      <c r="CK47" s="239">
        <v>0</v>
      </c>
      <c r="CL47" s="239">
        <v>3227</v>
      </c>
      <c r="CM47" s="239">
        <v>6344.8156198347106</v>
      </c>
      <c r="CN47" s="239">
        <v>0</v>
      </c>
      <c r="CO47" s="239">
        <v>129.48603305785124</v>
      </c>
      <c r="CP47" s="239">
        <v>6462</v>
      </c>
      <c r="CQ47" s="239">
        <v>0</v>
      </c>
      <c r="CR47" s="239">
        <v>132</v>
      </c>
      <c r="CS47" s="239">
        <v>-117</v>
      </c>
      <c r="CT47" s="239">
        <v>0</v>
      </c>
      <c r="CU47" s="239">
        <v>-3</v>
      </c>
      <c r="CV47" s="239">
        <v>394351.49380165292</v>
      </c>
      <c r="CW47" s="239">
        <v>0</v>
      </c>
      <c r="CX47" s="239">
        <v>7990.4855371900831</v>
      </c>
      <c r="CY47" s="239">
        <v>428564</v>
      </c>
      <c r="CZ47" s="239">
        <v>0</v>
      </c>
      <c r="DA47" s="239">
        <v>8689</v>
      </c>
      <c r="DB47" s="239">
        <v>-34213</v>
      </c>
      <c r="DC47" s="239">
        <v>0</v>
      </c>
      <c r="DD47" s="239">
        <v>-699</v>
      </c>
      <c r="DE47" s="641">
        <v>0.5</v>
      </c>
      <c r="DF47" s="641">
        <v>0.49</v>
      </c>
      <c r="DG47" s="641">
        <v>0</v>
      </c>
      <c r="DH47" s="641">
        <v>0.01</v>
      </c>
      <c r="DI47" s="214" t="s">
        <v>1192</v>
      </c>
    </row>
    <row r="48" spans="1:113" s="214" customFormat="1" x14ac:dyDescent="0.2">
      <c r="B48" s="609" t="s">
        <v>178</v>
      </c>
      <c r="C48" s="609" t="s">
        <v>177</v>
      </c>
      <c r="D48" s="239">
        <v>-482907</v>
      </c>
      <c r="E48" s="239">
        <v>0</v>
      </c>
      <c r="F48" s="239">
        <v>-482907</v>
      </c>
      <c r="G48" s="239">
        <v>0</v>
      </c>
      <c r="H48" s="239">
        <v>0</v>
      </c>
      <c r="I48" s="239">
        <v>0</v>
      </c>
      <c r="J48" s="239">
        <v>-482907</v>
      </c>
      <c r="K48" s="239">
        <v>0</v>
      </c>
      <c r="L48" s="239">
        <v>-482907</v>
      </c>
      <c r="M48" s="239">
        <v>225956</v>
      </c>
      <c r="N48" s="239">
        <v>225956</v>
      </c>
      <c r="O48" s="239">
        <v>0</v>
      </c>
      <c r="P48" s="239">
        <v>0</v>
      </c>
      <c r="Q48" s="239">
        <v>0</v>
      </c>
      <c r="R48" s="239">
        <v>0</v>
      </c>
      <c r="S48" s="239">
        <v>0</v>
      </c>
      <c r="T48" s="239">
        <v>0</v>
      </c>
      <c r="U48" s="239">
        <v>0</v>
      </c>
      <c r="V48" s="239">
        <v>0</v>
      </c>
      <c r="W48" s="239">
        <v>0</v>
      </c>
      <c r="X48" s="239">
        <v>0</v>
      </c>
      <c r="Y48" s="239">
        <v>0</v>
      </c>
      <c r="Z48" s="239">
        <v>0</v>
      </c>
      <c r="AA48" s="239">
        <v>0</v>
      </c>
      <c r="AB48" s="239">
        <v>0</v>
      </c>
      <c r="AC48" s="239">
        <v>0</v>
      </c>
      <c r="AD48" s="239">
        <v>0</v>
      </c>
      <c r="AE48" s="239">
        <v>0</v>
      </c>
      <c r="AF48" s="239">
        <v>0</v>
      </c>
      <c r="AG48" s="239">
        <v>0</v>
      </c>
      <c r="AH48" s="239">
        <v>0</v>
      </c>
      <c r="AI48" s="239">
        <v>0</v>
      </c>
      <c r="AJ48" s="239">
        <v>0</v>
      </c>
      <c r="AK48" s="239">
        <v>310371.39071074384</v>
      </c>
      <c r="AL48" s="239">
        <v>69833.562909917353</v>
      </c>
      <c r="AM48" s="239">
        <v>7759.284767768595</v>
      </c>
      <c r="AN48" s="239">
        <v>289540</v>
      </c>
      <c r="AO48" s="239">
        <v>65146</v>
      </c>
      <c r="AP48" s="239">
        <v>7238</v>
      </c>
      <c r="AQ48" s="239">
        <v>20831</v>
      </c>
      <c r="AR48" s="239">
        <v>4688</v>
      </c>
      <c r="AS48" s="239">
        <v>521</v>
      </c>
      <c r="AT48" s="239">
        <v>523.17064462809935</v>
      </c>
      <c r="AU48" s="239">
        <v>117.71339504132231</v>
      </c>
      <c r="AV48" s="239">
        <v>13.079266115702477</v>
      </c>
      <c r="AW48" s="239">
        <v>0</v>
      </c>
      <c r="AX48" s="239">
        <v>0</v>
      </c>
      <c r="AY48" s="239">
        <v>0</v>
      </c>
      <c r="AZ48" s="239">
        <v>523</v>
      </c>
      <c r="BA48" s="239">
        <v>118</v>
      </c>
      <c r="BB48" s="239">
        <v>13</v>
      </c>
      <c r="BC48" s="239">
        <v>-102072.81322314049</v>
      </c>
      <c r="BD48" s="239">
        <v>-22966.382975206609</v>
      </c>
      <c r="BE48" s="239">
        <v>-2551.8203305785123</v>
      </c>
      <c r="BF48" s="239">
        <v>20290</v>
      </c>
      <c r="BG48" s="239">
        <v>4565</v>
      </c>
      <c r="BH48" s="239">
        <v>507</v>
      </c>
      <c r="BI48" s="239">
        <v>-122363</v>
      </c>
      <c r="BJ48" s="239">
        <v>-27531</v>
      </c>
      <c r="BK48" s="239">
        <v>-3059</v>
      </c>
      <c r="BL48" s="239">
        <v>24968.770247933884</v>
      </c>
      <c r="BM48" s="239">
        <v>5617.9733057851236</v>
      </c>
      <c r="BN48" s="239">
        <v>624.21925619834713</v>
      </c>
      <c r="BO48" s="239">
        <v>40579</v>
      </c>
      <c r="BP48" s="239">
        <v>9130</v>
      </c>
      <c r="BQ48" s="239">
        <v>1014</v>
      </c>
      <c r="BR48" s="239">
        <v>-15610</v>
      </c>
      <c r="BS48" s="239">
        <v>-3512</v>
      </c>
      <c r="BT48" s="239">
        <v>-390</v>
      </c>
      <c r="BU48" s="239">
        <v>-1221.007438016529</v>
      </c>
      <c r="BV48" s="239">
        <v>-274.72667355371902</v>
      </c>
      <c r="BW48" s="239">
        <v>-30.525185950413224</v>
      </c>
      <c r="BX48" s="239">
        <v>0</v>
      </c>
      <c r="BY48" s="239">
        <v>0</v>
      </c>
      <c r="BZ48" s="239">
        <v>0</v>
      </c>
      <c r="CA48" s="239">
        <v>-1221</v>
      </c>
      <c r="CB48" s="239">
        <v>-275</v>
      </c>
      <c r="CC48" s="239">
        <v>-31</v>
      </c>
      <c r="CD48" s="239">
        <v>0</v>
      </c>
      <c r="CE48" s="239">
        <v>0</v>
      </c>
      <c r="CF48" s="239">
        <v>0</v>
      </c>
      <c r="CG48" s="239">
        <v>0</v>
      </c>
      <c r="CH48" s="239">
        <v>0</v>
      </c>
      <c r="CI48" s="239">
        <v>0</v>
      </c>
      <c r="CJ48" s="239">
        <v>0</v>
      </c>
      <c r="CK48" s="239">
        <v>0</v>
      </c>
      <c r="CL48" s="239">
        <v>0</v>
      </c>
      <c r="CM48" s="239">
        <v>8243.1190082644625</v>
      </c>
      <c r="CN48" s="239">
        <v>1854.701776859504</v>
      </c>
      <c r="CO48" s="239">
        <v>206.07797520661157</v>
      </c>
      <c r="CP48" s="239">
        <v>10411</v>
      </c>
      <c r="CQ48" s="239">
        <v>2342</v>
      </c>
      <c r="CR48" s="239">
        <v>260</v>
      </c>
      <c r="CS48" s="239">
        <v>-2168</v>
      </c>
      <c r="CT48" s="239">
        <v>-487</v>
      </c>
      <c r="CU48" s="239">
        <v>-54</v>
      </c>
      <c r="CV48" s="239">
        <v>572706.61983471073</v>
      </c>
      <c r="CW48" s="239">
        <v>128858.9894628099</v>
      </c>
      <c r="CX48" s="239">
        <v>14317.66549586777</v>
      </c>
      <c r="CY48" s="239">
        <v>578128</v>
      </c>
      <c r="CZ48" s="239">
        <v>130079</v>
      </c>
      <c r="DA48" s="239">
        <v>14453</v>
      </c>
      <c r="DB48" s="239">
        <v>-5421</v>
      </c>
      <c r="DC48" s="239">
        <v>-1220</v>
      </c>
      <c r="DD48" s="239">
        <v>-135</v>
      </c>
      <c r="DE48" s="641">
        <v>0.5</v>
      </c>
      <c r="DF48" s="641">
        <v>0.4</v>
      </c>
      <c r="DG48" s="641">
        <v>0.09</v>
      </c>
      <c r="DH48" s="641">
        <v>0.01</v>
      </c>
      <c r="DI48" s="214" t="s">
        <v>1190</v>
      </c>
    </row>
    <row r="49" spans="2:113" s="214" customFormat="1" x14ac:dyDescent="0.2">
      <c r="B49" s="609" t="s">
        <v>180</v>
      </c>
      <c r="C49" s="609" t="s">
        <v>179</v>
      </c>
      <c r="D49" s="239">
        <v>-2306427</v>
      </c>
      <c r="E49" s="239">
        <v>0</v>
      </c>
      <c r="F49" s="239">
        <v>-2306427</v>
      </c>
      <c r="G49" s="239">
        <v>0</v>
      </c>
      <c r="H49" s="239">
        <v>0</v>
      </c>
      <c r="I49" s="239">
        <v>0</v>
      </c>
      <c r="J49" s="239">
        <v>-2306427</v>
      </c>
      <c r="K49" s="239">
        <v>0</v>
      </c>
      <c r="L49" s="239">
        <v>-2306427</v>
      </c>
      <c r="M49" s="239">
        <v>1168748</v>
      </c>
      <c r="N49" s="239">
        <v>1168748</v>
      </c>
      <c r="O49" s="239">
        <v>0</v>
      </c>
      <c r="P49" s="239">
        <v>0</v>
      </c>
      <c r="Q49" s="239">
        <v>0</v>
      </c>
      <c r="R49" s="239">
        <v>0</v>
      </c>
      <c r="S49" s="239">
        <v>0</v>
      </c>
      <c r="T49" s="239">
        <v>0</v>
      </c>
      <c r="U49" s="239">
        <v>0</v>
      </c>
      <c r="V49" s="239">
        <v>0</v>
      </c>
      <c r="W49" s="239">
        <v>0</v>
      </c>
      <c r="X49" s="239">
        <v>0</v>
      </c>
      <c r="Y49" s="239">
        <v>0</v>
      </c>
      <c r="Z49" s="239">
        <v>0</v>
      </c>
      <c r="AA49" s="239">
        <v>0</v>
      </c>
      <c r="AB49" s="239">
        <v>0</v>
      </c>
      <c r="AC49" s="239">
        <v>0</v>
      </c>
      <c r="AD49" s="239">
        <v>0</v>
      </c>
      <c r="AE49" s="239">
        <v>0</v>
      </c>
      <c r="AF49" s="239">
        <v>0</v>
      </c>
      <c r="AG49" s="239">
        <v>0</v>
      </c>
      <c r="AH49" s="239">
        <v>0</v>
      </c>
      <c r="AI49" s="239">
        <v>0</v>
      </c>
      <c r="AJ49" s="239">
        <v>0</v>
      </c>
      <c r="AK49" s="239">
        <v>533609.92345041316</v>
      </c>
      <c r="AL49" s="239">
        <v>355739.9489669422</v>
      </c>
      <c r="AM49" s="239">
        <v>0</v>
      </c>
      <c r="AN49" s="239">
        <v>454548</v>
      </c>
      <c r="AO49" s="239">
        <v>303032</v>
      </c>
      <c r="AP49" s="239">
        <v>0</v>
      </c>
      <c r="AQ49" s="239">
        <v>79062</v>
      </c>
      <c r="AR49" s="239">
        <v>52708</v>
      </c>
      <c r="AS49" s="239">
        <v>0</v>
      </c>
      <c r="AT49" s="239">
        <v>0</v>
      </c>
      <c r="AU49" s="239">
        <v>0</v>
      </c>
      <c r="AV49" s="239">
        <v>0</v>
      </c>
      <c r="AW49" s="239">
        <v>0</v>
      </c>
      <c r="AX49" s="239">
        <v>0</v>
      </c>
      <c r="AY49" s="239">
        <v>0</v>
      </c>
      <c r="AZ49" s="239">
        <v>0</v>
      </c>
      <c r="BA49" s="239">
        <v>0</v>
      </c>
      <c r="BB49" s="239">
        <v>0</v>
      </c>
      <c r="BC49" s="239">
        <v>0</v>
      </c>
      <c r="BD49" s="239">
        <v>0</v>
      </c>
      <c r="BE49" s="239">
        <v>0</v>
      </c>
      <c r="BF49" s="239">
        <v>0</v>
      </c>
      <c r="BG49" s="239">
        <v>0</v>
      </c>
      <c r="BH49" s="239">
        <v>0</v>
      </c>
      <c r="BI49" s="239">
        <v>0</v>
      </c>
      <c r="BJ49" s="239">
        <v>0</v>
      </c>
      <c r="BK49" s="239">
        <v>0</v>
      </c>
      <c r="BL49" s="239">
        <v>9471.9378099173537</v>
      </c>
      <c r="BM49" s="239">
        <v>6314.6252066115703</v>
      </c>
      <c r="BN49" s="239">
        <v>0</v>
      </c>
      <c r="BO49" s="239">
        <v>0</v>
      </c>
      <c r="BP49" s="239">
        <v>0</v>
      </c>
      <c r="BQ49" s="239">
        <v>0</v>
      </c>
      <c r="BR49" s="239">
        <v>9472</v>
      </c>
      <c r="BS49" s="239">
        <v>6315</v>
      </c>
      <c r="BT49" s="239">
        <v>0</v>
      </c>
      <c r="BU49" s="239">
        <v>-5716.7008264462811</v>
      </c>
      <c r="BV49" s="239">
        <v>-3811.133884297521</v>
      </c>
      <c r="BW49" s="239">
        <v>0</v>
      </c>
      <c r="BX49" s="239">
        <v>0</v>
      </c>
      <c r="BY49" s="239">
        <v>0</v>
      </c>
      <c r="BZ49" s="239">
        <v>0</v>
      </c>
      <c r="CA49" s="239">
        <v>-5717</v>
      </c>
      <c r="CB49" s="239">
        <v>-3811</v>
      </c>
      <c r="CC49" s="239">
        <v>0</v>
      </c>
      <c r="CD49" s="239">
        <v>0</v>
      </c>
      <c r="CE49" s="239">
        <v>0</v>
      </c>
      <c r="CF49" s="239">
        <v>0</v>
      </c>
      <c r="CG49" s="239">
        <v>0</v>
      </c>
      <c r="CH49" s="239">
        <v>0</v>
      </c>
      <c r="CI49" s="239">
        <v>0</v>
      </c>
      <c r="CJ49" s="239">
        <v>0</v>
      </c>
      <c r="CK49" s="239">
        <v>0</v>
      </c>
      <c r="CL49" s="239">
        <v>0</v>
      </c>
      <c r="CM49" s="239">
        <v>13920.458677685951</v>
      </c>
      <c r="CN49" s="239">
        <v>9280.3057851239682</v>
      </c>
      <c r="CO49" s="239">
        <v>0</v>
      </c>
      <c r="CP49" s="239">
        <v>27478</v>
      </c>
      <c r="CQ49" s="239">
        <v>18318</v>
      </c>
      <c r="CR49" s="239">
        <v>0</v>
      </c>
      <c r="CS49" s="239">
        <v>-13558</v>
      </c>
      <c r="CT49" s="239">
        <v>-9038</v>
      </c>
      <c r="CU49" s="239">
        <v>0</v>
      </c>
      <c r="CV49" s="239">
        <v>2243001.9297520663</v>
      </c>
      <c r="CW49" s="239">
        <v>1495334.6198347108</v>
      </c>
      <c r="CX49" s="239">
        <v>0</v>
      </c>
      <c r="CY49" s="239">
        <v>2273554</v>
      </c>
      <c r="CZ49" s="239">
        <v>1515702</v>
      </c>
      <c r="DA49" s="239">
        <v>0</v>
      </c>
      <c r="DB49" s="239">
        <v>-30552</v>
      </c>
      <c r="DC49" s="239">
        <v>-20367</v>
      </c>
      <c r="DD49" s="239">
        <v>0</v>
      </c>
      <c r="DE49" s="641">
        <v>0.5</v>
      </c>
      <c r="DF49" s="641">
        <v>0.3</v>
      </c>
      <c r="DG49" s="641">
        <v>0.2</v>
      </c>
      <c r="DH49" s="641">
        <v>0</v>
      </c>
      <c r="DI49" s="214" t="s">
        <v>1193</v>
      </c>
    </row>
    <row r="50" spans="2:113" s="214" customFormat="1" x14ac:dyDescent="0.2">
      <c r="B50" s="609" t="s">
        <v>182</v>
      </c>
      <c r="C50" s="609" t="s">
        <v>181</v>
      </c>
      <c r="D50" s="239">
        <v>0</v>
      </c>
      <c r="E50" s="239">
        <v>0</v>
      </c>
      <c r="F50" s="239">
        <v>0</v>
      </c>
      <c r="G50" s="239">
        <v>0</v>
      </c>
      <c r="H50" s="239">
        <v>0</v>
      </c>
      <c r="I50" s="239">
        <v>0</v>
      </c>
      <c r="J50" s="239">
        <v>0</v>
      </c>
      <c r="K50" s="239">
        <v>0</v>
      </c>
      <c r="L50" s="239">
        <v>0</v>
      </c>
      <c r="M50" s="239">
        <v>136708</v>
      </c>
      <c r="N50" s="239">
        <v>136708</v>
      </c>
      <c r="O50" s="239">
        <v>0</v>
      </c>
      <c r="P50" s="239">
        <v>0</v>
      </c>
      <c r="Q50" s="239">
        <v>0</v>
      </c>
      <c r="R50" s="239">
        <v>0</v>
      </c>
      <c r="S50" s="239">
        <v>0</v>
      </c>
      <c r="T50" s="239">
        <v>0</v>
      </c>
      <c r="U50" s="239">
        <v>0</v>
      </c>
      <c r="V50" s="239">
        <v>0</v>
      </c>
      <c r="W50" s="239">
        <v>0</v>
      </c>
      <c r="X50" s="239">
        <v>0</v>
      </c>
      <c r="Y50" s="239">
        <v>0</v>
      </c>
      <c r="Z50" s="239">
        <v>0</v>
      </c>
      <c r="AA50" s="239">
        <v>0</v>
      </c>
      <c r="AB50" s="239">
        <v>0</v>
      </c>
      <c r="AC50" s="239">
        <v>0</v>
      </c>
      <c r="AD50" s="239">
        <v>0</v>
      </c>
      <c r="AE50" s="239">
        <v>0</v>
      </c>
      <c r="AF50" s="239">
        <v>0</v>
      </c>
      <c r="AG50" s="239">
        <v>0</v>
      </c>
      <c r="AH50" s="239">
        <v>0</v>
      </c>
      <c r="AI50" s="239">
        <v>0</v>
      </c>
      <c r="AJ50" s="239">
        <v>0</v>
      </c>
      <c r="AK50" s="239">
        <v>544769.36942148756</v>
      </c>
      <c r="AL50" s="239">
        <v>122573.10811983469</v>
      </c>
      <c r="AM50" s="239">
        <v>13619.234235537189</v>
      </c>
      <c r="AN50" s="239">
        <v>525639</v>
      </c>
      <c r="AO50" s="239">
        <v>118269</v>
      </c>
      <c r="AP50" s="239">
        <v>13141</v>
      </c>
      <c r="AQ50" s="239">
        <v>19130</v>
      </c>
      <c r="AR50" s="239">
        <v>4304</v>
      </c>
      <c r="AS50" s="239">
        <v>478</v>
      </c>
      <c r="AT50" s="239">
        <v>0</v>
      </c>
      <c r="AU50" s="239">
        <v>0</v>
      </c>
      <c r="AV50" s="239">
        <v>0</v>
      </c>
      <c r="AW50" s="239">
        <v>1719</v>
      </c>
      <c r="AX50" s="239">
        <v>387</v>
      </c>
      <c r="AY50" s="239">
        <v>43</v>
      </c>
      <c r="AZ50" s="239">
        <v>-1719</v>
      </c>
      <c r="BA50" s="239">
        <v>-387</v>
      </c>
      <c r="BB50" s="239">
        <v>-43</v>
      </c>
      <c r="BC50" s="239">
        <v>0</v>
      </c>
      <c r="BD50" s="239">
        <v>0</v>
      </c>
      <c r="BE50" s="239">
        <v>0</v>
      </c>
      <c r="BF50" s="239">
        <v>0</v>
      </c>
      <c r="BG50" s="239">
        <v>0</v>
      </c>
      <c r="BH50" s="239">
        <v>0</v>
      </c>
      <c r="BI50" s="239">
        <v>0</v>
      </c>
      <c r="BJ50" s="239">
        <v>0</v>
      </c>
      <c r="BK50" s="239">
        <v>0</v>
      </c>
      <c r="BL50" s="239">
        <v>8742.2347107438018</v>
      </c>
      <c r="BM50" s="239">
        <v>1967.0028099173553</v>
      </c>
      <c r="BN50" s="239">
        <v>218.55586776859505</v>
      </c>
      <c r="BO50" s="239">
        <v>10839</v>
      </c>
      <c r="BP50" s="239">
        <v>2439</v>
      </c>
      <c r="BQ50" s="239">
        <v>271</v>
      </c>
      <c r="BR50" s="239">
        <v>-2097</v>
      </c>
      <c r="BS50" s="239">
        <v>-472</v>
      </c>
      <c r="BT50" s="239">
        <v>-52</v>
      </c>
      <c r="BU50" s="239">
        <v>7305.7553719008274</v>
      </c>
      <c r="BV50" s="239">
        <v>1643.7949586776861</v>
      </c>
      <c r="BW50" s="239">
        <v>182.64388429752069</v>
      </c>
      <c r="BX50" s="239">
        <v>0</v>
      </c>
      <c r="BY50" s="239">
        <v>0</v>
      </c>
      <c r="BZ50" s="239">
        <v>0</v>
      </c>
      <c r="CA50" s="239">
        <v>7306</v>
      </c>
      <c r="CB50" s="239">
        <v>1644</v>
      </c>
      <c r="CC50" s="239">
        <v>183</v>
      </c>
      <c r="CD50" s="239">
        <v>0</v>
      </c>
      <c r="CE50" s="239">
        <v>0</v>
      </c>
      <c r="CF50" s="239">
        <v>0</v>
      </c>
      <c r="CG50" s="239">
        <v>0</v>
      </c>
      <c r="CH50" s="239">
        <v>0</v>
      </c>
      <c r="CI50" s="239">
        <v>0</v>
      </c>
      <c r="CJ50" s="239">
        <v>0</v>
      </c>
      <c r="CK50" s="239">
        <v>0</v>
      </c>
      <c r="CL50" s="239">
        <v>0</v>
      </c>
      <c r="CM50" s="239">
        <v>2639.2264462809917</v>
      </c>
      <c r="CN50" s="239">
        <v>593.82595041322315</v>
      </c>
      <c r="CO50" s="239">
        <v>65.980661157024798</v>
      </c>
      <c r="CP50" s="239">
        <v>1644</v>
      </c>
      <c r="CQ50" s="239">
        <v>370</v>
      </c>
      <c r="CR50" s="239">
        <v>41</v>
      </c>
      <c r="CS50" s="239">
        <v>995</v>
      </c>
      <c r="CT50" s="239">
        <v>224</v>
      </c>
      <c r="CU50" s="239">
        <v>25</v>
      </c>
      <c r="CV50" s="239">
        <v>198547.31735537192</v>
      </c>
      <c r="CW50" s="239">
        <v>44673.146404958679</v>
      </c>
      <c r="CX50" s="239">
        <v>4963.6829338842972</v>
      </c>
      <c r="CY50" s="239">
        <v>212482</v>
      </c>
      <c r="CZ50" s="239">
        <v>47808</v>
      </c>
      <c r="DA50" s="239">
        <v>5312</v>
      </c>
      <c r="DB50" s="239">
        <v>-13935</v>
      </c>
      <c r="DC50" s="239">
        <v>-3135</v>
      </c>
      <c r="DD50" s="239">
        <v>-348</v>
      </c>
      <c r="DE50" s="641">
        <v>0.5</v>
      </c>
      <c r="DF50" s="641">
        <v>0.4</v>
      </c>
      <c r="DG50" s="641">
        <v>0.09</v>
      </c>
      <c r="DH50" s="641">
        <v>0.01</v>
      </c>
      <c r="DI50" s="214" t="s">
        <v>1190</v>
      </c>
    </row>
    <row r="51" spans="2:113" s="214" customFormat="1" x14ac:dyDescent="0.2">
      <c r="B51" s="609" t="s">
        <v>184</v>
      </c>
      <c r="C51" s="609" t="s">
        <v>183</v>
      </c>
      <c r="D51" s="239">
        <v>-52242</v>
      </c>
      <c r="E51" s="239">
        <v>0</v>
      </c>
      <c r="F51" s="239">
        <v>-52242</v>
      </c>
      <c r="G51" s="239">
        <v>0</v>
      </c>
      <c r="H51" s="239">
        <v>0</v>
      </c>
      <c r="I51" s="239">
        <v>0</v>
      </c>
      <c r="J51" s="239">
        <v>-52242</v>
      </c>
      <c r="K51" s="239">
        <v>0</v>
      </c>
      <c r="L51" s="239">
        <v>-52242</v>
      </c>
      <c r="M51" s="239">
        <v>232519</v>
      </c>
      <c r="N51" s="239">
        <v>232519</v>
      </c>
      <c r="O51" s="239">
        <v>0</v>
      </c>
      <c r="P51" s="239">
        <v>0</v>
      </c>
      <c r="Q51" s="239">
        <v>0</v>
      </c>
      <c r="R51" s="239">
        <v>0</v>
      </c>
      <c r="S51" s="239">
        <v>415910</v>
      </c>
      <c r="T51" s="239">
        <v>0</v>
      </c>
      <c r="U51" s="239">
        <v>0</v>
      </c>
      <c r="V51" s="239">
        <v>0</v>
      </c>
      <c r="W51" s="239">
        <v>415910</v>
      </c>
      <c r="X51" s="239">
        <v>0</v>
      </c>
      <c r="Y51" s="239">
        <v>0</v>
      </c>
      <c r="Z51" s="239">
        <v>0</v>
      </c>
      <c r="AA51" s="239">
        <v>0</v>
      </c>
      <c r="AB51" s="239">
        <v>0</v>
      </c>
      <c r="AC51" s="239">
        <v>0</v>
      </c>
      <c r="AD51" s="239">
        <v>0</v>
      </c>
      <c r="AE51" s="239">
        <v>0</v>
      </c>
      <c r="AF51" s="239">
        <v>0</v>
      </c>
      <c r="AG51" s="239">
        <v>0</v>
      </c>
      <c r="AH51" s="239">
        <v>0</v>
      </c>
      <c r="AI51" s="239">
        <v>0</v>
      </c>
      <c r="AJ51" s="239">
        <v>0</v>
      </c>
      <c r="AK51" s="239">
        <v>759208.95289256203</v>
      </c>
      <c r="AL51" s="239">
        <v>170822.01440082645</v>
      </c>
      <c r="AM51" s="239">
        <v>18980.223822314052</v>
      </c>
      <c r="AN51" s="239">
        <v>709282</v>
      </c>
      <c r="AO51" s="239">
        <v>159588</v>
      </c>
      <c r="AP51" s="239">
        <v>17732</v>
      </c>
      <c r="AQ51" s="239">
        <v>49927</v>
      </c>
      <c r="AR51" s="239">
        <v>11234</v>
      </c>
      <c r="AS51" s="239">
        <v>1248</v>
      </c>
      <c r="AT51" s="239">
        <v>1680.7619834710742</v>
      </c>
      <c r="AU51" s="239">
        <v>378.17144628099169</v>
      </c>
      <c r="AV51" s="239">
        <v>42.019049586776859</v>
      </c>
      <c r="AW51" s="239">
        <v>693</v>
      </c>
      <c r="AX51" s="239">
        <v>156</v>
      </c>
      <c r="AY51" s="239">
        <v>17</v>
      </c>
      <c r="AZ51" s="239">
        <v>988</v>
      </c>
      <c r="BA51" s="239">
        <v>222</v>
      </c>
      <c r="BB51" s="239">
        <v>25</v>
      </c>
      <c r="BC51" s="239">
        <v>0</v>
      </c>
      <c r="BD51" s="239">
        <v>0</v>
      </c>
      <c r="BE51" s="239">
        <v>0</v>
      </c>
      <c r="BF51" s="239">
        <v>0</v>
      </c>
      <c r="BG51" s="239">
        <v>0</v>
      </c>
      <c r="BH51" s="239">
        <v>0</v>
      </c>
      <c r="BI51" s="239">
        <v>0</v>
      </c>
      <c r="BJ51" s="239">
        <v>0</v>
      </c>
      <c r="BK51" s="239">
        <v>0</v>
      </c>
      <c r="BL51" s="239">
        <v>4216.9190082644627</v>
      </c>
      <c r="BM51" s="239">
        <v>948.806776859504</v>
      </c>
      <c r="BN51" s="239">
        <v>105.42297520661157</v>
      </c>
      <c r="BO51" s="239">
        <v>18820</v>
      </c>
      <c r="BP51" s="239">
        <v>4235</v>
      </c>
      <c r="BQ51" s="239">
        <v>471</v>
      </c>
      <c r="BR51" s="239">
        <v>-14603</v>
      </c>
      <c r="BS51" s="239">
        <v>-3286</v>
      </c>
      <c r="BT51" s="239">
        <v>-366</v>
      </c>
      <c r="BU51" s="239">
        <v>-4806.5247933884302</v>
      </c>
      <c r="BV51" s="239">
        <v>-1081.4680785123967</v>
      </c>
      <c r="BW51" s="239">
        <v>-120.16311983471074</v>
      </c>
      <c r="BX51" s="239">
        <v>0</v>
      </c>
      <c r="BY51" s="239">
        <v>0</v>
      </c>
      <c r="BZ51" s="239">
        <v>0</v>
      </c>
      <c r="CA51" s="239">
        <v>-4807</v>
      </c>
      <c r="CB51" s="239">
        <v>-1081</v>
      </c>
      <c r="CC51" s="239">
        <v>-120</v>
      </c>
      <c r="CD51" s="239">
        <v>0</v>
      </c>
      <c r="CE51" s="239">
        <v>0</v>
      </c>
      <c r="CF51" s="239">
        <v>0</v>
      </c>
      <c r="CG51" s="239">
        <v>0</v>
      </c>
      <c r="CH51" s="239">
        <v>0</v>
      </c>
      <c r="CI51" s="239">
        <v>0</v>
      </c>
      <c r="CJ51" s="239">
        <v>0</v>
      </c>
      <c r="CK51" s="239">
        <v>0</v>
      </c>
      <c r="CL51" s="239">
        <v>0</v>
      </c>
      <c r="CM51" s="239">
        <v>4485.954545454546</v>
      </c>
      <c r="CN51" s="239">
        <v>1009.3397727272727</v>
      </c>
      <c r="CO51" s="239">
        <v>112.14886363636364</v>
      </c>
      <c r="CP51" s="239">
        <v>4385</v>
      </c>
      <c r="CQ51" s="239">
        <v>987</v>
      </c>
      <c r="CR51" s="239">
        <v>110</v>
      </c>
      <c r="CS51" s="239">
        <v>101</v>
      </c>
      <c r="CT51" s="239">
        <v>22</v>
      </c>
      <c r="CU51" s="239">
        <v>2</v>
      </c>
      <c r="CV51" s="239">
        <v>313546.90413223137</v>
      </c>
      <c r="CW51" s="239">
        <v>69194.627293388417</v>
      </c>
      <c r="CX51" s="239">
        <v>7688.2919214876038</v>
      </c>
      <c r="CY51" s="239">
        <v>287852</v>
      </c>
      <c r="CZ51" s="239">
        <v>64767</v>
      </c>
      <c r="DA51" s="239">
        <v>7196</v>
      </c>
      <c r="DB51" s="239">
        <v>25695</v>
      </c>
      <c r="DC51" s="239">
        <v>4428</v>
      </c>
      <c r="DD51" s="239">
        <v>492</v>
      </c>
      <c r="DE51" s="641">
        <v>0.5</v>
      </c>
      <c r="DF51" s="641">
        <v>0.4</v>
      </c>
      <c r="DG51" s="641">
        <v>0.09</v>
      </c>
      <c r="DH51" s="641">
        <v>0.01</v>
      </c>
      <c r="DI51" s="214" t="s">
        <v>1190</v>
      </c>
    </row>
    <row r="52" spans="2:113" s="214" customFormat="1" x14ac:dyDescent="0.2">
      <c r="B52" s="609" t="s">
        <v>186</v>
      </c>
      <c r="C52" s="609" t="s">
        <v>185</v>
      </c>
      <c r="D52" s="239">
        <v>-60727</v>
      </c>
      <c r="E52" s="239">
        <v>0</v>
      </c>
      <c r="F52" s="239">
        <v>-60727</v>
      </c>
      <c r="G52" s="239">
        <v>0</v>
      </c>
      <c r="H52" s="239">
        <v>0</v>
      </c>
      <c r="I52" s="239">
        <v>0</v>
      </c>
      <c r="J52" s="239">
        <v>-60727</v>
      </c>
      <c r="K52" s="239">
        <v>0</v>
      </c>
      <c r="L52" s="239">
        <v>-60727</v>
      </c>
      <c r="M52" s="239">
        <v>181291</v>
      </c>
      <c r="N52" s="239">
        <v>181291</v>
      </c>
      <c r="O52" s="239">
        <v>0</v>
      </c>
      <c r="P52" s="239">
        <v>0</v>
      </c>
      <c r="Q52" s="239">
        <v>0</v>
      </c>
      <c r="R52" s="239">
        <v>0</v>
      </c>
      <c r="S52" s="239">
        <v>53054</v>
      </c>
      <c r="T52" s="239">
        <v>0</v>
      </c>
      <c r="U52" s="239">
        <v>26601</v>
      </c>
      <c r="V52" s="239">
        <v>0</v>
      </c>
      <c r="W52" s="239">
        <v>26453</v>
      </c>
      <c r="X52" s="239">
        <v>0</v>
      </c>
      <c r="Y52" s="239">
        <v>0</v>
      </c>
      <c r="Z52" s="239">
        <v>0</v>
      </c>
      <c r="AA52" s="239">
        <v>0</v>
      </c>
      <c r="AB52" s="239">
        <v>0</v>
      </c>
      <c r="AC52" s="239">
        <v>0</v>
      </c>
      <c r="AD52" s="239">
        <v>0</v>
      </c>
      <c r="AE52" s="239">
        <v>0</v>
      </c>
      <c r="AF52" s="239">
        <v>0</v>
      </c>
      <c r="AG52" s="239">
        <v>0</v>
      </c>
      <c r="AH52" s="239">
        <v>0</v>
      </c>
      <c r="AI52" s="239">
        <v>0</v>
      </c>
      <c r="AJ52" s="239">
        <v>0</v>
      </c>
      <c r="AK52" s="239">
        <v>587591.46776859509</v>
      </c>
      <c r="AL52" s="239">
        <v>140956.91911157026</v>
      </c>
      <c r="AM52" s="239">
        <v>0</v>
      </c>
      <c r="AN52" s="239">
        <v>533350</v>
      </c>
      <c r="AO52" s="239">
        <v>128188</v>
      </c>
      <c r="AP52" s="239">
        <v>0</v>
      </c>
      <c r="AQ52" s="239">
        <v>54241</v>
      </c>
      <c r="AR52" s="239">
        <v>12769</v>
      </c>
      <c r="AS52" s="239">
        <v>0</v>
      </c>
      <c r="AT52" s="239">
        <v>7843.4206611570244</v>
      </c>
      <c r="AU52" s="239">
        <v>1007.7673553719007</v>
      </c>
      <c r="AV52" s="239">
        <v>0</v>
      </c>
      <c r="AW52" s="239">
        <v>5807</v>
      </c>
      <c r="AX52" s="239">
        <v>1452</v>
      </c>
      <c r="AY52" s="239">
        <v>0</v>
      </c>
      <c r="AZ52" s="239">
        <v>2036</v>
      </c>
      <c r="BA52" s="239">
        <v>-444</v>
      </c>
      <c r="BB52" s="239">
        <v>0</v>
      </c>
      <c r="BC52" s="239">
        <v>157.44462809917357</v>
      </c>
      <c r="BD52" s="239">
        <v>39.361157024793393</v>
      </c>
      <c r="BE52" s="239">
        <v>0</v>
      </c>
      <c r="BF52" s="239">
        <v>1448</v>
      </c>
      <c r="BG52" s="239">
        <v>362</v>
      </c>
      <c r="BH52" s="239">
        <v>0</v>
      </c>
      <c r="BI52" s="239">
        <v>-1291</v>
      </c>
      <c r="BJ52" s="239">
        <v>-323</v>
      </c>
      <c r="BK52" s="239">
        <v>0</v>
      </c>
      <c r="BL52" s="239">
        <v>14111.177685950413</v>
      </c>
      <c r="BM52" s="239">
        <v>3527.7944214876034</v>
      </c>
      <c r="BN52" s="239">
        <v>0</v>
      </c>
      <c r="BO52" s="239">
        <v>25080</v>
      </c>
      <c r="BP52" s="239">
        <v>6270</v>
      </c>
      <c r="BQ52" s="239">
        <v>0</v>
      </c>
      <c r="BR52" s="239">
        <v>-10969</v>
      </c>
      <c r="BS52" s="239">
        <v>-2742</v>
      </c>
      <c r="BT52" s="239">
        <v>0</v>
      </c>
      <c r="BU52" s="239">
        <v>7085.4140495867778</v>
      </c>
      <c r="BV52" s="239">
        <v>1390.929958677686</v>
      </c>
      <c r="BW52" s="239">
        <v>0</v>
      </c>
      <c r="BX52" s="239">
        <v>0</v>
      </c>
      <c r="BY52" s="239">
        <v>0</v>
      </c>
      <c r="BZ52" s="239">
        <v>0</v>
      </c>
      <c r="CA52" s="239">
        <v>7085</v>
      </c>
      <c r="CB52" s="239">
        <v>1391</v>
      </c>
      <c r="CC52" s="239">
        <v>0</v>
      </c>
      <c r="CD52" s="239">
        <v>92075.485123966952</v>
      </c>
      <c r="CE52" s="239">
        <v>23018.871280991738</v>
      </c>
      <c r="CF52" s="239">
        <v>0</v>
      </c>
      <c r="CG52" s="239">
        <v>0</v>
      </c>
      <c r="CH52" s="239">
        <v>0</v>
      </c>
      <c r="CI52" s="239">
        <v>0</v>
      </c>
      <c r="CJ52" s="239">
        <v>92075</v>
      </c>
      <c r="CK52" s="239">
        <v>23019</v>
      </c>
      <c r="CL52" s="239">
        <v>0</v>
      </c>
      <c r="CM52" s="239">
        <v>3303.0909090909095</v>
      </c>
      <c r="CN52" s="239">
        <v>824.75826446280996</v>
      </c>
      <c r="CO52" s="239">
        <v>0</v>
      </c>
      <c r="CP52" s="239">
        <v>3246</v>
      </c>
      <c r="CQ52" s="239">
        <v>812</v>
      </c>
      <c r="CR52" s="239">
        <v>0</v>
      </c>
      <c r="CS52" s="239">
        <v>57</v>
      </c>
      <c r="CT52" s="239">
        <v>13</v>
      </c>
      <c r="CU52" s="239">
        <v>0</v>
      </c>
      <c r="CV52" s="239">
        <v>255910.30991735536</v>
      </c>
      <c r="CW52" s="239">
        <v>63785.75</v>
      </c>
      <c r="CX52" s="239">
        <v>0</v>
      </c>
      <c r="CY52" s="239">
        <v>255825</v>
      </c>
      <c r="CZ52" s="239">
        <v>63860</v>
      </c>
      <c r="DA52" s="239">
        <v>0</v>
      </c>
      <c r="DB52" s="239">
        <v>85</v>
      </c>
      <c r="DC52" s="239">
        <v>-74</v>
      </c>
      <c r="DD52" s="239">
        <v>0</v>
      </c>
      <c r="DE52" s="641">
        <v>0.5</v>
      </c>
      <c r="DF52" s="641">
        <v>0.4</v>
      </c>
      <c r="DG52" s="641">
        <v>0.1</v>
      </c>
      <c r="DH52" s="641">
        <v>0</v>
      </c>
      <c r="DI52" s="214" t="s">
        <v>1190</v>
      </c>
    </row>
    <row r="53" spans="2:113" s="214" customFormat="1" x14ac:dyDescent="0.2">
      <c r="B53" s="609" t="s">
        <v>188</v>
      </c>
      <c r="C53" s="609" t="s">
        <v>187</v>
      </c>
      <c r="D53" s="239">
        <v>-69650</v>
      </c>
      <c r="E53" s="239">
        <v>0</v>
      </c>
      <c r="F53" s="239">
        <v>-69650</v>
      </c>
      <c r="G53" s="239">
        <v>0</v>
      </c>
      <c r="H53" s="239">
        <v>0</v>
      </c>
      <c r="I53" s="239">
        <v>0</v>
      </c>
      <c r="J53" s="239">
        <v>-69650</v>
      </c>
      <c r="K53" s="239">
        <v>0</v>
      </c>
      <c r="L53" s="239">
        <v>-69650</v>
      </c>
      <c r="M53" s="239">
        <v>81221</v>
      </c>
      <c r="N53" s="239">
        <v>81221</v>
      </c>
      <c r="O53" s="239">
        <v>0</v>
      </c>
      <c r="P53" s="239">
        <v>0</v>
      </c>
      <c r="Q53" s="239">
        <v>0</v>
      </c>
      <c r="R53" s="239">
        <v>0</v>
      </c>
      <c r="S53" s="239">
        <v>0</v>
      </c>
      <c r="T53" s="239">
        <v>0</v>
      </c>
      <c r="U53" s="239">
        <v>0</v>
      </c>
      <c r="V53" s="239">
        <v>0</v>
      </c>
      <c r="W53" s="239">
        <v>0</v>
      </c>
      <c r="X53" s="239">
        <v>0</v>
      </c>
      <c r="Y53" s="239">
        <v>0</v>
      </c>
      <c r="Z53" s="239">
        <v>0</v>
      </c>
      <c r="AA53" s="239">
        <v>0</v>
      </c>
      <c r="AB53" s="239">
        <v>0</v>
      </c>
      <c r="AC53" s="239">
        <v>0</v>
      </c>
      <c r="AD53" s="239">
        <v>0</v>
      </c>
      <c r="AE53" s="239">
        <v>0</v>
      </c>
      <c r="AF53" s="239">
        <v>0</v>
      </c>
      <c r="AG53" s="239">
        <v>0</v>
      </c>
      <c r="AH53" s="239">
        <v>0</v>
      </c>
      <c r="AI53" s="239">
        <v>0</v>
      </c>
      <c r="AJ53" s="239">
        <v>0</v>
      </c>
      <c r="AK53" s="239">
        <v>387350.91446280992</v>
      </c>
      <c r="AL53" s="239">
        <v>87153.955754132243</v>
      </c>
      <c r="AM53" s="239">
        <v>9683.772861570249</v>
      </c>
      <c r="AN53" s="239">
        <v>368218</v>
      </c>
      <c r="AO53" s="239">
        <v>82849</v>
      </c>
      <c r="AP53" s="239">
        <v>9205</v>
      </c>
      <c r="AQ53" s="239">
        <v>19133</v>
      </c>
      <c r="AR53" s="239">
        <v>4305</v>
      </c>
      <c r="AS53" s="239">
        <v>479</v>
      </c>
      <c r="AT53" s="239">
        <v>3374.5090909090914</v>
      </c>
      <c r="AU53" s="239">
        <v>759.26454545454544</v>
      </c>
      <c r="AV53" s="239">
        <v>84.362727272727284</v>
      </c>
      <c r="AW53" s="239">
        <v>767</v>
      </c>
      <c r="AX53" s="239">
        <v>172</v>
      </c>
      <c r="AY53" s="239">
        <v>19</v>
      </c>
      <c r="AZ53" s="239">
        <v>2608</v>
      </c>
      <c r="BA53" s="239">
        <v>587</v>
      </c>
      <c r="BB53" s="239">
        <v>65</v>
      </c>
      <c r="BC53" s="239">
        <v>0</v>
      </c>
      <c r="BD53" s="239">
        <v>0</v>
      </c>
      <c r="BE53" s="239">
        <v>0</v>
      </c>
      <c r="BF53" s="239">
        <v>0</v>
      </c>
      <c r="BG53" s="239">
        <v>0</v>
      </c>
      <c r="BH53" s="239">
        <v>0</v>
      </c>
      <c r="BI53" s="239">
        <v>0</v>
      </c>
      <c r="BJ53" s="239">
        <v>0</v>
      </c>
      <c r="BK53" s="239">
        <v>0</v>
      </c>
      <c r="BL53" s="239">
        <v>4521.6636363636371</v>
      </c>
      <c r="BM53" s="239">
        <v>1017.3743181818182</v>
      </c>
      <c r="BN53" s="239">
        <v>113.04159090909091</v>
      </c>
      <c r="BO53" s="239">
        <v>2484</v>
      </c>
      <c r="BP53" s="239">
        <v>559</v>
      </c>
      <c r="BQ53" s="239">
        <v>62</v>
      </c>
      <c r="BR53" s="239">
        <v>2038</v>
      </c>
      <c r="BS53" s="239">
        <v>458</v>
      </c>
      <c r="BT53" s="239">
        <v>51</v>
      </c>
      <c r="BU53" s="239">
        <v>10.144628099173554</v>
      </c>
      <c r="BV53" s="239">
        <v>2.2825413223140494</v>
      </c>
      <c r="BW53" s="239">
        <v>0.25361570247933884</v>
      </c>
      <c r="BX53" s="239">
        <v>0</v>
      </c>
      <c r="BY53" s="239">
        <v>0</v>
      </c>
      <c r="BZ53" s="239">
        <v>0</v>
      </c>
      <c r="CA53" s="239">
        <v>10</v>
      </c>
      <c r="CB53" s="239">
        <v>2</v>
      </c>
      <c r="CC53" s="239">
        <v>0</v>
      </c>
      <c r="CD53" s="239">
        <v>0</v>
      </c>
      <c r="CE53" s="239">
        <v>0</v>
      </c>
      <c r="CF53" s="239">
        <v>0</v>
      </c>
      <c r="CG53" s="239">
        <v>0</v>
      </c>
      <c r="CH53" s="239">
        <v>0</v>
      </c>
      <c r="CI53" s="239">
        <v>0</v>
      </c>
      <c r="CJ53" s="239">
        <v>0</v>
      </c>
      <c r="CK53" s="239">
        <v>0</v>
      </c>
      <c r="CL53" s="239">
        <v>0</v>
      </c>
      <c r="CM53" s="239">
        <v>0</v>
      </c>
      <c r="CN53" s="239">
        <v>0</v>
      </c>
      <c r="CO53" s="239">
        <v>0</v>
      </c>
      <c r="CP53" s="239">
        <v>0</v>
      </c>
      <c r="CQ53" s="239">
        <v>0</v>
      </c>
      <c r="CR53" s="239">
        <v>0</v>
      </c>
      <c r="CS53" s="239">
        <v>0</v>
      </c>
      <c r="CT53" s="239">
        <v>0</v>
      </c>
      <c r="CU53" s="239">
        <v>0</v>
      </c>
      <c r="CV53" s="239">
        <v>87655.012396694219</v>
      </c>
      <c r="CW53" s="239">
        <v>19722.377789256199</v>
      </c>
      <c r="CX53" s="239">
        <v>2191.3753099173555</v>
      </c>
      <c r="CY53" s="239">
        <v>87799</v>
      </c>
      <c r="CZ53" s="239">
        <v>19755</v>
      </c>
      <c r="DA53" s="239">
        <v>2195</v>
      </c>
      <c r="DB53" s="239">
        <v>-144</v>
      </c>
      <c r="DC53" s="239">
        <v>-33</v>
      </c>
      <c r="DD53" s="239">
        <v>-4</v>
      </c>
      <c r="DE53" s="641">
        <v>0.5</v>
      </c>
      <c r="DF53" s="641">
        <v>0.4</v>
      </c>
      <c r="DG53" s="641">
        <v>0.09</v>
      </c>
      <c r="DH53" s="641">
        <v>0.01</v>
      </c>
      <c r="DI53" s="214" t="s">
        <v>1190</v>
      </c>
    </row>
    <row r="54" spans="2:113" s="214" customFormat="1" x14ac:dyDescent="0.2">
      <c r="B54" s="609" t="s">
        <v>190</v>
      </c>
      <c r="C54" s="609" t="s">
        <v>189</v>
      </c>
      <c r="D54" s="239">
        <v>-345154</v>
      </c>
      <c r="E54" s="239">
        <v>0</v>
      </c>
      <c r="F54" s="239">
        <v>-345154</v>
      </c>
      <c r="G54" s="239">
        <v>0</v>
      </c>
      <c r="H54" s="239">
        <v>0</v>
      </c>
      <c r="I54" s="239">
        <v>0</v>
      </c>
      <c r="J54" s="239">
        <v>-345154</v>
      </c>
      <c r="K54" s="239">
        <v>0</v>
      </c>
      <c r="L54" s="239">
        <v>-345154</v>
      </c>
      <c r="M54" s="239">
        <v>312185</v>
      </c>
      <c r="N54" s="239">
        <v>312185</v>
      </c>
      <c r="O54" s="239">
        <v>0</v>
      </c>
      <c r="P54" s="239">
        <v>0</v>
      </c>
      <c r="Q54" s="239">
        <v>0</v>
      </c>
      <c r="R54" s="239">
        <v>0</v>
      </c>
      <c r="S54" s="239">
        <v>391714</v>
      </c>
      <c r="T54" s="239">
        <v>0</v>
      </c>
      <c r="U54" s="239">
        <v>401000</v>
      </c>
      <c r="V54" s="239">
        <v>0</v>
      </c>
      <c r="W54" s="239">
        <v>-9286</v>
      </c>
      <c r="X54" s="239">
        <v>0</v>
      </c>
      <c r="Y54" s="239">
        <v>0</v>
      </c>
      <c r="Z54" s="239">
        <v>0</v>
      </c>
      <c r="AA54" s="239">
        <v>0</v>
      </c>
      <c r="AB54" s="239">
        <v>0</v>
      </c>
      <c r="AC54" s="239">
        <v>0</v>
      </c>
      <c r="AD54" s="239">
        <v>0</v>
      </c>
      <c r="AE54" s="239">
        <v>0</v>
      </c>
      <c r="AF54" s="239">
        <v>0</v>
      </c>
      <c r="AG54" s="239">
        <v>0</v>
      </c>
      <c r="AH54" s="239">
        <v>0</v>
      </c>
      <c r="AI54" s="239">
        <v>0</v>
      </c>
      <c r="AJ54" s="239">
        <v>0</v>
      </c>
      <c r="AK54" s="239">
        <v>1249812.3588016529</v>
      </c>
      <c r="AL54" s="239">
        <v>0</v>
      </c>
      <c r="AM54" s="239">
        <v>25506.37466942149</v>
      </c>
      <c r="AN54" s="239">
        <v>1186565</v>
      </c>
      <c r="AO54" s="239">
        <v>0</v>
      </c>
      <c r="AP54" s="239">
        <v>24216</v>
      </c>
      <c r="AQ54" s="239">
        <v>63247</v>
      </c>
      <c r="AR54" s="239">
        <v>0</v>
      </c>
      <c r="AS54" s="239">
        <v>1290</v>
      </c>
      <c r="AT54" s="239">
        <v>0</v>
      </c>
      <c r="AU54" s="239">
        <v>0</v>
      </c>
      <c r="AV54" s="239">
        <v>0</v>
      </c>
      <c r="AW54" s="239">
        <v>0</v>
      </c>
      <c r="AX54" s="239">
        <v>0</v>
      </c>
      <c r="AY54" s="239">
        <v>0</v>
      </c>
      <c r="AZ54" s="239">
        <v>0</v>
      </c>
      <c r="BA54" s="239">
        <v>0</v>
      </c>
      <c r="BB54" s="239">
        <v>0</v>
      </c>
      <c r="BC54" s="239">
        <v>50485.127231404957</v>
      </c>
      <c r="BD54" s="239">
        <v>0</v>
      </c>
      <c r="BE54" s="239">
        <v>1030.3087190082645</v>
      </c>
      <c r="BF54" s="239">
        <v>25447</v>
      </c>
      <c r="BG54" s="239">
        <v>0</v>
      </c>
      <c r="BH54" s="239">
        <v>519</v>
      </c>
      <c r="BI54" s="239">
        <v>25038</v>
      </c>
      <c r="BJ54" s="239">
        <v>0</v>
      </c>
      <c r="BK54" s="239">
        <v>511</v>
      </c>
      <c r="BL54" s="239">
        <v>38689.258016528926</v>
      </c>
      <c r="BM54" s="239">
        <v>0</v>
      </c>
      <c r="BN54" s="239">
        <v>789.57669421487594</v>
      </c>
      <c r="BO54" s="239">
        <v>20999</v>
      </c>
      <c r="BP54" s="239">
        <v>0</v>
      </c>
      <c r="BQ54" s="239">
        <v>429</v>
      </c>
      <c r="BR54" s="239">
        <v>17690</v>
      </c>
      <c r="BS54" s="239">
        <v>0</v>
      </c>
      <c r="BT54" s="239">
        <v>361</v>
      </c>
      <c r="BU54" s="239">
        <v>-13207.098574380165</v>
      </c>
      <c r="BV54" s="239">
        <v>0</v>
      </c>
      <c r="BW54" s="239">
        <v>-269.53262396694214</v>
      </c>
      <c r="BX54" s="239">
        <v>0</v>
      </c>
      <c r="BY54" s="239">
        <v>0</v>
      </c>
      <c r="BZ54" s="239">
        <v>0</v>
      </c>
      <c r="CA54" s="239">
        <v>-13207</v>
      </c>
      <c r="CB54" s="239">
        <v>0</v>
      </c>
      <c r="CC54" s="239">
        <v>-270</v>
      </c>
      <c r="CD54" s="239">
        <v>0</v>
      </c>
      <c r="CE54" s="239">
        <v>0</v>
      </c>
      <c r="CF54" s="239">
        <v>0</v>
      </c>
      <c r="CG54" s="239">
        <v>0</v>
      </c>
      <c r="CH54" s="239">
        <v>0</v>
      </c>
      <c r="CI54" s="239">
        <v>0</v>
      </c>
      <c r="CJ54" s="239">
        <v>0</v>
      </c>
      <c r="CK54" s="239">
        <v>0</v>
      </c>
      <c r="CL54" s="239">
        <v>0</v>
      </c>
      <c r="CM54" s="239">
        <v>8012.0446694214879</v>
      </c>
      <c r="CN54" s="239">
        <v>0</v>
      </c>
      <c r="CO54" s="239">
        <v>163.51111570247934</v>
      </c>
      <c r="CP54" s="239">
        <v>6931</v>
      </c>
      <c r="CQ54" s="239">
        <v>0</v>
      </c>
      <c r="CR54" s="239">
        <v>141</v>
      </c>
      <c r="CS54" s="239">
        <v>1081</v>
      </c>
      <c r="CT54" s="239">
        <v>0</v>
      </c>
      <c r="CU54" s="239">
        <v>23</v>
      </c>
      <c r="CV54" s="239">
        <v>595891.38650826446</v>
      </c>
      <c r="CW54" s="239">
        <v>0</v>
      </c>
      <c r="CX54" s="239">
        <v>12045.430640495868</v>
      </c>
      <c r="CY54" s="239">
        <v>611182</v>
      </c>
      <c r="CZ54" s="239">
        <v>0</v>
      </c>
      <c r="DA54" s="239">
        <v>12355</v>
      </c>
      <c r="DB54" s="239">
        <v>-15291</v>
      </c>
      <c r="DC54" s="239">
        <v>0</v>
      </c>
      <c r="DD54" s="239">
        <v>-310</v>
      </c>
      <c r="DE54" s="641">
        <v>0.5</v>
      </c>
      <c r="DF54" s="641">
        <v>0.49</v>
      </c>
      <c r="DG54" s="641">
        <v>0</v>
      </c>
      <c r="DH54" s="641">
        <v>0.01</v>
      </c>
      <c r="DI54" s="214" t="s">
        <v>747</v>
      </c>
    </row>
    <row r="55" spans="2:113" s="214" customFormat="1" x14ac:dyDescent="0.2">
      <c r="B55" s="609" t="s">
        <v>192</v>
      </c>
      <c r="C55" s="609" t="s">
        <v>191</v>
      </c>
      <c r="D55" s="239">
        <v>-82123</v>
      </c>
      <c r="E55" s="239">
        <v>0</v>
      </c>
      <c r="F55" s="239">
        <v>-82123</v>
      </c>
      <c r="G55" s="239">
        <v>0</v>
      </c>
      <c r="H55" s="239">
        <v>0</v>
      </c>
      <c r="I55" s="239">
        <v>0</v>
      </c>
      <c r="J55" s="239">
        <v>-82123</v>
      </c>
      <c r="K55" s="239">
        <v>0</v>
      </c>
      <c r="L55" s="239">
        <v>-82123</v>
      </c>
      <c r="M55" s="239">
        <v>192135</v>
      </c>
      <c r="N55" s="239">
        <v>192135</v>
      </c>
      <c r="O55" s="239">
        <v>0</v>
      </c>
      <c r="P55" s="239">
        <v>0</v>
      </c>
      <c r="Q55" s="239">
        <v>0</v>
      </c>
      <c r="R55" s="239">
        <v>0</v>
      </c>
      <c r="S55" s="239">
        <v>164467</v>
      </c>
      <c r="T55" s="239">
        <v>0</v>
      </c>
      <c r="U55" s="239">
        <v>152828</v>
      </c>
      <c r="V55" s="239">
        <v>0</v>
      </c>
      <c r="W55" s="239">
        <v>11639</v>
      </c>
      <c r="X55" s="239">
        <v>0</v>
      </c>
      <c r="Y55" s="239">
        <v>0</v>
      </c>
      <c r="Z55" s="239">
        <v>0</v>
      </c>
      <c r="AA55" s="239">
        <v>0</v>
      </c>
      <c r="AB55" s="239">
        <v>0</v>
      </c>
      <c r="AC55" s="239">
        <v>0</v>
      </c>
      <c r="AD55" s="239">
        <v>0</v>
      </c>
      <c r="AE55" s="239">
        <v>0</v>
      </c>
      <c r="AF55" s="239">
        <v>0</v>
      </c>
      <c r="AG55" s="239">
        <v>0</v>
      </c>
      <c r="AH55" s="239">
        <v>0</v>
      </c>
      <c r="AI55" s="239">
        <v>0</v>
      </c>
      <c r="AJ55" s="239">
        <v>0</v>
      </c>
      <c r="AK55" s="239">
        <v>712433.89876033063</v>
      </c>
      <c r="AL55" s="239">
        <v>160297.62722107439</v>
      </c>
      <c r="AM55" s="239">
        <v>17810.847469008266</v>
      </c>
      <c r="AN55" s="239">
        <v>654768</v>
      </c>
      <c r="AO55" s="239">
        <v>147323</v>
      </c>
      <c r="AP55" s="239">
        <v>16369</v>
      </c>
      <c r="AQ55" s="239">
        <v>57666</v>
      </c>
      <c r="AR55" s="239">
        <v>12975</v>
      </c>
      <c r="AS55" s="239">
        <v>1442</v>
      </c>
      <c r="AT55" s="239">
        <v>5462.6793388429751</v>
      </c>
      <c r="AU55" s="239">
        <v>1229.1028512396692</v>
      </c>
      <c r="AV55" s="239">
        <v>136.56698347107437</v>
      </c>
      <c r="AW55" s="239">
        <v>5074</v>
      </c>
      <c r="AX55" s="239">
        <v>1142</v>
      </c>
      <c r="AY55" s="239">
        <v>127</v>
      </c>
      <c r="AZ55" s="239">
        <v>389</v>
      </c>
      <c r="BA55" s="239">
        <v>87</v>
      </c>
      <c r="BB55" s="239">
        <v>10</v>
      </c>
      <c r="BC55" s="239">
        <v>14778.288429752065</v>
      </c>
      <c r="BD55" s="239">
        <v>3325.1148966942146</v>
      </c>
      <c r="BE55" s="239">
        <v>369.45721074380162</v>
      </c>
      <c r="BF55" s="239">
        <v>20290</v>
      </c>
      <c r="BG55" s="239">
        <v>4565</v>
      </c>
      <c r="BH55" s="239">
        <v>507</v>
      </c>
      <c r="BI55" s="239">
        <v>-5512</v>
      </c>
      <c r="BJ55" s="239">
        <v>-1240</v>
      </c>
      <c r="BK55" s="239">
        <v>-138</v>
      </c>
      <c r="BL55" s="239">
        <v>40105.366942148765</v>
      </c>
      <c r="BM55" s="239">
        <v>9023.7075619834704</v>
      </c>
      <c r="BN55" s="239">
        <v>1002.6341735537189</v>
      </c>
      <c r="BO55" s="239">
        <v>9536</v>
      </c>
      <c r="BP55" s="239">
        <v>2146</v>
      </c>
      <c r="BQ55" s="239">
        <v>238</v>
      </c>
      <c r="BR55" s="239">
        <v>30569</v>
      </c>
      <c r="BS55" s="239">
        <v>6878</v>
      </c>
      <c r="BT55" s="239">
        <v>765</v>
      </c>
      <c r="BU55" s="239">
        <v>1936.0008264462811</v>
      </c>
      <c r="BV55" s="239">
        <v>435.60018595041316</v>
      </c>
      <c r="BW55" s="239">
        <v>48.400020661157022</v>
      </c>
      <c r="BX55" s="239">
        <v>0</v>
      </c>
      <c r="BY55" s="239">
        <v>0</v>
      </c>
      <c r="BZ55" s="239">
        <v>0</v>
      </c>
      <c r="CA55" s="239">
        <v>1936</v>
      </c>
      <c r="CB55" s="239">
        <v>436</v>
      </c>
      <c r="CC55" s="239">
        <v>48</v>
      </c>
      <c r="CD55" s="239">
        <v>0</v>
      </c>
      <c r="CE55" s="239">
        <v>0</v>
      </c>
      <c r="CF55" s="239">
        <v>0</v>
      </c>
      <c r="CG55" s="239">
        <v>0</v>
      </c>
      <c r="CH55" s="239">
        <v>0</v>
      </c>
      <c r="CI55" s="239">
        <v>0</v>
      </c>
      <c r="CJ55" s="239">
        <v>0</v>
      </c>
      <c r="CK55" s="239">
        <v>0</v>
      </c>
      <c r="CL55" s="239">
        <v>0</v>
      </c>
      <c r="CM55" s="239">
        <v>822.12066115702487</v>
      </c>
      <c r="CN55" s="239">
        <v>184.97714876033058</v>
      </c>
      <c r="CO55" s="239">
        <v>20.553016528925625</v>
      </c>
      <c r="CP55" s="239">
        <v>1015</v>
      </c>
      <c r="CQ55" s="239">
        <v>228</v>
      </c>
      <c r="CR55" s="239">
        <v>25</v>
      </c>
      <c r="CS55" s="239">
        <v>-193</v>
      </c>
      <c r="CT55" s="239">
        <v>-43</v>
      </c>
      <c r="CU55" s="239">
        <v>-4</v>
      </c>
      <c r="CV55" s="239">
        <v>263765.07644628099</v>
      </c>
      <c r="CW55" s="239">
        <v>58811.944834710746</v>
      </c>
      <c r="CX55" s="239">
        <v>6534.6605371900832</v>
      </c>
      <c r="CY55" s="239">
        <v>262518</v>
      </c>
      <c r="CZ55" s="239">
        <v>58569</v>
      </c>
      <c r="DA55" s="239">
        <v>6508</v>
      </c>
      <c r="DB55" s="239">
        <v>1247</v>
      </c>
      <c r="DC55" s="239">
        <v>243</v>
      </c>
      <c r="DD55" s="239">
        <v>27</v>
      </c>
      <c r="DE55" s="641">
        <v>0.5</v>
      </c>
      <c r="DF55" s="641">
        <v>0.4</v>
      </c>
      <c r="DG55" s="641">
        <v>0.09</v>
      </c>
      <c r="DH55" s="641">
        <v>0.01</v>
      </c>
      <c r="DI55" s="214" t="s">
        <v>1190</v>
      </c>
    </row>
    <row r="56" spans="2:113" s="214" customFormat="1" x14ac:dyDescent="0.2">
      <c r="B56" s="609" t="s">
        <v>194</v>
      </c>
      <c r="C56" s="609" t="s">
        <v>193</v>
      </c>
      <c r="D56" s="239">
        <v>-170109</v>
      </c>
      <c r="E56" s="239">
        <v>0</v>
      </c>
      <c r="F56" s="239">
        <v>-170109</v>
      </c>
      <c r="G56" s="239">
        <v>0</v>
      </c>
      <c r="H56" s="239">
        <v>0</v>
      </c>
      <c r="I56" s="239">
        <v>0</v>
      </c>
      <c r="J56" s="239">
        <v>-170109</v>
      </c>
      <c r="K56" s="239">
        <v>0</v>
      </c>
      <c r="L56" s="239">
        <v>-170109</v>
      </c>
      <c r="M56" s="239">
        <v>224442</v>
      </c>
      <c r="N56" s="239">
        <v>224442</v>
      </c>
      <c r="O56" s="239">
        <v>0</v>
      </c>
      <c r="P56" s="239">
        <v>0</v>
      </c>
      <c r="Q56" s="239">
        <v>0</v>
      </c>
      <c r="R56" s="239">
        <v>0</v>
      </c>
      <c r="S56" s="239">
        <v>0</v>
      </c>
      <c r="T56" s="239">
        <v>0</v>
      </c>
      <c r="U56" s="239">
        <v>0</v>
      </c>
      <c r="V56" s="239">
        <v>0</v>
      </c>
      <c r="W56" s="239">
        <v>0</v>
      </c>
      <c r="X56" s="239">
        <v>0</v>
      </c>
      <c r="Y56" s="239">
        <v>0</v>
      </c>
      <c r="Z56" s="239">
        <v>0</v>
      </c>
      <c r="AA56" s="239">
        <v>0</v>
      </c>
      <c r="AB56" s="239">
        <v>0</v>
      </c>
      <c r="AC56" s="239">
        <v>0</v>
      </c>
      <c r="AD56" s="239">
        <v>0</v>
      </c>
      <c r="AE56" s="239">
        <v>0</v>
      </c>
      <c r="AF56" s="239">
        <v>0</v>
      </c>
      <c r="AG56" s="239">
        <v>0</v>
      </c>
      <c r="AH56" s="239">
        <v>0</v>
      </c>
      <c r="AI56" s="239">
        <v>0</v>
      </c>
      <c r="AJ56" s="239">
        <v>0</v>
      </c>
      <c r="AK56" s="239">
        <v>601613.16983471077</v>
      </c>
      <c r="AL56" s="239">
        <v>135362.96321280993</v>
      </c>
      <c r="AM56" s="239">
        <v>15040.32924586777</v>
      </c>
      <c r="AN56" s="239">
        <v>558526</v>
      </c>
      <c r="AO56" s="239">
        <v>125669</v>
      </c>
      <c r="AP56" s="239">
        <v>13963</v>
      </c>
      <c r="AQ56" s="239">
        <v>43087</v>
      </c>
      <c r="AR56" s="239">
        <v>9694</v>
      </c>
      <c r="AS56" s="239">
        <v>1077</v>
      </c>
      <c r="AT56" s="239">
        <v>0</v>
      </c>
      <c r="AU56" s="239">
        <v>0</v>
      </c>
      <c r="AV56" s="239">
        <v>0</v>
      </c>
      <c r="AW56" s="239">
        <v>0</v>
      </c>
      <c r="AX56" s="239">
        <v>0</v>
      </c>
      <c r="AY56" s="239">
        <v>0</v>
      </c>
      <c r="AZ56" s="239">
        <v>0</v>
      </c>
      <c r="BA56" s="239">
        <v>0</v>
      </c>
      <c r="BB56" s="239">
        <v>0</v>
      </c>
      <c r="BC56" s="239">
        <v>211.00826446280996</v>
      </c>
      <c r="BD56" s="239">
        <v>47.476859504132236</v>
      </c>
      <c r="BE56" s="239">
        <v>5.2752066115702485</v>
      </c>
      <c r="BF56" s="239">
        <v>847</v>
      </c>
      <c r="BG56" s="239">
        <v>191</v>
      </c>
      <c r="BH56" s="239">
        <v>21</v>
      </c>
      <c r="BI56" s="239">
        <v>-636</v>
      </c>
      <c r="BJ56" s="239">
        <v>-144</v>
      </c>
      <c r="BK56" s="239">
        <v>-16</v>
      </c>
      <c r="BL56" s="239">
        <v>36150.17933884298</v>
      </c>
      <c r="BM56" s="239">
        <v>8133.7903512396697</v>
      </c>
      <c r="BN56" s="239">
        <v>903.75448347107431</v>
      </c>
      <c r="BO56" s="239">
        <v>15094</v>
      </c>
      <c r="BP56" s="239">
        <v>3396</v>
      </c>
      <c r="BQ56" s="239">
        <v>377</v>
      </c>
      <c r="BR56" s="239">
        <v>21056</v>
      </c>
      <c r="BS56" s="239">
        <v>4738</v>
      </c>
      <c r="BT56" s="239">
        <v>527</v>
      </c>
      <c r="BU56" s="239">
        <v>-2789.7727272727275</v>
      </c>
      <c r="BV56" s="239">
        <v>-627.69886363636363</v>
      </c>
      <c r="BW56" s="239">
        <v>-69.744318181818187</v>
      </c>
      <c r="BX56" s="239">
        <v>0</v>
      </c>
      <c r="BY56" s="239">
        <v>0</v>
      </c>
      <c r="BZ56" s="239">
        <v>0</v>
      </c>
      <c r="CA56" s="239">
        <v>-2790</v>
      </c>
      <c r="CB56" s="239">
        <v>-628</v>
      </c>
      <c r="CC56" s="239">
        <v>-70</v>
      </c>
      <c r="CD56" s="239">
        <v>0</v>
      </c>
      <c r="CE56" s="239">
        <v>0</v>
      </c>
      <c r="CF56" s="239">
        <v>0</v>
      </c>
      <c r="CG56" s="239">
        <v>0</v>
      </c>
      <c r="CH56" s="239">
        <v>0</v>
      </c>
      <c r="CI56" s="239">
        <v>0</v>
      </c>
      <c r="CJ56" s="239">
        <v>0</v>
      </c>
      <c r="CK56" s="239">
        <v>0</v>
      </c>
      <c r="CL56" s="239">
        <v>0</v>
      </c>
      <c r="CM56" s="239">
        <v>5775.133884297521</v>
      </c>
      <c r="CN56" s="239">
        <v>1299.4051239669423</v>
      </c>
      <c r="CO56" s="239">
        <v>144.37834710743803</v>
      </c>
      <c r="CP56" s="239">
        <v>6945</v>
      </c>
      <c r="CQ56" s="239">
        <v>1563</v>
      </c>
      <c r="CR56" s="239">
        <v>174</v>
      </c>
      <c r="CS56" s="239">
        <v>-1170</v>
      </c>
      <c r="CT56" s="239">
        <v>-264</v>
      </c>
      <c r="CU56" s="239">
        <v>-30</v>
      </c>
      <c r="CV56" s="239">
        <v>472380.58925619838</v>
      </c>
      <c r="CW56" s="239">
        <v>106285.63258264461</v>
      </c>
      <c r="CX56" s="239">
        <v>11809.514731404959</v>
      </c>
      <c r="CY56" s="239">
        <v>447226</v>
      </c>
      <c r="CZ56" s="239">
        <v>100626</v>
      </c>
      <c r="DA56" s="239">
        <v>11181</v>
      </c>
      <c r="DB56" s="239">
        <v>25155</v>
      </c>
      <c r="DC56" s="239">
        <v>5660</v>
      </c>
      <c r="DD56" s="239">
        <v>629</v>
      </c>
      <c r="DE56" s="641">
        <v>0.5</v>
      </c>
      <c r="DF56" s="641">
        <v>0.4</v>
      </c>
      <c r="DG56" s="641">
        <v>0.09</v>
      </c>
      <c r="DH56" s="641">
        <v>0.01</v>
      </c>
      <c r="DI56" s="214" t="s">
        <v>1190</v>
      </c>
    </row>
    <row r="57" spans="2:113" s="214" customFormat="1" x14ac:dyDescent="0.2">
      <c r="B57" s="609" t="s">
        <v>196</v>
      </c>
      <c r="C57" s="609" t="s">
        <v>195</v>
      </c>
      <c r="D57" s="239">
        <v>-92086</v>
      </c>
      <c r="E57" s="239">
        <v>0</v>
      </c>
      <c r="F57" s="239">
        <v>-92086</v>
      </c>
      <c r="G57" s="239">
        <v>0</v>
      </c>
      <c r="H57" s="239">
        <v>0</v>
      </c>
      <c r="I57" s="239">
        <v>0</v>
      </c>
      <c r="J57" s="239">
        <v>-92086</v>
      </c>
      <c r="K57" s="239">
        <v>0</v>
      </c>
      <c r="L57" s="239">
        <v>-92086</v>
      </c>
      <c r="M57" s="239">
        <v>181383</v>
      </c>
      <c r="N57" s="239">
        <v>181383</v>
      </c>
      <c r="O57" s="239">
        <v>0</v>
      </c>
      <c r="P57" s="239">
        <v>0</v>
      </c>
      <c r="Q57" s="239">
        <v>0</v>
      </c>
      <c r="R57" s="239">
        <v>0</v>
      </c>
      <c r="S57" s="239">
        <v>0</v>
      </c>
      <c r="T57" s="239">
        <v>0</v>
      </c>
      <c r="U57" s="239">
        <v>0</v>
      </c>
      <c r="V57" s="239">
        <v>0</v>
      </c>
      <c r="W57" s="239">
        <v>0</v>
      </c>
      <c r="X57" s="239">
        <v>0</v>
      </c>
      <c r="Y57" s="239">
        <v>0</v>
      </c>
      <c r="Z57" s="239">
        <v>0</v>
      </c>
      <c r="AA57" s="239">
        <v>0</v>
      </c>
      <c r="AB57" s="239">
        <v>0</v>
      </c>
      <c r="AC57" s="239">
        <v>0</v>
      </c>
      <c r="AD57" s="239">
        <v>0</v>
      </c>
      <c r="AE57" s="239">
        <v>0</v>
      </c>
      <c r="AF57" s="239">
        <v>0</v>
      </c>
      <c r="AG57" s="239">
        <v>0</v>
      </c>
      <c r="AH57" s="239">
        <v>0</v>
      </c>
      <c r="AI57" s="239">
        <v>0</v>
      </c>
      <c r="AJ57" s="239">
        <v>0</v>
      </c>
      <c r="AK57" s="239">
        <v>502342.30289256206</v>
      </c>
      <c r="AL57" s="239">
        <v>125585.57572314052</v>
      </c>
      <c r="AM57" s="239">
        <v>0</v>
      </c>
      <c r="AN57" s="239">
        <v>479264</v>
      </c>
      <c r="AO57" s="239">
        <v>119816</v>
      </c>
      <c r="AP57" s="239">
        <v>0</v>
      </c>
      <c r="AQ57" s="239">
        <v>23078</v>
      </c>
      <c r="AR57" s="239">
        <v>5770</v>
      </c>
      <c r="AS57" s="239">
        <v>0</v>
      </c>
      <c r="AT57" s="239">
        <v>3555.489256198347</v>
      </c>
      <c r="AU57" s="239">
        <v>888.87231404958675</v>
      </c>
      <c r="AV57" s="239">
        <v>0</v>
      </c>
      <c r="AW57" s="239">
        <v>203</v>
      </c>
      <c r="AX57" s="239">
        <v>51</v>
      </c>
      <c r="AY57" s="239">
        <v>0</v>
      </c>
      <c r="AZ57" s="239">
        <v>3352</v>
      </c>
      <c r="BA57" s="239">
        <v>838</v>
      </c>
      <c r="BB57" s="239">
        <v>0</v>
      </c>
      <c r="BC57" s="239">
        <v>0</v>
      </c>
      <c r="BD57" s="239">
        <v>0</v>
      </c>
      <c r="BE57" s="239">
        <v>0</v>
      </c>
      <c r="BF57" s="239">
        <v>0</v>
      </c>
      <c r="BG57" s="239">
        <v>0</v>
      </c>
      <c r="BH57" s="239">
        <v>0</v>
      </c>
      <c r="BI57" s="239">
        <v>0</v>
      </c>
      <c r="BJ57" s="239">
        <v>0</v>
      </c>
      <c r="BK57" s="239">
        <v>0</v>
      </c>
      <c r="BL57" s="239">
        <v>28652.081818181821</v>
      </c>
      <c r="BM57" s="239">
        <v>7163.0204545454553</v>
      </c>
      <c r="BN57" s="239">
        <v>0</v>
      </c>
      <c r="BO57" s="239">
        <v>6086</v>
      </c>
      <c r="BP57" s="239">
        <v>1522</v>
      </c>
      <c r="BQ57" s="239">
        <v>0</v>
      </c>
      <c r="BR57" s="239">
        <v>22566</v>
      </c>
      <c r="BS57" s="239">
        <v>5641</v>
      </c>
      <c r="BT57" s="239">
        <v>0</v>
      </c>
      <c r="BU57" s="239">
        <v>56.809917355371901</v>
      </c>
      <c r="BV57" s="239">
        <v>14.202479338842975</v>
      </c>
      <c r="BW57" s="239">
        <v>0</v>
      </c>
      <c r="BX57" s="239">
        <v>0</v>
      </c>
      <c r="BY57" s="239">
        <v>0</v>
      </c>
      <c r="BZ57" s="239">
        <v>0</v>
      </c>
      <c r="CA57" s="239">
        <v>57</v>
      </c>
      <c r="CB57" s="239">
        <v>14</v>
      </c>
      <c r="CC57" s="239">
        <v>0</v>
      </c>
      <c r="CD57" s="239">
        <v>0</v>
      </c>
      <c r="CE57" s="239">
        <v>0</v>
      </c>
      <c r="CF57" s="239">
        <v>0</v>
      </c>
      <c r="CG57" s="239">
        <v>0</v>
      </c>
      <c r="CH57" s="239">
        <v>0</v>
      </c>
      <c r="CI57" s="239">
        <v>0</v>
      </c>
      <c r="CJ57" s="239">
        <v>0</v>
      </c>
      <c r="CK57" s="239">
        <v>0</v>
      </c>
      <c r="CL57" s="239">
        <v>0</v>
      </c>
      <c r="CM57" s="239">
        <v>266.19504132231407</v>
      </c>
      <c r="CN57" s="239">
        <v>66.548760330578517</v>
      </c>
      <c r="CO57" s="239">
        <v>0</v>
      </c>
      <c r="CP57" s="239">
        <v>329</v>
      </c>
      <c r="CQ57" s="239">
        <v>82</v>
      </c>
      <c r="CR57" s="239">
        <v>0</v>
      </c>
      <c r="CS57" s="239">
        <v>-63</v>
      </c>
      <c r="CT57" s="239">
        <v>-15</v>
      </c>
      <c r="CU57" s="239">
        <v>0</v>
      </c>
      <c r="CV57" s="239">
        <v>317603.91900826449</v>
      </c>
      <c r="CW57" s="239">
        <v>79400.979752066123</v>
      </c>
      <c r="CX57" s="239">
        <v>0</v>
      </c>
      <c r="CY57" s="239">
        <v>323041</v>
      </c>
      <c r="CZ57" s="239">
        <v>80760</v>
      </c>
      <c r="DA57" s="239">
        <v>0</v>
      </c>
      <c r="DB57" s="239">
        <v>-5437</v>
      </c>
      <c r="DC57" s="239">
        <v>-1359</v>
      </c>
      <c r="DD57" s="239">
        <v>0</v>
      </c>
      <c r="DE57" s="641">
        <v>0.5</v>
      </c>
      <c r="DF57" s="641">
        <v>0.4</v>
      </c>
      <c r="DG57" s="641">
        <v>0.1</v>
      </c>
      <c r="DH57" s="641">
        <v>0</v>
      </c>
      <c r="DI57" s="214" t="s">
        <v>1190</v>
      </c>
    </row>
    <row r="58" spans="2:113" s="214" customFormat="1" x14ac:dyDescent="0.2">
      <c r="B58" s="609" t="s">
        <v>198</v>
      </c>
      <c r="C58" s="609" t="s">
        <v>197</v>
      </c>
      <c r="D58" s="239">
        <v>-188440</v>
      </c>
      <c r="E58" s="239">
        <v>0</v>
      </c>
      <c r="F58" s="239">
        <v>-188440</v>
      </c>
      <c r="G58" s="239">
        <v>0</v>
      </c>
      <c r="H58" s="239">
        <v>0</v>
      </c>
      <c r="I58" s="239">
        <v>0</v>
      </c>
      <c r="J58" s="239">
        <v>-188440</v>
      </c>
      <c r="K58" s="239">
        <v>0</v>
      </c>
      <c r="L58" s="239">
        <v>-188440</v>
      </c>
      <c r="M58" s="239">
        <v>222918</v>
      </c>
      <c r="N58" s="239">
        <v>222918</v>
      </c>
      <c r="O58" s="239">
        <v>0</v>
      </c>
      <c r="P58" s="239">
        <v>0</v>
      </c>
      <c r="Q58" s="239">
        <v>0</v>
      </c>
      <c r="R58" s="239">
        <v>0</v>
      </c>
      <c r="S58" s="239">
        <v>315779</v>
      </c>
      <c r="T58" s="239">
        <v>273350</v>
      </c>
      <c r="U58" s="239">
        <v>244222</v>
      </c>
      <c r="V58" s="239">
        <v>273350</v>
      </c>
      <c r="W58" s="239">
        <v>71557</v>
      </c>
      <c r="X58" s="239">
        <v>0</v>
      </c>
      <c r="Y58" s="239">
        <v>0</v>
      </c>
      <c r="Z58" s="239">
        <v>0</v>
      </c>
      <c r="AA58" s="239">
        <v>0</v>
      </c>
      <c r="AB58" s="239">
        <v>0</v>
      </c>
      <c r="AC58" s="239">
        <v>0</v>
      </c>
      <c r="AD58" s="239">
        <v>0</v>
      </c>
      <c r="AE58" s="239">
        <v>0</v>
      </c>
      <c r="AF58" s="239">
        <v>0</v>
      </c>
      <c r="AG58" s="239">
        <v>0</v>
      </c>
      <c r="AH58" s="239">
        <v>0</v>
      </c>
      <c r="AI58" s="239">
        <v>0</v>
      </c>
      <c r="AJ58" s="239">
        <v>0</v>
      </c>
      <c r="AK58" s="239">
        <v>480973.2524793389</v>
      </c>
      <c r="AL58" s="239">
        <v>120243.31311983473</v>
      </c>
      <c r="AM58" s="239">
        <v>0</v>
      </c>
      <c r="AN58" s="239">
        <v>460069</v>
      </c>
      <c r="AO58" s="239">
        <v>115017</v>
      </c>
      <c r="AP58" s="239">
        <v>0</v>
      </c>
      <c r="AQ58" s="239">
        <v>20904</v>
      </c>
      <c r="AR58" s="239">
        <v>5226</v>
      </c>
      <c r="AS58" s="239">
        <v>0</v>
      </c>
      <c r="AT58" s="239">
        <v>5792.9884297520666</v>
      </c>
      <c r="AU58" s="239">
        <v>1448.2471074380167</v>
      </c>
      <c r="AV58" s="239">
        <v>0</v>
      </c>
      <c r="AW58" s="239">
        <v>0</v>
      </c>
      <c r="AX58" s="239">
        <v>0</v>
      </c>
      <c r="AY58" s="239">
        <v>0</v>
      </c>
      <c r="AZ58" s="239">
        <v>5793</v>
      </c>
      <c r="BA58" s="239">
        <v>1448</v>
      </c>
      <c r="BB58" s="239">
        <v>0</v>
      </c>
      <c r="BC58" s="239">
        <v>20186.592561983471</v>
      </c>
      <c r="BD58" s="239">
        <v>5046.6481404958677</v>
      </c>
      <c r="BE58" s="239">
        <v>0</v>
      </c>
      <c r="BF58" s="239">
        <v>0</v>
      </c>
      <c r="BG58" s="239">
        <v>0</v>
      </c>
      <c r="BH58" s="239">
        <v>0</v>
      </c>
      <c r="BI58" s="239">
        <v>20187</v>
      </c>
      <c r="BJ58" s="239">
        <v>5047</v>
      </c>
      <c r="BK58" s="239">
        <v>0</v>
      </c>
      <c r="BL58" s="239">
        <v>6650.8181818181829</v>
      </c>
      <c r="BM58" s="239">
        <v>1662.7045454545457</v>
      </c>
      <c r="BN58" s="239">
        <v>0</v>
      </c>
      <c r="BO58" s="239">
        <v>12111</v>
      </c>
      <c r="BP58" s="239">
        <v>3028</v>
      </c>
      <c r="BQ58" s="239">
        <v>0</v>
      </c>
      <c r="BR58" s="239">
        <v>-5460</v>
      </c>
      <c r="BS58" s="239">
        <v>-1365</v>
      </c>
      <c r="BT58" s="239">
        <v>0</v>
      </c>
      <c r="BU58" s="239">
        <v>-183.41487603305788</v>
      </c>
      <c r="BV58" s="239">
        <v>-45.85371900826447</v>
      </c>
      <c r="BW58" s="239">
        <v>0</v>
      </c>
      <c r="BX58" s="239">
        <v>0</v>
      </c>
      <c r="BY58" s="239">
        <v>0</v>
      </c>
      <c r="BZ58" s="239">
        <v>0</v>
      </c>
      <c r="CA58" s="239">
        <v>-183</v>
      </c>
      <c r="CB58" s="239">
        <v>-46</v>
      </c>
      <c r="CC58" s="239">
        <v>0</v>
      </c>
      <c r="CD58" s="239">
        <v>0</v>
      </c>
      <c r="CE58" s="239">
        <v>0</v>
      </c>
      <c r="CF58" s="239">
        <v>0</v>
      </c>
      <c r="CG58" s="239">
        <v>0</v>
      </c>
      <c r="CH58" s="239">
        <v>0</v>
      </c>
      <c r="CI58" s="239">
        <v>0</v>
      </c>
      <c r="CJ58" s="239">
        <v>0</v>
      </c>
      <c r="CK58" s="239">
        <v>0</v>
      </c>
      <c r="CL58" s="239">
        <v>0</v>
      </c>
      <c r="CM58" s="239">
        <v>0</v>
      </c>
      <c r="CN58" s="239">
        <v>0</v>
      </c>
      <c r="CO58" s="239">
        <v>0</v>
      </c>
      <c r="CP58" s="239">
        <v>1098</v>
      </c>
      <c r="CQ58" s="239">
        <v>275</v>
      </c>
      <c r="CR58" s="239">
        <v>0</v>
      </c>
      <c r="CS58" s="239">
        <v>-1098</v>
      </c>
      <c r="CT58" s="239">
        <v>-275</v>
      </c>
      <c r="CU58" s="239">
        <v>0</v>
      </c>
      <c r="CV58" s="239">
        <v>437617.58553719014</v>
      </c>
      <c r="CW58" s="239">
        <v>112216.04256198349</v>
      </c>
      <c r="CX58" s="239">
        <v>0</v>
      </c>
      <c r="CY58" s="239">
        <v>454699</v>
      </c>
      <c r="CZ58" s="239">
        <v>116745</v>
      </c>
      <c r="DA58" s="239">
        <v>0</v>
      </c>
      <c r="DB58" s="239">
        <v>-17081</v>
      </c>
      <c r="DC58" s="239">
        <v>-4529</v>
      </c>
      <c r="DD58" s="239">
        <v>0</v>
      </c>
      <c r="DE58" s="641">
        <v>0.5</v>
      </c>
      <c r="DF58" s="641">
        <v>0.4</v>
      </c>
      <c r="DG58" s="641">
        <v>0.1</v>
      </c>
      <c r="DH58" s="641">
        <v>0</v>
      </c>
      <c r="DI58" s="214" t="s">
        <v>1190</v>
      </c>
    </row>
    <row r="59" spans="2:113" s="214" customFormat="1" x14ac:dyDescent="0.2">
      <c r="B59" s="609" t="s">
        <v>200</v>
      </c>
      <c r="C59" s="609" t="s">
        <v>199</v>
      </c>
      <c r="D59" s="239">
        <v>-326451</v>
      </c>
      <c r="E59" s="239">
        <v>0</v>
      </c>
      <c r="F59" s="239">
        <v>-326451</v>
      </c>
      <c r="G59" s="239">
        <v>0</v>
      </c>
      <c r="H59" s="239">
        <v>0</v>
      </c>
      <c r="I59" s="239">
        <v>0</v>
      </c>
      <c r="J59" s="239">
        <v>-326451</v>
      </c>
      <c r="K59" s="239">
        <v>0</v>
      </c>
      <c r="L59" s="239">
        <v>-326451</v>
      </c>
      <c r="M59" s="239">
        <v>562451</v>
      </c>
      <c r="N59" s="239">
        <v>562451</v>
      </c>
      <c r="O59" s="239">
        <v>0</v>
      </c>
      <c r="P59" s="239">
        <v>994585</v>
      </c>
      <c r="Q59" s="239">
        <v>0</v>
      </c>
      <c r="R59" s="239">
        <v>994585</v>
      </c>
      <c r="S59" s="239">
        <v>132443</v>
      </c>
      <c r="T59" s="239">
        <v>0</v>
      </c>
      <c r="U59" s="239">
        <v>4379</v>
      </c>
      <c r="V59" s="239">
        <v>0</v>
      </c>
      <c r="W59" s="239">
        <v>128064</v>
      </c>
      <c r="X59" s="239">
        <v>0</v>
      </c>
      <c r="Y59" s="239">
        <v>5364.4793388429753</v>
      </c>
      <c r="Z59" s="239">
        <v>5364.4793388429753</v>
      </c>
      <c r="AA59" s="239">
        <v>0</v>
      </c>
      <c r="AB59" s="239">
        <v>0</v>
      </c>
      <c r="AC59" s="239">
        <v>1250198</v>
      </c>
      <c r="AD59" s="239">
        <v>1250198</v>
      </c>
      <c r="AE59" s="239">
        <v>0</v>
      </c>
      <c r="AF59" s="239">
        <v>0</v>
      </c>
      <c r="AG59" s="239">
        <v>-1244834</v>
      </c>
      <c r="AH59" s="239">
        <v>-1244834</v>
      </c>
      <c r="AI59" s="239">
        <v>0</v>
      </c>
      <c r="AJ59" s="239">
        <v>0</v>
      </c>
      <c r="AK59" s="239">
        <v>2338817.2518078513</v>
      </c>
      <c r="AL59" s="239">
        <v>0</v>
      </c>
      <c r="AM59" s="239">
        <v>47592.635072314049</v>
      </c>
      <c r="AN59" s="239">
        <v>2229259</v>
      </c>
      <c r="AO59" s="239">
        <v>0</v>
      </c>
      <c r="AP59" s="239">
        <v>45256</v>
      </c>
      <c r="AQ59" s="239">
        <v>109558</v>
      </c>
      <c r="AR59" s="239">
        <v>0</v>
      </c>
      <c r="AS59" s="239">
        <v>2337</v>
      </c>
      <c r="AT59" s="239">
        <v>34329.806983471077</v>
      </c>
      <c r="AU59" s="239">
        <v>0</v>
      </c>
      <c r="AV59" s="239">
        <v>700.608305785124</v>
      </c>
      <c r="AW59" s="239">
        <v>23426</v>
      </c>
      <c r="AX59" s="239">
        <v>0</v>
      </c>
      <c r="AY59" s="239">
        <v>478</v>
      </c>
      <c r="AZ59" s="239">
        <v>10904</v>
      </c>
      <c r="BA59" s="239">
        <v>0</v>
      </c>
      <c r="BB59" s="239">
        <v>223</v>
      </c>
      <c r="BC59" s="239">
        <v>964.34834710743803</v>
      </c>
      <c r="BD59" s="239">
        <v>0</v>
      </c>
      <c r="BE59" s="239">
        <v>19.680578512396693</v>
      </c>
      <c r="BF59" s="239">
        <v>0</v>
      </c>
      <c r="BG59" s="239">
        <v>0</v>
      </c>
      <c r="BH59" s="239">
        <v>0</v>
      </c>
      <c r="BI59" s="239">
        <v>964</v>
      </c>
      <c r="BJ59" s="239">
        <v>0</v>
      </c>
      <c r="BK59" s="239">
        <v>20</v>
      </c>
      <c r="BL59" s="239">
        <v>63136.482789256195</v>
      </c>
      <c r="BM59" s="239">
        <v>0</v>
      </c>
      <c r="BN59" s="239">
        <v>1288.4996487603307</v>
      </c>
      <c r="BO59" s="239">
        <v>48757</v>
      </c>
      <c r="BP59" s="239">
        <v>0</v>
      </c>
      <c r="BQ59" s="239">
        <v>995</v>
      </c>
      <c r="BR59" s="239">
        <v>14379</v>
      </c>
      <c r="BS59" s="239">
        <v>0</v>
      </c>
      <c r="BT59" s="239">
        <v>293</v>
      </c>
      <c r="BU59" s="239">
        <v>3542.7374586776859</v>
      </c>
      <c r="BV59" s="239">
        <v>0</v>
      </c>
      <c r="BW59" s="239">
        <v>72.300764462809923</v>
      </c>
      <c r="BX59" s="239">
        <v>0</v>
      </c>
      <c r="BY59" s="239">
        <v>0</v>
      </c>
      <c r="BZ59" s="239">
        <v>0</v>
      </c>
      <c r="CA59" s="239">
        <v>3543</v>
      </c>
      <c r="CB59" s="239">
        <v>0</v>
      </c>
      <c r="CC59" s="239">
        <v>72</v>
      </c>
      <c r="CD59" s="239">
        <v>0</v>
      </c>
      <c r="CE59" s="239">
        <v>0</v>
      </c>
      <c r="CF59" s="239">
        <v>0</v>
      </c>
      <c r="CG59" s="239">
        <v>0</v>
      </c>
      <c r="CH59" s="239">
        <v>0</v>
      </c>
      <c r="CI59" s="239">
        <v>0</v>
      </c>
      <c r="CJ59" s="239">
        <v>0</v>
      </c>
      <c r="CK59" s="239">
        <v>0</v>
      </c>
      <c r="CL59" s="239">
        <v>0</v>
      </c>
      <c r="CM59" s="239">
        <v>2615.3127173553721</v>
      </c>
      <c r="CN59" s="239">
        <v>0</v>
      </c>
      <c r="CO59" s="239">
        <v>53.373728925619844</v>
      </c>
      <c r="CP59" s="239">
        <v>3529</v>
      </c>
      <c r="CQ59" s="239">
        <v>0</v>
      </c>
      <c r="CR59" s="239">
        <v>72</v>
      </c>
      <c r="CS59" s="239">
        <v>-914</v>
      </c>
      <c r="CT59" s="239">
        <v>0</v>
      </c>
      <c r="CU59" s="239">
        <v>-19</v>
      </c>
      <c r="CV59" s="239">
        <v>1039421.786714876</v>
      </c>
      <c r="CW59" s="239">
        <v>0</v>
      </c>
      <c r="CX59" s="239">
        <v>20880.036632231408</v>
      </c>
      <c r="CY59" s="239">
        <v>1014115</v>
      </c>
      <c r="CZ59" s="239">
        <v>0</v>
      </c>
      <c r="DA59" s="239">
        <v>20326</v>
      </c>
      <c r="DB59" s="239">
        <v>25307</v>
      </c>
      <c r="DC59" s="239">
        <v>0</v>
      </c>
      <c r="DD59" s="239">
        <v>554</v>
      </c>
      <c r="DE59" s="641">
        <v>0.5</v>
      </c>
      <c r="DF59" s="641">
        <v>0.49</v>
      </c>
      <c r="DG59" s="641">
        <v>0</v>
      </c>
      <c r="DH59" s="641">
        <v>0.01</v>
      </c>
      <c r="DI59" s="214" t="s">
        <v>747</v>
      </c>
    </row>
    <row r="60" spans="2:113" s="214" customFormat="1" x14ac:dyDescent="0.2">
      <c r="B60" s="609" t="s">
        <v>202</v>
      </c>
      <c r="C60" s="609" t="s">
        <v>918</v>
      </c>
      <c r="D60" s="239">
        <v>-397084</v>
      </c>
      <c r="E60" s="239">
        <v>0</v>
      </c>
      <c r="F60" s="239">
        <v>-397084</v>
      </c>
      <c r="G60" s="239">
        <v>0</v>
      </c>
      <c r="H60" s="239">
        <v>0</v>
      </c>
      <c r="I60" s="239">
        <v>0</v>
      </c>
      <c r="J60" s="239">
        <v>-397084</v>
      </c>
      <c r="K60" s="239">
        <v>0</v>
      </c>
      <c r="L60" s="239">
        <v>-397084</v>
      </c>
      <c r="M60" s="239">
        <v>498103</v>
      </c>
      <c r="N60" s="239">
        <v>498103</v>
      </c>
      <c r="O60" s="239">
        <v>0</v>
      </c>
      <c r="P60" s="239">
        <v>0</v>
      </c>
      <c r="Q60" s="239">
        <v>0</v>
      </c>
      <c r="R60" s="239">
        <v>0</v>
      </c>
      <c r="S60" s="239">
        <v>0</v>
      </c>
      <c r="T60" s="239">
        <v>0</v>
      </c>
      <c r="U60" s="239">
        <v>0</v>
      </c>
      <c r="V60" s="239">
        <v>0</v>
      </c>
      <c r="W60" s="239">
        <v>0</v>
      </c>
      <c r="X60" s="239">
        <v>0</v>
      </c>
      <c r="Y60" s="239">
        <v>29339.278925619834</v>
      </c>
      <c r="Z60" s="239">
        <v>29339.278925619834</v>
      </c>
      <c r="AA60" s="239">
        <v>0</v>
      </c>
      <c r="AB60" s="239">
        <v>0</v>
      </c>
      <c r="AC60" s="239">
        <v>0</v>
      </c>
      <c r="AD60" s="239">
        <v>0</v>
      </c>
      <c r="AE60" s="239">
        <v>0</v>
      </c>
      <c r="AF60" s="239">
        <v>0</v>
      </c>
      <c r="AG60" s="239">
        <v>29339</v>
      </c>
      <c r="AH60" s="239">
        <v>29339</v>
      </c>
      <c r="AI60" s="239">
        <v>0</v>
      </c>
      <c r="AJ60" s="239">
        <v>0</v>
      </c>
      <c r="AK60" s="239">
        <v>1745451.8675103304</v>
      </c>
      <c r="AL60" s="239">
        <v>0</v>
      </c>
      <c r="AM60" s="239">
        <v>35621.466683884297</v>
      </c>
      <c r="AN60" s="239">
        <v>1603354</v>
      </c>
      <c r="AO60" s="239">
        <v>0</v>
      </c>
      <c r="AP60" s="239">
        <v>32721</v>
      </c>
      <c r="AQ60" s="239">
        <v>142098</v>
      </c>
      <c r="AR60" s="239">
        <v>0</v>
      </c>
      <c r="AS60" s="239">
        <v>2900</v>
      </c>
      <c r="AT60" s="239">
        <v>5437.6322520661151</v>
      </c>
      <c r="AU60" s="239">
        <v>0</v>
      </c>
      <c r="AV60" s="239">
        <v>110.9720867768595</v>
      </c>
      <c r="AW60" s="239">
        <v>10439</v>
      </c>
      <c r="AX60" s="239">
        <v>0</v>
      </c>
      <c r="AY60" s="239">
        <v>213</v>
      </c>
      <c r="AZ60" s="239">
        <v>-5001</v>
      </c>
      <c r="BA60" s="239">
        <v>0</v>
      </c>
      <c r="BB60" s="239">
        <v>-102</v>
      </c>
      <c r="BC60" s="239">
        <v>0</v>
      </c>
      <c r="BD60" s="239">
        <v>0</v>
      </c>
      <c r="BE60" s="239">
        <v>0</v>
      </c>
      <c r="BF60" s="239">
        <v>5468</v>
      </c>
      <c r="BG60" s="239">
        <v>0</v>
      </c>
      <c r="BH60" s="239">
        <v>112</v>
      </c>
      <c r="BI60" s="239">
        <v>-5468</v>
      </c>
      <c r="BJ60" s="239">
        <v>0</v>
      </c>
      <c r="BK60" s="239">
        <v>-112</v>
      </c>
      <c r="BL60" s="239">
        <v>54314.186673553711</v>
      </c>
      <c r="BM60" s="239">
        <v>0</v>
      </c>
      <c r="BN60" s="239">
        <v>1108.4527892561982</v>
      </c>
      <c r="BO60" s="239">
        <v>41755</v>
      </c>
      <c r="BP60" s="239">
        <v>0</v>
      </c>
      <c r="BQ60" s="239">
        <v>852</v>
      </c>
      <c r="BR60" s="239">
        <v>12559</v>
      </c>
      <c r="BS60" s="239">
        <v>0</v>
      </c>
      <c r="BT60" s="239">
        <v>256</v>
      </c>
      <c r="BU60" s="239">
        <v>1833.7531198347108</v>
      </c>
      <c r="BV60" s="239">
        <v>0</v>
      </c>
      <c r="BW60" s="239">
        <v>37.423533057851245</v>
      </c>
      <c r="BX60" s="239">
        <v>0</v>
      </c>
      <c r="BY60" s="239">
        <v>0</v>
      </c>
      <c r="BZ60" s="239">
        <v>0</v>
      </c>
      <c r="CA60" s="239">
        <v>1834</v>
      </c>
      <c r="CB60" s="239">
        <v>0</v>
      </c>
      <c r="CC60" s="239">
        <v>37</v>
      </c>
      <c r="CD60" s="239">
        <v>0</v>
      </c>
      <c r="CE60" s="239">
        <v>0</v>
      </c>
      <c r="CF60" s="239">
        <v>0</v>
      </c>
      <c r="CG60" s="239">
        <v>0</v>
      </c>
      <c r="CH60" s="239">
        <v>0</v>
      </c>
      <c r="CI60" s="239">
        <v>0</v>
      </c>
      <c r="CJ60" s="239">
        <v>0</v>
      </c>
      <c r="CK60" s="239">
        <v>0</v>
      </c>
      <c r="CL60" s="239">
        <v>0</v>
      </c>
      <c r="CM60" s="239">
        <v>5966.0354958677681</v>
      </c>
      <c r="CN60" s="239">
        <v>0</v>
      </c>
      <c r="CO60" s="239">
        <v>121.75582644628099</v>
      </c>
      <c r="CP60" s="239">
        <v>4971</v>
      </c>
      <c r="CQ60" s="239">
        <v>0</v>
      </c>
      <c r="CR60" s="239">
        <v>101</v>
      </c>
      <c r="CS60" s="239">
        <v>995</v>
      </c>
      <c r="CT60" s="239">
        <v>0</v>
      </c>
      <c r="CU60" s="239">
        <v>21</v>
      </c>
      <c r="CV60" s="239">
        <v>1164840.3168181819</v>
      </c>
      <c r="CW60" s="239">
        <v>0</v>
      </c>
      <c r="CX60" s="239">
        <v>23772.251363636366</v>
      </c>
      <c r="CY60" s="239">
        <v>1110806</v>
      </c>
      <c r="CZ60" s="239">
        <v>0</v>
      </c>
      <c r="DA60" s="239">
        <v>22670</v>
      </c>
      <c r="DB60" s="239">
        <v>54034</v>
      </c>
      <c r="DC60" s="239">
        <v>0</v>
      </c>
      <c r="DD60" s="239">
        <v>1102</v>
      </c>
      <c r="DE60" s="641">
        <v>0.5</v>
      </c>
      <c r="DF60" s="641">
        <v>0.49</v>
      </c>
      <c r="DG60" s="641">
        <v>0</v>
      </c>
      <c r="DH60" s="641">
        <v>0.01</v>
      </c>
      <c r="DI60" s="214" t="s">
        <v>747</v>
      </c>
    </row>
    <row r="61" spans="2:113" s="214" customFormat="1" x14ac:dyDescent="0.2">
      <c r="B61" s="609" t="s">
        <v>204</v>
      </c>
      <c r="C61" s="609" t="s">
        <v>203</v>
      </c>
      <c r="D61" s="239">
        <v>-34398</v>
      </c>
      <c r="E61" s="239">
        <v>0</v>
      </c>
      <c r="F61" s="239">
        <v>-34398</v>
      </c>
      <c r="G61" s="239">
        <v>0</v>
      </c>
      <c r="H61" s="239">
        <v>0</v>
      </c>
      <c r="I61" s="239">
        <v>0</v>
      </c>
      <c r="J61" s="239">
        <v>-34398</v>
      </c>
      <c r="K61" s="239">
        <v>0</v>
      </c>
      <c r="L61" s="239">
        <v>-34398</v>
      </c>
      <c r="M61" s="239">
        <v>164110</v>
      </c>
      <c r="N61" s="239">
        <v>164110</v>
      </c>
      <c r="O61" s="239">
        <v>0</v>
      </c>
      <c r="P61" s="239">
        <v>408357</v>
      </c>
      <c r="Q61" s="239">
        <v>1131669</v>
      </c>
      <c r="R61" s="239">
        <v>-723312</v>
      </c>
      <c r="S61" s="239">
        <v>38854</v>
      </c>
      <c r="T61" s="239">
        <v>0</v>
      </c>
      <c r="U61" s="239">
        <v>12100</v>
      </c>
      <c r="V61" s="239">
        <v>0</v>
      </c>
      <c r="W61" s="239">
        <v>26754</v>
      </c>
      <c r="X61" s="239">
        <v>0</v>
      </c>
      <c r="Y61" s="239">
        <v>0</v>
      </c>
      <c r="Z61" s="239">
        <v>0</v>
      </c>
      <c r="AA61" s="239">
        <v>0</v>
      </c>
      <c r="AB61" s="239">
        <v>0</v>
      </c>
      <c r="AC61" s="239">
        <v>0</v>
      </c>
      <c r="AD61" s="239">
        <v>0</v>
      </c>
      <c r="AE61" s="239">
        <v>0</v>
      </c>
      <c r="AF61" s="239">
        <v>0</v>
      </c>
      <c r="AG61" s="239">
        <v>0</v>
      </c>
      <c r="AH61" s="239">
        <v>0</v>
      </c>
      <c r="AI61" s="239">
        <v>0</v>
      </c>
      <c r="AJ61" s="239">
        <v>0</v>
      </c>
      <c r="AK61" s="239">
        <v>639621.64214876026</v>
      </c>
      <c r="AL61" s="239">
        <v>143914.86948347106</v>
      </c>
      <c r="AM61" s="239">
        <v>15990.541053719007</v>
      </c>
      <c r="AN61" s="239">
        <v>577351</v>
      </c>
      <c r="AO61" s="239">
        <v>129904</v>
      </c>
      <c r="AP61" s="239">
        <v>14434</v>
      </c>
      <c r="AQ61" s="239">
        <v>62271</v>
      </c>
      <c r="AR61" s="239">
        <v>14011</v>
      </c>
      <c r="AS61" s="239">
        <v>1557</v>
      </c>
      <c r="AT61" s="239">
        <v>5099.5016528925626</v>
      </c>
      <c r="AU61" s="239">
        <v>1147.3878719008264</v>
      </c>
      <c r="AV61" s="239">
        <v>127.48754132231406</v>
      </c>
      <c r="AW61" s="239">
        <v>3132</v>
      </c>
      <c r="AX61" s="239">
        <v>704</v>
      </c>
      <c r="AY61" s="239">
        <v>78</v>
      </c>
      <c r="AZ61" s="239">
        <v>1968</v>
      </c>
      <c r="BA61" s="239">
        <v>443</v>
      </c>
      <c r="BB61" s="239">
        <v>49</v>
      </c>
      <c r="BC61" s="239">
        <v>0</v>
      </c>
      <c r="BD61" s="239">
        <v>0</v>
      </c>
      <c r="BE61" s="239">
        <v>0</v>
      </c>
      <c r="BF61" s="239">
        <v>0</v>
      </c>
      <c r="BG61" s="239">
        <v>0</v>
      </c>
      <c r="BH61" s="239">
        <v>0</v>
      </c>
      <c r="BI61" s="239">
        <v>0</v>
      </c>
      <c r="BJ61" s="239">
        <v>0</v>
      </c>
      <c r="BK61" s="239">
        <v>0</v>
      </c>
      <c r="BL61" s="239">
        <v>15352.068595041323</v>
      </c>
      <c r="BM61" s="239">
        <v>3454.215433884297</v>
      </c>
      <c r="BN61" s="239">
        <v>383.80171487603309</v>
      </c>
      <c r="BO61" s="239">
        <v>17142</v>
      </c>
      <c r="BP61" s="239">
        <v>3857</v>
      </c>
      <c r="BQ61" s="239">
        <v>429</v>
      </c>
      <c r="BR61" s="239">
        <v>-1790</v>
      </c>
      <c r="BS61" s="239">
        <v>-403</v>
      </c>
      <c r="BT61" s="239">
        <v>-45</v>
      </c>
      <c r="BU61" s="239">
        <v>-598.53305785123973</v>
      </c>
      <c r="BV61" s="239">
        <v>-134.66993801652893</v>
      </c>
      <c r="BW61" s="239">
        <v>-14.963326446280991</v>
      </c>
      <c r="BX61" s="239">
        <v>0</v>
      </c>
      <c r="BY61" s="239">
        <v>0</v>
      </c>
      <c r="BZ61" s="239">
        <v>0</v>
      </c>
      <c r="CA61" s="239">
        <v>-599</v>
      </c>
      <c r="CB61" s="239">
        <v>-135</v>
      </c>
      <c r="CC61" s="239">
        <v>-15</v>
      </c>
      <c r="CD61" s="239">
        <v>0</v>
      </c>
      <c r="CE61" s="239">
        <v>0</v>
      </c>
      <c r="CF61" s="239">
        <v>0</v>
      </c>
      <c r="CG61" s="239">
        <v>0</v>
      </c>
      <c r="CH61" s="239">
        <v>0</v>
      </c>
      <c r="CI61" s="239">
        <v>0</v>
      </c>
      <c r="CJ61" s="239">
        <v>0</v>
      </c>
      <c r="CK61" s="239">
        <v>0</v>
      </c>
      <c r="CL61" s="239">
        <v>0</v>
      </c>
      <c r="CM61" s="239">
        <v>1861.3363636363638</v>
      </c>
      <c r="CN61" s="239">
        <v>418.80068181818183</v>
      </c>
      <c r="CO61" s="239">
        <v>46.533409090909096</v>
      </c>
      <c r="CP61" s="239">
        <v>2597</v>
      </c>
      <c r="CQ61" s="239">
        <v>584</v>
      </c>
      <c r="CR61" s="239">
        <v>65</v>
      </c>
      <c r="CS61" s="239">
        <v>-736</v>
      </c>
      <c r="CT61" s="239">
        <v>-165</v>
      </c>
      <c r="CU61" s="239">
        <v>-18</v>
      </c>
      <c r="CV61" s="239">
        <v>218207.74586776859</v>
      </c>
      <c r="CW61" s="239">
        <v>47641.459090909091</v>
      </c>
      <c r="CX61" s="239">
        <v>5293.4954545454548</v>
      </c>
      <c r="CY61" s="239">
        <v>230827</v>
      </c>
      <c r="CZ61" s="239">
        <v>48214</v>
      </c>
      <c r="DA61" s="239">
        <v>5357</v>
      </c>
      <c r="DB61" s="239">
        <v>-12619</v>
      </c>
      <c r="DC61" s="239">
        <v>-573</v>
      </c>
      <c r="DD61" s="239">
        <v>-64</v>
      </c>
      <c r="DE61" s="641">
        <v>0.5</v>
      </c>
      <c r="DF61" s="641">
        <v>0.4</v>
      </c>
      <c r="DG61" s="641">
        <v>0.09</v>
      </c>
      <c r="DH61" s="641">
        <v>0.01</v>
      </c>
      <c r="DI61" s="214" t="s">
        <v>1190</v>
      </c>
    </row>
    <row r="62" spans="2:113" s="214" customFormat="1" x14ac:dyDescent="0.2">
      <c r="B62" s="609" t="s">
        <v>206</v>
      </c>
      <c r="C62" s="609" t="s">
        <v>205</v>
      </c>
      <c r="D62" s="239">
        <v>-127083</v>
      </c>
      <c r="E62" s="239">
        <v>0</v>
      </c>
      <c r="F62" s="239">
        <v>-127083</v>
      </c>
      <c r="G62" s="239">
        <v>0</v>
      </c>
      <c r="H62" s="239">
        <v>0</v>
      </c>
      <c r="I62" s="239">
        <v>0</v>
      </c>
      <c r="J62" s="239">
        <v>-127083</v>
      </c>
      <c r="K62" s="239">
        <v>0</v>
      </c>
      <c r="L62" s="239">
        <v>-127083</v>
      </c>
      <c r="M62" s="239">
        <v>196828</v>
      </c>
      <c r="N62" s="239">
        <v>196828</v>
      </c>
      <c r="O62" s="239">
        <v>0</v>
      </c>
      <c r="P62" s="239">
        <v>0</v>
      </c>
      <c r="Q62" s="239">
        <v>0</v>
      </c>
      <c r="R62" s="239">
        <v>0</v>
      </c>
      <c r="S62" s="239">
        <v>120747</v>
      </c>
      <c r="T62" s="239">
        <v>19259</v>
      </c>
      <c r="U62" s="239">
        <v>105115</v>
      </c>
      <c r="V62" s="239">
        <v>20000</v>
      </c>
      <c r="W62" s="239">
        <v>15632</v>
      </c>
      <c r="X62" s="239">
        <v>-741</v>
      </c>
      <c r="Y62" s="239">
        <v>0</v>
      </c>
      <c r="Z62" s="239">
        <v>0</v>
      </c>
      <c r="AA62" s="239">
        <v>0</v>
      </c>
      <c r="AB62" s="239">
        <v>0</v>
      </c>
      <c r="AC62" s="239">
        <v>0</v>
      </c>
      <c r="AD62" s="239">
        <v>0</v>
      </c>
      <c r="AE62" s="239">
        <v>0</v>
      </c>
      <c r="AF62" s="239">
        <v>0</v>
      </c>
      <c r="AG62" s="239">
        <v>0</v>
      </c>
      <c r="AH62" s="239">
        <v>0</v>
      </c>
      <c r="AI62" s="239">
        <v>0</v>
      </c>
      <c r="AJ62" s="239">
        <v>0</v>
      </c>
      <c r="AK62" s="239">
        <v>713610.95561157027</v>
      </c>
      <c r="AL62" s="239">
        <v>178402.73890289257</v>
      </c>
      <c r="AM62" s="239">
        <v>0</v>
      </c>
      <c r="AN62" s="239">
        <v>660950</v>
      </c>
      <c r="AO62" s="239">
        <v>165238</v>
      </c>
      <c r="AP62" s="239">
        <v>0</v>
      </c>
      <c r="AQ62" s="239">
        <v>52661</v>
      </c>
      <c r="AR62" s="239">
        <v>13165</v>
      </c>
      <c r="AS62" s="239">
        <v>0</v>
      </c>
      <c r="AT62" s="239">
        <v>3027.8143966942148</v>
      </c>
      <c r="AU62" s="239">
        <v>756.9535991735537</v>
      </c>
      <c r="AV62" s="239">
        <v>0</v>
      </c>
      <c r="AW62" s="239">
        <v>6726</v>
      </c>
      <c r="AX62" s="239">
        <v>1682</v>
      </c>
      <c r="AY62" s="239">
        <v>0</v>
      </c>
      <c r="AZ62" s="239">
        <v>-3698</v>
      </c>
      <c r="BA62" s="239">
        <v>-925</v>
      </c>
      <c r="BB62" s="239">
        <v>0</v>
      </c>
      <c r="BC62" s="239">
        <v>0</v>
      </c>
      <c r="BD62" s="239">
        <v>0</v>
      </c>
      <c r="BE62" s="239">
        <v>0</v>
      </c>
      <c r="BF62" s="239">
        <v>4058</v>
      </c>
      <c r="BG62" s="239">
        <v>1014</v>
      </c>
      <c r="BH62" s="239">
        <v>0</v>
      </c>
      <c r="BI62" s="239">
        <v>-4058</v>
      </c>
      <c r="BJ62" s="239">
        <v>-1014</v>
      </c>
      <c r="BK62" s="239">
        <v>0</v>
      </c>
      <c r="BL62" s="239">
        <v>4147.5297520661152</v>
      </c>
      <c r="BM62" s="239">
        <v>1036.8824380165288</v>
      </c>
      <c r="BN62" s="239">
        <v>0</v>
      </c>
      <c r="BO62" s="239">
        <v>4058</v>
      </c>
      <c r="BP62" s="239">
        <v>1014</v>
      </c>
      <c r="BQ62" s="239">
        <v>0</v>
      </c>
      <c r="BR62" s="239">
        <v>90</v>
      </c>
      <c r="BS62" s="239">
        <v>23</v>
      </c>
      <c r="BT62" s="239">
        <v>0</v>
      </c>
      <c r="BU62" s="239">
        <v>5647.6077933884299</v>
      </c>
      <c r="BV62" s="239">
        <v>1411.9019483471075</v>
      </c>
      <c r="BW62" s="239">
        <v>0</v>
      </c>
      <c r="BX62" s="239">
        <v>0</v>
      </c>
      <c r="BY62" s="239">
        <v>0</v>
      </c>
      <c r="BZ62" s="239">
        <v>0</v>
      </c>
      <c r="CA62" s="239">
        <v>5648</v>
      </c>
      <c r="CB62" s="239">
        <v>1412</v>
      </c>
      <c r="CC62" s="239">
        <v>0</v>
      </c>
      <c r="CD62" s="239">
        <v>0</v>
      </c>
      <c r="CE62" s="239">
        <v>0</v>
      </c>
      <c r="CF62" s="239">
        <v>0</v>
      </c>
      <c r="CG62" s="239">
        <v>0</v>
      </c>
      <c r="CH62" s="239">
        <v>0</v>
      </c>
      <c r="CI62" s="239">
        <v>0</v>
      </c>
      <c r="CJ62" s="239">
        <v>0</v>
      </c>
      <c r="CK62" s="239">
        <v>0</v>
      </c>
      <c r="CL62" s="239">
        <v>0</v>
      </c>
      <c r="CM62" s="239">
        <v>0</v>
      </c>
      <c r="CN62" s="239">
        <v>0</v>
      </c>
      <c r="CO62" s="239">
        <v>0</v>
      </c>
      <c r="CP62" s="239">
        <v>1218</v>
      </c>
      <c r="CQ62" s="239">
        <v>304</v>
      </c>
      <c r="CR62" s="239">
        <v>0</v>
      </c>
      <c r="CS62" s="239">
        <v>-1218</v>
      </c>
      <c r="CT62" s="239">
        <v>-304</v>
      </c>
      <c r="CU62" s="239">
        <v>0</v>
      </c>
      <c r="CV62" s="239">
        <v>258106.87231404963</v>
      </c>
      <c r="CW62" s="239">
        <v>64368.672107438026</v>
      </c>
      <c r="CX62" s="239">
        <v>0</v>
      </c>
      <c r="CY62" s="239">
        <v>269577</v>
      </c>
      <c r="CZ62" s="239">
        <v>67304</v>
      </c>
      <c r="DA62" s="239">
        <v>0</v>
      </c>
      <c r="DB62" s="239">
        <v>-11470</v>
      </c>
      <c r="DC62" s="239">
        <v>-2935</v>
      </c>
      <c r="DD62" s="239">
        <v>0</v>
      </c>
      <c r="DE62" s="641">
        <v>0.5</v>
      </c>
      <c r="DF62" s="641">
        <v>0.4</v>
      </c>
      <c r="DG62" s="641">
        <v>0.1</v>
      </c>
      <c r="DH62" s="641">
        <v>0</v>
      </c>
      <c r="DI62" s="214" t="s">
        <v>1190</v>
      </c>
    </row>
    <row r="63" spans="2:113" s="214" customFormat="1" x14ac:dyDescent="0.2">
      <c r="B63" s="609" t="s">
        <v>208</v>
      </c>
      <c r="C63" s="609" t="s">
        <v>207</v>
      </c>
      <c r="D63" s="239">
        <v>13868</v>
      </c>
      <c r="E63" s="239">
        <v>0</v>
      </c>
      <c r="F63" s="239">
        <v>13868</v>
      </c>
      <c r="G63" s="239">
        <v>0</v>
      </c>
      <c r="H63" s="239">
        <v>0</v>
      </c>
      <c r="I63" s="239">
        <v>0</v>
      </c>
      <c r="J63" s="239">
        <v>13868</v>
      </c>
      <c r="K63" s="239">
        <v>0</v>
      </c>
      <c r="L63" s="239">
        <v>13868</v>
      </c>
      <c r="M63" s="239">
        <v>115183</v>
      </c>
      <c r="N63" s="239">
        <v>115183</v>
      </c>
      <c r="O63" s="239">
        <v>0</v>
      </c>
      <c r="P63" s="239">
        <v>0</v>
      </c>
      <c r="Q63" s="239">
        <v>0</v>
      </c>
      <c r="R63" s="239">
        <v>0</v>
      </c>
      <c r="S63" s="239">
        <v>0</v>
      </c>
      <c r="T63" s="239">
        <v>0</v>
      </c>
      <c r="U63" s="239">
        <v>0</v>
      </c>
      <c r="V63" s="239">
        <v>0</v>
      </c>
      <c r="W63" s="239">
        <v>0</v>
      </c>
      <c r="X63" s="239">
        <v>0</v>
      </c>
      <c r="Y63" s="239">
        <v>0</v>
      </c>
      <c r="Z63" s="239">
        <v>0</v>
      </c>
      <c r="AA63" s="239">
        <v>0</v>
      </c>
      <c r="AB63" s="239">
        <v>0</v>
      </c>
      <c r="AC63" s="239">
        <v>0</v>
      </c>
      <c r="AD63" s="239">
        <v>0</v>
      </c>
      <c r="AE63" s="239">
        <v>0</v>
      </c>
      <c r="AF63" s="239">
        <v>0</v>
      </c>
      <c r="AG63" s="239">
        <v>0</v>
      </c>
      <c r="AH63" s="239">
        <v>0</v>
      </c>
      <c r="AI63" s="239">
        <v>0</v>
      </c>
      <c r="AJ63" s="239">
        <v>0</v>
      </c>
      <c r="AK63" s="239">
        <v>384810.09090909094</v>
      </c>
      <c r="AL63" s="239">
        <v>86582.270454545447</v>
      </c>
      <c r="AM63" s="239">
        <v>9620.2522727272735</v>
      </c>
      <c r="AN63" s="239">
        <v>307451</v>
      </c>
      <c r="AO63" s="239">
        <v>69177</v>
      </c>
      <c r="AP63" s="239">
        <v>7686</v>
      </c>
      <c r="AQ63" s="239">
        <v>77359</v>
      </c>
      <c r="AR63" s="239">
        <v>17405</v>
      </c>
      <c r="AS63" s="239">
        <v>1934</v>
      </c>
      <c r="AT63" s="239">
        <v>0</v>
      </c>
      <c r="AU63" s="239">
        <v>0</v>
      </c>
      <c r="AV63" s="239">
        <v>0</v>
      </c>
      <c r="AW63" s="239">
        <v>0</v>
      </c>
      <c r="AX63" s="239">
        <v>0</v>
      </c>
      <c r="AY63" s="239">
        <v>0</v>
      </c>
      <c r="AZ63" s="239">
        <v>0</v>
      </c>
      <c r="BA63" s="239">
        <v>0</v>
      </c>
      <c r="BB63" s="239">
        <v>0</v>
      </c>
      <c r="BC63" s="239">
        <v>0</v>
      </c>
      <c r="BD63" s="239">
        <v>0</v>
      </c>
      <c r="BE63" s="239">
        <v>0</v>
      </c>
      <c r="BF63" s="239">
        <v>0</v>
      </c>
      <c r="BG63" s="239">
        <v>0</v>
      </c>
      <c r="BH63" s="239">
        <v>0</v>
      </c>
      <c r="BI63" s="239">
        <v>0</v>
      </c>
      <c r="BJ63" s="239">
        <v>0</v>
      </c>
      <c r="BK63" s="239">
        <v>0</v>
      </c>
      <c r="BL63" s="239">
        <v>1728.6446280991736</v>
      </c>
      <c r="BM63" s="239">
        <v>388.94504132231401</v>
      </c>
      <c r="BN63" s="239">
        <v>43.216115702479335</v>
      </c>
      <c r="BO63" s="239">
        <v>1729</v>
      </c>
      <c r="BP63" s="239">
        <v>389</v>
      </c>
      <c r="BQ63" s="239">
        <v>43</v>
      </c>
      <c r="BR63" s="239">
        <v>0</v>
      </c>
      <c r="BS63" s="239">
        <v>0</v>
      </c>
      <c r="BT63" s="239">
        <v>0</v>
      </c>
      <c r="BU63" s="239">
        <v>-3820.4669421487606</v>
      </c>
      <c r="BV63" s="239">
        <v>-859.60506198347105</v>
      </c>
      <c r="BW63" s="239">
        <v>-95.511673553719007</v>
      </c>
      <c r="BX63" s="239">
        <v>0</v>
      </c>
      <c r="BY63" s="239">
        <v>0</v>
      </c>
      <c r="BZ63" s="239">
        <v>0</v>
      </c>
      <c r="CA63" s="239">
        <v>-3820</v>
      </c>
      <c r="CB63" s="239">
        <v>-860</v>
      </c>
      <c r="CC63" s="239">
        <v>-96</v>
      </c>
      <c r="CD63" s="239">
        <v>0</v>
      </c>
      <c r="CE63" s="239">
        <v>0</v>
      </c>
      <c r="CF63" s="239">
        <v>0</v>
      </c>
      <c r="CG63" s="239">
        <v>0</v>
      </c>
      <c r="CH63" s="239">
        <v>0</v>
      </c>
      <c r="CI63" s="239">
        <v>0</v>
      </c>
      <c r="CJ63" s="239">
        <v>0</v>
      </c>
      <c r="CK63" s="239">
        <v>0</v>
      </c>
      <c r="CL63" s="239">
        <v>0</v>
      </c>
      <c r="CM63" s="239">
        <v>977.94214876033061</v>
      </c>
      <c r="CN63" s="239">
        <v>220.03698347107436</v>
      </c>
      <c r="CO63" s="239">
        <v>24.448553719008263</v>
      </c>
      <c r="CP63" s="239">
        <v>0</v>
      </c>
      <c r="CQ63" s="239">
        <v>0</v>
      </c>
      <c r="CR63" s="239">
        <v>0</v>
      </c>
      <c r="CS63" s="239">
        <v>978</v>
      </c>
      <c r="CT63" s="239">
        <v>220</v>
      </c>
      <c r="CU63" s="239">
        <v>24</v>
      </c>
      <c r="CV63" s="239">
        <v>125177.49421487603</v>
      </c>
      <c r="CW63" s="239">
        <v>28164.936198347106</v>
      </c>
      <c r="CX63" s="239">
        <v>3129.4373553719006</v>
      </c>
      <c r="CY63" s="239">
        <v>125844</v>
      </c>
      <c r="CZ63" s="239">
        <v>28315</v>
      </c>
      <c r="DA63" s="239">
        <v>3146</v>
      </c>
      <c r="DB63" s="239">
        <v>-667</v>
      </c>
      <c r="DC63" s="239">
        <v>-150</v>
      </c>
      <c r="DD63" s="239">
        <v>-17</v>
      </c>
      <c r="DE63" s="641">
        <v>0.5</v>
      </c>
      <c r="DF63" s="641">
        <v>0.4</v>
      </c>
      <c r="DG63" s="641">
        <v>0.09</v>
      </c>
      <c r="DH63" s="641">
        <v>0.01</v>
      </c>
      <c r="DI63" s="214" t="s">
        <v>1190</v>
      </c>
    </row>
    <row r="64" spans="2:113" s="214" customFormat="1" x14ac:dyDescent="0.2">
      <c r="B64" s="609" t="s">
        <v>210</v>
      </c>
      <c r="C64" s="609" t="s">
        <v>209</v>
      </c>
      <c r="D64" s="239">
        <v>-34837</v>
      </c>
      <c r="E64" s="239">
        <v>0</v>
      </c>
      <c r="F64" s="239">
        <v>-34837</v>
      </c>
      <c r="G64" s="239">
        <v>0</v>
      </c>
      <c r="H64" s="239">
        <v>0</v>
      </c>
      <c r="I64" s="239">
        <v>0</v>
      </c>
      <c r="J64" s="239">
        <v>-34837</v>
      </c>
      <c r="K64" s="239">
        <v>0</v>
      </c>
      <c r="L64" s="239">
        <v>-34837</v>
      </c>
      <c r="M64" s="239">
        <v>136918</v>
      </c>
      <c r="N64" s="239">
        <v>136918</v>
      </c>
      <c r="O64" s="239">
        <v>0</v>
      </c>
      <c r="P64" s="239">
        <v>0</v>
      </c>
      <c r="Q64" s="239">
        <v>0</v>
      </c>
      <c r="R64" s="239">
        <v>0</v>
      </c>
      <c r="S64" s="239">
        <v>0</v>
      </c>
      <c r="T64" s="239">
        <v>0</v>
      </c>
      <c r="U64" s="239">
        <v>0</v>
      </c>
      <c r="V64" s="239">
        <v>0</v>
      </c>
      <c r="W64" s="239">
        <v>0</v>
      </c>
      <c r="X64" s="239">
        <v>0</v>
      </c>
      <c r="Y64" s="239">
        <v>0</v>
      </c>
      <c r="Z64" s="239">
        <v>0</v>
      </c>
      <c r="AA64" s="239">
        <v>0</v>
      </c>
      <c r="AB64" s="239">
        <v>0</v>
      </c>
      <c r="AC64" s="239">
        <v>0</v>
      </c>
      <c r="AD64" s="239">
        <v>0</v>
      </c>
      <c r="AE64" s="239">
        <v>0</v>
      </c>
      <c r="AF64" s="239">
        <v>0</v>
      </c>
      <c r="AG64" s="239">
        <v>0</v>
      </c>
      <c r="AH64" s="239">
        <v>0</v>
      </c>
      <c r="AI64" s="239">
        <v>0</v>
      </c>
      <c r="AJ64" s="239">
        <v>0</v>
      </c>
      <c r="AK64" s="239">
        <v>543155.96776859497</v>
      </c>
      <c r="AL64" s="239">
        <v>122210.09274793387</v>
      </c>
      <c r="AM64" s="239">
        <v>13578.899194214875</v>
      </c>
      <c r="AN64" s="239">
        <v>517550</v>
      </c>
      <c r="AO64" s="239">
        <v>116449</v>
      </c>
      <c r="AP64" s="239">
        <v>12939</v>
      </c>
      <c r="AQ64" s="239">
        <v>25606</v>
      </c>
      <c r="AR64" s="239">
        <v>5761</v>
      </c>
      <c r="AS64" s="239">
        <v>640</v>
      </c>
      <c r="AT64" s="239">
        <v>0</v>
      </c>
      <c r="AU64" s="239">
        <v>0</v>
      </c>
      <c r="AV64" s="239">
        <v>0</v>
      </c>
      <c r="AW64" s="239">
        <v>0</v>
      </c>
      <c r="AX64" s="239">
        <v>0</v>
      </c>
      <c r="AY64" s="239">
        <v>0</v>
      </c>
      <c r="AZ64" s="239">
        <v>0</v>
      </c>
      <c r="BA64" s="239">
        <v>0</v>
      </c>
      <c r="BB64" s="239">
        <v>0</v>
      </c>
      <c r="BC64" s="239">
        <v>0</v>
      </c>
      <c r="BD64" s="239">
        <v>0</v>
      </c>
      <c r="BE64" s="239">
        <v>0</v>
      </c>
      <c r="BF64" s="239">
        <v>0</v>
      </c>
      <c r="BG64" s="239">
        <v>0</v>
      </c>
      <c r="BH64" s="239">
        <v>0</v>
      </c>
      <c r="BI64" s="239">
        <v>0</v>
      </c>
      <c r="BJ64" s="239">
        <v>0</v>
      </c>
      <c r="BK64" s="239">
        <v>0</v>
      </c>
      <c r="BL64" s="239">
        <v>525.08595041322315</v>
      </c>
      <c r="BM64" s="239">
        <v>118.1443388429752</v>
      </c>
      <c r="BN64" s="239">
        <v>13.127148760330577</v>
      </c>
      <c r="BO64" s="239">
        <v>4212</v>
      </c>
      <c r="BP64" s="239">
        <v>947</v>
      </c>
      <c r="BQ64" s="239">
        <v>105</v>
      </c>
      <c r="BR64" s="239">
        <v>-3687</v>
      </c>
      <c r="BS64" s="239">
        <v>-829</v>
      </c>
      <c r="BT64" s="239">
        <v>-92</v>
      </c>
      <c r="BU64" s="239">
        <v>1257.9338842975208</v>
      </c>
      <c r="BV64" s="239">
        <v>283.03512396694214</v>
      </c>
      <c r="BW64" s="239">
        <v>31.448347107438018</v>
      </c>
      <c r="BX64" s="239">
        <v>0</v>
      </c>
      <c r="BY64" s="239">
        <v>0</v>
      </c>
      <c r="BZ64" s="239">
        <v>0</v>
      </c>
      <c r="CA64" s="239">
        <v>1258</v>
      </c>
      <c r="CB64" s="239">
        <v>283</v>
      </c>
      <c r="CC64" s="239">
        <v>31</v>
      </c>
      <c r="CD64" s="239">
        <v>96.171074380165294</v>
      </c>
      <c r="CE64" s="239">
        <v>21.638491735537187</v>
      </c>
      <c r="CF64" s="239">
        <v>2.4042768595041322</v>
      </c>
      <c r="CG64" s="239">
        <v>0</v>
      </c>
      <c r="CH64" s="239">
        <v>0</v>
      </c>
      <c r="CI64" s="239">
        <v>0</v>
      </c>
      <c r="CJ64" s="239">
        <v>96</v>
      </c>
      <c r="CK64" s="239">
        <v>22</v>
      </c>
      <c r="CL64" s="239">
        <v>2</v>
      </c>
      <c r="CM64" s="239">
        <v>4002.2586776859507</v>
      </c>
      <c r="CN64" s="239">
        <v>900.50820247933882</v>
      </c>
      <c r="CO64" s="239">
        <v>100.05646694214876</v>
      </c>
      <c r="CP64" s="239">
        <v>6694</v>
      </c>
      <c r="CQ64" s="239">
        <v>1506</v>
      </c>
      <c r="CR64" s="239">
        <v>167</v>
      </c>
      <c r="CS64" s="239">
        <v>-2692</v>
      </c>
      <c r="CT64" s="239">
        <v>-605</v>
      </c>
      <c r="CU64" s="239">
        <v>-67</v>
      </c>
      <c r="CV64" s="239">
        <v>171288.75619834711</v>
      </c>
      <c r="CW64" s="239">
        <v>38539.970144628103</v>
      </c>
      <c r="CX64" s="239">
        <v>4282.2189049586777</v>
      </c>
      <c r="CY64" s="239">
        <v>168346</v>
      </c>
      <c r="CZ64" s="239">
        <v>37878</v>
      </c>
      <c r="DA64" s="239">
        <v>4209</v>
      </c>
      <c r="DB64" s="239">
        <v>2943</v>
      </c>
      <c r="DC64" s="239">
        <v>662</v>
      </c>
      <c r="DD64" s="239">
        <v>73</v>
      </c>
      <c r="DE64" s="641">
        <v>0.5</v>
      </c>
      <c r="DF64" s="641">
        <v>0.4</v>
      </c>
      <c r="DG64" s="641">
        <v>0.09</v>
      </c>
      <c r="DH64" s="641">
        <v>0.01</v>
      </c>
      <c r="DI64" s="214" t="s">
        <v>1190</v>
      </c>
    </row>
    <row r="65" spans="1:113" s="214" customFormat="1" x14ac:dyDescent="0.2">
      <c r="B65" s="609" t="s">
        <v>212</v>
      </c>
      <c r="C65" s="609" t="s">
        <v>211</v>
      </c>
      <c r="D65" s="239">
        <v>4966</v>
      </c>
      <c r="E65" s="239">
        <v>0</v>
      </c>
      <c r="F65" s="239">
        <v>4966</v>
      </c>
      <c r="G65" s="239">
        <v>0</v>
      </c>
      <c r="H65" s="239">
        <v>0</v>
      </c>
      <c r="I65" s="239">
        <v>0</v>
      </c>
      <c r="J65" s="239">
        <v>4966</v>
      </c>
      <c r="K65" s="239">
        <v>0</v>
      </c>
      <c r="L65" s="239">
        <v>4966</v>
      </c>
      <c r="M65" s="239">
        <v>75810</v>
      </c>
      <c r="N65" s="239">
        <v>75810</v>
      </c>
      <c r="O65" s="239">
        <v>0</v>
      </c>
      <c r="P65" s="239">
        <v>0</v>
      </c>
      <c r="Q65" s="239">
        <v>0</v>
      </c>
      <c r="R65" s="239">
        <v>0</v>
      </c>
      <c r="S65" s="239">
        <v>339556</v>
      </c>
      <c r="T65" s="239">
        <v>0</v>
      </c>
      <c r="U65" s="239">
        <v>291863</v>
      </c>
      <c r="V65" s="239">
        <v>0</v>
      </c>
      <c r="W65" s="239">
        <v>47693</v>
      </c>
      <c r="X65" s="239">
        <v>0</v>
      </c>
      <c r="Y65" s="239">
        <v>0</v>
      </c>
      <c r="Z65" s="239">
        <v>0</v>
      </c>
      <c r="AA65" s="239">
        <v>0</v>
      </c>
      <c r="AB65" s="239">
        <v>0</v>
      </c>
      <c r="AC65" s="239">
        <v>0</v>
      </c>
      <c r="AD65" s="239">
        <v>0</v>
      </c>
      <c r="AE65" s="239">
        <v>0</v>
      </c>
      <c r="AF65" s="239">
        <v>0</v>
      </c>
      <c r="AG65" s="239">
        <v>0</v>
      </c>
      <c r="AH65" s="239">
        <v>0</v>
      </c>
      <c r="AI65" s="239">
        <v>0</v>
      </c>
      <c r="AJ65" s="239">
        <v>0</v>
      </c>
      <c r="AK65" s="239">
        <v>259651.95909090911</v>
      </c>
      <c r="AL65" s="239">
        <v>58421.690795454539</v>
      </c>
      <c r="AM65" s="239">
        <v>6491.2989772727269</v>
      </c>
      <c r="AN65" s="239">
        <v>254852</v>
      </c>
      <c r="AO65" s="239">
        <v>57342</v>
      </c>
      <c r="AP65" s="239">
        <v>6371</v>
      </c>
      <c r="AQ65" s="239">
        <v>4800</v>
      </c>
      <c r="AR65" s="239">
        <v>1080</v>
      </c>
      <c r="AS65" s="239">
        <v>120</v>
      </c>
      <c r="AT65" s="239">
        <v>-131.06859504132228</v>
      </c>
      <c r="AU65" s="239">
        <v>-29.490433884297516</v>
      </c>
      <c r="AV65" s="239">
        <v>-3.2767148760330578</v>
      </c>
      <c r="AW65" s="239">
        <v>834</v>
      </c>
      <c r="AX65" s="239">
        <v>188</v>
      </c>
      <c r="AY65" s="239">
        <v>21</v>
      </c>
      <c r="AZ65" s="239">
        <v>-965</v>
      </c>
      <c r="BA65" s="239">
        <v>-217</v>
      </c>
      <c r="BB65" s="239">
        <v>-24</v>
      </c>
      <c r="BC65" s="239">
        <v>0</v>
      </c>
      <c r="BD65" s="239">
        <v>0</v>
      </c>
      <c r="BE65" s="239">
        <v>0</v>
      </c>
      <c r="BF65" s="239">
        <v>0</v>
      </c>
      <c r="BG65" s="239">
        <v>0</v>
      </c>
      <c r="BH65" s="239">
        <v>0</v>
      </c>
      <c r="BI65" s="239">
        <v>0</v>
      </c>
      <c r="BJ65" s="239">
        <v>0</v>
      </c>
      <c r="BK65" s="239">
        <v>0</v>
      </c>
      <c r="BL65" s="239">
        <v>3252.7735537190083</v>
      </c>
      <c r="BM65" s="239">
        <v>731.87404958677678</v>
      </c>
      <c r="BN65" s="239">
        <v>81.319338842975199</v>
      </c>
      <c r="BO65" s="239">
        <v>8419</v>
      </c>
      <c r="BP65" s="239">
        <v>1895</v>
      </c>
      <c r="BQ65" s="239">
        <v>211</v>
      </c>
      <c r="BR65" s="239">
        <v>-5166</v>
      </c>
      <c r="BS65" s="239">
        <v>-1163</v>
      </c>
      <c r="BT65" s="239">
        <v>-130</v>
      </c>
      <c r="BU65" s="239">
        <v>64.114049586776858</v>
      </c>
      <c r="BV65" s="239">
        <v>14.425661157024791</v>
      </c>
      <c r="BW65" s="239">
        <v>1.6028512396694214</v>
      </c>
      <c r="BX65" s="239">
        <v>0</v>
      </c>
      <c r="BY65" s="239">
        <v>0</v>
      </c>
      <c r="BZ65" s="239">
        <v>0</v>
      </c>
      <c r="CA65" s="239">
        <v>64</v>
      </c>
      <c r="CB65" s="239">
        <v>14</v>
      </c>
      <c r="CC65" s="239">
        <v>2</v>
      </c>
      <c r="CD65" s="239">
        <v>0</v>
      </c>
      <c r="CE65" s="239">
        <v>0</v>
      </c>
      <c r="CF65" s="239">
        <v>0</v>
      </c>
      <c r="CG65" s="239">
        <v>0</v>
      </c>
      <c r="CH65" s="239">
        <v>0</v>
      </c>
      <c r="CI65" s="239">
        <v>0</v>
      </c>
      <c r="CJ65" s="239">
        <v>0</v>
      </c>
      <c r="CK65" s="239">
        <v>0</v>
      </c>
      <c r="CL65" s="239">
        <v>0</v>
      </c>
      <c r="CM65" s="239">
        <v>1695.3702479338845</v>
      </c>
      <c r="CN65" s="239">
        <v>381.45830578512397</v>
      </c>
      <c r="CO65" s="239">
        <v>42.38425619834711</v>
      </c>
      <c r="CP65" s="239">
        <v>2833</v>
      </c>
      <c r="CQ65" s="239">
        <v>637</v>
      </c>
      <c r="CR65" s="239">
        <v>71</v>
      </c>
      <c r="CS65" s="239">
        <v>-1138</v>
      </c>
      <c r="CT65" s="239">
        <v>-256</v>
      </c>
      <c r="CU65" s="239">
        <v>-29</v>
      </c>
      <c r="CV65" s="239">
        <v>114653.42231404959</v>
      </c>
      <c r="CW65" s="239">
        <v>24692.059896694213</v>
      </c>
      <c r="CX65" s="239">
        <v>2743.5622107438016</v>
      </c>
      <c r="CY65" s="239">
        <v>113014</v>
      </c>
      <c r="CZ65" s="239">
        <v>24478</v>
      </c>
      <c r="DA65" s="239">
        <v>2720</v>
      </c>
      <c r="DB65" s="239">
        <v>1639</v>
      </c>
      <c r="DC65" s="239">
        <v>214</v>
      </c>
      <c r="DD65" s="239">
        <v>24</v>
      </c>
      <c r="DE65" s="641">
        <v>0.5</v>
      </c>
      <c r="DF65" s="641">
        <v>0.4</v>
      </c>
      <c r="DG65" s="641">
        <v>0.09</v>
      </c>
      <c r="DH65" s="641">
        <v>0.01</v>
      </c>
      <c r="DI65" s="214" t="s">
        <v>1190</v>
      </c>
    </row>
    <row r="66" spans="1:113" s="214" customFormat="1" x14ac:dyDescent="0.2">
      <c r="B66" s="609" t="s">
        <v>214</v>
      </c>
      <c r="C66" s="609" t="s">
        <v>213</v>
      </c>
      <c r="D66" s="239">
        <v>32481</v>
      </c>
      <c r="E66" s="239">
        <v>0</v>
      </c>
      <c r="F66" s="239">
        <v>32481</v>
      </c>
      <c r="G66" s="239">
        <v>0</v>
      </c>
      <c r="H66" s="239">
        <v>0</v>
      </c>
      <c r="I66" s="239">
        <v>0</v>
      </c>
      <c r="J66" s="239">
        <v>32481</v>
      </c>
      <c r="K66" s="239">
        <v>0</v>
      </c>
      <c r="L66" s="239">
        <v>32481</v>
      </c>
      <c r="M66" s="239">
        <v>1720295</v>
      </c>
      <c r="N66" s="239">
        <v>1720295</v>
      </c>
      <c r="O66" s="239">
        <v>0</v>
      </c>
      <c r="P66" s="239">
        <v>0</v>
      </c>
      <c r="Q66" s="239">
        <v>0</v>
      </c>
      <c r="R66" s="239">
        <v>0</v>
      </c>
      <c r="S66" s="239">
        <v>0</v>
      </c>
      <c r="T66" s="239">
        <v>0</v>
      </c>
      <c r="U66" s="239">
        <v>0</v>
      </c>
      <c r="V66" s="239">
        <v>0</v>
      </c>
      <c r="W66" s="239">
        <v>0</v>
      </c>
      <c r="X66" s="239">
        <v>0</v>
      </c>
      <c r="Y66" s="239">
        <v>0</v>
      </c>
      <c r="Z66" s="239">
        <v>0</v>
      </c>
      <c r="AA66" s="239">
        <v>0</v>
      </c>
      <c r="AB66" s="239">
        <v>0</v>
      </c>
      <c r="AC66" s="239">
        <v>0</v>
      </c>
      <c r="AD66" s="239">
        <v>0</v>
      </c>
      <c r="AE66" s="239">
        <v>0</v>
      </c>
      <c r="AF66" s="239">
        <v>0</v>
      </c>
      <c r="AG66" s="239">
        <v>0</v>
      </c>
      <c r="AH66" s="239">
        <v>0</v>
      </c>
      <c r="AI66" s="239">
        <v>0</v>
      </c>
      <c r="AJ66" s="239">
        <v>0</v>
      </c>
      <c r="AK66" s="239">
        <v>71003.925929752077</v>
      </c>
      <c r="AL66" s="239">
        <v>47335.950619834715</v>
      </c>
      <c r="AM66" s="239">
        <v>0</v>
      </c>
      <c r="AN66" s="239">
        <v>66925</v>
      </c>
      <c r="AO66" s="239">
        <v>44617</v>
      </c>
      <c r="AP66" s="239">
        <v>0</v>
      </c>
      <c r="AQ66" s="239">
        <v>4079</v>
      </c>
      <c r="AR66" s="239">
        <v>2719</v>
      </c>
      <c r="AS66" s="239">
        <v>0</v>
      </c>
      <c r="AT66" s="239">
        <v>0</v>
      </c>
      <c r="AU66" s="239">
        <v>0</v>
      </c>
      <c r="AV66" s="239">
        <v>0</v>
      </c>
      <c r="AW66" s="239">
        <v>0</v>
      </c>
      <c r="AX66" s="239">
        <v>0</v>
      </c>
      <c r="AY66" s="239">
        <v>0</v>
      </c>
      <c r="AZ66" s="239">
        <v>0</v>
      </c>
      <c r="BA66" s="239">
        <v>0</v>
      </c>
      <c r="BB66" s="239">
        <v>0</v>
      </c>
      <c r="BC66" s="239">
        <v>84298.511776859508</v>
      </c>
      <c r="BD66" s="239">
        <v>56199.007851239672</v>
      </c>
      <c r="BE66" s="239">
        <v>0</v>
      </c>
      <c r="BF66" s="239">
        <v>42730</v>
      </c>
      <c r="BG66" s="239">
        <v>28487</v>
      </c>
      <c r="BH66" s="239">
        <v>0</v>
      </c>
      <c r="BI66" s="239">
        <v>41569</v>
      </c>
      <c r="BJ66" s="239">
        <v>27712</v>
      </c>
      <c r="BK66" s="239">
        <v>0</v>
      </c>
      <c r="BL66" s="239">
        <v>28665.371280991731</v>
      </c>
      <c r="BM66" s="239">
        <v>19110.24752066116</v>
      </c>
      <c r="BN66" s="239">
        <v>0</v>
      </c>
      <c r="BO66" s="239">
        <v>26677</v>
      </c>
      <c r="BP66" s="239">
        <v>17785</v>
      </c>
      <c r="BQ66" s="239">
        <v>0</v>
      </c>
      <c r="BR66" s="239">
        <v>1988</v>
      </c>
      <c r="BS66" s="239">
        <v>1325</v>
      </c>
      <c r="BT66" s="239">
        <v>0</v>
      </c>
      <c r="BU66" s="239">
        <v>2618.5314049586777</v>
      </c>
      <c r="BV66" s="239">
        <v>1745.6876033057852</v>
      </c>
      <c r="BW66" s="239">
        <v>0</v>
      </c>
      <c r="BX66" s="239">
        <v>0</v>
      </c>
      <c r="BY66" s="239">
        <v>0</v>
      </c>
      <c r="BZ66" s="239">
        <v>0</v>
      </c>
      <c r="CA66" s="239">
        <v>2619</v>
      </c>
      <c r="CB66" s="239">
        <v>1746</v>
      </c>
      <c r="CC66" s="239">
        <v>0</v>
      </c>
      <c r="CD66" s="239">
        <v>0</v>
      </c>
      <c r="CE66" s="239">
        <v>0</v>
      </c>
      <c r="CF66" s="239">
        <v>0</v>
      </c>
      <c r="CG66" s="239">
        <v>0</v>
      </c>
      <c r="CH66" s="239">
        <v>0</v>
      </c>
      <c r="CI66" s="239">
        <v>0</v>
      </c>
      <c r="CJ66" s="239">
        <v>0</v>
      </c>
      <c r="CK66" s="239">
        <v>0</v>
      </c>
      <c r="CL66" s="239">
        <v>0</v>
      </c>
      <c r="CM66" s="239">
        <v>2317.2359504132232</v>
      </c>
      <c r="CN66" s="239">
        <v>1544.8239669421489</v>
      </c>
      <c r="CO66" s="239">
        <v>0</v>
      </c>
      <c r="CP66" s="239">
        <v>3059</v>
      </c>
      <c r="CQ66" s="239">
        <v>2040</v>
      </c>
      <c r="CR66" s="239">
        <v>0</v>
      </c>
      <c r="CS66" s="239">
        <v>-742</v>
      </c>
      <c r="CT66" s="239">
        <v>-495</v>
      </c>
      <c r="CU66" s="239">
        <v>0</v>
      </c>
      <c r="CV66" s="239">
        <v>3352361.427892562</v>
      </c>
      <c r="CW66" s="239">
        <v>2234907.6185950413</v>
      </c>
      <c r="CX66" s="239">
        <v>0</v>
      </c>
      <c r="CY66" s="239">
        <v>3570818</v>
      </c>
      <c r="CZ66" s="239">
        <v>2274109</v>
      </c>
      <c r="DA66" s="239">
        <v>0</v>
      </c>
      <c r="DB66" s="239">
        <v>-218457</v>
      </c>
      <c r="DC66" s="239">
        <v>-39201</v>
      </c>
      <c r="DD66" s="239">
        <v>0</v>
      </c>
      <c r="DE66" s="641">
        <v>0.5</v>
      </c>
      <c r="DF66" s="641">
        <v>0.3</v>
      </c>
      <c r="DG66" s="641">
        <v>0.2</v>
      </c>
      <c r="DH66" s="641">
        <v>0</v>
      </c>
      <c r="DI66" s="214" t="s">
        <v>1193</v>
      </c>
    </row>
    <row r="67" spans="1:113" s="214" customFormat="1" x14ac:dyDescent="0.2">
      <c r="B67" s="609" t="s">
        <v>216</v>
      </c>
      <c r="C67" s="609" t="s">
        <v>215</v>
      </c>
      <c r="D67" s="239">
        <v>-778610</v>
      </c>
      <c r="E67" s="239">
        <v>0</v>
      </c>
      <c r="F67" s="239">
        <v>-778610</v>
      </c>
      <c r="G67" s="239">
        <v>0</v>
      </c>
      <c r="H67" s="239">
        <v>0</v>
      </c>
      <c r="I67" s="239">
        <v>0</v>
      </c>
      <c r="J67" s="239">
        <v>-778610</v>
      </c>
      <c r="K67" s="239">
        <v>0</v>
      </c>
      <c r="L67" s="239">
        <v>-778610</v>
      </c>
      <c r="M67" s="239">
        <v>240074</v>
      </c>
      <c r="N67" s="239">
        <v>240074</v>
      </c>
      <c r="O67" s="239">
        <v>0</v>
      </c>
      <c r="P67" s="239">
        <v>0</v>
      </c>
      <c r="Q67" s="239">
        <v>0</v>
      </c>
      <c r="R67" s="239">
        <v>0</v>
      </c>
      <c r="S67" s="239">
        <v>0</v>
      </c>
      <c r="T67" s="239">
        <v>0</v>
      </c>
      <c r="U67" s="239">
        <v>0</v>
      </c>
      <c r="V67" s="239">
        <v>0</v>
      </c>
      <c r="W67" s="239">
        <v>0</v>
      </c>
      <c r="X67" s="239">
        <v>0</v>
      </c>
      <c r="Y67" s="239">
        <v>0</v>
      </c>
      <c r="Z67" s="239">
        <v>0</v>
      </c>
      <c r="AA67" s="239">
        <v>0</v>
      </c>
      <c r="AB67" s="239">
        <v>0</v>
      </c>
      <c r="AC67" s="239">
        <v>0</v>
      </c>
      <c r="AD67" s="239">
        <v>0</v>
      </c>
      <c r="AE67" s="239">
        <v>0</v>
      </c>
      <c r="AF67" s="239">
        <v>0</v>
      </c>
      <c r="AG67" s="239">
        <v>0</v>
      </c>
      <c r="AH67" s="239">
        <v>0</v>
      </c>
      <c r="AI67" s="239">
        <v>0</v>
      </c>
      <c r="AJ67" s="239">
        <v>0</v>
      </c>
      <c r="AK67" s="239">
        <v>691500.66157024808</v>
      </c>
      <c r="AL67" s="239">
        <v>155587.64885330579</v>
      </c>
      <c r="AM67" s="239">
        <v>17287.516539256201</v>
      </c>
      <c r="AN67" s="239">
        <v>643367</v>
      </c>
      <c r="AO67" s="239">
        <v>144757</v>
      </c>
      <c r="AP67" s="239">
        <v>16084</v>
      </c>
      <c r="AQ67" s="239">
        <v>48134</v>
      </c>
      <c r="AR67" s="239">
        <v>10831</v>
      </c>
      <c r="AS67" s="239">
        <v>1204</v>
      </c>
      <c r="AT67" s="239">
        <v>0</v>
      </c>
      <c r="AU67" s="239">
        <v>0</v>
      </c>
      <c r="AV67" s="239">
        <v>0</v>
      </c>
      <c r="AW67" s="239">
        <v>0</v>
      </c>
      <c r="AX67" s="239">
        <v>0</v>
      </c>
      <c r="AY67" s="239">
        <v>0</v>
      </c>
      <c r="AZ67" s="239">
        <v>0</v>
      </c>
      <c r="BA67" s="239">
        <v>0</v>
      </c>
      <c r="BB67" s="239">
        <v>0</v>
      </c>
      <c r="BC67" s="239">
        <v>15518.034710743803</v>
      </c>
      <c r="BD67" s="239">
        <v>3491.5578099173554</v>
      </c>
      <c r="BE67" s="239">
        <v>387.95086776859506</v>
      </c>
      <c r="BF67" s="239">
        <v>58072</v>
      </c>
      <c r="BG67" s="239">
        <v>13066</v>
      </c>
      <c r="BH67" s="239">
        <v>1452</v>
      </c>
      <c r="BI67" s="239">
        <v>-42554</v>
      </c>
      <c r="BJ67" s="239">
        <v>-9574</v>
      </c>
      <c r="BK67" s="239">
        <v>-1064</v>
      </c>
      <c r="BL67" s="239">
        <v>1456.7685950413224</v>
      </c>
      <c r="BM67" s="239">
        <v>327.77293388429752</v>
      </c>
      <c r="BN67" s="239">
        <v>36.41921487603306</v>
      </c>
      <c r="BO67" s="239">
        <v>406</v>
      </c>
      <c r="BP67" s="239">
        <v>91</v>
      </c>
      <c r="BQ67" s="239">
        <v>10</v>
      </c>
      <c r="BR67" s="239">
        <v>1051</v>
      </c>
      <c r="BS67" s="239">
        <v>237</v>
      </c>
      <c r="BT67" s="239">
        <v>26</v>
      </c>
      <c r="BU67" s="239">
        <v>1944.5223140495871</v>
      </c>
      <c r="BV67" s="239">
        <v>437.51752066115705</v>
      </c>
      <c r="BW67" s="239">
        <v>48.613057851239674</v>
      </c>
      <c r="BX67" s="239">
        <v>0</v>
      </c>
      <c r="BY67" s="239">
        <v>0</v>
      </c>
      <c r="BZ67" s="239">
        <v>0</v>
      </c>
      <c r="CA67" s="239">
        <v>1945</v>
      </c>
      <c r="CB67" s="239">
        <v>438</v>
      </c>
      <c r="CC67" s="239">
        <v>49</v>
      </c>
      <c r="CD67" s="239">
        <v>0</v>
      </c>
      <c r="CE67" s="239">
        <v>0</v>
      </c>
      <c r="CF67" s="239">
        <v>0</v>
      </c>
      <c r="CG67" s="239">
        <v>0</v>
      </c>
      <c r="CH67" s="239">
        <v>0</v>
      </c>
      <c r="CI67" s="239">
        <v>0</v>
      </c>
      <c r="CJ67" s="239">
        <v>0</v>
      </c>
      <c r="CK67" s="239">
        <v>0</v>
      </c>
      <c r="CL67" s="239">
        <v>0</v>
      </c>
      <c r="CM67" s="239">
        <v>2786.1206611570251</v>
      </c>
      <c r="CN67" s="239">
        <v>626.87714876033056</v>
      </c>
      <c r="CO67" s="239">
        <v>69.653016528925633</v>
      </c>
      <c r="CP67" s="239">
        <v>5620</v>
      </c>
      <c r="CQ67" s="239">
        <v>1265</v>
      </c>
      <c r="CR67" s="239">
        <v>141</v>
      </c>
      <c r="CS67" s="239">
        <v>-2834</v>
      </c>
      <c r="CT67" s="239">
        <v>-638</v>
      </c>
      <c r="CU67" s="239">
        <v>-71</v>
      </c>
      <c r="CV67" s="239">
        <v>379779.75289256207</v>
      </c>
      <c r="CW67" s="239">
        <v>85450.444400826455</v>
      </c>
      <c r="CX67" s="239">
        <v>9494.4938223140507</v>
      </c>
      <c r="CY67" s="239">
        <v>367242</v>
      </c>
      <c r="CZ67" s="239">
        <v>82630</v>
      </c>
      <c r="DA67" s="239">
        <v>9181</v>
      </c>
      <c r="DB67" s="239">
        <v>12538</v>
      </c>
      <c r="DC67" s="239">
        <v>2820</v>
      </c>
      <c r="DD67" s="239">
        <v>313</v>
      </c>
      <c r="DE67" s="641">
        <v>0.5</v>
      </c>
      <c r="DF67" s="641">
        <v>0.4</v>
      </c>
      <c r="DG67" s="641">
        <v>0.09</v>
      </c>
      <c r="DH67" s="641">
        <v>0.01</v>
      </c>
      <c r="DI67" s="214" t="s">
        <v>1190</v>
      </c>
    </row>
    <row r="68" spans="1:113" s="214" customFormat="1" x14ac:dyDescent="0.2">
      <c r="B68" s="609" t="s">
        <v>218</v>
      </c>
      <c r="C68" s="609" t="s">
        <v>217</v>
      </c>
      <c r="D68" s="239">
        <v>-40163</v>
      </c>
      <c r="E68" s="239">
        <v>0</v>
      </c>
      <c r="F68" s="239">
        <v>-40163</v>
      </c>
      <c r="G68" s="239">
        <v>0</v>
      </c>
      <c r="H68" s="239">
        <v>0</v>
      </c>
      <c r="I68" s="239">
        <v>0</v>
      </c>
      <c r="J68" s="239">
        <v>-40163</v>
      </c>
      <c r="K68" s="239">
        <v>0</v>
      </c>
      <c r="L68" s="239">
        <v>-40163</v>
      </c>
      <c r="M68" s="239">
        <v>111435</v>
      </c>
      <c r="N68" s="239">
        <v>111435</v>
      </c>
      <c r="O68" s="239">
        <v>0</v>
      </c>
      <c r="P68" s="239">
        <v>0</v>
      </c>
      <c r="Q68" s="239">
        <v>0</v>
      </c>
      <c r="R68" s="239">
        <v>0</v>
      </c>
      <c r="S68" s="239">
        <v>33333</v>
      </c>
      <c r="T68" s="239">
        <v>0</v>
      </c>
      <c r="U68" s="239">
        <v>13085</v>
      </c>
      <c r="V68" s="239">
        <v>0</v>
      </c>
      <c r="W68" s="239">
        <v>20248</v>
      </c>
      <c r="X68" s="239">
        <v>0</v>
      </c>
      <c r="Y68" s="239">
        <v>0</v>
      </c>
      <c r="Z68" s="239">
        <v>0</v>
      </c>
      <c r="AA68" s="239">
        <v>0</v>
      </c>
      <c r="AB68" s="239">
        <v>0</v>
      </c>
      <c r="AC68" s="239">
        <v>0</v>
      </c>
      <c r="AD68" s="239">
        <v>0</v>
      </c>
      <c r="AE68" s="239">
        <v>0</v>
      </c>
      <c r="AF68" s="239">
        <v>0</v>
      </c>
      <c r="AG68" s="239">
        <v>0</v>
      </c>
      <c r="AH68" s="239">
        <v>0</v>
      </c>
      <c r="AI68" s="239">
        <v>0</v>
      </c>
      <c r="AJ68" s="239">
        <v>0</v>
      </c>
      <c r="AK68" s="239">
        <v>315191.76900826447</v>
      </c>
      <c r="AL68" s="239">
        <v>78797.942252066117</v>
      </c>
      <c r="AM68" s="239">
        <v>0</v>
      </c>
      <c r="AN68" s="239">
        <v>306533</v>
      </c>
      <c r="AO68" s="239">
        <v>76633</v>
      </c>
      <c r="AP68" s="239">
        <v>0</v>
      </c>
      <c r="AQ68" s="239">
        <v>8659</v>
      </c>
      <c r="AR68" s="239">
        <v>2165</v>
      </c>
      <c r="AS68" s="239">
        <v>0</v>
      </c>
      <c r="AT68" s="239">
        <v>0</v>
      </c>
      <c r="AU68" s="239">
        <v>0</v>
      </c>
      <c r="AV68" s="239">
        <v>0</v>
      </c>
      <c r="AW68" s="239">
        <v>356</v>
      </c>
      <c r="AX68" s="239">
        <v>89</v>
      </c>
      <c r="AY68" s="239">
        <v>0</v>
      </c>
      <c r="AZ68" s="239">
        <v>-356</v>
      </c>
      <c r="BA68" s="239">
        <v>-89</v>
      </c>
      <c r="BB68" s="239">
        <v>0</v>
      </c>
      <c r="BC68" s="239">
        <v>0</v>
      </c>
      <c r="BD68" s="239">
        <v>0</v>
      </c>
      <c r="BE68" s="239">
        <v>0</v>
      </c>
      <c r="BF68" s="239">
        <v>0</v>
      </c>
      <c r="BG68" s="239">
        <v>0</v>
      </c>
      <c r="BH68" s="239">
        <v>0</v>
      </c>
      <c r="BI68" s="239">
        <v>0</v>
      </c>
      <c r="BJ68" s="239">
        <v>0</v>
      </c>
      <c r="BK68" s="239">
        <v>0</v>
      </c>
      <c r="BL68" s="239">
        <v>1460.0148760330578</v>
      </c>
      <c r="BM68" s="239">
        <v>365.00371900826445</v>
      </c>
      <c r="BN68" s="239">
        <v>0</v>
      </c>
      <c r="BO68" s="239">
        <v>3006</v>
      </c>
      <c r="BP68" s="239">
        <v>751</v>
      </c>
      <c r="BQ68" s="239">
        <v>0</v>
      </c>
      <c r="BR68" s="239">
        <v>-1546</v>
      </c>
      <c r="BS68" s="239">
        <v>-386</v>
      </c>
      <c r="BT68" s="239">
        <v>0</v>
      </c>
      <c r="BU68" s="239">
        <v>-2026.4909090909093</v>
      </c>
      <c r="BV68" s="239">
        <v>-506.62272727272733</v>
      </c>
      <c r="BW68" s="239">
        <v>0</v>
      </c>
      <c r="BX68" s="239">
        <v>0</v>
      </c>
      <c r="BY68" s="239">
        <v>0</v>
      </c>
      <c r="BZ68" s="239">
        <v>0</v>
      </c>
      <c r="CA68" s="239">
        <v>-2026</v>
      </c>
      <c r="CB68" s="239">
        <v>-507</v>
      </c>
      <c r="CC68" s="239">
        <v>0</v>
      </c>
      <c r="CD68" s="239">
        <v>0</v>
      </c>
      <c r="CE68" s="239">
        <v>0</v>
      </c>
      <c r="CF68" s="239">
        <v>0</v>
      </c>
      <c r="CG68" s="239">
        <v>0</v>
      </c>
      <c r="CH68" s="239">
        <v>0</v>
      </c>
      <c r="CI68" s="239">
        <v>0</v>
      </c>
      <c r="CJ68" s="239">
        <v>0</v>
      </c>
      <c r="CK68" s="239">
        <v>0</v>
      </c>
      <c r="CL68" s="239">
        <v>0</v>
      </c>
      <c r="CM68" s="239">
        <v>2255.7595041322315</v>
      </c>
      <c r="CN68" s="239">
        <v>563.93987603305789</v>
      </c>
      <c r="CO68" s="239">
        <v>0</v>
      </c>
      <c r="CP68" s="239">
        <v>4058</v>
      </c>
      <c r="CQ68" s="239">
        <v>1014</v>
      </c>
      <c r="CR68" s="239">
        <v>0</v>
      </c>
      <c r="CS68" s="239">
        <v>-1802</v>
      </c>
      <c r="CT68" s="239">
        <v>-450</v>
      </c>
      <c r="CU68" s="239">
        <v>0</v>
      </c>
      <c r="CV68" s="239">
        <v>244117.23347107437</v>
      </c>
      <c r="CW68" s="239">
        <v>60908.786157024791</v>
      </c>
      <c r="CX68" s="239">
        <v>0</v>
      </c>
      <c r="CY68" s="239">
        <v>227251</v>
      </c>
      <c r="CZ68" s="239">
        <v>56765</v>
      </c>
      <c r="DA68" s="239">
        <v>0</v>
      </c>
      <c r="DB68" s="239">
        <v>16866</v>
      </c>
      <c r="DC68" s="239">
        <v>4144</v>
      </c>
      <c r="DD68" s="239">
        <v>0</v>
      </c>
      <c r="DE68" s="641">
        <v>0.5</v>
      </c>
      <c r="DF68" s="641">
        <v>0.4</v>
      </c>
      <c r="DG68" s="641">
        <v>0.1</v>
      </c>
      <c r="DH68" s="641">
        <v>0</v>
      </c>
      <c r="DI68" s="214" t="s">
        <v>1190</v>
      </c>
    </row>
    <row r="69" spans="1:113" s="214" customFormat="1" x14ac:dyDescent="0.2">
      <c r="B69" s="609" t="s">
        <v>220</v>
      </c>
      <c r="C69" s="609" t="s">
        <v>219</v>
      </c>
      <c r="D69" s="239">
        <v>-444</v>
      </c>
      <c r="E69" s="239">
        <v>0</v>
      </c>
      <c r="F69" s="239">
        <v>-444</v>
      </c>
      <c r="G69" s="239">
        <v>0</v>
      </c>
      <c r="H69" s="239">
        <v>0</v>
      </c>
      <c r="I69" s="239">
        <v>0</v>
      </c>
      <c r="J69" s="239">
        <v>-444</v>
      </c>
      <c r="K69" s="239">
        <v>0</v>
      </c>
      <c r="L69" s="239">
        <v>-444</v>
      </c>
      <c r="M69" s="239">
        <v>89783</v>
      </c>
      <c r="N69" s="239">
        <v>89783</v>
      </c>
      <c r="O69" s="239">
        <v>0</v>
      </c>
      <c r="P69" s="239">
        <v>0</v>
      </c>
      <c r="Q69" s="239">
        <v>0</v>
      </c>
      <c r="R69" s="239">
        <v>0</v>
      </c>
      <c r="S69" s="239">
        <v>0</v>
      </c>
      <c r="T69" s="239">
        <v>0</v>
      </c>
      <c r="U69" s="239">
        <v>0</v>
      </c>
      <c r="V69" s="239">
        <v>0</v>
      </c>
      <c r="W69" s="239">
        <v>0</v>
      </c>
      <c r="X69" s="239">
        <v>0</v>
      </c>
      <c r="Y69" s="239">
        <v>0</v>
      </c>
      <c r="Z69" s="239">
        <v>0</v>
      </c>
      <c r="AA69" s="239">
        <v>0</v>
      </c>
      <c r="AB69" s="239">
        <v>0</v>
      </c>
      <c r="AC69" s="239">
        <v>0</v>
      </c>
      <c r="AD69" s="239">
        <v>0</v>
      </c>
      <c r="AE69" s="239">
        <v>0</v>
      </c>
      <c r="AF69" s="239">
        <v>0</v>
      </c>
      <c r="AG69" s="239">
        <v>0</v>
      </c>
      <c r="AH69" s="239">
        <v>0</v>
      </c>
      <c r="AI69" s="239">
        <v>0</v>
      </c>
      <c r="AJ69" s="239">
        <v>0</v>
      </c>
      <c r="AK69" s="239">
        <v>250119.05206611572</v>
      </c>
      <c r="AL69" s="239">
        <v>62529.76301652893</v>
      </c>
      <c r="AM69" s="239">
        <v>0</v>
      </c>
      <c r="AN69" s="239">
        <v>237994</v>
      </c>
      <c r="AO69" s="239">
        <v>59498</v>
      </c>
      <c r="AP69" s="239">
        <v>0</v>
      </c>
      <c r="AQ69" s="239">
        <v>12125</v>
      </c>
      <c r="AR69" s="239">
        <v>3032</v>
      </c>
      <c r="AS69" s="239">
        <v>0</v>
      </c>
      <c r="AT69" s="239">
        <v>0</v>
      </c>
      <c r="AU69" s="239">
        <v>0</v>
      </c>
      <c r="AV69" s="239">
        <v>0</v>
      </c>
      <c r="AW69" s="239">
        <v>0</v>
      </c>
      <c r="AX69" s="239">
        <v>0</v>
      </c>
      <c r="AY69" s="239">
        <v>0</v>
      </c>
      <c r="AZ69" s="239">
        <v>0</v>
      </c>
      <c r="BA69" s="239">
        <v>0</v>
      </c>
      <c r="BB69" s="239">
        <v>0</v>
      </c>
      <c r="BC69" s="239">
        <v>0</v>
      </c>
      <c r="BD69" s="239">
        <v>0</v>
      </c>
      <c r="BE69" s="239">
        <v>0</v>
      </c>
      <c r="BF69" s="239">
        <v>0</v>
      </c>
      <c r="BG69" s="239">
        <v>0</v>
      </c>
      <c r="BH69" s="239">
        <v>0</v>
      </c>
      <c r="BI69" s="239">
        <v>0</v>
      </c>
      <c r="BJ69" s="239">
        <v>0</v>
      </c>
      <c r="BK69" s="239">
        <v>0</v>
      </c>
      <c r="BL69" s="239">
        <v>0</v>
      </c>
      <c r="BM69" s="239">
        <v>0</v>
      </c>
      <c r="BN69" s="239">
        <v>0</v>
      </c>
      <c r="BO69" s="239">
        <v>20290</v>
      </c>
      <c r="BP69" s="239">
        <v>5072</v>
      </c>
      <c r="BQ69" s="239">
        <v>0</v>
      </c>
      <c r="BR69" s="239">
        <v>-20290</v>
      </c>
      <c r="BS69" s="239">
        <v>-5072</v>
      </c>
      <c r="BT69" s="239">
        <v>0</v>
      </c>
      <c r="BU69" s="239">
        <v>3626.9074380165289</v>
      </c>
      <c r="BV69" s="239">
        <v>906.72685950413222</v>
      </c>
      <c r="BW69" s="239">
        <v>0</v>
      </c>
      <c r="BX69" s="239">
        <v>0</v>
      </c>
      <c r="BY69" s="239">
        <v>0</v>
      </c>
      <c r="BZ69" s="239">
        <v>0</v>
      </c>
      <c r="CA69" s="239">
        <v>3627</v>
      </c>
      <c r="CB69" s="239">
        <v>907</v>
      </c>
      <c r="CC69" s="239">
        <v>0</v>
      </c>
      <c r="CD69" s="239">
        <v>0</v>
      </c>
      <c r="CE69" s="239">
        <v>0</v>
      </c>
      <c r="CF69" s="239">
        <v>0</v>
      </c>
      <c r="CG69" s="239">
        <v>0</v>
      </c>
      <c r="CH69" s="239">
        <v>0</v>
      </c>
      <c r="CI69" s="239">
        <v>0</v>
      </c>
      <c r="CJ69" s="239">
        <v>0</v>
      </c>
      <c r="CK69" s="239">
        <v>0</v>
      </c>
      <c r="CL69" s="239">
        <v>0</v>
      </c>
      <c r="CM69" s="239">
        <v>0</v>
      </c>
      <c r="CN69" s="239">
        <v>0</v>
      </c>
      <c r="CO69" s="239">
        <v>0</v>
      </c>
      <c r="CP69" s="239">
        <v>0</v>
      </c>
      <c r="CQ69" s="239">
        <v>0</v>
      </c>
      <c r="CR69" s="239">
        <v>0</v>
      </c>
      <c r="CS69" s="239">
        <v>0</v>
      </c>
      <c r="CT69" s="239">
        <v>0</v>
      </c>
      <c r="CU69" s="239">
        <v>0</v>
      </c>
      <c r="CV69" s="239">
        <v>193245.83553719008</v>
      </c>
      <c r="CW69" s="239">
        <v>48311.458884297521</v>
      </c>
      <c r="CX69" s="239">
        <v>0</v>
      </c>
      <c r="CY69" s="239">
        <v>197206</v>
      </c>
      <c r="CZ69" s="239">
        <v>49302</v>
      </c>
      <c r="DA69" s="239">
        <v>0</v>
      </c>
      <c r="DB69" s="239">
        <v>-3960</v>
      </c>
      <c r="DC69" s="239">
        <v>-991</v>
      </c>
      <c r="DD69" s="239">
        <v>0</v>
      </c>
      <c r="DE69" s="641">
        <v>0.5</v>
      </c>
      <c r="DF69" s="641">
        <v>0.4</v>
      </c>
      <c r="DG69" s="641">
        <v>0.1</v>
      </c>
      <c r="DH69" s="641">
        <v>0</v>
      </c>
      <c r="DI69" s="214" t="s">
        <v>1190</v>
      </c>
    </row>
    <row r="70" spans="1:113" s="214" customFormat="1" x14ac:dyDescent="0.2">
      <c r="B70" s="609" t="s">
        <v>222</v>
      </c>
      <c r="C70" s="609" t="s">
        <v>221</v>
      </c>
      <c r="D70" s="239">
        <v>-1306491</v>
      </c>
      <c r="E70" s="239">
        <v>0</v>
      </c>
      <c r="F70" s="239">
        <v>-1306491</v>
      </c>
      <c r="G70" s="239">
        <v>0</v>
      </c>
      <c r="H70" s="239">
        <v>0</v>
      </c>
      <c r="I70" s="239">
        <v>0</v>
      </c>
      <c r="J70" s="239">
        <v>-1306491</v>
      </c>
      <c r="K70" s="239">
        <v>0</v>
      </c>
      <c r="L70" s="239">
        <v>-1306491</v>
      </c>
      <c r="M70" s="239">
        <v>1124554</v>
      </c>
      <c r="N70" s="239">
        <v>1124554</v>
      </c>
      <c r="O70" s="239">
        <v>0</v>
      </c>
      <c r="P70" s="239">
        <v>16328</v>
      </c>
      <c r="Q70" s="239">
        <v>0</v>
      </c>
      <c r="R70" s="239">
        <v>16328</v>
      </c>
      <c r="S70" s="239">
        <v>1900148</v>
      </c>
      <c r="T70" s="239">
        <v>0</v>
      </c>
      <c r="U70" s="239">
        <v>1017734</v>
      </c>
      <c r="V70" s="239">
        <v>0</v>
      </c>
      <c r="W70" s="239">
        <v>882414</v>
      </c>
      <c r="X70" s="239">
        <v>0</v>
      </c>
      <c r="Y70" s="239">
        <v>287779.76652892563</v>
      </c>
      <c r="Z70" s="239">
        <v>287779.76652892563</v>
      </c>
      <c r="AA70" s="239">
        <v>0</v>
      </c>
      <c r="AB70" s="239">
        <v>0</v>
      </c>
      <c r="AC70" s="239">
        <v>293073</v>
      </c>
      <c r="AD70" s="239">
        <v>293073</v>
      </c>
      <c r="AE70" s="239">
        <v>0</v>
      </c>
      <c r="AF70" s="239">
        <v>0</v>
      </c>
      <c r="AG70" s="239">
        <v>-5293</v>
      </c>
      <c r="AH70" s="239">
        <v>-5293</v>
      </c>
      <c r="AI70" s="239">
        <v>0</v>
      </c>
      <c r="AJ70" s="239">
        <v>0</v>
      </c>
      <c r="AK70" s="239">
        <v>7033329.2463842984</v>
      </c>
      <c r="AL70" s="239">
        <v>0</v>
      </c>
      <c r="AM70" s="239">
        <v>0</v>
      </c>
      <c r="AN70" s="239">
        <v>6106934</v>
      </c>
      <c r="AO70" s="239">
        <v>0</v>
      </c>
      <c r="AP70" s="239">
        <v>0</v>
      </c>
      <c r="AQ70" s="239">
        <v>926395</v>
      </c>
      <c r="AR70" s="239">
        <v>0</v>
      </c>
      <c r="AS70" s="239">
        <v>0</v>
      </c>
      <c r="AT70" s="239">
        <v>15258.535123966942</v>
      </c>
      <c r="AU70" s="239">
        <v>0</v>
      </c>
      <c r="AV70" s="239">
        <v>0</v>
      </c>
      <c r="AW70" s="239">
        <v>14988</v>
      </c>
      <c r="AX70" s="239">
        <v>0</v>
      </c>
      <c r="AY70" s="239">
        <v>0</v>
      </c>
      <c r="AZ70" s="239">
        <v>271</v>
      </c>
      <c r="BA70" s="239">
        <v>0</v>
      </c>
      <c r="BB70" s="239">
        <v>0</v>
      </c>
      <c r="BC70" s="239">
        <v>3545.5475206611568</v>
      </c>
      <c r="BD70" s="239">
        <v>0</v>
      </c>
      <c r="BE70" s="239">
        <v>0</v>
      </c>
      <c r="BF70" s="239">
        <v>7608</v>
      </c>
      <c r="BG70" s="239">
        <v>0</v>
      </c>
      <c r="BH70" s="239">
        <v>0</v>
      </c>
      <c r="BI70" s="239">
        <v>-4062</v>
      </c>
      <c r="BJ70" s="239">
        <v>0</v>
      </c>
      <c r="BK70" s="239">
        <v>0</v>
      </c>
      <c r="BL70" s="239">
        <v>39739.551652892565</v>
      </c>
      <c r="BM70" s="239">
        <v>0</v>
      </c>
      <c r="BN70" s="239">
        <v>0</v>
      </c>
      <c r="BO70" s="239">
        <v>17329</v>
      </c>
      <c r="BP70" s="239">
        <v>0</v>
      </c>
      <c r="BQ70" s="239">
        <v>0</v>
      </c>
      <c r="BR70" s="239">
        <v>22411</v>
      </c>
      <c r="BS70" s="239">
        <v>0</v>
      </c>
      <c r="BT70" s="239">
        <v>0</v>
      </c>
      <c r="BU70" s="239">
        <v>3954.3760330578511</v>
      </c>
      <c r="BV70" s="239">
        <v>0</v>
      </c>
      <c r="BW70" s="239">
        <v>0</v>
      </c>
      <c r="BX70" s="239">
        <v>0</v>
      </c>
      <c r="BY70" s="239">
        <v>0</v>
      </c>
      <c r="BZ70" s="239">
        <v>0</v>
      </c>
      <c r="CA70" s="239">
        <v>3954</v>
      </c>
      <c r="CB70" s="239">
        <v>0</v>
      </c>
      <c r="CC70" s="239">
        <v>0</v>
      </c>
      <c r="CD70" s="239">
        <v>0</v>
      </c>
      <c r="CE70" s="239">
        <v>0</v>
      </c>
      <c r="CF70" s="239">
        <v>0</v>
      </c>
      <c r="CG70" s="239">
        <v>0</v>
      </c>
      <c r="CH70" s="239">
        <v>0</v>
      </c>
      <c r="CI70" s="239">
        <v>0</v>
      </c>
      <c r="CJ70" s="239">
        <v>0</v>
      </c>
      <c r="CK70" s="239">
        <v>0</v>
      </c>
      <c r="CL70" s="239">
        <v>0</v>
      </c>
      <c r="CM70" s="239">
        <v>38702.770661157025</v>
      </c>
      <c r="CN70" s="239">
        <v>0</v>
      </c>
      <c r="CO70" s="239">
        <v>0</v>
      </c>
      <c r="CP70" s="239">
        <v>83128</v>
      </c>
      <c r="CQ70" s="239">
        <v>0</v>
      </c>
      <c r="CR70" s="239">
        <v>0</v>
      </c>
      <c r="CS70" s="239">
        <v>-44425</v>
      </c>
      <c r="CT70" s="239">
        <v>0</v>
      </c>
      <c r="CU70" s="239">
        <v>0</v>
      </c>
      <c r="CV70" s="239">
        <v>1144379.8646694215</v>
      </c>
      <c r="CW70" s="239">
        <v>0</v>
      </c>
      <c r="CX70" s="239">
        <v>0</v>
      </c>
      <c r="CY70" s="239">
        <v>1117554</v>
      </c>
      <c r="CZ70" s="239">
        <v>0</v>
      </c>
      <c r="DA70" s="239">
        <v>0</v>
      </c>
      <c r="DB70" s="239">
        <v>26826</v>
      </c>
      <c r="DC70" s="239">
        <v>0</v>
      </c>
      <c r="DD70" s="239">
        <v>0</v>
      </c>
      <c r="DE70" s="641">
        <v>0.5</v>
      </c>
      <c r="DF70" s="641">
        <v>0.5</v>
      </c>
      <c r="DG70" s="641">
        <v>0</v>
      </c>
      <c r="DH70" s="641">
        <v>0</v>
      </c>
      <c r="DI70" s="214" t="s">
        <v>747</v>
      </c>
    </row>
    <row r="71" spans="1:113" s="214" customFormat="1" x14ac:dyDescent="0.2">
      <c r="B71" s="609" t="s">
        <v>224</v>
      </c>
      <c r="C71" s="609" t="s">
        <v>223</v>
      </c>
      <c r="D71" s="239">
        <v>-336993</v>
      </c>
      <c r="E71" s="239">
        <v>0</v>
      </c>
      <c r="F71" s="239">
        <v>-336993</v>
      </c>
      <c r="G71" s="239">
        <v>0</v>
      </c>
      <c r="H71" s="239">
        <v>0</v>
      </c>
      <c r="I71" s="239">
        <v>0</v>
      </c>
      <c r="J71" s="239">
        <v>-336993</v>
      </c>
      <c r="K71" s="239">
        <v>0</v>
      </c>
      <c r="L71" s="239">
        <v>-336993</v>
      </c>
      <c r="M71" s="239">
        <v>178689</v>
      </c>
      <c r="N71" s="239">
        <v>178689</v>
      </c>
      <c r="O71" s="239">
        <v>0</v>
      </c>
      <c r="P71" s="239">
        <v>0</v>
      </c>
      <c r="Q71" s="239">
        <v>0</v>
      </c>
      <c r="R71" s="239">
        <v>0</v>
      </c>
      <c r="S71" s="239">
        <v>78171</v>
      </c>
      <c r="T71" s="239">
        <v>0</v>
      </c>
      <c r="U71" s="239">
        <v>89833</v>
      </c>
      <c r="V71" s="239">
        <v>0</v>
      </c>
      <c r="W71" s="239">
        <v>-11662</v>
      </c>
      <c r="X71" s="239">
        <v>0</v>
      </c>
      <c r="Y71" s="239">
        <v>0</v>
      </c>
      <c r="Z71" s="239">
        <v>0</v>
      </c>
      <c r="AA71" s="239">
        <v>0</v>
      </c>
      <c r="AB71" s="239">
        <v>0</v>
      </c>
      <c r="AC71" s="239">
        <v>0</v>
      </c>
      <c r="AD71" s="239">
        <v>0</v>
      </c>
      <c r="AE71" s="239">
        <v>0</v>
      </c>
      <c r="AF71" s="239">
        <v>0</v>
      </c>
      <c r="AG71" s="239">
        <v>0</v>
      </c>
      <c r="AH71" s="239">
        <v>0</v>
      </c>
      <c r="AI71" s="239">
        <v>0</v>
      </c>
      <c r="AJ71" s="239">
        <v>0</v>
      </c>
      <c r="AK71" s="239">
        <v>646059.82892561983</v>
      </c>
      <c r="AL71" s="239">
        <v>161514.95723140496</v>
      </c>
      <c r="AM71" s="239">
        <v>0</v>
      </c>
      <c r="AN71" s="239">
        <v>615221</v>
      </c>
      <c r="AO71" s="239">
        <v>153805</v>
      </c>
      <c r="AP71" s="239">
        <v>0</v>
      </c>
      <c r="AQ71" s="239">
        <v>30839</v>
      </c>
      <c r="AR71" s="239">
        <v>7710</v>
      </c>
      <c r="AS71" s="239">
        <v>0</v>
      </c>
      <c r="AT71" s="239">
        <v>7607.6595041322307</v>
      </c>
      <c r="AU71" s="239">
        <v>1901.9148760330577</v>
      </c>
      <c r="AV71" s="239">
        <v>0</v>
      </c>
      <c r="AW71" s="239">
        <v>1499</v>
      </c>
      <c r="AX71" s="239">
        <v>375</v>
      </c>
      <c r="AY71" s="239">
        <v>0</v>
      </c>
      <c r="AZ71" s="239">
        <v>6109</v>
      </c>
      <c r="BA71" s="239">
        <v>1527</v>
      </c>
      <c r="BB71" s="239">
        <v>0</v>
      </c>
      <c r="BC71" s="239">
        <v>212.63140495867771</v>
      </c>
      <c r="BD71" s="239">
        <v>53.157851239669426</v>
      </c>
      <c r="BE71" s="239">
        <v>0</v>
      </c>
      <c r="BF71" s="239">
        <v>2874</v>
      </c>
      <c r="BG71" s="239">
        <v>718</v>
      </c>
      <c r="BH71" s="239">
        <v>0</v>
      </c>
      <c r="BI71" s="239">
        <v>-2661</v>
      </c>
      <c r="BJ71" s="239">
        <v>-665</v>
      </c>
      <c r="BK71" s="239">
        <v>0</v>
      </c>
      <c r="BL71" s="239">
        <v>9538.385123966942</v>
      </c>
      <c r="BM71" s="239">
        <v>2384.5962809917355</v>
      </c>
      <c r="BN71" s="239">
        <v>0</v>
      </c>
      <c r="BO71" s="239">
        <v>1222</v>
      </c>
      <c r="BP71" s="239">
        <v>306</v>
      </c>
      <c r="BQ71" s="239">
        <v>0</v>
      </c>
      <c r="BR71" s="239">
        <v>8316</v>
      </c>
      <c r="BS71" s="239">
        <v>2079</v>
      </c>
      <c r="BT71" s="239">
        <v>0</v>
      </c>
      <c r="BU71" s="239">
        <v>-1417.4074380165291</v>
      </c>
      <c r="BV71" s="239">
        <v>-354.35185950413228</v>
      </c>
      <c r="BW71" s="239">
        <v>0</v>
      </c>
      <c r="BX71" s="239">
        <v>0</v>
      </c>
      <c r="BY71" s="239">
        <v>0</v>
      </c>
      <c r="BZ71" s="239">
        <v>0</v>
      </c>
      <c r="CA71" s="239">
        <v>-1417</v>
      </c>
      <c r="CB71" s="239">
        <v>-354</v>
      </c>
      <c r="CC71" s="239">
        <v>0</v>
      </c>
      <c r="CD71" s="239">
        <v>0</v>
      </c>
      <c r="CE71" s="239">
        <v>0</v>
      </c>
      <c r="CF71" s="239">
        <v>0</v>
      </c>
      <c r="CG71" s="239">
        <v>0</v>
      </c>
      <c r="CH71" s="239">
        <v>0</v>
      </c>
      <c r="CI71" s="239">
        <v>0</v>
      </c>
      <c r="CJ71" s="239">
        <v>0</v>
      </c>
      <c r="CK71" s="239">
        <v>0</v>
      </c>
      <c r="CL71" s="239">
        <v>0</v>
      </c>
      <c r="CM71" s="239">
        <v>6122.0801652892569</v>
      </c>
      <c r="CN71" s="239">
        <v>1530.5200413223142</v>
      </c>
      <c r="CO71" s="239">
        <v>0</v>
      </c>
      <c r="CP71" s="239">
        <v>6170</v>
      </c>
      <c r="CQ71" s="239">
        <v>1543</v>
      </c>
      <c r="CR71" s="239">
        <v>0</v>
      </c>
      <c r="CS71" s="239">
        <v>-48</v>
      </c>
      <c r="CT71" s="239">
        <v>-12</v>
      </c>
      <c r="CU71" s="239">
        <v>0</v>
      </c>
      <c r="CV71" s="239">
        <v>180413.0508264463</v>
      </c>
      <c r="CW71" s="239">
        <v>44820.619628099179</v>
      </c>
      <c r="CX71" s="239">
        <v>0</v>
      </c>
      <c r="CY71" s="239">
        <v>179279</v>
      </c>
      <c r="CZ71" s="239">
        <v>44495</v>
      </c>
      <c r="DA71" s="239">
        <v>0</v>
      </c>
      <c r="DB71" s="239">
        <v>1134</v>
      </c>
      <c r="DC71" s="239">
        <v>326</v>
      </c>
      <c r="DD71" s="239">
        <v>0</v>
      </c>
      <c r="DE71" s="641">
        <v>0.5</v>
      </c>
      <c r="DF71" s="641">
        <v>0.4</v>
      </c>
      <c r="DG71" s="641">
        <v>0.1</v>
      </c>
      <c r="DH71" s="641">
        <v>0</v>
      </c>
      <c r="DI71" s="214" t="s">
        <v>1190</v>
      </c>
    </row>
    <row r="72" spans="1:113" s="214" customFormat="1" x14ac:dyDescent="0.2">
      <c r="B72" s="609" t="s">
        <v>226</v>
      </c>
      <c r="C72" s="609" t="s">
        <v>225</v>
      </c>
      <c r="D72" s="239">
        <v>-125598</v>
      </c>
      <c r="E72" s="239">
        <v>0</v>
      </c>
      <c r="F72" s="239">
        <v>-125598</v>
      </c>
      <c r="G72" s="239">
        <v>0</v>
      </c>
      <c r="H72" s="239">
        <v>0</v>
      </c>
      <c r="I72" s="239">
        <v>0</v>
      </c>
      <c r="J72" s="239">
        <v>-125598</v>
      </c>
      <c r="K72" s="239">
        <v>0</v>
      </c>
      <c r="L72" s="239">
        <v>-125598</v>
      </c>
      <c r="M72" s="239">
        <v>379337</v>
      </c>
      <c r="N72" s="239">
        <v>379337</v>
      </c>
      <c r="O72" s="239">
        <v>0</v>
      </c>
      <c r="P72" s="239">
        <v>0</v>
      </c>
      <c r="Q72" s="239">
        <v>0</v>
      </c>
      <c r="R72" s="239">
        <v>0</v>
      </c>
      <c r="S72" s="239">
        <v>0</v>
      </c>
      <c r="T72" s="239">
        <v>0</v>
      </c>
      <c r="U72" s="239">
        <v>0</v>
      </c>
      <c r="V72" s="239">
        <v>0</v>
      </c>
      <c r="W72" s="239">
        <v>0</v>
      </c>
      <c r="X72" s="239">
        <v>0</v>
      </c>
      <c r="Y72" s="239">
        <v>0</v>
      </c>
      <c r="Z72" s="239">
        <v>0</v>
      </c>
      <c r="AA72" s="239">
        <v>0</v>
      </c>
      <c r="AB72" s="239">
        <v>0</v>
      </c>
      <c r="AC72" s="239">
        <v>0</v>
      </c>
      <c r="AD72" s="239">
        <v>0</v>
      </c>
      <c r="AE72" s="239">
        <v>0</v>
      </c>
      <c r="AF72" s="239">
        <v>0</v>
      </c>
      <c r="AG72" s="239">
        <v>0</v>
      </c>
      <c r="AH72" s="239">
        <v>0</v>
      </c>
      <c r="AI72" s="239">
        <v>0</v>
      </c>
      <c r="AJ72" s="239">
        <v>0</v>
      </c>
      <c r="AK72" s="239">
        <v>1465219.9426859505</v>
      </c>
      <c r="AL72" s="239">
        <v>0</v>
      </c>
      <c r="AM72" s="239">
        <v>29902.447809917358</v>
      </c>
      <c r="AN72" s="239">
        <v>1391722</v>
      </c>
      <c r="AO72" s="239">
        <v>0</v>
      </c>
      <c r="AP72" s="239">
        <v>28402</v>
      </c>
      <c r="AQ72" s="239">
        <v>73498</v>
      </c>
      <c r="AR72" s="239">
        <v>0</v>
      </c>
      <c r="AS72" s="239">
        <v>1500</v>
      </c>
      <c r="AT72" s="239">
        <v>842.06499999999994</v>
      </c>
      <c r="AU72" s="239">
        <v>0</v>
      </c>
      <c r="AV72" s="239">
        <v>17.184999999999999</v>
      </c>
      <c r="AW72" s="239">
        <v>0</v>
      </c>
      <c r="AX72" s="239">
        <v>0</v>
      </c>
      <c r="AY72" s="239">
        <v>0</v>
      </c>
      <c r="AZ72" s="239">
        <v>842</v>
      </c>
      <c r="BA72" s="239">
        <v>0</v>
      </c>
      <c r="BB72" s="239">
        <v>17</v>
      </c>
      <c r="BC72" s="239">
        <v>41235.833574380165</v>
      </c>
      <c r="BD72" s="239">
        <v>0</v>
      </c>
      <c r="BE72" s="239">
        <v>841.54762396694218</v>
      </c>
      <c r="BF72" s="239">
        <v>4545</v>
      </c>
      <c r="BG72" s="239">
        <v>0</v>
      </c>
      <c r="BH72" s="239">
        <v>93</v>
      </c>
      <c r="BI72" s="239">
        <v>36691</v>
      </c>
      <c r="BJ72" s="239">
        <v>0</v>
      </c>
      <c r="BK72" s="239">
        <v>749</v>
      </c>
      <c r="BL72" s="239">
        <v>49125.097809917352</v>
      </c>
      <c r="BM72" s="239">
        <v>0</v>
      </c>
      <c r="BN72" s="239">
        <v>1002.5530165289256</v>
      </c>
      <c r="BO72" s="239">
        <v>46535</v>
      </c>
      <c r="BP72" s="239">
        <v>0</v>
      </c>
      <c r="BQ72" s="239">
        <v>950</v>
      </c>
      <c r="BR72" s="239">
        <v>2590</v>
      </c>
      <c r="BS72" s="239">
        <v>0</v>
      </c>
      <c r="BT72" s="239">
        <v>53</v>
      </c>
      <c r="BU72" s="239">
        <v>-14842.016983471074</v>
      </c>
      <c r="BV72" s="239">
        <v>0</v>
      </c>
      <c r="BW72" s="239">
        <v>-302.89830578512397</v>
      </c>
      <c r="BX72" s="239">
        <v>0</v>
      </c>
      <c r="BY72" s="239">
        <v>0</v>
      </c>
      <c r="BZ72" s="239">
        <v>0</v>
      </c>
      <c r="CA72" s="239">
        <v>-14842</v>
      </c>
      <c r="CB72" s="239">
        <v>0</v>
      </c>
      <c r="CC72" s="239">
        <v>-303</v>
      </c>
      <c r="CD72" s="239">
        <v>0</v>
      </c>
      <c r="CE72" s="239">
        <v>0</v>
      </c>
      <c r="CF72" s="239">
        <v>0</v>
      </c>
      <c r="CG72" s="239">
        <v>0</v>
      </c>
      <c r="CH72" s="239">
        <v>0</v>
      </c>
      <c r="CI72" s="239">
        <v>0</v>
      </c>
      <c r="CJ72" s="239">
        <v>0</v>
      </c>
      <c r="CK72" s="239">
        <v>0</v>
      </c>
      <c r="CL72" s="239">
        <v>0</v>
      </c>
      <c r="CM72" s="239">
        <v>2599.2667561983471</v>
      </c>
      <c r="CN72" s="239">
        <v>0</v>
      </c>
      <c r="CO72" s="239">
        <v>53.046260330578519</v>
      </c>
      <c r="CP72" s="239">
        <v>3318</v>
      </c>
      <c r="CQ72" s="239">
        <v>0</v>
      </c>
      <c r="CR72" s="239">
        <v>68</v>
      </c>
      <c r="CS72" s="239">
        <v>-719</v>
      </c>
      <c r="CT72" s="239">
        <v>0</v>
      </c>
      <c r="CU72" s="239">
        <v>-15</v>
      </c>
      <c r="CV72" s="239">
        <v>873552.79685950419</v>
      </c>
      <c r="CW72" s="239">
        <v>0</v>
      </c>
      <c r="CX72" s="239">
        <v>17827.608099173554</v>
      </c>
      <c r="CY72" s="239">
        <v>845308</v>
      </c>
      <c r="CZ72" s="239">
        <v>0</v>
      </c>
      <c r="DA72" s="239">
        <v>17251</v>
      </c>
      <c r="DB72" s="239">
        <v>28245</v>
      </c>
      <c r="DC72" s="239">
        <v>0</v>
      </c>
      <c r="DD72" s="239">
        <v>577</v>
      </c>
      <c r="DE72" s="641">
        <v>0.5</v>
      </c>
      <c r="DF72" s="641">
        <v>0.49</v>
      </c>
      <c r="DG72" s="641">
        <v>0</v>
      </c>
      <c r="DH72" s="641">
        <v>0.01</v>
      </c>
      <c r="DI72" s="214" t="s">
        <v>1192</v>
      </c>
    </row>
    <row r="73" spans="1:113" s="214" customFormat="1" x14ac:dyDescent="0.2">
      <c r="B73" s="609" t="s">
        <v>228</v>
      </c>
      <c r="C73" s="609" t="s">
        <v>227</v>
      </c>
      <c r="D73" s="239">
        <v>-72912</v>
      </c>
      <c r="E73" s="239">
        <v>0</v>
      </c>
      <c r="F73" s="239">
        <v>-72912</v>
      </c>
      <c r="G73" s="239">
        <v>0</v>
      </c>
      <c r="H73" s="239">
        <v>0</v>
      </c>
      <c r="I73" s="239">
        <v>0</v>
      </c>
      <c r="J73" s="239">
        <v>-72912</v>
      </c>
      <c r="K73" s="239">
        <v>0</v>
      </c>
      <c r="L73" s="239">
        <v>-72912</v>
      </c>
      <c r="M73" s="239">
        <v>120297</v>
      </c>
      <c r="N73" s="239">
        <v>120297</v>
      </c>
      <c r="O73" s="239">
        <v>0</v>
      </c>
      <c r="P73" s="239">
        <v>0</v>
      </c>
      <c r="Q73" s="239">
        <v>0</v>
      </c>
      <c r="R73" s="239">
        <v>0</v>
      </c>
      <c r="S73" s="239">
        <v>0</v>
      </c>
      <c r="T73" s="239">
        <v>0</v>
      </c>
      <c r="U73" s="239">
        <v>0</v>
      </c>
      <c r="V73" s="239">
        <v>0</v>
      </c>
      <c r="W73" s="239">
        <v>0</v>
      </c>
      <c r="X73" s="239">
        <v>0</v>
      </c>
      <c r="Y73" s="239">
        <v>0</v>
      </c>
      <c r="Z73" s="239">
        <v>0</v>
      </c>
      <c r="AA73" s="239">
        <v>0</v>
      </c>
      <c r="AB73" s="239">
        <v>0</v>
      </c>
      <c r="AC73" s="239">
        <v>0</v>
      </c>
      <c r="AD73" s="239">
        <v>0</v>
      </c>
      <c r="AE73" s="239">
        <v>0</v>
      </c>
      <c r="AF73" s="239">
        <v>0</v>
      </c>
      <c r="AG73" s="239">
        <v>0</v>
      </c>
      <c r="AH73" s="239">
        <v>0</v>
      </c>
      <c r="AI73" s="239">
        <v>0</v>
      </c>
      <c r="AJ73" s="239">
        <v>0</v>
      </c>
      <c r="AK73" s="239">
        <v>519006.27479338844</v>
      </c>
      <c r="AL73" s="239">
        <v>116776.4118285124</v>
      </c>
      <c r="AM73" s="239">
        <v>12975.156869834711</v>
      </c>
      <c r="AN73" s="239">
        <v>472664</v>
      </c>
      <c r="AO73" s="239">
        <v>106350</v>
      </c>
      <c r="AP73" s="239">
        <v>11817</v>
      </c>
      <c r="AQ73" s="239">
        <v>46342</v>
      </c>
      <c r="AR73" s="239">
        <v>10426</v>
      </c>
      <c r="AS73" s="239">
        <v>1158</v>
      </c>
      <c r="AT73" s="239">
        <v>1338.6851239669422</v>
      </c>
      <c r="AU73" s="239">
        <v>301.20415289256198</v>
      </c>
      <c r="AV73" s="239">
        <v>33.46712809917355</v>
      </c>
      <c r="AW73" s="239">
        <v>942</v>
      </c>
      <c r="AX73" s="239">
        <v>212</v>
      </c>
      <c r="AY73" s="239">
        <v>24</v>
      </c>
      <c r="AZ73" s="239">
        <v>397</v>
      </c>
      <c r="BA73" s="239">
        <v>89</v>
      </c>
      <c r="BB73" s="239">
        <v>9</v>
      </c>
      <c r="BC73" s="239">
        <v>0</v>
      </c>
      <c r="BD73" s="239">
        <v>0</v>
      </c>
      <c r="BE73" s="239">
        <v>0</v>
      </c>
      <c r="BF73" s="239">
        <v>1432</v>
      </c>
      <c r="BG73" s="239">
        <v>322</v>
      </c>
      <c r="BH73" s="239">
        <v>36</v>
      </c>
      <c r="BI73" s="239">
        <v>-1432</v>
      </c>
      <c r="BJ73" s="239">
        <v>-322</v>
      </c>
      <c r="BK73" s="239">
        <v>-36</v>
      </c>
      <c r="BL73" s="239">
        <v>7134.1082644628113</v>
      </c>
      <c r="BM73" s="239">
        <v>1605.1743595041323</v>
      </c>
      <c r="BN73" s="239">
        <v>178.35270661157028</v>
      </c>
      <c r="BO73" s="239">
        <v>9860</v>
      </c>
      <c r="BP73" s="239">
        <v>2218</v>
      </c>
      <c r="BQ73" s="239">
        <v>246</v>
      </c>
      <c r="BR73" s="239">
        <v>-2726</v>
      </c>
      <c r="BS73" s="239">
        <v>-613</v>
      </c>
      <c r="BT73" s="239">
        <v>-68</v>
      </c>
      <c r="BU73" s="239">
        <v>-3191.5</v>
      </c>
      <c r="BV73" s="239">
        <v>-718.08749999999998</v>
      </c>
      <c r="BW73" s="239">
        <v>-79.787500000000009</v>
      </c>
      <c r="BX73" s="239">
        <v>0</v>
      </c>
      <c r="BY73" s="239">
        <v>0</v>
      </c>
      <c r="BZ73" s="239">
        <v>0</v>
      </c>
      <c r="CA73" s="239">
        <v>-3192</v>
      </c>
      <c r="CB73" s="239">
        <v>-718</v>
      </c>
      <c r="CC73" s="239">
        <v>-80</v>
      </c>
      <c r="CD73" s="239">
        <v>2461.0867768595044</v>
      </c>
      <c r="CE73" s="239">
        <v>553.74452479338845</v>
      </c>
      <c r="CF73" s="239">
        <v>61.527169421487606</v>
      </c>
      <c r="CG73" s="239">
        <v>0</v>
      </c>
      <c r="CH73" s="239">
        <v>0</v>
      </c>
      <c r="CI73" s="239">
        <v>0</v>
      </c>
      <c r="CJ73" s="239">
        <v>2461</v>
      </c>
      <c r="CK73" s="239">
        <v>554</v>
      </c>
      <c r="CL73" s="239">
        <v>62</v>
      </c>
      <c r="CM73" s="239">
        <v>0</v>
      </c>
      <c r="CN73" s="239">
        <v>0</v>
      </c>
      <c r="CO73" s="239">
        <v>0</v>
      </c>
      <c r="CP73" s="239">
        <v>0</v>
      </c>
      <c r="CQ73" s="239">
        <v>0</v>
      </c>
      <c r="CR73" s="239">
        <v>0</v>
      </c>
      <c r="CS73" s="239">
        <v>0</v>
      </c>
      <c r="CT73" s="239">
        <v>0</v>
      </c>
      <c r="CU73" s="239">
        <v>0</v>
      </c>
      <c r="CV73" s="239">
        <v>106701.35867768597</v>
      </c>
      <c r="CW73" s="239">
        <v>24007.805702479342</v>
      </c>
      <c r="CX73" s="239">
        <v>2667.5339669421492</v>
      </c>
      <c r="CY73" s="239">
        <v>106991</v>
      </c>
      <c r="CZ73" s="239">
        <v>24073</v>
      </c>
      <c r="DA73" s="239">
        <v>2675</v>
      </c>
      <c r="DB73" s="239">
        <v>-290</v>
      </c>
      <c r="DC73" s="239">
        <v>-65</v>
      </c>
      <c r="DD73" s="239">
        <v>-7</v>
      </c>
      <c r="DE73" s="641">
        <v>0.5</v>
      </c>
      <c r="DF73" s="641">
        <v>0.4</v>
      </c>
      <c r="DG73" s="641">
        <v>0.09</v>
      </c>
      <c r="DH73" s="641">
        <v>0.01</v>
      </c>
      <c r="DI73" s="214" t="s">
        <v>1190</v>
      </c>
    </row>
    <row r="74" spans="1:113" s="214" customFormat="1" x14ac:dyDescent="0.2">
      <c r="B74" s="609" t="s">
        <v>230</v>
      </c>
      <c r="C74" s="609" t="s">
        <v>229</v>
      </c>
      <c r="D74" s="239">
        <v>-280760</v>
      </c>
      <c r="E74" s="239">
        <v>0</v>
      </c>
      <c r="F74" s="239">
        <v>-280760</v>
      </c>
      <c r="G74" s="239">
        <v>0</v>
      </c>
      <c r="H74" s="239">
        <v>0</v>
      </c>
      <c r="I74" s="239">
        <v>0</v>
      </c>
      <c r="J74" s="239">
        <v>-280760</v>
      </c>
      <c r="K74" s="239">
        <v>0</v>
      </c>
      <c r="L74" s="239">
        <v>-280760</v>
      </c>
      <c r="M74" s="239">
        <v>206882</v>
      </c>
      <c r="N74" s="239">
        <v>206882</v>
      </c>
      <c r="O74" s="239">
        <v>0</v>
      </c>
      <c r="P74" s="239">
        <v>0</v>
      </c>
      <c r="Q74" s="239">
        <v>0</v>
      </c>
      <c r="R74" s="239">
        <v>0</v>
      </c>
      <c r="S74" s="239">
        <v>9940</v>
      </c>
      <c r="T74" s="239">
        <v>0</v>
      </c>
      <c r="U74" s="239">
        <v>9940</v>
      </c>
      <c r="V74" s="239">
        <v>0</v>
      </c>
      <c r="W74" s="239">
        <v>0</v>
      </c>
      <c r="X74" s="239">
        <v>0</v>
      </c>
      <c r="Y74" s="239">
        <v>0</v>
      </c>
      <c r="Z74" s="239">
        <v>0</v>
      </c>
      <c r="AA74" s="239">
        <v>0</v>
      </c>
      <c r="AB74" s="239">
        <v>0</v>
      </c>
      <c r="AC74" s="239">
        <v>0</v>
      </c>
      <c r="AD74" s="239">
        <v>0</v>
      </c>
      <c r="AE74" s="239">
        <v>0</v>
      </c>
      <c r="AF74" s="239">
        <v>0</v>
      </c>
      <c r="AG74" s="239">
        <v>0</v>
      </c>
      <c r="AH74" s="239">
        <v>0</v>
      </c>
      <c r="AI74" s="239">
        <v>0</v>
      </c>
      <c r="AJ74" s="239">
        <v>0</v>
      </c>
      <c r="AK74" s="239">
        <v>169253.17809917356</v>
      </c>
      <c r="AL74" s="239">
        <v>42313.294524793389</v>
      </c>
      <c r="AM74" s="239">
        <v>0</v>
      </c>
      <c r="AN74" s="239">
        <v>161249</v>
      </c>
      <c r="AO74" s="239">
        <v>40312</v>
      </c>
      <c r="AP74" s="239">
        <v>0</v>
      </c>
      <c r="AQ74" s="239">
        <v>8004</v>
      </c>
      <c r="AR74" s="239">
        <v>2001</v>
      </c>
      <c r="AS74" s="239">
        <v>0</v>
      </c>
      <c r="AT74" s="239">
        <v>6955.9685950413232</v>
      </c>
      <c r="AU74" s="239">
        <v>1738.9921487603308</v>
      </c>
      <c r="AV74" s="239">
        <v>0</v>
      </c>
      <c r="AW74" s="239">
        <v>1162</v>
      </c>
      <c r="AX74" s="239">
        <v>290</v>
      </c>
      <c r="AY74" s="239">
        <v>0</v>
      </c>
      <c r="AZ74" s="239">
        <v>5794</v>
      </c>
      <c r="BA74" s="239">
        <v>1449</v>
      </c>
      <c r="BB74" s="239">
        <v>0</v>
      </c>
      <c r="BC74" s="239">
        <v>11233.34958677686</v>
      </c>
      <c r="BD74" s="239">
        <v>2808.3373966942149</v>
      </c>
      <c r="BE74" s="239">
        <v>0</v>
      </c>
      <c r="BF74" s="239">
        <v>44995</v>
      </c>
      <c r="BG74" s="239">
        <v>11249</v>
      </c>
      <c r="BH74" s="239">
        <v>0</v>
      </c>
      <c r="BI74" s="239">
        <v>-33762</v>
      </c>
      <c r="BJ74" s="239">
        <v>-8441</v>
      </c>
      <c r="BK74" s="239">
        <v>0</v>
      </c>
      <c r="BL74" s="239">
        <v>37675.119834710749</v>
      </c>
      <c r="BM74" s="239">
        <v>9418.7799586776873</v>
      </c>
      <c r="BN74" s="239">
        <v>0</v>
      </c>
      <c r="BO74" s="239">
        <v>28934</v>
      </c>
      <c r="BP74" s="239">
        <v>7234</v>
      </c>
      <c r="BQ74" s="239">
        <v>0</v>
      </c>
      <c r="BR74" s="239">
        <v>8741</v>
      </c>
      <c r="BS74" s="239">
        <v>2185</v>
      </c>
      <c r="BT74" s="239">
        <v>0</v>
      </c>
      <c r="BU74" s="239">
        <v>4571.9809917355369</v>
      </c>
      <c r="BV74" s="239">
        <v>1142.9952479338842</v>
      </c>
      <c r="BW74" s="239">
        <v>0</v>
      </c>
      <c r="BX74" s="239">
        <v>0</v>
      </c>
      <c r="BY74" s="239">
        <v>0</v>
      </c>
      <c r="BZ74" s="239">
        <v>0</v>
      </c>
      <c r="CA74" s="239">
        <v>4572</v>
      </c>
      <c r="CB74" s="239">
        <v>1143</v>
      </c>
      <c r="CC74" s="239">
        <v>0</v>
      </c>
      <c r="CD74" s="239">
        <v>0</v>
      </c>
      <c r="CE74" s="239">
        <v>0</v>
      </c>
      <c r="CF74" s="239">
        <v>0</v>
      </c>
      <c r="CG74" s="239">
        <v>0</v>
      </c>
      <c r="CH74" s="239">
        <v>0</v>
      </c>
      <c r="CI74" s="239">
        <v>0</v>
      </c>
      <c r="CJ74" s="239">
        <v>0</v>
      </c>
      <c r="CK74" s="239">
        <v>0</v>
      </c>
      <c r="CL74" s="239">
        <v>0</v>
      </c>
      <c r="CM74" s="239">
        <v>1510.7380165289258</v>
      </c>
      <c r="CN74" s="239">
        <v>377.68450413223144</v>
      </c>
      <c r="CO74" s="239">
        <v>0</v>
      </c>
      <c r="CP74" s="239">
        <v>1440</v>
      </c>
      <c r="CQ74" s="239">
        <v>360</v>
      </c>
      <c r="CR74" s="239">
        <v>0</v>
      </c>
      <c r="CS74" s="239">
        <v>71</v>
      </c>
      <c r="CT74" s="239">
        <v>18</v>
      </c>
      <c r="CU74" s="239">
        <v>0</v>
      </c>
      <c r="CV74" s="239">
        <v>697653.27024793404</v>
      </c>
      <c r="CW74" s="239">
        <v>174377.37747933887</v>
      </c>
      <c r="CX74" s="239">
        <v>0</v>
      </c>
      <c r="CY74" s="239">
        <v>691495</v>
      </c>
      <c r="CZ74" s="239">
        <v>172838</v>
      </c>
      <c r="DA74" s="239">
        <v>0</v>
      </c>
      <c r="DB74" s="239">
        <v>6158</v>
      </c>
      <c r="DC74" s="239">
        <v>1539</v>
      </c>
      <c r="DD74" s="239">
        <v>0</v>
      </c>
      <c r="DE74" s="641">
        <v>0.5</v>
      </c>
      <c r="DF74" s="641">
        <v>0.4</v>
      </c>
      <c r="DG74" s="641">
        <v>0.1</v>
      </c>
      <c r="DH74" s="641">
        <v>0</v>
      </c>
      <c r="DI74" s="214" t="s">
        <v>1190</v>
      </c>
    </row>
    <row r="75" spans="1:113" s="214" customFormat="1" x14ac:dyDescent="0.2">
      <c r="A75" s="215" t="s">
        <v>1211</v>
      </c>
      <c r="B75" s="609" t="s">
        <v>232</v>
      </c>
      <c r="C75" s="609" t="s">
        <v>231</v>
      </c>
      <c r="D75" s="239">
        <v>-228947</v>
      </c>
      <c r="E75" s="239">
        <v>0</v>
      </c>
      <c r="F75" s="239">
        <v>-228947</v>
      </c>
      <c r="G75" s="239">
        <v>0</v>
      </c>
      <c r="H75" s="239">
        <v>0</v>
      </c>
      <c r="I75" s="239">
        <v>0</v>
      </c>
      <c r="J75" s="239">
        <v>-228947</v>
      </c>
      <c r="K75" s="239">
        <v>0</v>
      </c>
      <c r="L75" s="239">
        <v>-228947</v>
      </c>
      <c r="M75" s="239">
        <v>426913</v>
      </c>
      <c r="N75" s="239">
        <v>426913</v>
      </c>
      <c r="O75" s="239">
        <v>0</v>
      </c>
      <c r="P75" s="239">
        <v>0</v>
      </c>
      <c r="Q75" s="239">
        <v>0</v>
      </c>
      <c r="R75" s="239">
        <v>0</v>
      </c>
      <c r="S75" s="239">
        <v>0</v>
      </c>
      <c r="T75" s="239">
        <v>0</v>
      </c>
      <c r="U75" s="239">
        <v>0</v>
      </c>
      <c r="V75" s="239">
        <v>0</v>
      </c>
      <c r="W75" s="239">
        <v>0</v>
      </c>
      <c r="X75" s="239">
        <v>0</v>
      </c>
      <c r="Y75" s="239">
        <v>1543.5051652892562</v>
      </c>
      <c r="Z75" s="239">
        <v>926.10309917355369</v>
      </c>
      <c r="AA75" s="239">
        <v>617.4020661157025</v>
      </c>
      <c r="AB75" s="239">
        <v>0</v>
      </c>
      <c r="AC75" s="239">
        <v>0</v>
      </c>
      <c r="AD75" s="239">
        <v>0</v>
      </c>
      <c r="AE75" s="239">
        <v>0</v>
      </c>
      <c r="AF75" s="239">
        <v>0</v>
      </c>
      <c r="AG75" s="239">
        <v>1544</v>
      </c>
      <c r="AH75" s="239">
        <v>926</v>
      </c>
      <c r="AI75" s="239">
        <v>617</v>
      </c>
      <c r="AJ75" s="239">
        <v>0</v>
      </c>
      <c r="AK75" s="239">
        <v>911386.03357438021</v>
      </c>
      <c r="AL75" s="239">
        <v>607590.68904958677</v>
      </c>
      <c r="AM75" s="239">
        <v>0</v>
      </c>
      <c r="AN75" s="239">
        <v>934781</v>
      </c>
      <c r="AO75" s="239">
        <v>623187</v>
      </c>
      <c r="AP75" s="239">
        <v>0</v>
      </c>
      <c r="AQ75" s="239">
        <v>-23395</v>
      </c>
      <c r="AR75" s="239">
        <v>-15596</v>
      </c>
      <c r="AS75" s="239">
        <v>0</v>
      </c>
      <c r="AT75" s="239">
        <v>41670.683057851231</v>
      </c>
      <c r="AU75" s="239">
        <v>27780.455371900825</v>
      </c>
      <c r="AV75" s="239">
        <v>0</v>
      </c>
      <c r="AW75" s="239">
        <v>0</v>
      </c>
      <c r="AX75" s="239">
        <v>0</v>
      </c>
      <c r="AY75" s="239">
        <v>0</v>
      </c>
      <c r="AZ75" s="239">
        <v>41671</v>
      </c>
      <c r="BA75" s="239">
        <v>27780</v>
      </c>
      <c r="BB75" s="239">
        <v>0</v>
      </c>
      <c r="BC75" s="239">
        <v>0</v>
      </c>
      <c r="BD75" s="239">
        <v>0</v>
      </c>
      <c r="BE75" s="239">
        <v>0</v>
      </c>
      <c r="BF75" s="239">
        <v>0</v>
      </c>
      <c r="BG75" s="239">
        <v>0</v>
      </c>
      <c r="BH75" s="239">
        <v>0</v>
      </c>
      <c r="BI75" s="239">
        <v>0</v>
      </c>
      <c r="BJ75" s="239">
        <v>0</v>
      </c>
      <c r="BK75" s="239">
        <v>0</v>
      </c>
      <c r="BL75" s="239">
        <v>10005.139462809917</v>
      </c>
      <c r="BM75" s="239">
        <v>6670.0929752066122</v>
      </c>
      <c r="BN75" s="239">
        <v>0</v>
      </c>
      <c r="BO75" s="239">
        <v>240</v>
      </c>
      <c r="BP75" s="239">
        <v>159</v>
      </c>
      <c r="BQ75" s="239">
        <v>0</v>
      </c>
      <c r="BR75" s="239">
        <v>9765</v>
      </c>
      <c r="BS75" s="239">
        <v>6511</v>
      </c>
      <c r="BT75" s="239">
        <v>0</v>
      </c>
      <c r="BU75" s="239">
        <v>0</v>
      </c>
      <c r="BV75" s="239">
        <v>0</v>
      </c>
      <c r="BW75" s="239">
        <v>0</v>
      </c>
      <c r="BX75" s="239">
        <v>0</v>
      </c>
      <c r="BY75" s="239">
        <v>0</v>
      </c>
      <c r="BZ75" s="239">
        <v>0</v>
      </c>
      <c r="CA75" s="239">
        <v>0</v>
      </c>
      <c r="CB75" s="239">
        <v>0</v>
      </c>
      <c r="CC75" s="239">
        <v>0</v>
      </c>
      <c r="CD75" s="239">
        <v>0</v>
      </c>
      <c r="CE75" s="239">
        <v>0</v>
      </c>
      <c r="CF75" s="239">
        <v>0</v>
      </c>
      <c r="CG75" s="239">
        <v>0</v>
      </c>
      <c r="CH75" s="239">
        <v>0</v>
      </c>
      <c r="CI75" s="239">
        <v>0</v>
      </c>
      <c r="CJ75" s="239">
        <v>0</v>
      </c>
      <c r="CK75" s="239">
        <v>0</v>
      </c>
      <c r="CL75" s="239">
        <v>0</v>
      </c>
      <c r="CM75" s="239">
        <v>0</v>
      </c>
      <c r="CN75" s="239">
        <v>0</v>
      </c>
      <c r="CO75" s="239">
        <v>0</v>
      </c>
      <c r="CP75" s="239">
        <v>402569</v>
      </c>
      <c r="CQ75" s="239">
        <v>268380</v>
      </c>
      <c r="CR75" s="239">
        <v>0</v>
      </c>
      <c r="CS75" s="239">
        <v>-402569</v>
      </c>
      <c r="CT75" s="239">
        <v>-268380</v>
      </c>
      <c r="CU75" s="239">
        <v>0</v>
      </c>
      <c r="CV75" s="239">
        <v>536735.9411157025</v>
      </c>
      <c r="CW75" s="239">
        <v>357823.96074380167</v>
      </c>
      <c r="CX75" s="239">
        <v>0</v>
      </c>
      <c r="CY75" s="239">
        <v>473396</v>
      </c>
      <c r="CZ75" s="239">
        <v>315598</v>
      </c>
      <c r="DA75" s="239">
        <v>0</v>
      </c>
      <c r="DB75" s="239">
        <v>63340</v>
      </c>
      <c r="DC75" s="239">
        <v>42226</v>
      </c>
      <c r="DD75" s="239">
        <v>0</v>
      </c>
      <c r="DE75" s="641">
        <v>0.5</v>
      </c>
      <c r="DF75" s="641">
        <v>0.3</v>
      </c>
      <c r="DG75" s="641">
        <v>0.2</v>
      </c>
      <c r="DH75" s="641">
        <v>0</v>
      </c>
      <c r="DI75" s="214" t="s">
        <v>1191</v>
      </c>
    </row>
    <row r="76" spans="1:113" s="214" customFormat="1" x14ac:dyDescent="0.2">
      <c r="B76" s="609" t="s">
        <v>234</v>
      </c>
      <c r="C76" s="609" t="s">
        <v>233</v>
      </c>
      <c r="D76" s="239">
        <v>-222236</v>
      </c>
      <c r="E76" s="239">
        <v>0</v>
      </c>
      <c r="F76" s="239">
        <v>-222236</v>
      </c>
      <c r="G76" s="239">
        <v>0</v>
      </c>
      <c r="H76" s="239">
        <v>0</v>
      </c>
      <c r="I76" s="239">
        <v>0</v>
      </c>
      <c r="J76" s="239">
        <v>-222236</v>
      </c>
      <c r="K76" s="239">
        <v>0</v>
      </c>
      <c r="L76" s="239">
        <v>-222236</v>
      </c>
      <c r="M76" s="239">
        <v>217273</v>
      </c>
      <c r="N76" s="239">
        <v>217273</v>
      </c>
      <c r="O76" s="239">
        <v>0</v>
      </c>
      <c r="P76" s="239">
        <v>0</v>
      </c>
      <c r="Q76" s="239">
        <v>0</v>
      </c>
      <c r="R76" s="239">
        <v>0</v>
      </c>
      <c r="S76" s="239">
        <v>0</v>
      </c>
      <c r="T76" s="239">
        <v>0</v>
      </c>
      <c r="U76" s="239">
        <v>0</v>
      </c>
      <c r="V76" s="239">
        <v>0</v>
      </c>
      <c r="W76" s="239">
        <v>0</v>
      </c>
      <c r="X76" s="239">
        <v>0</v>
      </c>
      <c r="Y76" s="239">
        <v>0</v>
      </c>
      <c r="Z76" s="239">
        <v>0</v>
      </c>
      <c r="AA76" s="239">
        <v>0</v>
      </c>
      <c r="AB76" s="239">
        <v>0</v>
      </c>
      <c r="AC76" s="239">
        <v>0</v>
      </c>
      <c r="AD76" s="239">
        <v>0</v>
      </c>
      <c r="AE76" s="239">
        <v>0</v>
      </c>
      <c r="AF76" s="239">
        <v>0</v>
      </c>
      <c r="AG76" s="239">
        <v>0</v>
      </c>
      <c r="AH76" s="239">
        <v>0</v>
      </c>
      <c r="AI76" s="239">
        <v>0</v>
      </c>
      <c r="AJ76" s="239">
        <v>0</v>
      </c>
      <c r="AK76" s="239">
        <v>441404.94214876037</v>
      </c>
      <c r="AL76" s="239">
        <v>110351.23553719009</v>
      </c>
      <c r="AM76" s="239">
        <v>0</v>
      </c>
      <c r="AN76" s="239">
        <v>453065</v>
      </c>
      <c r="AO76" s="239">
        <v>113266</v>
      </c>
      <c r="AP76" s="239">
        <v>0</v>
      </c>
      <c r="AQ76" s="239">
        <v>-11660</v>
      </c>
      <c r="AR76" s="239">
        <v>-2915</v>
      </c>
      <c r="AS76" s="239">
        <v>0</v>
      </c>
      <c r="AT76" s="239">
        <v>0</v>
      </c>
      <c r="AU76" s="239">
        <v>0</v>
      </c>
      <c r="AV76" s="239">
        <v>0</v>
      </c>
      <c r="AW76" s="239">
        <v>2044</v>
      </c>
      <c r="AX76" s="239">
        <v>511</v>
      </c>
      <c r="AY76" s="239">
        <v>0</v>
      </c>
      <c r="AZ76" s="239">
        <v>-2044</v>
      </c>
      <c r="BA76" s="239">
        <v>-511</v>
      </c>
      <c r="BB76" s="239">
        <v>0</v>
      </c>
      <c r="BC76" s="239">
        <v>16962.629752066117</v>
      </c>
      <c r="BD76" s="239">
        <v>4240.6574380165293</v>
      </c>
      <c r="BE76" s="239">
        <v>0</v>
      </c>
      <c r="BF76" s="239">
        <v>0</v>
      </c>
      <c r="BG76" s="239">
        <v>0</v>
      </c>
      <c r="BH76" s="239">
        <v>0</v>
      </c>
      <c r="BI76" s="239">
        <v>16963</v>
      </c>
      <c r="BJ76" s="239">
        <v>4241</v>
      </c>
      <c r="BK76" s="239">
        <v>0</v>
      </c>
      <c r="BL76" s="239">
        <v>3277.5264462809919</v>
      </c>
      <c r="BM76" s="239">
        <v>819.38161157024797</v>
      </c>
      <c r="BN76" s="239">
        <v>0</v>
      </c>
      <c r="BO76" s="239">
        <v>1055</v>
      </c>
      <c r="BP76" s="239">
        <v>264</v>
      </c>
      <c r="BQ76" s="239">
        <v>0</v>
      </c>
      <c r="BR76" s="239">
        <v>2223</v>
      </c>
      <c r="BS76" s="239">
        <v>555</v>
      </c>
      <c r="BT76" s="239">
        <v>0</v>
      </c>
      <c r="BU76" s="239">
        <v>2740.6727272727276</v>
      </c>
      <c r="BV76" s="239">
        <v>685.16818181818189</v>
      </c>
      <c r="BW76" s="239">
        <v>0</v>
      </c>
      <c r="BX76" s="239">
        <v>0</v>
      </c>
      <c r="BY76" s="239">
        <v>0</v>
      </c>
      <c r="BZ76" s="239">
        <v>0</v>
      </c>
      <c r="CA76" s="239">
        <v>2741</v>
      </c>
      <c r="CB76" s="239">
        <v>685</v>
      </c>
      <c r="CC76" s="239">
        <v>0</v>
      </c>
      <c r="CD76" s="239">
        <v>0</v>
      </c>
      <c r="CE76" s="239">
        <v>0</v>
      </c>
      <c r="CF76" s="239">
        <v>0</v>
      </c>
      <c r="CG76" s="239">
        <v>0</v>
      </c>
      <c r="CH76" s="239">
        <v>0</v>
      </c>
      <c r="CI76" s="239">
        <v>0</v>
      </c>
      <c r="CJ76" s="239">
        <v>0</v>
      </c>
      <c r="CK76" s="239">
        <v>0</v>
      </c>
      <c r="CL76" s="239">
        <v>0</v>
      </c>
      <c r="CM76" s="239">
        <v>0</v>
      </c>
      <c r="CN76" s="239">
        <v>0</v>
      </c>
      <c r="CO76" s="239">
        <v>0</v>
      </c>
      <c r="CP76" s="239">
        <v>0</v>
      </c>
      <c r="CQ76" s="239">
        <v>0</v>
      </c>
      <c r="CR76" s="239">
        <v>0</v>
      </c>
      <c r="CS76" s="239">
        <v>0</v>
      </c>
      <c r="CT76" s="239">
        <v>0</v>
      </c>
      <c r="CU76" s="239">
        <v>0</v>
      </c>
      <c r="CV76" s="239">
        <v>359813.18429752073</v>
      </c>
      <c r="CW76" s="239">
        <v>89953.296074380181</v>
      </c>
      <c r="CX76" s="239">
        <v>0</v>
      </c>
      <c r="CY76" s="239">
        <v>355921</v>
      </c>
      <c r="CZ76" s="239">
        <v>88980</v>
      </c>
      <c r="DA76" s="239">
        <v>0</v>
      </c>
      <c r="DB76" s="239">
        <v>3892</v>
      </c>
      <c r="DC76" s="239">
        <v>973</v>
      </c>
      <c r="DD76" s="239">
        <v>0</v>
      </c>
      <c r="DE76" s="641">
        <v>0.5</v>
      </c>
      <c r="DF76" s="641">
        <v>0.4</v>
      </c>
      <c r="DG76" s="641">
        <v>0.1</v>
      </c>
      <c r="DH76" s="641">
        <v>0</v>
      </c>
      <c r="DI76" s="214" t="s">
        <v>1190</v>
      </c>
    </row>
    <row r="77" spans="1:113" s="214" customFormat="1" x14ac:dyDescent="0.2">
      <c r="B77" s="609" t="s">
        <v>236</v>
      </c>
      <c r="C77" s="609" t="s">
        <v>235</v>
      </c>
      <c r="D77" s="239">
        <v>-244844</v>
      </c>
      <c r="E77" s="239">
        <v>0</v>
      </c>
      <c r="F77" s="239">
        <v>-244844</v>
      </c>
      <c r="G77" s="239">
        <v>0</v>
      </c>
      <c r="H77" s="239">
        <v>0</v>
      </c>
      <c r="I77" s="239">
        <v>0</v>
      </c>
      <c r="J77" s="239">
        <v>-244844</v>
      </c>
      <c r="K77" s="239">
        <v>0</v>
      </c>
      <c r="L77" s="239">
        <v>-244844</v>
      </c>
      <c r="M77" s="239">
        <v>147463</v>
      </c>
      <c r="N77" s="239">
        <v>147463</v>
      </c>
      <c r="O77" s="239">
        <v>0</v>
      </c>
      <c r="P77" s="239">
        <v>192983</v>
      </c>
      <c r="Q77" s="239">
        <v>116211</v>
      </c>
      <c r="R77" s="239">
        <v>76772</v>
      </c>
      <c r="S77" s="239">
        <v>0</v>
      </c>
      <c r="T77" s="239">
        <v>0</v>
      </c>
      <c r="U77" s="239">
        <v>0</v>
      </c>
      <c r="V77" s="239">
        <v>0</v>
      </c>
      <c r="W77" s="239">
        <v>0</v>
      </c>
      <c r="X77" s="239">
        <v>0</v>
      </c>
      <c r="Y77" s="239">
        <v>14504.789256198348</v>
      </c>
      <c r="Z77" s="239">
        <v>14504.789256198348</v>
      </c>
      <c r="AA77" s="239">
        <v>0</v>
      </c>
      <c r="AB77" s="239">
        <v>0</v>
      </c>
      <c r="AC77" s="239">
        <v>0</v>
      </c>
      <c r="AD77" s="239">
        <v>0</v>
      </c>
      <c r="AE77" s="239">
        <v>0</v>
      </c>
      <c r="AF77" s="239">
        <v>0</v>
      </c>
      <c r="AG77" s="239">
        <v>14505</v>
      </c>
      <c r="AH77" s="239">
        <v>14505</v>
      </c>
      <c r="AI77" s="239">
        <v>0</v>
      </c>
      <c r="AJ77" s="239">
        <v>0</v>
      </c>
      <c r="AK77" s="239">
        <v>673119.74686983472</v>
      </c>
      <c r="AL77" s="239">
        <v>0</v>
      </c>
      <c r="AM77" s="239">
        <v>13249.305299586777</v>
      </c>
      <c r="AN77" s="239">
        <v>603802</v>
      </c>
      <c r="AO77" s="239">
        <v>0</v>
      </c>
      <c r="AP77" s="239">
        <v>12322</v>
      </c>
      <c r="AQ77" s="239">
        <v>69318</v>
      </c>
      <c r="AR77" s="239">
        <v>0</v>
      </c>
      <c r="AS77" s="239">
        <v>927</v>
      </c>
      <c r="AT77" s="239">
        <v>0</v>
      </c>
      <c r="AU77" s="239">
        <v>0</v>
      </c>
      <c r="AV77" s="239">
        <v>0</v>
      </c>
      <c r="AW77" s="239">
        <v>0</v>
      </c>
      <c r="AX77" s="239">
        <v>0</v>
      </c>
      <c r="AY77" s="239">
        <v>0</v>
      </c>
      <c r="AZ77" s="239">
        <v>0</v>
      </c>
      <c r="BA77" s="239">
        <v>0</v>
      </c>
      <c r="BB77" s="239">
        <v>0</v>
      </c>
      <c r="BC77" s="239">
        <v>79704.374917355381</v>
      </c>
      <c r="BD77" s="239">
        <v>0</v>
      </c>
      <c r="BE77" s="239">
        <v>805.42260330578517</v>
      </c>
      <c r="BF77" s="239">
        <v>61788</v>
      </c>
      <c r="BG77" s="239">
        <v>0</v>
      </c>
      <c r="BH77" s="239">
        <v>1261</v>
      </c>
      <c r="BI77" s="239">
        <v>17916</v>
      </c>
      <c r="BJ77" s="239">
        <v>0</v>
      </c>
      <c r="BK77" s="239">
        <v>-456</v>
      </c>
      <c r="BL77" s="239">
        <v>43119.792458677686</v>
      </c>
      <c r="BM77" s="239">
        <v>0</v>
      </c>
      <c r="BN77" s="239">
        <v>879.99576446280992</v>
      </c>
      <c r="BO77" s="239">
        <v>23724</v>
      </c>
      <c r="BP77" s="239">
        <v>0</v>
      </c>
      <c r="BQ77" s="239">
        <v>484</v>
      </c>
      <c r="BR77" s="239">
        <v>19396</v>
      </c>
      <c r="BS77" s="239">
        <v>0</v>
      </c>
      <c r="BT77" s="239">
        <v>396</v>
      </c>
      <c r="BU77" s="239">
        <v>2547.0726446280992</v>
      </c>
      <c r="BV77" s="239">
        <v>0</v>
      </c>
      <c r="BW77" s="239">
        <v>51.981074380165296</v>
      </c>
      <c r="BX77" s="239">
        <v>0</v>
      </c>
      <c r="BY77" s="239">
        <v>0</v>
      </c>
      <c r="BZ77" s="239">
        <v>0</v>
      </c>
      <c r="CA77" s="239">
        <v>2547</v>
      </c>
      <c r="CB77" s="239">
        <v>0</v>
      </c>
      <c r="CC77" s="239">
        <v>52</v>
      </c>
      <c r="CD77" s="239">
        <v>0</v>
      </c>
      <c r="CE77" s="239">
        <v>0</v>
      </c>
      <c r="CF77" s="239">
        <v>0</v>
      </c>
      <c r="CG77" s="239">
        <v>0</v>
      </c>
      <c r="CH77" s="239">
        <v>0</v>
      </c>
      <c r="CI77" s="239">
        <v>0</v>
      </c>
      <c r="CJ77" s="239">
        <v>0</v>
      </c>
      <c r="CK77" s="239">
        <v>0</v>
      </c>
      <c r="CL77" s="239">
        <v>0</v>
      </c>
      <c r="CM77" s="239">
        <v>0</v>
      </c>
      <c r="CN77" s="239">
        <v>0</v>
      </c>
      <c r="CO77" s="239">
        <v>0</v>
      </c>
      <c r="CP77" s="239">
        <v>0</v>
      </c>
      <c r="CQ77" s="239">
        <v>0</v>
      </c>
      <c r="CR77" s="239">
        <v>0</v>
      </c>
      <c r="CS77" s="239">
        <v>0</v>
      </c>
      <c r="CT77" s="239">
        <v>0</v>
      </c>
      <c r="CU77" s="239">
        <v>0</v>
      </c>
      <c r="CV77" s="239">
        <v>240526.59460743799</v>
      </c>
      <c r="CW77" s="239">
        <v>0</v>
      </c>
      <c r="CX77" s="239">
        <v>4851.7452685950411</v>
      </c>
      <c r="CY77" s="239">
        <v>253040</v>
      </c>
      <c r="CZ77" s="239">
        <v>0</v>
      </c>
      <c r="DA77" s="239">
        <v>5130</v>
      </c>
      <c r="DB77" s="239">
        <v>-12513</v>
      </c>
      <c r="DC77" s="239">
        <v>0</v>
      </c>
      <c r="DD77" s="239">
        <v>-278</v>
      </c>
      <c r="DE77" s="641">
        <v>0.5</v>
      </c>
      <c r="DF77" s="641">
        <v>0.49</v>
      </c>
      <c r="DG77" s="641">
        <v>0</v>
      </c>
      <c r="DH77" s="641">
        <v>0.01</v>
      </c>
      <c r="DI77" s="214" t="s">
        <v>747</v>
      </c>
    </row>
    <row r="78" spans="1:113" s="214" customFormat="1" x14ac:dyDescent="0.2">
      <c r="B78" s="609" t="s">
        <v>238</v>
      </c>
      <c r="C78" s="609" t="s">
        <v>237</v>
      </c>
      <c r="D78" s="239">
        <v>-92892</v>
      </c>
      <c r="E78" s="239">
        <v>0</v>
      </c>
      <c r="F78" s="239">
        <v>-92892</v>
      </c>
      <c r="G78" s="239">
        <v>0</v>
      </c>
      <c r="H78" s="239">
        <v>0</v>
      </c>
      <c r="I78" s="239">
        <v>0</v>
      </c>
      <c r="J78" s="239">
        <v>-92892</v>
      </c>
      <c r="K78" s="239">
        <v>0</v>
      </c>
      <c r="L78" s="239">
        <v>-92892</v>
      </c>
      <c r="M78" s="239">
        <v>175625</v>
      </c>
      <c r="N78" s="239">
        <v>175625</v>
      </c>
      <c r="O78" s="239">
        <v>0</v>
      </c>
      <c r="P78" s="239">
        <v>0</v>
      </c>
      <c r="Q78" s="239">
        <v>0</v>
      </c>
      <c r="R78" s="239">
        <v>0</v>
      </c>
      <c r="S78" s="239">
        <v>0</v>
      </c>
      <c r="T78" s="239">
        <v>0</v>
      </c>
      <c r="U78" s="239">
        <v>0</v>
      </c>
      <c r="V78" s="239">
        <v>0</v>
      </c>
      <c r="W78" s="239">
        <v>0</v>
      </c>
      <c r="X78" s="239">
        <v>0</v>
      </c>
      <c r="Y78" s="239">
        <v>0</v>
      </c>
      <c r="Z78" s="239">
        <v>0</v>
      </c>
      <c r="AA78" s="239">
        <v>0</v>
      </c>
      <c r="AB78" s="239">
        <v>0</v>
      </c>
      <c r="AC78" s="239">
        <v>0</v>
      </c>
      <c r="AD78" s="239">
        <v>0</v>
      </c>
      <c r="AE78" s="239">
        <v>0</v>
      </c>
      <c r="AF78" s="239">
        <v>0</v>
      </c>
      <c r="AG78" s="239">
        <v>0</v>
      </c>
      <c r="AH78" s="239">
        <v>0</v>
      </c>
      <c r="AI78" s="239">
        <v>0</v>
      </c>
      <c r="AJ78" s="239">
        <v>0</v>
      </c>
      <c r="AK78" s="239">
        <v>321516.94462809915</v>
      </c>
      <c r="AL78" s="239">
        <v>72341.312541322317</v>
      </c>
      <c r="AM78" s="239">
        <v>8037.9236157024789</v>
      </c>
      <c r="AN78" s="239">
        <v>277773</v>
      </c>
      <c r="AO78" s="239">
        <v>62499</v>
      </c>
      <c r="AP78" s="239">
        <v>6944</v>
      </c>
      <c r="AQ78" s="239">
        <v>43744</v>
      </c>
      <c r="AR78" s="239">
        <v>9842</v>
      </c>
      <c r="AS78" s="239">
        <v>1094</v>
      </c>
      <c r="AT78" s="239">
        <v>1960.7537190082646</v>
      </c>
      <c r="AU78" s="239">
        <v>441.16958677685955</v>
      </c>
      <c r="AV78" s="239">
        <v>49.018842975206617</v>
      </c>
      <c r="AW78" s="239">
        <v>3419</v>
      </c>
      <c r="AX78" s="239">
        <v>769</v>
      </c>
      <c r="AY78" s="239">
        <v>85</v>
      </c>
      <c r="AZ78" s="239">
        <v>-1458</v>
      </c>
      <c r="BA78" s="239">
        <v>-328</v>
      </c>
      <c r="BB78" s="239">
        <v>-36</v>
      </c>
      <c r="BC78" s="239">
        <v>0</v>
      </c>
      <c r="BD78" s="239">
        <v>0</v>
      </c>
      <c r="BE78" s="239">
        <v>0</v>
      </c>
      <c r="BF78" s="239">
        <v>0</v>
      </c>
      <c r="BG78" s="239">
        <v>0</v>
      </c>
      <c r="BH78" s="239">
        <v>0</v>
      </c>
      <c r="BI78" s="239">
        <v>0</v>
      </c>
      <c r="BJ78" s="239">
        <v>0</v>
      </c>
      <c r="BK78" s="239">
        <v>0</v>
      </c>
      <c r="BL78" s="239">
        <v>663.86446280991731</v>
      </c>
      <c r="BM78" s="239">
        <v>149.36950413223141</v>
      </c>
      <c r="BN78" s="239">
        <v>16.596611570247934</v>
      </c>
      <c r="BO78" s="239">
        <v>794</v>
      </c>
      <c r="BP78" s="239">
        <v>178</v>
      </c>
      <c r="BQ78" s="239">
        <v>20</v>
      </c>
      <c r="BR78" s="239">
        <v>-130</v>
      </c>
      <c r="BS78" s="239">
        <v>-29</v>
      </c>
      <c r="BT78" s="239">
        <v>-3</v>
      </c>
      <c r="BU78" s="239">
        <v>-2401.4363636363637</v>
      </c>
      <c r="BV78" s="239">
        <v>-540.32318181818175</v>
      </c>
      <c r="BW78" s="239">
        <v>-60.035909090909094</v>
      </c>
      <c r="BX78" s="239">
        <v>0</v>
      </c>
      <c r="BY78" s="239">
        <v>0</v>
      </c>
      <c r="BZ78" s="239">
        <v>0</v>
      </c>
      <c r="CA78" s="239">
        <v>-2401</v>
      </c>
      <c r="CB78" s="239">
        <v>-540</v>
      </c>
      <c r="CC78" s="239">
        <v>-60</v>
      </c>
      <c r="CD78" s="239">
        <v>0</v>
      </c>
      <c r="CE78" s="239">
        <v>0</v>
      </c>
      <c r="CF78" s="239">
        <v>0</v>
      </c>
      <c r="CG78" s="239">
        <v>0</v>
      </c>
      <c r="CH78" s="239">
        <v>0</v>
      </c>
      <c r="CI78" s="239">
        <v>0</v>
      </c>
      <c r="CJ78" s="239">
        <v>0</v>
      </c>
      <c r="CK78" s="239">
        <v>0</v>
      </c>
      <c r="CL78" s="239">
        <v>0</v>
      </c>
      <c r="CM78" s="239">
        <v>49.505785123966945</v>
      </c>
      <c r="CN78" s="239">
        <v>11.138801652892562</v>
      </c>
      <c r="CO78" s="239">
        <v>1.2376446280991737</v>
      </c>
      <c r="CP78" s="239">
        <v>2</v>
      </c>
      <c r="CQ78" s="239">
        <v>1</v>
      </c>
      <c r="CR78" s="239">
        <v>0</v>
      </c>
      <c r="CS78" s="239">
        <v>48</v>
      </c>
      <c r="CT78" s="239">
        <v>10</v>
      </c>
      <c r="CU78" s="239">
        <v>1</v>
      </c>
      <c r="CV78" s="239">
        <v>511126.74628099176</v>
      </c>
      <c r="CW78" s="239">
        <v>115003.51791322313</v>
      </c>
      <c r="CX78" s="239">
        <v>12778.168657024793</v>
      </c>
      <c r="CY78" s="239">
        <v>501485</v>
      </c>
      <c r="CZ78" s="239">
        <v>112834</v>
      </c>
      <c r="DA78" s="239">
        <v>12537</v>
      </c>
      <c r="DB78" s="239">
        <v>9642</v>
      </c>
      <c r="DC78" s="239">
        <v>2170</v>
      </c>
      <c r="DD78" s="239">
        <v>241</v>
      </c>
      <c r="DE78" s="641">
        <v>0.5</v>
      </c>
      <c r="DF78" s="641">
        <v>0.4</v>
      </c>
      <c r="DG78" s="641">
        <v>0.09</v>
      </c>
      <c r="DH78" s="641">
        <v>0.01</v>
      </c>
      <c r="DI78" s="214" t="s">
        <v>1190</v>
      </c>
    </row>
    <row r="79" spans="1:113" s="214" customFormat="1" x14ac:dyDescent="0.2">
      <c r="B79" s="609" t="s">
        <v>240</v>
      </c>
      <c r="C79" s="609" t="s">
        <v>239</v>
      </c>
      <c r="D79" s="239">
        <v>-39959</v>
      </c>
      <c r="E79" s="239">
        <v>0</v>
      </c>
      <c r="F79" s="239">
        <v>-39959</v>
      </c>
      <c r="G79" s="239">
        <v>0</v>
      </c>
      <c r="H79" s="239">
        <v>0</v>
      </c>
      <c r="I79" s="239">
        <v>0</v>
      </c>
      <c r="J79" s="239">
        <v>-39959</v>
      </c>
      <c r="K79" s="239">
        <v>0</v>
      </c>
      <c r="L79" s="239">
        <v>-39959</v>
      </c>
      <c r="M79" s="239">
        <v>118572</v>
      </c>
      <c r="N79" s="239">
        <v>118572</v>
      </c>
      <c r="O79" s="239">
        <v>0</v>
      </c>
      <c r="P79" s="239">
        <v>0</v>
      </c>
      <c r="Q79" s="239">
        <v>0</v>
      </c>
      <c r="R79" s="239">
        <v>0</v>
      </c>
      <c r="S79" s="239">
        <v>782823</v>
      </c>
      <c r="T79" s="239">
        <v>0</v>
      </c>
      <c r="U79" s="239">
        <v>440400</v>
      </c>
      <c r="V79" s="239">
        <v>0</v>
      </c>
      <c r="W79" s="239">
        <v>342423</v>
      </c>
      <c r="X79" s="239">
        <v>0</v>
      </c>
      <c r="Y79" s="239">
        <v>0</v>
      </c>
      <c r="Z79" s="239">
        <v>0</v>
      </c>
      <c r="AA79" s="239">
        <v>0</v>
      </c>
      <c r="AB79" s="239">
        <v>0</v>
      </c>
      <c r="AC79" s="239">
        <v>0</v>
      </c>
      <c r="AD79" s="239">
        <v>0</v>
      </c>
      <c r="AE79" s="239">
        <v>0</v>
      </c>
      <c r="AF79" s="239">
        <v>0</v>
      </c>
      <c r="AG79" s="239">
        <v>0</v>
      </c>
      <c r="AH79" s="239">
        <v>0</v>
      </c>
      <c r="AI79" s="239">
        <v>0</v>
      </c>
      <c r="AJ79" s="239">
        <v>0</v>
      </c>
      <c r="AK79" s="239">
        <v>369895.66157024802</v>
      </c>
      <c r="AL79" s="239">
        <v>92473.915392562005</v>
      </c>
      <c r="AM79" s="239">
        <v>0</v>
      </c>
      <c r="AN79" s="239">
        <v>346765</v>
      </c>
      <c r="AO79" s="239">
        <v>86691</v>
      </c>
      <c r="AP79" s="239">
        <v>0</v>
      </c>
      <c r="AQ79" s="239">
        <v>23131</v>
      </c>
      <c r="AR79" s="239">
        <v>5783</v>
      </c>
      <c r="AS79" s="239">
        <v>0</v>
      </c>
      <c r="AT79" s="239">
        <v>0</v>
      </c>
      <c r="AU79" s="239">
        <v>0</v>
      </c>
      <c r="AV79" s="239">
        <v>0</v>
      </c>
      <c r="AW79" s="239">
        <v>0</v>
      </c>
      <c r="AX79" s="239">
        <v>0</v>
      </c>
      <c r="AY79" s="239">
        <v>0</v>
      </c>
      <c r="AZ79" s="239">
        <v>0</v>
      </c>
      <c r="BA79" s="239">
        <v>0</v>
      </c>
      <c r="BB79" s="239">
        <v>0</v>
      </c>
      <c r="BC79" s="239">
        <v>0</v>
      </c>
      <c r="BD79" s="239">
        <v>0</v>
      </c>
      <c r="BE79" s="239">
        <v>0</v>
      </c>
      <c r="BF79" s="239">
        <v>0</v>
      </c>
      <c r="BG79" s="239">
        <v>0</v>
      </c>
      <c r="BH79" s="239">
        <v>0</v>
      </c>
      <c r="BI79" s="239">
        <v>0</v>
      </c>
      <c r="BJ79" s="239">
        <v>0</v>
      </c>
      <c r="BK79" s="239">
        <v>0</v>
      </c>
      <c r="BL79" s="239">
        <v>0</v>
      </c>
      <c r="BM79" s="239">
        <v>0</v>
      </c>
      <c r="BN79" s="239">
        <v>0</v>
      </c>
      <c r="BO79" s="239">
        <v>0</v>
      </c>
      <c r="BP79" s="239">
        <v>0</v>
      </c>
      <c r="BQ79" s="239">
        <v>0</v>
      </c>
      <c r="BR79" s="239">
        <v>0</v>
      </c>
      <c r="BS79" s="239">
        <v>0</v>
      </c>
      <c r="BT79" s="239">
        <v>0</v>
      </c>
      <c r="BU79" s="239">
        <v>-32.462809917355372</v>
      </c>
      <c r="BV79" s="239">
        <v>-8.115702479338843</v>
      </c>
      <c r="BW79" s="239">
        <v>0</v>
      </c>
      <c r="BX79" s="239">
        <v>0</v>
      </c>
      <c r="BY79" s="239">
        <v>0</v>
      </c>
      <c r="BZ79" s="239">
        <v>0</v>
      </c>
      <c r="CA79" s="239">
        <v>-32</v>
      </c>
      <c r="CB79" s="239">
        <v>-8</v>
      </c>
      <c r="CC79" s="239">
        <v>0</v>
      </c>
      <c r="CD79" s="239">
        <v>0</v>
      </c>
      <c r="CE79" s="239">
        <v>0</v>
      </c>
      <c r="CF79" s="239">
        <v>0</v>
      </c>
      <c r="CG79" s="239">
        <v>0</v>
      </c>
      <c r="CH79" s="239">
        <v>0</v>
      </c>
      <c r="CI79" s="239">
        <v>0</v>
      </c>
      <c r="CJ79" s="239">
        <v>0</v>
      </c>
      <c r="CK79" s="239">
        <v>0</v>
      </c>
      <c r="CL79" s="239">
        <v>0</v>
      </c>
      <c r="CM79" s="239">
        <v>-130.66280991735536</v>
      </c>
      <c r="CN79" s="239">
        <v>-32.66570247933884</v>
      </c>
      <c r="CO79" s="239">
        <v>0</v>
      </c>
      <c r="CP79" s="239">
        <v>0</v>
      </c>
      <c r="CQ79" s="239">
        <v>0</v>
      </c>
      <c r="CR79" s="239">
        <v>0</v>
      </c>
      <c r="CS79" s="239">
        <v>-131</v>
      </c>
      <c r="CT79" s="239">
        <v>-33</v>
      </c>
      <c r="CU79" s="239">
        <v>0</v>
      </c>
      <c r="CV79" s="239">
        <v>278762.9061983471</v>
      </c>
      <c r="CW79" s="239">
        <v>66860.271487603313</v>
      </c>
      <c r="CX79" s="239">
        <v>0</v>
      </c>
      <c r="CY79" s="239">
        <v>257424</v>
      </c>
      <c r="CZ79" s="239">
        <v>62764</v>
      </c>
      <c r="DA79" s="239">
        <v>0</v>
      </c>
      <c r="DB79" s="239">
        <v>21339</v>
      </c>
      <c r="DC79" s="239">
        <v>4096</v>
      </c>
      <c r="DD79" s="239">
        <v>0</v>
      </c>
      <c r="DE79" s="641">
        <v>0.5</v>
      </c>
      <c r="DF79" s="641">
        <v>0.4</v>
      </c>
      <c r="DG79" s="641">
        <v>0.1</v>
      </c>
      <c r="DH79" s="641">
        <v>0</v>
      </c>
      <c r="DI79" s="214" t="s">
        <v>1190</v>
      </c>
    </row>
    <row r="80" spans="1:113" s="214" customFormat="1" x14ac:dyDescent="0.2">
      <c r="B80" s="609" t="s">
        <v>242</v>
      </c>
      <c r="C80" s="609" t="s">
        <v>241</v>
      </c>
      <c r="D80" s="239">
        <v>-150029</v>
      </c>
      <c r="E80" s="239">
        <v>0</v>
      </c>
      <c r="F80" s="239">
        <v>-150029</v>
      </c>
      <c r="G80" s="239">
        <v>0</v>
      </c>
      <c r="H80" s="239">
        <v>0</v>
      </c>
      <c r="I80" s="239">
        <v>0</v>
      </c>
      <c r="J80" s="239">
        <v>-150029</v>
      </c>
      <c r="K80" s="239">
        <v>0</v>
      </c>
      <c r="L80" s="239">
        <v>-150029</v>
      </c>
      <c r="M80" s="239">
        <v>319205</v>
      </c>
      <c r="N80" s="239">
        <v>319205</v>
      </c>
      <c r="O80" s="239">
        <v>0</v>
      </c>
      <c r="P80" s="239">
        <v>63938</v>
      </c>
      <c r="Q80" s="239">
        <v>15000</v>
      </c>
      <c r="R80" s="239">
        <v>48938</v>
      </c>
      <c r="S80" s="239">
        <v>730950</v>
      </c>
      <c r="T80" s="239">
        <v>0</v>
      </c>
      <c r="U80" s="239">
        <v>750000</v>
      </c>
      <c r="V80" s="239">
        <v>0</v>
      </c>
      <c r="W80" s="239">
        <v>-19050</v>
      </c>
      <c r="X80" s="239">
        <v>0</v>
      </c>
      <c r="Y80" s="239">
        <v>22385.136363636364</v>
      </c>
      <c r="Z80" s="239">
        <v>22385.136363636364</v>
      </c>
      <c r="AA80" s="239">
        <v>0</v>
      </c>
      <c r="AB80" s="239">
        <v>0</v>
      </c>
      <c r="AC80" s="239">
        <v>25000</v>
      </c>
      <c r="AD80" s="239">
        <v>25000</v>
      </c>
      <c r="AE80" s="239">
        <v>0</v>
      </c>
      <c r="AF80" s="239">
        <v>0</v>
      </c>
      <c r="AG80" s="239">
        <v>-2615</v>
      </c>
      <c r="AH80" s="239">
        <v>-2615</v>
      </c>
      <c r="AI80" s="239">
        <v>0</v>
      </c>
      <c r="AJ80" s="239">
        <v>0</v>
      </c>
      <c r="AK80" s="239">
        <v>1110109.3410847108</v>
      </c>
      <c r="AL80" s="239">
        <v>0</v>
      </c>
      <c r="AM80" s="239">
        <v>22623.347448347107</v>
      </c>
      <c r="AN80" s="239">
        <v>1058106</v>
      </c>
      <c r="AO80" s="239">
        <v>0</v>
      </c>
      <c r="AP80" s="239">
        <v>21594</v>
      </c>
      <c r="AQ80" s="239">
        <v>52003</v>
      </c>
      <c r="AR80" s="239">
        <v>0</v>
      </c>
      <c r="AS80" s="239">
        <v>1029</v>
      </c>
      <c r="AT80" s="239">
        <v>0</v>
      </c>
      <c r="AU80" s="239">
        <v>0</v>
      </c>
      <c r="AV80" s="239">
        <v>0</v>
      </c>
      <c r="AW80" s="239">
        <v>0</v>
      </c>
      <c r="AX80" s="239">
        <v>0</v>
      </c>
      <c r="AY80" s="239">
        <v>0</v>
      </c>
      <c r="AZ80" s="239">
        <v>0</v>
      </c>
      <c r="BA80" s="239">
        <v>0</v>
      </c>
      <c r="BB80" s="239">
        <v>0</v>
      </c>
      <c r="BC80" s="239">
        <v>17379.147892561981</v>
      </c>
      <c r="BD80" s="239">
        <v>0</v>
      </c>
      <c r="BE80" s="239">
        <v>354.67648760330576</v>
      </c>
      <c r="BF80" s="239">
        <v>24855</v>
      </c>
      <c r="BG80" s="239">
        <v>0</v>
      </c>
      <c r="BH80" s="239">
        <v>507</v>
      </c>
      <c r="BI80" s="239">
        <v>-7476</v>
      </c>
      <c r="BJ80" s="239">
        <v>0</v>
      </c>
      <c r="BK80" s="239">
        <v>-152</v>
      </c>
      <c r="BL80" s="239">
        <v>8519.0731818181812</v>
      </c>
      <c r="BM80" s="239">
        <v>0</v>
      </c>
      <c r="BN80" s="239">
        <v>173.85863636363638</v>
      </c>
      <c r="BO80" s="239">
        <v>2877</v>
      </c>
      <c r="BP80" s="239">
        <v>0</v>
      </c>
      <c r="BQ80" s="239">
        <v>59</v>
      </c>
      <c r="BR80" s="239">
        <v>5642</v>
      </c>
      <c r="BS80" s="239">
        <v>0</v>
      </c>
      <c r="BT80" s="239">
        <v>115</v>
      </c>
      <c r="BU80" s="239">
        <v>-7221.6766942148761</v>
      </c>
      <c r="BV80" s="239">
        <v>0</v>
      </c>
      <c r="BW80" s="239">
        <v>-147.3811570247934</v>
      </c>
      <c r="BX80" s="239">
        <v>0</v>
      </c>
      <c r="BY80" s="239">
        <v>0</v>
      </c>
      <c r="BZ80" s="239">
        <v>0</v>
      </c>
      <c r="CA80" s="239">
        <v>-7222</v>
      </c>
      <c r="CB80" s="239">
        <v>0</v>
      </c>
      <c r="CC80" s="239">
        <v>-147</v>
      </c>
      <c r="CD80" s="239">
        <v>0</v>
      </c>
      <c r="CE80" s="239">
        <v>0</v>
      </c>
      <c r="CF80" s="239">
        <v>0</v>
      </c>
      <c r="CG80" s="239">
        <v>0</v>
      </c>
      <c r="CH80" s="239">
        <v>0</v>
      </c>
      <c r="CI80" s="239">
        <v>0</v>
      </c>
      <c r="CJ80" s="239">
        <v>0</v>
      </c>
      <c r="CK80" s="239">
        <v>0</v>
      </c>
      <c r="CL80" s="239">
        <v>0</v>
      </c>
      <c r="CM80" s="239">
        <v>-457.31983471074409</v>
      </c>
      <c r="CN80" s="239">
        <v>0</v>
      </c>
      <c r="CO80" s="239">
        <v>-9.3330578512396727</v>
      </c>
      <c r="CP80" s="239">
        <v>0</v>
      </c>
      <c r="CQ80" s="239">
        <v>0</v>
      </c>
      <c r="CR80" s="239">
        <v>0</v>
      </c>
      <c r="CS80" s="239">
        <v>-457</v>
      </c>
      <c r="CT80" s="239">
        <v>0</v>
      </c>
      <c r="CU80" s="239">
        <v>-9</v>
      </c>
      <c r="CV80" s="239">
        <v>630588.27493801655</v>
      </c>
      <c r="CW80" s="239">
        <v>0</v>
      </c>
      <c r="CX80" s="239">
        <v>12634.529814049587</v>
      </c>
      <c r="CY80" s="239">
        <v>655028</v>
      </c>
      <c r="CZ80" s="239">
        <v>0</v>
      </c>
      <c r="DA80" s="239">
        <v>13135</v>
      </c>
      <c r="DB80" s="239">
        <v>-24440</v>
      </c>
      <c r="DC80" s="239">
        <v>0</v>
      </c>
      <c r="DD80" s="239">
        <v>-500</v>
      </c>
      <c r="DE80" s="641">
        <v>0.5</v>
      </c>
      <c r="DF80" s="641">
        <v>0.49</v>
      </c>
      <c r="DG80" s="641">
        <v>0</v>
      </c>
      <c r="DH80" s="641">
        <v>0.01</v>
      </c>
      <c r="DI80" s="214" t="s">
        <v>747</v>
      </c>
    </row>
    <row r="81" spans="2:113" s="214" customFormat="1" x14ac:dyDescent="0.2">
      <c r="B81" s="609" t="s">
        <v>244</v>
      </c>
      <c r="C81" s="609" t="s">
        <v>243</v>
      </c>
      <c r="D81" s="239">
        <v>26583</v>
      </c>
      <c r="E81" s="239">
        <v>0</v>
      </c>
      <c r="F81" s="239">
        <v>26583</v>
      </c>
      <c r="G81" s="239">
        <v>0</v>
      </c>
      <c r="H81" s="239">
        <v>0</v>
      </c>
      <c r="I81" s="239">
        <v>0</v>
      </c>
      <c r="J81" s="239">
        <v>26583</v>
      </c>
      <c r="K81" s="239">
        <v>0</v>
      </c>
      <c r="L81" s="239">
        <v>26583</v>
      </c>
      <c r="M81" s="239">
        <v>146145</v>
      </c>
      <c r="N81" s="239">
        <v>146145</v>
      </c>
      <c r="O81" s="239">
        <v>0</v>
      </c>
      <c r="P81" s="239">
        <v>0</v>
      </c>
      <c r="Q81" s="239">
        <v>0</v>
      </c>
      <c r="R81" s="239">
        <v>0</v>
      </c>
      <c r="S81" s="239">
        <v>142142</v>
      </c>
      <c r="T81" s="239">
        <v>0</v>
      </c>
      <c r="U81" s="239">
        <v>158888</v>
      </c>
      <c r="V81" s="239">
        <v>0</v>
      </c>
      <c r="W81" s="239">
        <v>-16746</v>
      </c>
      <c r="X81" s="239">
        <v>0</v>
      </c>
      <c r="Y81" s="239">
        <v>0</v>
      </c>
      <c r="Z81" s="239">
        <v>0</v>
      </c>
      <c r="AA81" s="239">
        <v>0</v>
      </c>
      <c r="AB81" s="239">
        <v>0</v>
      </c>
      <c r="AC81" s="239">
        <v>0</v>
      </c>
      <c r="AD81" s="239">
        <v>0</v>
      </c>
      <c r="AE81" s="239">
        <v>0</v>
      </c>
      <c r="AF81" s="239">
        <v>0</v>
      </c>
      <c r="AG81" s="239">
        <v>0</v>
      </c>
      <c r="AH81" s="239">
        <v>0</v>
      </c>
      <c r="AI81" s="239">
        <v>0</v>
      </c>
      <c r="AJ81" s="239">
        <v>0</v>
      </c>
      <c r="AK81" s="239">
        <v>626536.89793388441</v>
      </c>
      <c r="AL81" s="239">
        <v>140970.80203512398</v>
      </c>
      <c r="AM81" s="239">
        <v>15663.422448347106</v>
      </c>
      <c r="AN81" s="239">
        <v>548490</v>
      </c>
      <c r="AO81" s="239">
        <v>123410</v>
      </c>
      <c r="AP81" s="239">
        <v>13712</v>
      </c>
      <c r="AQ81" s="239">
        <v>78047</v>
      </c>
      <c r="AR81" s="239">
        <v>17561</v>
      </c>
      <c r="AS81" s="239">
        <v>1951</v>
      </c>
      <c r="AT81" s="239">
        <v>0</v>
      </c>
      <c r="AU81" s="239">
        <v>0</v>
      </c>
      <c r="AV81" s="239">
        <v>0</v>
      </c>
      <c r="AW81" s="239">
        <v>0</v>
      </c>
      <c r="AX81" s="239">
        <v>0</v>
      </c>
      <c r="AY81" s="239">
        <v>0</v>
      </c>
      <c r="AZ81" s="239">
        <v>0</v>
      </c>
      <c r="BA81" s="239">
        <v>0</v>
      </c>
      <c r="BB81" s="239">
        <v>0</v>
      </c>
      <c r="BC81" s="239">
        <v>0</v>
      </c>
      <c r="BD81" s="239">
        <v>0</v>
      </c>
      <c r="BE81" s="239">
        <v>0</v>
      </c>
      <c r="BF81" s="239">
        <v>0</v>
      </c>
      <c r="BG81" s="239">
        <v>0</v>
      </c>
      <c r="BH81" s="239">
        <v>0</v>
      </c>
      <c r="BI81" s="239">
        <v>0</v>
      </c>
      <c r="BJ81" s="239">
        <v>0</v>
      </c>
      <c r="BK81" s="239">
        <v>0</v>
      </c>
      <c r="BL81" s="239">
        <v>0</v>
      </c>
      <c r="BM81" s="239">
        <v>0</v>
      </c>
      <c r="BN81" s="239">
        <v>0</v>
      </c>
      <c r="BO81" s="239">
        <v>0</v>
      </c>
      <c r="BP81" s="239">
        <v>0</v>
      </c>
      <c r="BQ81" s="239">
        <v>0</v>
      </c>
      <c r="BR81" s="239">
        <v>0</v>
      </c>
      <c r="BS81" s="239">
        <v>0</v>
      </c>
      <c r="BT81" s="239">
        <v>0</v>
      </c>
      <c r="BU81" s="239">
        <v>-6136.2826446280997</v>
      </c>
      <c r="BV81" s="239">
        <v>-1380.6635950413222</v>
      </c>
      <c r="BW81" s="239">
        <v>-153.40706611570246</v>
      </c>
      <c r="BX81" s="239">
        <v>0</v>
      </c>
      <c r="BY81" s="239">
        <v>0</v>
      </c>
      <c r="BZ81" s="239">
        <v>0</v>
      </c>
      <c r="CA81" s="239">
        <v>-6136</v>
      </c>
      <c r="CB81" s="239">
        <v>-1381</v>
      </c>
      <c r="CC81" s="239">
        <v>-153</v>
      </c>
      <c r="CD81" s="239">
        <v>0</v>
      </c>
      <c r="CE81" s="239">
        <v>0</v>
      </c>
      <c r="CF81" s="239">
        <v>0</v>
      </c>
      <c r="CG81" s="239">
        <v>0</v>
      </c>
      <c r="CH81" s="239">
        <v>0</v>
      </c>
      <c r="CI81" s="239">
        <v>0</v>
      </c>
      <c r="CJ81" s="239">
        <v>0</v>
      </c>
      <c r="CK81" s="239">
        <v>0</v>
      </c>
      <c r="CL81" s="239">
        <v>0</v>
      </c>
      <c r="CM81" s="239">
        <v>4110.6033057851237</v>
      </c>
      <c r="CN81" s="239">
        <v>924.88574380165278</v>
      </c>
      <c r="CO81" s="239">
        <v>102.76508264462809</v>
      </c>
      <c r="CP81" s="239">
        <v>4110</v>
      </c>
      <c r="CQ81" s="239">
        <v>925</v>
      </c>
      <c r="CR81" s="239">
        <v>103</v>
      </c>
      <c r="CS81" s="239">
        <v>1</v>
      </c>
      <c r="CT81" s="239">
        <v>0</v>
      </c>
      <c r="CU81" s="239">
        <v>0</v>
      </c>
      <c r="CV81" s="239">
        <v>96858.571900826457</v>
      </c>
      <c r="CW81" s="239">
        <v>21330.629814049586</v>
      </c>
      <c r="CX81" s="239">
        <v>2370.069979338843</v>
      </c>
      <c r="CY81" s="239">
        <v>105037</v>
      </c>
      <c r="CZ81" s="239">
        <v>23116</v>
      </c>
      <c r="DA81" s="239">
        <v>2568</v>
      </c>
      <c r="DB81" s="239">
        <v>-8178</v>
      </c>
      <c r="DC81" s="239">
        <v>-1785</v>
      </c>
      <c r="DD81" s="239">
        <v>-198</v>
      </c>
      <c r="DE81" s="641">
        <v>0.5</v>
      </c>
      <c r="DF81" s="641">
        <v>0.4</v>
      </c>
      <c r="DG81" s="641">
        <v>0.09</v>
      </c>
      <c r="DH81" s="641">
        <v>0.01</v>
      </c>
      <c r="DI81" s="214" t="s">
        <v>1190</v>
      </c>
    </row>
    <row r="82" spans="2:113" s="214" customFormat="1" x14ac:dyDescent="0.2">
      <c r="B82" s="609" t="s">
        <v>246</v>
      </c>
      <c r="C82" s="609" t="s">
        <v>245</v>
      </c>
      <c r="D82" s="239">
        <v>-119214</v>
      </c>
      <c r="E82" s="239">
        <v>0</v>
      </c>
      <c r="F82" s="239">
        <v>-119214</v>
      </c>
      <c r="G82" s="239">
        <v>0</v>
      </c>
      <c r="H82" s="239">
        <v>0</v>
      </c>
      <c r="I82" s="239">
        <v>0</v>
      </c>
      <c r="J82" s="239">
        <v>-119214</v>
      </c>
      <c r="K82" s="239">
        <v>0</v>
      </c>
      <c r="L82" s="239">
        <v>-119214</v>
      </c>
      <c r="M82" s="239">
        <v>373751</v>
      </c>
      <c r="N82" s="239">
        <v>373751</v>
      </c>
      <c r="O82" s="239">
        <v>0</v>
      </c>
      <c r="P82" s="239">
        <v>0</v>
      </c>
      <c r="Q82" s="239">
        <v>0</v>
      </c>
      <c r="R82" s="239">
        <v>0</v>
      </c>
      <c r="S82" s="239">
        <v>150287</v>
      </c>
      <c r="T82" s="239">
        <v>0</v>
      </c>
      <c r="U82" s="239">
        <v>153141</v>
      </c>
      <c r="V82" s="239">
        <v>0</v>
      </c>
      <c r="W82" s="239">
        <v>-2854</v>
      </c>
      <c r="X82" s="239">
        <v>0</v>
      </c>
      <c r="Y82" s="239">
        <v>0</v>
      </c>
      <c r="Z82" s="239">
        <v>0</v>
      </c>
      <c r="AA82" s="239">
        <v>0</v>
      </c>
      <c r="AB82" s="239">
        <v>0</v>
      </c>
      <c r="AC82" s="239">
        <v>0</v>
      </c>
      <c r="AD82" s="239">
        <v>0</v>
      </c>
      <c r="AE82" s="239">
        <v>0</v>
      </c>
      <c r="AF82" s="239">
        <v>0</v>
      </c>
      <c r="AG82" s="239">
        <v>0</v>
      </c>
      <c r="AH82" s="239">
        <v>0</v>
      </c>
      <c r="AI82" s="239">
        <v>0</v>
      </c>
      <c r="AJ82" s="239">
        <v>0</v>
      </c>
      <c r="AK82" s="239">
        <v>1615027.2331714875</v>
      </c>
      <c r="AL82" s="239">
        <v>0</v>
      </c>
      <c r="AM82" s="239">
        <v>32959.739452479342</v>
      </c>
      <c r="AN82" s="239">
        <v>1523680</v>
      </c>
      <c r="AO82" s="239">
        <v>0</v>
      </c>
      <c r="AP82" s="239">
        <v>31096</v>
      </c>
      <c r="AQ82" s="239">
        <v>91347</v>
      </c>
      <c r="AR82" s="239">
        <v>0</v>
      </c>
      <c r="AS82" s="239">
        <v>1864</v>
      </c>
      <c r="AT82" s="239">
        <v>24519.302355371899</v>
      </c>
      <c r="AU82" s="239">
        <v>0</v>
      </c>
      <c r="AV82" s="239">
        <v>500.3939256198347</v>
      </c>
      <c r="AW82" s="239">
        <v>13537</v>
      </c>
      <c r="AX82" s="239">
        <v>0</v>
      </c>
      <c r="AY82" s="239">
        <v>276</v>
      </c>
      <c r="AZ82" s="239">
        <v>10982</v>
      </c>
      <c r="BA82" s="239">
        <v>0</v>
      </c>
      <c r="BB82" s="239">
        <v>224</v>
      </c>
      <c r="BC82" s="239">
        <v>90413.12549586776</v>
      </c>
      <c r="BD82" s="239">
        <v>0</v>
      </c>
      <c r="BE82" s="239">
        <v>1845.165826446281</v>
      </c>
      <c r="BF82" s="239">
        <v>20296</v>
      </c>
      <c r="BG82" s="239">
        <v>0</v>
      </c>
      <c r="BH82" s="239">
        <v>414</v>
      </c>
      <c r="BI82" s="239">
        <v>70117</v>
      </c>
      <c r="BJ82" s="239">
        <v>0</v>
      </c>
      <c r="BK82" s="239">
        <v>1431</v>
      </c>
      <c r="BL82" s="239">
        <v>28843.460227272728</v>
      </c>
      <c r="BM82" s="239">
        <v>0</v>
      </c>
      <c r="BN82" s="239">
        <v>588.6420454545455</v>
      </c>
      <c r="BO82" s="239">
        <v>20803</v>
      </c>
      <c r="BP82" s="239">
        <v>0</v>
      </c>
      <c r="BQ82" s="239">
        <v>425</v>
      </c>
      <c r="BR82" s="239">
        <v>8040</v>
      </c>
      <c r="BS82" s="239">
        <v>0</v>
      </c>
      <c r="BT82" s="239">
        <v>164</v>
      </c>
      <c r="BU82" s="239">
        <v>25502.54</v>
      </c>
      <c r="BV82" s="239">
        <v>0</v>
      </c>
      <c r="BW82" s="239">
        <v>520.46</v>
      </c>
      <c r="BX82" s="239">
        <v>0</v>
      </c>
      <c r="BY82" s="239">
        <v>0</v>
      </c>
      <c r="BZ82" s="239">
        <v>0</v>
      </c>
      <c r="CA82" s="239">
        <v>25503</v>
      </c>
      <c r="CB82" s="239">
        <v>0</v>
      </c>
      <c r="CC82" s="239">
        <v>520</v>
      </c>
      <c r="CD82" s="239">
        <v>0</v>
      </c>
      <c r="CE82" s="239">
        <v>0</v>
      </c>
      <c r="CF82" s="239">
        <v>0</v>
      </c>
      <c r="CG82" s="239">
        <v>0</v>
      </c>
      <c r="CH82" s="239">
        <v>0</v>
      </c>
      <c r="CI82" s="239">
        <v>0</v>
      </c>
      <c r="CJ82" s="239">
        <v>0</v>
      </c>
      <c r="CK82" s="239">
        <v>0</v>
      </c>
      <c r="CL82" s="239">
        <v>0</v>
      </c>
      <c r="CM82" s="239">
        <v>10237.005082644628</v>
      </c>
      <c r="CN82" s="239">
        <v>0</v>
      </c>
      <c r="CO82" s="239">
        <v>208.91847107438019</v>
      </c>
      <c r="CP82" s="239">
        <v>9881</v>
      </c>
      <c r="CQ82" s="239">
        <v>0</v>
      </c>
      <c r="CR82" s="239">
        <v>202</v>
      </c>
      <c r="CS82" s="239">
        <v>356</v>
      </c>
      <c r="CT82" s="239">
        <v>0</v>
      </c>
      <c r="CU82" s="239">
        <v>7</v>
      </c>
      <c r="CV82" s="239">
        <v>673586.62564049591</v>
      </c>
      <c r="CW82" s="239">
        <v>0</v>
      </c>
      <c r="CX82" s="239">
        <v>13702.307210743802</v>
      </c>
      <c r="CY82" s="239">
        <v>692225</v>
      </c>
      <c r="CZ82" s="239">
        <v>0</v>
      </c>
      <c r="DA82" s="239">
        <v>14082</v>
      </c>
      <c r="DB82" s="239">
        <v>-18638</v>
      </c>
      <c r="DC82" s="239">
        <v>0</v>
      </c>
      <c r="DD82" s="239">
        <v>-380</v>
      </c>
      <c r="DE82" s="641">
        <v>0.5</v>
      </c>
      <c r="DF82" s="641">
        <v>0.49</v>
      </c>
      <c r="DG82" s="641">
        <v>0</v>
      </c>
      <c r="DH82" s="641">
        <v>0.01</v>
      </c>
      <c r="DI82" s="214" t="s">
        <v>1192</v>
      </c>
    </row>
    <row r="83" spans="2:113" s="214" customFormat="1" x14ac:dyDescent="0.2">
      <c r="B83" s="609" t="s">
        <v>248</v>
      </c>
      <c r="C83" s="609" t="s">
        <v>247</v>
      </c>
      <c r="D83" s="239">
        <v>-8121</v>
      </c>
      <c r="E83" s="239">
        <v>0</v>
      </c>
      <c r="F83" s="239">
        <v>-8121</v>
      </c>
      <c r="G83" s="239">
        <v>0</v>
      </c>
      <c r="H83" s="239">
        <v>0</v>
      </c>
      <c r="I83" s="239">
        <v>0</v>
      </c>
      <c r="J83" s="239">
        <v>-8121</v>
      </c>
      <c r="K83" s="239">
        <v>0</v>
      </c>
      <c r="L83" s="239">
        <v>-8121</v>
      </c>
      <c r="M83" s="239">
        <v>157828</v>
      </c>
      <c r="N83" s="239">
        <v>157828</v>
      </c>
      <c r="O83" s="239">
        <v>0</v>
      </c>
      <c r="P83" s="239">
        <v>0</v>
      </c>
      <c r="Q83" s="239">
        <v>0</v>
      </c>
      <c r="R83" s="239">
        <v>0</v>
      </c>
      <c r="S83" s="239">
        <v>44145</v>
      </c>
      <c r="T83" s="239">
        <v>0</v>
      </c>
      <c r="U83" s="239">
        <v>0</v>
      </c>
      <c r="V83" s="239">
        <v>0</v>
      </c>
      <c r="W83" s="239">
        <v>44145</v>
      </c>
      <c r="X83" s="239">
        <v>0</v>
      </c>
      <c r="Y83" s="239">
        <v>1395018.2438016529</v>
      </c>
      <c r="Z83" s="239">
        <v>1116014.5950413223</v>
      </c>
      <c r="AA83" s="239">
        <v>251103.2838842975</v>
      </c>
      <c r="AB83" s="239">
        <v>27900.364876033062</v>
      </c>
      <c r="AC83" s="239">
        <v>1280000</v>
      </c>
      <c r="AD83" s="239">
        <v>1024000</v>
      </c>
      <c r="AE83" s="239">
        <v>230400</v>
      </c>
      <c r="AF83" s="239">
        <v>25600</v>
      </c>
      <c r="AG83" s="239">
        <v>115018</v>
      </c>
      <c r="AH83" s="239">
        <v>92015</v>
      </c>
      <c r="AI83" s="239">
        <v>20703</v>
      </c>
      <c r="AJ83" s="239">
        <v>2300</v>
      </c>
      <c r="AK83" s="239">
        <v>550921.47768595046</v>
      </c>
      <c r="AL83" s="239">
        <v>123957.33247933883</v>
      </c>
      <c r="AM83" s="239">
        <v>13773.036942148759</v>
      </c>
      <c r="AN83" s="239">
        <v>525608</v>
      </c>
      <c r="AO83" s="239">
        <v>118262</v>
      </c>
      <c r="AP83" s="239">
        <v>13140</v>
      </c>
      <c r="AQ83" s="239">
        <v>25313</v>
      </c>
      <c r="AR83" s="239">
        <v>5695</v>
      </c>
      <c r="AS83" s="239">
        <v>633</v>
      </c>
      <c r="AT83" s="239">
        <v>3857.3933884297521</v>
      </c>
      <c r="AU83" s="239">
        <v>867.91351239669416</v>
      </c>
      <c r="AV83" s="239">
        <v>96.4348347107438</v>
      </c>
      <c r="AW83" s="239">
        <v>1390</v>
      </c>
      <c r="AX83" s="239">
        <v>313</v>
      </c>
      <c r="AY83" s="239">
        <v>35</v>
      </c>
      <c r="AZ83" s="239">
        <v>2467</v>
      </c>
      <c r="BA83" s="239">
        <v>555</v>
      </c>
      <c r="BB83" s="239">
        <v>61</v>
      </c>
      <c r="BC83" s="239">
        <v>11842.43305785124</v>
      </c>
      <c r="BD83" s="239">
        <v>2664.5474380165288</v>
      </c>
      <c r="BE83" s="239">
        <v>296.060826446281</v>
      </c>
      <c r="BF83" s="239">
        <v>0</v>
      </c>
      <c r="BG83" s="239">
        <v>0</v>
      </c>
      <c r="BH83" s="239">
        <v>0</v>
      </c>
      <c r="BI83" s="239">
        <v>11842</v>
      </c>
      <c r="BJ83" s="239">
        <v>2665</v>
      </c>
      <c r="BK83" s="239">
        <v>296</v>
      </c>
      <c r="BL83" s="239">
        <v>7423.0272727272732</v>
      </c>
      <c r="BM83" s="239">
        <v>1670.1811363636364</v>
      </c>
      <c r="BN83" s="239">
        <v>185.57568181818181</v>
      </c>
      <c r="BO83" s="239">
        <v>8522</v>
      </c>
      <c r="BP83" s="239">
        <v>1917</v>
      </c>
      <c r="BQ83" s="239">
        <v>213</v>
      </c>
      <c r="BR83" s="239">
        <v>-1099</v>
      </c>
      <c r="BS83" s="239">
        <v>-247</v>
      </c>
      <c r="BT83" s="239">
        <v>-27</v>
      </c>
      <c r="BU83" s="239">
        <v>-2116.5752066115706</v>
      </c>
      <c r="BV83" s="239">
        <v>-476.2294214876033</v>
      </c>
      <c r="BW83" s="239">
        <v>-52.914380165289259</v>
      </c>
      <c r="BX83" s="239">
        <v>0</v>
      </c>
      <c r="BY83" s="239">
        <v>0</v>
      </c>
      <c r="BZ83" s="239">
        <v>0</v>
      </c>
      <c r="CA83" s="239">
        <v>-2117</v>
      </c>
      <c r="CB83" s="239">
        <v>-476</v>
      </c>
      <c r="CC83" s="239">
        <v>-53</v>
      </c>
      <c r="CD83" s="239">
        <v>0</v>
      </c>
      <c r="CE83" s="239">
        <v>0</v>
      </c>
      <c r="CF83" s="239">
        <v>0</v>
      </c>
      <c r="CG83" s="239">
        <v>0</v>
      </c>
      <c r="CH83" s="239">
        <v>0</v>
      </c>
      <c r="CI83" s="239">
        <v>0</v>
      </c>
      <c r="CJ83" s="239">
        <v>0</v>
      </c>
      <c r="CK83" s="239">
        <v>0</v>
      </c>
      <c r="CL83" s="239">
        <v>0</v>
      </c>
      <c r="CM83" s="239">
        <v>3101.0099173553717</v>
      </c>
      <c r="CN83" s="239">
        <v>697.72723140495862</v>
      </c>
      <c r="CO83" s="239">
        <v>77.525247933884302</v>
      </c>
      <c r="CP83" s="239">
        <v>4464</v>
      </c>
      <c r="CQ83" s="239">
        <v>1004</v>
      </c>
      <c r="CR83" s="239">
        <v>112</v>
      </c>
      <c r="CS83" s="239">
        <v>-1363</v>
      </c>
      <c r="CT83" s="239">
        <v>-306</v>
      </c>
      <c r="CU83" s="239">
        <v>-34</v>
      </c>
      <c r="CV83" s="239">
        <v>203197.5938016529</v>
      </c>
      <c r="CW83" s="239">
        <v>45575.804938016532</v>
      </c>
      <c r="CX83" s="239">
        <v>5063.9783264462803</v>
      </c>
      <c r="CY83" s="239">
        <v>214177</v>
      </c>
      <c r="CZ83" s="239">
        <v>48190</v>
      </c>
      <c r="DA83" s="239">
        <v>5354</v>
      </c>
      <c r="DB83" s="239">
        <v>-10979</v>
      </c>
      <c r="DC83" s="239">
        <v>-2614</v>
      </c>
      <c r="DD83" s="239">
        <v>-290</v>
      </c>
      <c r="DE83" s="641">
        <v>0.5</v>
      </c>
      <c r="DF83" s="641">
        <v>0.4</v>
      </c>
      <c r="DG83" s="641">
        <v>0.09</v>
      </c>
      <c r="DH83" s="641">
        <v>0.01</v>
      </c>
      <c r="DI83" s="214" t="s">
        <v>1190</v>
      </c>
    </row>
    <row r="84" spans="2:113" s="214" customFormat="1" x14ac:dyDescent="0.2">
      <c r="B84" s="609" t="s">
        <v>250</v>
      </c>
      <c r="C84" s="609" t="s">
        <v>249</v>
      </c>
      <c r="D84" s="239">
        <v>-748978</v>
      </c>
      <c r="E84" s="239">
        <v>0</v>
      </c>
      <c r="F84" s="239">
        <v>-748978</v>
      </c>
      <c r="G84" s="239">
        <v>0</v>
      </c>
      <c r="H84" s="239">
        <v>0</v>
      </c>
      <c r="I84" s="239">
        <v>0</v>
      </c>
      <c r="J84" s="239">
        <v>-748978</v>
      </c>
      <c r="K84" s="239">
        <v>0</v>
      </c>
      <c r="L84" s="239">
        <v>-748978</v>
      </c>
      <c r="M84" s="239">
        <v>427645</v>
      </c>
      <c r="N84" s="239">
        <v>427645</v>
      </c>
      <c r="O84" s="239">
        <v>0</v>
      </c>
      <c r="P84" s="239">
        <v>0</v>
      </c>
      <c r="Q84" s="239">
        <v>0</v>
      </c>
      <c r="R84" s="239">
        <v>0</v>
      </c>
      <c r="S84" s="239">
        <v>0</v>
      </c>
      <c r="T84" s="239">
        <v>0</v>
      </c>
      <c r="U84" s="239">
        <v>0</v>
      </c>
      <c r="V84" s="239">
        <v>0</v>
      </c>
      <c r="W84" s="239">
        <v>0</v>
      </c>
      <c r="X84" s="239">
        <v>0</v>
      </c>
      <c r="Y84" s="239">
        <v>0</v>
      </c>
      <c r="Z84" s="239">
        <v>0</v>
      </c>
      <c r="AA84" s="239">
        <v>0</v>
      </c>
      <c r="AB84" s="239">
        <v>0</v>
      </c>
      <c r="AC84" s="239">
        <v>0</v>
      </c>
      <c r="AD84" s="239">
        <v>0</v>
      </c>
      <c r="AE84" s="239">
        <v>0</v>
      </c>
      <c r="AF84" s="239">
        <v>0</v>
      </c>
      <c r="AG84" s="239">
        <v>0</v>
      </c>
      <c r="AH84" s="239">
        <v>0</v>
      </c>
      <c r="AI84" s="239">
        <v>0</v>
      </c>
      <c r="AJ84" s="239">
        <v>0</v>
      </c>
      <c r="AK84" s="239">
        <v>1915986.1853305786</v>
      </c>
      <c r="AL84" s="239">
        <v>0</v>
      </c>
      <c r="AM84" s="239">
        <v>39101.758884297516</v>
      </c>
      <c r="AN84" s="239">
        <v>1840176</v>
      </c>
      <c r="AO84" s="239">
        <v>0</v>
      </c>
      <c r="AP84" s="239">
        <v>37555</v>
      </c>
      <c r="AQ84" s="239">
        <v>75810</v>
      </c>
      <c r="AR84" s="239">
        <v>0</v>
      </c>
      <c r="AS84" s="239">
        <v>1547</v>
      </c>
      <c r="AT84" s="239">
        <v>16531.61493801653</v>
      </c>
      <c r="AU84" s="239">
        <v>0</v>
      </c>
      <c r="AV84" s="239">
        <v>337.37989669421489</v>
      </c>
      <c r="AW84" s="239">
        <v>8176</v>
      </c>
      <c r="AX84" s="239">
        <v>0</v>
      </c>
      <c r="AY84" s="239">
        <v>167</v>
      </c>
      <c r="AZ84" s="239">
        <v>8356</v>
      </c>
      <c r="BA84" s="239">
        <v>0</v>
      </c>
      <c r="BB84" s="239">
        <v>170</v>
      </c>
      <c r="BC84" s="239">
        <v>3638.1781198347107</v>
      </c>
      <c r="BD84" s="239">
        <v>0</v>
      </c>
      <c r="BE84" s="239">
        <v>74.248533057851233</v>
      </c>
      <c r="BF84" s="239">
        <v>49709</v>
      </c>
      <c r="BG84" s="239">
        <v>0</v>
      </c>
      <c r="BH84" s="239">
        <v>1014</v>
      </c>
      <c r="BI84" s="239">
        <v>-46071</v>
      </c>
      <c r="BJ84" s="239">
        <v>0</v>
      </c>
      <c r="BK84" s="239">
        <v>-940</v>
      </c>
      <c r="BL84" s="239">
        <v>20059.439793388428</v>
      </c>
      <c r="BM84" s="239">
        <v>0</v>
      </c>
      <c r="BN84" s="239">
        <v>409.37632231404962</v>
      </c>
      <c r="BO84" s="239">
        <v>33541</v>
      </c>
      <c r="BP84" s="239">
        <v>0</v>
      </c>
      <c r="BQ84" s="239">
        <v>684</v>
      </c>
      <c r="BR84" s="239">
        <v>-13482</v>
      </c>
      <c r="BS84" s="239">
        <v>0</v>
      </c>
      <c r="BT84" s="239">
        <v>-275</v>
      </c>
      <c r="BU84" s="239">
        <v>2805.5577685950416</v>
      </c>
      <c r="BV84" s="239">
        <v>0</v>
      </c>
      <c r="BW84" s="239">
        <v>57.256280991735537</v>
      </c>
      <c r="BX84" s="239">
        <v>0</v>
      </c>
      <c r="BY84" s="239">
        <v>0</v>
      </c>
      <c r="BZ84" s="239">
        <v>0</v>
      </c>
      <c r="CA84" s="239">
        <v>2806</v>
      </c>
      <c r="CB84" s="239">
        <v>0</v>
      </c>
      <c r="CC84" s="239">
        <v>57</v>
      </c>
      <c r="CD84" s="239">
        <v>0</v>
      </c>
      <c r="CE84" s="239">
        <v>0</v>
      </c>
      <c r="CF84" s="239">
        <v>0</v>
      </c>
      <c r="CG84" s="239">
        <v>0</v>
      </c>
      <c r="CH84" s="239">
        <v>0</v>
      </c>
      <c r="CI84" s="239">
        <v>0</v>
      </c>
      <c r="CJ84" s="239">
        <v>0</v>
      </c>
      <c r="CK84" s="239">
        <v>0</v>
      </c>
      <c r="CL84" s="239">
        <v>0</v>
      </c>
      <c r="CM84" s="239">
        <v>3293.6969834710744</v>
      </c>
      <c r="CN84" s="239">
        <v>0</v>
      </c>
      <c r="CO84" s="239">
        <v>67.218305785123974</v>
      </c>
      <c r="CP84" s="239">
        <v>3363</v>
      </c>
      <c r="CQ84" s="239">
        <v>0</v>
      </c>
      <c r="CR84" s="239">
        <v>69</v>
      </c>
      <c r="CS84" s="239">
        <v>-69</v>
      </c>
      <c r="CT84" s="239">
        <v>0</v>
      </c>
      <c r="CU84" s="239">
        <v>-2</v>
      </c>
      <c r="CV84" s="239">
        <v>639784.34299586772</v>
      </c>
      <c r="CW84" s="239">
        <v>0</v>
      </c>
      <c r="CX84" s="239">
        <v>13056.823326446281</v>
      </c>
      <c r="CY84" s="239">
        <v>661040</v>
      </c>
      <c r="CZ84" s="239">
        <v>0</v>
      </c>
      <c r="DA84" s="239">
        <v>13491</v>
      </c>
      <c r="DB84" s="239">
        <v>-21256</v>
      </c>
      <c r="DC84" s="239">
        <v>0</v>
      </c>
      <c r="DD84" s="239">
        <v>-434</v>
      </c>
      <c r="DE84" s="641">
        <v>0.5</v>
      </c>
      <c r="DF84" s="641">
        <v>0.49</v>
      </c>
      <c r="DG84" s="641">
        <v>0</v>
      </c>
      <c r="DH84" s="641">
        <v>0.01</v>
      </c>
      <c r="DI84" s="214" t="s">
        <v>1192</v>
      </c>
    </row>
    <row r="85" spans="2:113" s="214" customFormat="1" x14ac:dyDescent="0.2">
      <c r="B85" s="609" t="s">
        <v>252</v>
      </c>
      <c r="C85" s="609" t="s">
        <v>251</v>
      </c>
      <c r="D85" s="239">
        <v>-141819</v>
      </c>
      <c r="E85" s="239">
        <v>0</v>
      </c>
      <c r="F85" s="239">
        <v>-141819</v>
      </c>
      <c r="G85" s="239">
        <v>0</v>
      </c>
      <c r="H85" s="239">
        <v>0</v>
      </c>
      <c r="I85" s="239">
        <v>0</v>
      </c>
      <c r="J85" s="239">
        <v>-141819</v>
      </c>
      <c r="K85" s="239">
        <v>0</v>
      </c>
      <c r="L85" s="239">
        <v>-141819</v>
      </c>
      <c r="M85" s="239">
        <v>599673</v>
      </c>
      <c r="N85" s="239">
        <v>599673</v>
      </c>
      <c r="O85" s="239">
        <v>0</v>
      </c>
      <c r="P85" s="239">
        <v>0</v>
      </c>
      <c r="Q85" s="239">
        <v>0</v>
      </c>
      <c r="R85" s="239">
        <v>0</v>
      </c>
      <c r="S85" s="239">
        <v>100255</v>
      </c>
      <c r="T85" s="239">
        <v>0</v>
      </c>
      <c r="U85" s="239">
        <v>41130</v>
      </c>
      <c r="V85" s="239">
        <v>0</v>
      </c>
      <c r="W85" s="239">
        <v>59125</v>
      </c>
      <c r="X85" s="239">
        <v>0</v>
      </c>
      <c r="Y85" s="239">
        <v>0</v>
      </c>
      <c r="Z85" s="239">
        <v>0</v>
      </c>
      <c r="AA85" s="239">
        <v>0</v>
      </c>
      <c r="AB85" s="239">
        <v>0</v>
      </c>
      <c r="AC85" s="239">
        <v>0</v>
      </c>
      <c r="AD85" s="239">
        <v>0</v>
      </c>
      <c r="AE85" s="239">
        <v>0</v>
      </c>
      <c r="AF85" s="239">
        <v>0</v>
      </c>
      <c r="AG85" s="239">
        <v>0</v>
      </c>
      <c r="AH85" s="239">
        <v>0</v>
      </c>
      <c r="AI85" s="239">
        <v>0</v>
      </c>
      <c r="AJ85" s="239">
        <v>0</v>
      </c>
      <c r="AK85" s="239">
        <v>2578865.0721590905</v>
      </c>
      <c r="AL85" s="239">
        <v>0</v>
      </c>
      <c r="AM85" s="239">
        <v>52629.899431818172</v>
      </c>
      <c r="AN85" s="239">
        <v>2432004</v>
      </c>
      <c r="AO85" s="239">
        <v>0</v>
      </c>
      <c r="AP85" s="239">
        <v>49633</v>
      </c>
      <c r="AQ85" s="239">
        <v>146861</v>
      </c>
      <c r="AR85" s="239">
        <v>0</v>
      </c>
      <c r="AS85" s="239">
        <v>2997</v>
      </c>
      <c r="AT85" s="239">
        <v>24478.541239669423</v>
      </c>
      <c r="AU85" s="239">
        <v>0</v>
      </c>
      <c r="AV85" s="239">
        <v>499.56206611570246</v>
      </c>
      <c r="AW85" s="239">
        <v>7397</v>
      </c>
      <c r="AX85" s="239">
        <v>0</v>
      </c>
      <c r="AY85" s="239">
        <v>151</v>
      </c>
      <c r="AZ85" s="239">
        <v>17082</v>
      </c>
      <c r="BA85" s="239">
        <v>0</v>
      </c>
      <c r="BB85" s="239">
        <v>349</v>
      </c>
      <c r="BC85" s="239">
        <v>120.29500000000007</v>
      </c>
      <c r="BD85" s="239">
        <v>0</v>
      </c>
      <c r="BE85" s="239">
        <v>2.4549999999999983</v>
      </c>
      <c r="BF85" s="239">
        <v>0</v>
      </c>
      <c r="BG85" s="239">
        <v>0</v>
      </c>
      <c r="BH85" s="239">
        <v>0</v>
      </c>
      <c r="BI85" s="239">
        <v>120</v>
      </c>
      <c r="BJ85" s="239">
        <v>0</v>
      </c>
      <c r="BK85" s="239">
        <v>2</v>
      </c>
      <c r="BL85" s="239">
        <v>25951.906446280991</v>
      </c>
      <c r="BM85" s="239">
        <v>0</v>
      </c>
      <c r="BN85" s="239">
        <v>529.6307438016529</v>
      </c>
      <c r="BO85" s="239">
        <v>16714</v>
      </c>
      <c r="BP85" s="239">
        <v>0</v>
      </c>
      <c r="BQ85" s="239">
        <v>341</v>
      </c>
      <c r="BR85" s="239">
        <v>9238</v>
      </c>
      <c r="BS85" s="239">
        <v>0</v>
      </c>
      <c r="BT85" s="239">
        <v>189</v>
      </c>
      <c r="BU85" s="239">
        <v>11549.811260330578</v>
      </c>
      <c r="BV85" s="239">
        <v>0</v>
      </c>
      <c r="BW85" s="239">
        <v>235.71043388429754</v>
      </c>
      <c r="BX85" s="239">
        <v>0</v>
      </c>
      <c r="BY85" s="239">
        <v>0</v>
      </c>
      <c r="BZ85" s="239">
        <v>0</v>
      </c>
      <c r="CA85" s="239">
        <v>11550</v>
      </c>
      <c r="CB85" s="239">
        <v>0</v>
      </c>
      <c r="CC85" s="239">
        <v>236</v>
      </c>
      <c r="CD85" s="239">
        <v>859.96012396694209</v>
      </c>
      <c r="CE85" s="239">
        <v>0</v>
      </c>
      <c r="CF85" s="239">
        <v>17.550206611570246</v>
      </c>
      <c r="CG85" s="239">
        <v>0</v>
      </c>
      <c r="CH85" s="239">
        <v>0</v>
      </c>
      <c r="CI85" s="239">
        <v>0</v>
      </c>
      <c r="CJ85" s="239">
        <v>860</v>
      </c>
      <c r="CK85" s="239">
        <v>0</v>
      </c>
      <c r="CL85" s="239">
        <v>18</v>
      </c>
      <c r="CM85" s="239">
        <v>16514.216900826446</v>
      </c>
      <c r="CN85" s="239">
        <v>0</v>
      </c>
      <c r="CO85" s="239">
        <v>337.02483471074379</v>
      </c>
      <c r="CP85" s="239">
        <v>5056</v>
      </c>
      <c r="CQ85" s="239">
        <v>0</v>
      </c>
      <c r="CR85" s="239">
        <v>103</v>
      </c>
      <c r="CS85" s="239">
        <v>11458</v>
      </c>
      <c r="CT85" s="239">
        <v>0</v>
      </c>
      <c r="CU85" s="239">
        <v>234</v>
      </c>
      <c r="CV85" s="239">
        <v>827352.61057851231</v>
      </c>
      <c r="CW85" s="239">
        <v>0</v>
      </c>
      <c r="CX85" s="239">
        <v>16855.155950413224</v>
      </c>
      <c r="CY85" s="239">
        <v>793157</v>
      </c>
      <c r="CZ85" s="239">
        <v>0</v>
      </c>
      <c r="DA85" s="239">
        <v>16175</v>
      </c>
      <c r="DB85" s="239">
        <v>34196</v>
      </c>
      <c r="DC85" s="239">
        <v>0</v>
      </c>
      <c r="DD85" s="239">
        <v>680</v>
      </c>
      <c r="DE85" s="641">
        <v>0.5</v>
      </c>
      <c r="DF85" s="641">
        <v>0.49</v>
      </c>
      <c r="DG85" s="641">
        <v>0</v>
      </c>
      <c r="DH85" s="641">
        <v>0.01</v>
      </c>
      <c r="DI85" s="214" t="s">
        <v>747</v>
      </c>
    </row>
    <row r="86" spans="2:113" s="214" customFormat="1" x14ac:dyDescent="0.2">
      <c r="B86" s="609" t="s">
        <v>254</v>
      </c>
      <c r="C86" s="609" t="s">
        <v>253</v>
      </c>
      <c r="D86" s="239">
        <v>-460928</v>
      </c>
      <c r="E86" s="239">
        <v>0</v>
      </c>
      <c r="F86" s="239">
        <v>-460928</v>
      </c>
      <c r="G86" s="239">
        <v>0</v>
      </c>
      <c r="H86" s="239">
        <v>0</v>
      </c>
      <c r="I86" s="239">
        <v>0</v>
      </c>
      <c r="J86" s="239">
        <v>-460928</v>
      </c>
      <c r="K86" s="239">
        <v>0</v>
      </c>
      <c r="L86" s="239">
        <v>-460928</v>
      </c>
      <c r="M86" s="239">
        <v>490136</v>
      </c>
      <c r="N86" s="239">
        <v>490136</v>
      </c>
      <c r="O86" s="239">
        <v>0</v>
      </c>
      <c r="P86" s="239">
        <v>0</v>
      </c>
      <c r="Q86" s="239">
        <v>0</v>
      </c>
      <c r="R86" s="239">
        <v>0</v>
      </c>
      <c r="S86" s="239">
        <v>0</v>
      </c>
      <c r="T86" s="239">
        <v>0</v>
      </c>
      <c r="U86" s="239">
        <v>0</v>
      </c>
      <c r="V86" s="239">
        <v>0</v>
      </c>
      <c r="W86" s="239">
        <v>0</v>
      </c>
      <c r="X86" s="239">
        <v>0</v>
      </c>
      <c r="Y86" s="239">
        <v>0</v>
      </c>
      <c r="Z86" s="239">
        <v>0</v>
      </c>
      <c r="AA86" s="239">
        <v>0</v>
      </c>
      <c r="AB86" s="239">
        <v>0</v>
      </c>
      <c r="AC86" s="239">
        <v>0</v>
      </c>
      <c r="AD86" s="239">
        <v>0</v>
      </c>
      <c r="AE86" s="239">
        <v>0</v>
      </c>
      <c r="AF86" s="239">
        <v>0</v>
      </c>
      <c r="AG86" s="239">
        <v>0</v>
      </c>
      <c r="AH86" s="239">
        <v>0</v>
      </c>
      <c r="AI86" s="239">
        <v>0</v>
      </c>
      <c r="AJ86" s="239">
        <v>0</v>
      </c>
      <c r="AK86" s="239">
        <v>826172.22272727266</v>
      </c>
      <c r="AL86" s="239">
        <v>550781.48181818181</v>
      </c>
      <c r="AM86" s="239">
        <v>0</v>
      </c>
      <c r="AN86" s="239">
        <v>715616</v>
      </c>
      <c r="AO86" s="239">
        <v>477077</v>
      </c>
      <c r="AP86" s="239">
        <v>0</v>
      </c>
      <c r="AQ86" s="239">
        <v>110556</v>
      </c>
      <c r="AR86" s="239">
        <v>73704</v>
      </c>
      <c r="AS86" s="239">
        <v>0</v>
      </c>
      <c r="AT86" s="239">
        <v>6983.663429752065</v>
      </c>
      <c r="AU86" s="239">
        <v>4655.7756198347106</v>
      </c>
      <c r="AV86" s="239">
        <v>0</v>
      </c>
      <c r="AW86" s="239">
        <v>4748</v>
      </c>
      <c r="AX86" s="239">
        <v>3165</v>
      </c>
      <c r="AY86" s="239">
        <v>0</v>
      </c>
      <c r="AZ86" s="239">
        <v>2236</v>
      </c>
      <c r="BA86" s="239">
        <v>1491</v>
      </c>
      <c r="BB86" s="239">
        <v>0</v>
      </c>
      <c r="BC86" s="239">
        <v>-14764.08595041322</v>
      </c>
      <c r="BD86" s="239">
        <v>-9842.7239669421469</v>
      </c>
      <c r="BE86" s="239">
        <v>0</v>
      </c>
      <c r="BF86" s="239">
        <v>159859</v>
      </c>
      <c r="BG86" s="239">
        <v>106573</v>
      </c>
      <c r="BH86" s="239">
        <v>0</v>
      </c>
      <c r="BI86" s="239">
        <v>-174623</v>
      </c>
      <c r="BJ86" s="239">
        <v>-116416</v>
      </c>
      <c r="BK86" s="239">
        <v>0</v>
      </c>
      <c r="BL86" s="239">
        <v>21442.497520661156</v>
      </c>
      <c r="BM86" s="239">
        <v>14294.998347107441</v>
      </c>
      <c r="BN86" s="239">
        <v>0</v>
      </c>
      <c r="BO86" s="239">
        <v>21764</v>
      </c>
      <c r="BP86" s="239">
        <v>14509</v>
      </c>
      <c r="BQ86" s="239">
        <v>0</v>
      </c>
      <c r="BR86" s="239">
        <v>-322</v>
      </c>
      <c r="BS86" s="239">
        <v>-214</v>
      </c>
      <c r="BT86" s="239">
        <v>0</v>
      </c>
      <c r="BU86" s="239">
        <v>-4176.7462809917351</v>
      </c>
      <c r="BV86" s="239">
        <v>-2784.4975206611571</v>
      </c>
      <c r="BW86" s="239">
        <v>0</v>
      </c>
      <c r="BX86" s="239">
        <v>0</v>
      </c>
      <c r="BY86" s="239">
        <v>0</v>
      </c>
      <c r="BZ86" s="239">
        <v>0</v>
      </c>
      <c r="CA86" s="239">
        <v>-4177</v>
      </c>
      <c r="CB86" s="239">
        <v>-2784</v>
      </c>
      <c r="CC86" s="239">
        <v>0</v>
      </c>
      <c r="CD86" s="239">
        <v>0</v>
      </c>
      <c r="CE86" s="239">
        <v>0</v>
      </c>
      <c r="CF86" s="239">
        <v>0</v>
      </c>
      <c r="CG86" s="239">
        <v>0</v>
      </c>
      <c r="CH86" s="239">
        <v>0</v>
      </c>
      <c r="CI86" s="239">
        <v>0</v>
      </c>
      <c r="CJ86" s="239">
        <v>0</v>
      </c>
      <c r="CK86" s="239">
        <v>0</v>
      </c>
      <c r="CL86" s="239">
        <v>0</v>
      </c>
      <c r="CM86" s="239">
        <v>0</v>
      </c>
      <c r="CN86" s="239">
        <v>0</v>
      </c>
      <c r="CO86" s="239">
        <v>0</v>
      </c>
      <c r="CP86" s="239">
        <v>0</v>
      </c>
      <c r="CQ86" s="239">
        <v>0</v>
      </c>
      <c r="CR86" s="239">
        <v>0</v>
      </c>
      <c r="CS86" s="239">
        <v>0</v>
      </c>
      <c r="CT86" s="239">
        <v>0</v>
      </c>
      <c r="CU86" s="239">
        <v>0</v>
      </c>
      <c r="CV86" s="239">
        <v>631535.49049586768</v>
      </c>
      <c r="CW86" s="239">
        <v>421023.66033057851</v>
      </c>
      <c r="CX86" s="239">
        <v>0</v>
      </c>
      <c r="CY86" s="239">
        <v>620541</v>
      </c>
      <c r="CZ86" s="239">
        <v>413694</v>
      </c>
      <c r="DA86" s="239">
        <v>0</v>
      </c>
      <c r="DB86" s="239">
        <v>10994</v>
      </c>
      <c r="DC86" s="239">
        <v>7330</v>
      </c>
      <c r="DD86" s="239">
        <v>0</v>
      </c>
      <c r="DE86" s="641">
        <v>0.5</v>
      </c>
      <c r="DF86" s="641">
        <v>0.3</v>
      </c>
      <c r="DG86" s="641">
        <v>0.2</v>
      </c>
      <c r="DH86" s="641">
        <v>0</v>
      </c>
      <c r="DI86" s="214" t="s">
        <v>1191</v>
      </c>
    </row>
    <row r="87" spans="2:113" s="214" customFormat="1" x14ac:dyDescent="0.2">
      <c r="B87" s="609" t="s">
        <v>256</v>
      </c>
      <c r="C87" s="609" t="s">
        <v>255</v>
      </c>
      <c r="D87" s="239">
        <v>12794</v>
      </c>
      <c r="E87" s="239">
        <v>0</v>
      </c>
      <c r="F87" s="239">
        <v>12794</v>
      </c>
      <c r="G87" s="239">
        <v>0</v>
      </c>
      <c r="H87" s="239">
        <v>0</v>
      </c>
      <c r="I87" s="239">
        <v>0</v>
      </c>
      <c r="J87" s="239">
        <v>12794</v>
      </c>
      <c r="K87" s="239">
        <v>0</v>
      </c>
      <c r="L87" s="239">
        <v>12794</v>
      </c>
      <c r="M87" s="239">
        <v>94023</v>
      </c>
      <c r="N87" s="239">
        <v>94023</v>
      </c>
      <c r="O87" s="239">
        <v>0</v>
      </c>
      <c r="P87" s="239">
        <v>0</v>
      </c>
      <c r="Q87" s="239">
        <v>0</v>
      </c>
      <c r="R87" s="239">
        <v>0</v>
      </c>
      <c r="S87" s="239">
        <v>278565</v>
      </c>
      <c r="T87" s="239">
        <v>0</v>
      </c>
      <c r="U87" s="239">
        <v>158543</v>
      </c>
      <c r="V87" s="239">
        <v>0</v>
      </c>
      <c r="W87" s="239">
        <v>120022</v>
      </c>
      <c r="X87" s="239">
        <v>0</v>
      </c>
      <c r="Y87" s="239">
        <v>0</v>
      </c>
      <c r="Z87" s="239">
        <v>0</v>
      </c>
      <c r="AA87" s="239">
        <v>0</v>
      </c>
      <c r="AB87" s="239">
        <v>0</v>
      </c>
      <c r="AC87" s="239">
        <v>0</v>
      </c>
      <c r="AD87" s="239">
        <v>0</v>
      </c>
      <c r="AE87" s="239">
        <v>0</v>
      </c>
      <c r="AF87" s="239">
        <v>0</v>
      </c>
      <c r="AG87" s="239">
        <v>0</v>
      </c>
      <c r="AH87" s="239">
        <v>0</v>
      </c>
      <c r="AI87" s="239">
        <v>0</v>
      </c>
      <c r="AJ87" s="239">
        <v>0</v>
      </c>
      <c r="AK87" s="239">
        <v>338982.95082644635</v>
      </c>
      <c r="AL87" s="239">
        <v>76271.163935950404</v>
      </c>
      <c r="AM87" s="239">
        <v>8474.5737706611581</v>
      </c>
      <c r="AN87" s="239">
        <v>327747</v>
      </c>
      <c r="AO87" s="239">
        <v>73743</v>
      </c>
      <c r="AP87" s="239">
        <v>8194</v>
      </c>
      <c r="AQ87" s="239">
        <v>11236</v>
      </c>
      <c r="AR87" s="239">
        <v>2528</v>
      </c>
      <c r="AS87" s="239">
        <v>281</v>
      </c>
      <c r="AT87" s="239">
        <v>-706.47190082644636</v>
      </c>
      <c r="AU87" s="239">
        <v>-158.95617768595042</v>
      </c>
      <c r="AV87" s="239">
        <v>-17.661797520661157</v>
      </c>
      <c r="AW87" s="239">
        <v>776</v>
      </c>
      <c r="AX87" s="239">
        <v>175</v>
      </c>
      <c r="AY87" s="239">
        <v>19</v>
      </c>
      <c r="AZ87" s="239">
        <v>-1482</v>
      </c>
      <c r="BA87" s="239">
        <v>-334</v>
      </c>
      <c r="BB87" s="239">
        <v>-37</v>
      </c>
      <c r="BC87" s="239">
        <v>2490.7090909090907</v>
      </c>
      <c r="BD87" s="239">
        <v>560.40954545454542</v>
      </c>
      <c r="BE87" s="239">
        <v>62.267727272727271</v>
      </c>
      <c r="BF87" s="239">
        <v>2242</v>
      </c>
      <c r="BG87" s="239">
        <v>505</v>
      </c>
      <c r="BH87" s="239">
        <v>56</v>
      </c>
      <c r="BI87" s="239">
        <v>249</v>
      </c>
      <c r="BJ87" s="239">
        <v>55</v>
      </c>
      <c r="BK87" s="239">
        <v>6</v>
      </c>
      <c r="BL87" s="239">
        <v>0</v>
      </c>
      <c r="BM87" s="239">
        <v>0</v>
      </c>
      <c r="BN87" s="239">
        <v>0</v>
      </c>
      <c r="BO87" s="239">
        <v>0</v>
      </c>
      <c r="BP87" s="239">
        <v>0</v>
      </c>
      <c r="BQ87" s="239">
        <v>0</v>
      </c>
      <c r="BR87" s="239">
        <v>0</v>
      </c>
      <c r="BS87" s="239">
        <v>0</v>
      </c>
      <c r="BT87" s="239">
        <v>0</v>
      </c>
      <c r="BU87" s="239">
        <v>989.709917355372</v>
      </c>
      <c r="BV87" s="239">
        <v>222.68473140495868</v>
      </c>
      <c r="BW87" s="239">
        <v>24.742747933884299</v>
      </c>
      <c r="BX87" s="239">
        <v>0</v>
      </c>
      <c r="BY87" s="239">
        <v>0</v>
      </c>
      <c r="BZ87" s="239">
        <v>0</v>
      </c>
      <c r="CA87" s="239">
        <v>990</v>
      </c>
      <c r="CB87" s="239">
        <v>223</v>
      </c>
      <c r="CC87" s="239">
        <v>25</v>
      </c>
      <c r="CD87" s="239">
        <v>0</v>
      </c>
      <c r="CE87" s="239">
        <v>0</v>
      </c>
      <c r="CF87" s="239">
        <v>0</v>
      </c>
      <c r="CG87" s="239">
        <v>0</v>
      </c>
      <c r="CH87" s="239">
        <v>0</v>
      </c>
      <c r="CI87" s="239">
        <v>0</v>
      </c>
      <c r="CJ87" s="239">
        <v>0</v>
      </c>
      <c r="CK87" s="239">
        <v>0</v>
      </c>
      <c r="CL87" s="239">
        <v>0</v>
      </c>
      <c r="CM87" s="239">
        <v>1400.3644628099175</v>
      </c>
      <c r="CN87" s="239">
        <v>315.08200413223142</v>
      </c>
      <c r="CO87" s="239">
        <v>35.009111570247931</v>
      </c>
      <c r="CP87" s="239">
        <v>0</v>
      </c>
      <c r="CQ87" s="239">
        <v>0</v>
      </c>
      <c r="CR87" s="239">
        <v>0</v>
      </c>
      <c r="CS87" s="239">
        <v>1400</v>
      </c>
      <c r="CT87" s="239">
        <v>315</v>
      </c>
      <c r="CU87" s="239">
        <v>35</v>
      </c>
      <c r="CV87" s="239">
        <v>117621.04338842975</v>
      </c>
      <c r="CW87" s="239">
        <v>25558.247417355371</v>
      </c>
      <c r="CX87" s="239">
        <v>2839.8052685950415</v>
      </c>
      <c r="CY87" s="239">
        <v>112285</v>
      </c>
      <c r="CZ87" s="239">
        <v>24748</v>
      </c>
      <c r="DA87" s="239">
        <v>2750</v>
      </c>
      <c r="DB87" s="239">
        <v>5336</v>
      </c>
      <c r="DC87" s="239">
        <v>810</v>
      </c>
      <c r="DD87" s="239">
        <v>90</v>
      </c>
      <c r="DE87" s="641">
        <v>0.5</v>
      </c>
      <c r="DF87" s="641">
        <v>0.4</v>
      </c>
      <c r="DG87" s="641">
        <v>0.09</v>
      </c>
      <c r="DH87" s="641">
        <v>0.01</v>
      </c>
      <c r="DI87" s="214" t="s">
        <v>1190</v>
      </c>
    </row>
    <row r="88" spans="2:113" s="214" customFormat="1" x14ac:dyDescent="0.2">
      <c r="B88" s="609" t="s">
        <v>258</v>
      </c>
      <c r="C88" s="609" t="s">
        <v>257</v>
      </c>
      <c r="D88" s="239">
        <v>-168302</v>
      </c>
      <c r="E88" s="239">
        <v>0</v>
      </c>
      <c r="F88" s="239">
        <v>-168302</v>
      </c>
      <c r="G88" s="239">
        <v>0</v>
      </c>
      <c r="H88" s="239">
        <v>0</v>
      </c>
      <c r="I88" s="239">
        <v>0</v>
      </c>
      <c r="J88" s="239">
        <v>-168302</v>
      </c>
      <c r="K88" s="239">
        <v>0</v>
      </c>
      <c r="L88" s="239">
        <v>-168302</v>
      </c>
      <c r="M88" s="239">
        <v>227426</v>
      </c>
      <c r="N88" s="239">
        <v>227426</v>
      </c>
      <c r="O88" s="239">
        <v>0</v>
      </c>
      <c r="P88" s="239">
        <v>0</v>
      </c>
      <c r="Q88" s="239">
        <v>0</v>
      </c>
      <c r="R88" s="239">
        <v>0</v>
      </c>
      <c r="S88" s="239">
        <v>241980</v>
      </c>
      <c r="T88" s="239">
        <v>0</v>
      </c>
      <c r="U88" s="239">
        <v>209803</v>
      </c>
      <c r="V88" s="239">
        <v>0</v>
      </c>
      <c r="W88" s="239">
        <v>32177</v>
      </c>
      <c r="X88" s="239">
        <v>0</v>
      </c>
      <c r="Y88" s="239">
        <v>0</v>
      </c>
      <c r="Z88" s="239">
        <v>0</v>
      </c>
      <c r="AA88" s="239">
        <v>0</v>
      </c>
      <c r="AB88" s="239">
        <v>0</v>
      </c>
      <c r="AC88" s="239">
        <v>0</v>
      </c>
      <c r="AD88" s="239">
        <v>0</v>
      </c>
      <c r="AE88" s="239">
        <v>0</v>
      </c>
      <c r="AF88" s="239">
        <v>0</v>
      </c>
      <c r="AG88" s="239">
        <v>0</v>
      </c>
      <c r="AH88" s="239">
        <v>0</v>
      </c>
      <c r="AI88" s="239">
        <v>0</v>
      </c>
      <c r="AJ88" s="239">
        <v>0</v>
      </c>
      <c r="AK88" s="239">
        <v>970003.77438016527</v>
      </c>
      <c r="AL88" s="239">
        <v>218250.84923553717</v>
      </c>
      <c r="AM88" s="239">
        <v>24250.094359504132</v>
      </c>
      <c r="AN88" s="239">
        <v>885159</v>
      </c>
      <c r="AO88" s="239">
        <v>199161</v>
      </c>
      <c r="AP88" s="239">
        <v>22129</v>
      </c>
      <c r="AQ88" s="239">
        <v>84845</v>
      </c>
      <c r="AR88" s="239">
        <v>19090</v>
      </c>
      <c r="AS88" s="239">
        <v>2121</v>
      </c>
      <c r="AT88" s="239">
        <v>0</v>
      </c>
      <c r="AU88" s="239">
        <v>0</v>
      </c>
      <c r="AV88" s="239">
        <v>0</v>
      </c>
      <c r="AW88" s="239">
        <v>0</v>
      </c>
      <c r="AX88" s="239">
        <v>0</v>
      </c>
      <c r="AY88" s="239">
        <v>0</v>
      </c>
      <c r="AZ88" s="239">
        <v>0</v>
      </c>
      <c r="BA88" s="239">
        <v>0</v>
      </c>
      <c r="BB88" s="239">
        <v>0</v>
      </c>
      <c r="BC88" s="239">
        <v>60535.430578512402</v>
      </c>
      <c r="BD88" s="239">
        <v>13620.471880165289</v>
      </c>
      <c r="BE88" s="239">
        <v>1513.3857644628101</v>
      </c>
      <c r="BF88" s="239">
        <v>0</v>
      </c>
      <c r="BG88" s="239">
        <v>0</v>
      </c>
      <c r="BH88" s="239">
        <v>0</v>
      </c>
      <c r="BI88" s="239">
        <v>60535</v>
      </c>
      <c r="BJ88" s="239">
        <v>13620</v>
      </c>
      <c r="BK88" s="239">
        <v>1513</v>
      </c>
      <c r="BL88" s="239">
        <v>998.23140495867779</v>
      </c>
      <c r="BM88" s="239">
        <v>224.60206611570248</v>
      </c>
      <c r="BN88" s="239">
        <v>24.955785123966944</v>
      </c>
      <c r="BO88" s="239">
        <v>1301</v>
      </c>
      <c r="BP88" s="239">
        <v>293</v>
      </c>
      <c r="BQ88" s="239">
        <v>33</v>
      </c>
      <c r="BR88" s="239">
        <v>-303</v>
      </c>
      <c r="BS88" s="239">
        <v>-68</v>
      </c>
      <c r="BT88" s="239">
        <v>-8</v>
      </c>
      <c r="BU88" s="239">
        <v>3433.3479338842976</v>
      </c>
      <c r="BV88" s="239">
        <v>772.50328512396686</v>
      </c>
      <c r="BW88" s="239">
        <v>85.833698347107443</v>
      </c>
      <c r="BX88" s="239">
        <v>0</v>
      </c>
      <c r="BY88" s="239">
        <v>0</v>
      </c>
      <c r="BZ88" s="239">
        <v>0</v>
      </c>
      <c r="CA88" s="239">
        <v>3433</v>
      </c>
      <c r="CB88" s="239">
        <v>773</v>
      </c>
      <c r="CC88" s="239">
        <v>86</v>
      </c>
      <c r="CD88" s="239">
        <v>0</v>
      </c>
      <c r="CE88" s="239">
        <v>0</v>
      </c>
      <c r="CF88" s="239">
        <v>0</v>
      </c>
      <c r="CG88" s="239">
        <v>0</v>
      </c>
      <c r="CH88" s="239">
        <v>0</v>
      </c>
      <c r="CI88" s="239">
        <v>0</v>
      </c>
      <c r="CJ88" s="239">
        <v>0</v>
      </c>
      <c r="CK88" s="239">
        <v>0</v>
      </c>
      <c r="CL88" s="239">
        <v>0</v>
      </c>
      <c r="CM88" s="239">
        <v>13182.741322314052</v>
      </c>
      <c r="CN88" s="239">
        <v>2966.1167975206613</v>
      </c>
      <c r="CO88" s="239">
        <v>329.56853305785125</v>
      </c>
      <c r="CP88" s="239">
        <v>13997</v>
      </c>
      <c r="CQ88" s="239">
        <v>3150</v>
      </c>
      <c r="CR88" s="239">
        <v>350</v>
      </c>
      <c r="CS88" s="239">
        <v>-814</v>
      </c>
      <c r="CT88" s="239">
        <v>-184</v>
      </c>
      <c r="CU88" s="239">
        <v>-20</v>
      </c>
      <c r="CV88" s="239">
        <v>202172.90082644628</v>
      </c>
      <c r="CW88" s="239">
        <v>44701.467768595037</v>
      </c>
      <c r="CX88" s="239">
        <v>4966.8297520661163</v>
      </c>
      <c r="CY88" s="239">
        <v>195733</v>
      </c>
      <c r="CZ88" s="239">
        <v>43357</v>
      </c>
      <c r="DA88" s="239">
        <v>4817</v>
      </c>
      <c r="DB88" s="239">
        <v>6440</v>
      </c>
      <c r="DC88" s="239">
        <v>1344</v>
      </c>
      <c r="DD88" s="239">
        <v>150</v>
      </c>
      <c r="DE88" s="641">
        <v>0.5</v>
      </c>
      <c r="DF88" s="641">
        <v>0.4</v>
      </c>
      <c r="DG88" s="641">
        <v>0.09</v>
      </c>
      <c r="DH88" s="641">
        <v>0.01</v>
      </c>
      <c r="DI88" s="214" t="s">
        <v>1190</v>
      </c>
    </row>
    <row r="89" spans="2:113" s="214" customFormat="1" x14ac:dyDescent="0.2">
      <c r="B89" s="609" t="s">
        <v>260</v>
      </c>
      <c r="C89" s="609" t="s">
        <v>259</v>
      </c>
      <c r="D89" s="239">
        <v>7526</v>
      </c>
      <c r="E89" s="239">
        <v>0</v>
      </c>
      <c r="F89" s="239">
        <v>7526</v>
      </c>
      <c r="G89" s="239">
        <v>0</v>
      </c>
      <c r="H89" s="239">
        <v>0</v>
      </c>
      <c r="I89" s="239">
        <v>0</v>
      </c>
      <c r="J89" s="239">
        <v>7526</v>
      </c>
      <c r="K89" s="239">
        <v>0</v>
      </c>
      <c r="L89" s="239">
        <v>7526</v>
      </c>
      <c r="M89" s="239">
        <v>109195</v>
      </c>
      <c r="N89" s="239">
        <v>109195</v>
      </c>
      <c r="O89" s="239">
        <v>0</v>
      </c>
      <c r="P89" s="239">
        <v>0</v>
      </c>
      <c r="Q89" s="239">
        <v>0</v>
      </c>
      <c r="R89" s="239">
        <v>0</v>
      </c>
      <c r="S89" s="239">
        <v>260420</v>
      </c>
      <c r="T89" s="239">
        <v>0</v>
      </c>
      <c r="U89" s="239">
        <v>217895</v>
      </c>
      <c r="V89" s="239">
        <v>0</v>
      </c>
      <c r="W89" s="239">
        <v>42525</v>
      </c>
      <c r="X89" s="239">
        <v>0</v>
      </c>
      <c r="Y89" s="239">
        <v>0</v>
      </c>
      <c r="Z89" s="239">
        <v>0</v>
      </c>
      <c r="AA89" s="239">
        <v>0</v>
      </c>
      <c r="AB89" s="239">
        <v>0</v>
      </c>
      <c r="AC89" s="239">
        <v>0</v>
      </c>
      <c r="AD89" s="239">
        <v>0</v>
      </c>
      <c r="AE89" s="239">
        <v>0</v>
      </c>
      <c r="AF89" s="239">
        <v>0</v>
      </c>
      <c r="AG89" s="239">
        <v>0</v>
      </c>
      <c r="AH89" s="239">
        <v>0</v>
      </c>
      <c r="AI89" s="239">
        <v>0</v>
      </c>
      <c r="AJ89" s="239">
        <v>0</v>
      </c>
      <c r="AK89" s="239">
        <v>445105.29669421492</v>
      </c>
      <c r="AL89" s="239">
        <v>100148.69175619834</v>
      </c>
      <c r="AM89" s="239">
        <v>11127.632417355373</v>
      </c>
      <c r="AN89" s="239">
        <v>422717</v>
      </c>
      <c r="AO89" s="239">
        <v>95111</v>
      </c>
      <c r="AP89" s="239">
        <v>10568</v>
      </c>
      <c r="AQ89" s="239">
        <v>22388</v>
      </c>
      <c r="AR89" s="239">
        <v>5038</v>
      </c>
      <c r="AS89" s="239">
        <v>560</v>
      </c>
      <c r="AT89" s="239">
        <v>308.39669421487611</v>
      </c>
      <c r="AU89" s="239">
        <v>69.389256198347113</v>
      </c>
      <c r="AV89" s="239">
        <v>7.7099173553719016</v>
      </c>
      <c r="AW89" s="239">
        <v>1139</v>
      </c>
      <c r="AX89" s="239">
        <v>256</v>
      </c>
      <c r="AY89" s="239">
        <v>28</v>
      </c>
      <c r="AZ89" s="239">
        <v>-831</v>
      </c>
      <c r="BA89" s="239">
        <v>-187</v>
      </c>
      <c r="BB89" s="239">
        <v>-20</v>
      </c>
      <c r="BC89" s="239">
        <v>3335.9595041322314</v>
      </c>
      <c r="BD89" s="239">
        <v>750.590888429752</v>
      </c>
      <c r="BE89" s="239">
        <v>83.398987603305784</v>
      </c>
      <c r="BF89" s="239">
        <v>0</v>
      </c>
      <c r="BG89" s="239">
        <v>0</v>
      </c>
      <c r="BH89" s="239">
        <v>0</v>
      </c>
      <c r="BI89" s="239">
        <v>3336</v>
      </c>
      <c r="BJ89" s="239">
        <v>751</v>
      </c>
      <c r="BK89" s="239">
        <v>83</v>
      </c>
      <c r="BL89" s="239">
        <v>3532.3595041322315</v>
      </c>
      <c r="BM89" s="239">
        <v>794.78088842975194</v>
      </c>
      <c r="BN89" s="239">
        <v>88.308987603305781</v>
      </c>
      <c r="BO89" s="239">
        <v>0</v>
      </c>
      <c r="BP89" s="239">
        <v>0</v>
      </c>
      <c r="BQ89" s="239">
        <v>0</v>
      </c>
      <c r="BR89" s="239">
        <v>3532</v>
      </c>
      <c r="BS89" s="239">
        <v>795</v>
      </c>
      <c r="BT89" s="239">
        <v>88</v>
      </c>
      <c r="BU89" s="239">
        <v>1055.4471074380167</v>
      </c>
      <c r="BV89" s="239">
        <v>237.47559917355372</v>
      </c>
      <c r="BW89" s="239">
        <v>26.386177685950415</v>
      </c>
      <c r="BX89" s="239">
        <v>0</v>
      </c>
      <c r="BY89" s="239">
        <v>0</v>
      </c>
      <c r="BZ89" s="239">
        <v>0</v>
      </c>
      <c r="CA89" s="239">
        <v>1055</v>
      </c>
      <c r="CB89" s="239">
        <v>237</v>
      </c>
      <c r="CC89" s="239">
        <v>26</v>
      </c>
      <c r="CD89" s="239">
        <v>-518.59338842975205</v>
      </c>
      <c r="CE89" s="239">
        <v>-116.6835123966942</v>
      </c>
      <c r="CF89" s="239">
        <v>-12.964834710743801</v>
      </c>
      <c r="CG89" s="239">
        <v>0</v>
      </c>
      <c r="CH89" s="239">
        <v>0</v>
      </c>
      <c r="CI89" s="239">
        <v>0</v>
      </c>
      <c r="CJ89" s="239">
        <v>-519</v>
      </c>
      <c r="CK89" s="239">
        <v>-117</v>
      </c>
      <c r="CL89" s="239">
        <v>-13</v>
      </c>
      <c r="CM89" s="239">
        <v>2727.6876033057852</v>
      </c>
      <c r="CN89" s="239">
        <v>613.72971074380166</v>
      </c>
      <c r="CO89" s="239">
        <v>68.192190082644629</v>
      </c>
      <c r="CP89" s="239">
        <v>1830</v>
      </c>
      <c r="CQ89" s="239">
        <v>412</v>
      </c>
      <c r="CR89" s="239">
        <v>46</v>
      </c>
      <c r="CS89" s="239">
        <v>898</v>
      </c>
      <c r="CT89" s="239">
        <v>202</v>
      </c>
      <c r="CU89" s="239">
        <v>22</v>
      </c>
      <c r="CV89" s="239">
        <v>132995.18099173554</v>
      </c>
      <c r="CW89" s="239">
        <v>29076.47460743802</v>
      </c>
      <c r="CX89" s="239">
        <v>3230.7194008264469</v>
      </c>
      <c r="CY89" s="239">
        <v>129755</v>
      </c>
      <c r="CZ89" s="239">
        <v>28486</v>
      </c>
      <c r="DA89" s="239">
        <v>3165</v>
      </c>
      <c r="DB89" s="239">
        <v>3240</v>
      </c>
      <c r="DC89" s="239">
        <v>590</v>
      </c>
      <c r="DD89" s="239">
        <v>66</v>
      </c>
      <c r="DE89" s="641">
        <v>0.5</v>
      </c>
      <c r="DF89" s="641">
        <v>0.4</v>
      </c>
      <c r="DG89" s="641">
        <v>0.09</v>
      </c>
      <c r="DH89" s="641">
        <v>0.01</v>
      </c>
      <c r="DI89" s="214" t="s">
        <v>1190</v>
      </c>
    </row>
    <row r="90" spans="2:113" s="214" customFormat="1" x14ac:dyDescent="0.2">
      <c r="B90" s="609" t="s">
        <v>262</v>
      </c>
      <c r="C90" s="609" t="s">
        <v>261</v>
      </c>
      <c r="D90" s="239">
        <v>-703692</v>
      </c>
      <c r="E90" s="239">
        <v>0</v>
      </c>
      <c r="F90" s="239">
        <v>-703692</v>
      </c>
      <c r="G90" s="239">
        <v>0</v>
      </c>
      <c r="H90" s="239">
        <v>0</v>
      </c>
      <c r="I90" s="239">
        <v>0</v>
      </c>
      <c r="J90" s="239">
        <v>-703692</v>
      </c>
      <c r="K90" s="239">
        <v>0</v>
      </c>
      <c r="L90" s="239">
        <v>-703692</v>
      </c>
      <c r="M90" s="239">
        <v>153391</v>
      </c>
      <c r="N90" s="239">
        <v>153391</v>
      </c>
      <c r="O90" s="239">
        <v>0</v>
      </c>
      <c r="P90" s="239">
        <v>0</v>
      </c>
      <c r="Q90" s="239">
        <v>0</v>
      </c>
      <c r="R90" s="239">
        <v>0</v>
      </c>
      <c r="S90" s="239">
        <v>0</v>
      </c>
      <c r="T90" s="239">
        <v>0</v>
      </c>
      <c r="U90" s="239">
        <v>0</v>
      </c>
      <c r="V90" s="239">
        <v>0</v>
      </c>
      <c r="W90" s="239">
        <v>0</v>
      </c>
      <c r="X90" s="239">
        <v>0</v>
      </c>
      <c r="Y90" s="239">
        <v>0</v>
      </c>
      <c r="Z90" s="239">
        <v>0</v>
      </c>
      <c r="AA90" s="239">
        <v>0</v>
      </c>
      <c r="AB90" s="239">
        <v>0</v>
      </c>
      <c r="AC90" s="239">
        <v>0</v>
      </c>
      <c r="AD90" s="239">
        <v>0</v>
      </c>
      <c r="AE90" s="239">
        <v>0</v>
      </c>
      <c r="AF90" s="239">
        <v>0</v>
      </c>
      <c r="AG90" s="239">
        <v>0</v>
      </c>
      <c r="AH90" s="239">
        <v>0</v>
      </c>
      <c r="AI90" s="239">
        <v>0</v>
      </c>
      <c r="AJ90" s="239">
        <v>0</v>
      </c>
      <c r="AK90" s="239">
        <v>546513.83966942155</v>
      </c>
      <c r="AL90" s="239">
        <v>122965.61392561982</v>
      </c>
      <c r="AM90" s="239">
        <v>13662.845991735538</v>
      </c>
      <c r="AN90" s="239">
        <v>517183</v>
      </c>
      <c r="AO90" s="239">
        <v>116366</v>
      </c>
      <c r="AP90" s="239">
        <v>12930</v>
      </c>
      <c r="AQ90" s="239">
        <v>29331</v>
      </c>
      <c r="AR90" s="239">
        <v>6600</v>
      </c>
      <c r="AS90" s="239">
        <v>733</v>
      </c>
      <c r="AT90" s="239">
        <v>15601.626446280992</v>
      </c>
      <c r="AU90" s="239">
        <v>3510.3659504132233</v>
      </c>
      <c r="AV90" s="239">
        <v>390.04066115702477</v>
      </c>
      <c r="AW90" s="239">
        <v>11328</v>
      </c>
      <c r="AX90" s="239">
        <v>2549</v>
      </c>
      <c r="AY90" s="239">
        <v>283</v>
      </c>
      <c r="AZ90" s="239">
        <v>4274</v>
      </c>
      <c r="BA90" s="239">
        <v>961</v>
      </c>
      <c r="BB90" s="239">
        <v>107</v>
      </c>
      <c r="BC90" s="239">
        <v>1811.0190082644629</v>
      </c>
      <c r="BD90" s="239">
        <v>407.47927685950413</v>
      </c>
      <c r="BE90" s="239">
        <v>45.275475206611567</v>
      </c>
      <c r="BF90" s="239">
        <v>0</v>
      </c>
      <c r="BG90" s="239">
        <v>0</v>
      </c>
      <c r="BH90" s="239">
        <v>0</v>
      </c>
      <c r="BI90" s="239">
        <v>1811</v>
      </c>
      <c r="BJ90" s="239">
        <v>407</v>
      </c>
      <c r="BK90" s="239">
        <v>45</v>
      </c>
      <c r="BL90" s="239">
        <v>15447.428099173554</v>
      </c>
      <c r="BM90" s="239">
        <v>3475.6713223140496</v>
      </c>
      <c r="BN90" s="239">
        <v>386.18570247933883</v>
      </c>
      <c r="BO90" s="239">
        <v>6086</v>
      </c>
      <c r="BP90" s="239">
        <v>1370</v>
      </c>
      <c r="BQ90" s="239">
        <v>152</v>
      </c>
      <c r="BR90" s="239">
        <v>9361</v>
      </c>
      <c r="BS90" s="239">
        <v>2106</v>
      </c>
      <c r="BT90" s="239">
        <v>234</v>
      </c>
      <c r="BU90" s="239">
        <v>4761.4826446280995</v>
      </c>
      <c r="BV90" s="239">
        <v>1071.3335950413223</v>
      </c>
      <c r="BW90" s="239">
        <v>119.03706611570247</v>
      </c>
      <c r="BX90" s="239">
        <v>0</v>
      </c>
      <c r="BY90" s="239">
        <v>0</v>
      </c>
      <c r="BZ90" s="239">
        <v>0</v>
      </c>
      <c r="CA90" s="239">
        <v>4761</v>
      </c>
      <c r="CB90" s="239">
        <v>1071</v>
      </c>
      <c r="CC90" s="239">
        <v>119</v>
      </c>
      <c r="CD90" s="239">
        <v>-510.47768595041327</v>
      </c>
      <c r="CE90" s="239">
        <v>-114.85747933884298</v>
      </c>
      <c r="CF90" s="239">
        <v>-12.761942148760332</v>
      </c>
      <c r="CG90" s="239">
        <v>0</v>
      </c>
      <c r="CH90" s="239">
        <v>0</v>
      </c>
      <c r="CI90" s="239">
        <v>0</v>
      </c>
      <c r="CJ90" s="239">
        <v>-510</v>
      </c>
      <c r="CK90" s="239">
        <v>-115</v>
      </c>
      <c r="CL90" s="239">
        <v>-13</v>
      </c>
      <c r="CM90" s="239">
        <v>-2439.9859504132228</v>
      </c>
      <c r="CN90" s="239">
        <v>-548.99683884297519</v>
      </c>
      <c r="CO90" s="239">
        <v>-60.999648760330572</v>
      </c>
      <c r="CP90" s="239">
        <v>2992</v>
      </c>
      <c r="CQ90" s="239">
        <v>673</v>
      </c>
      <c r="CR90" s="239">
        <v>75</v>
      </c>
      <c r="CS90" s="239">
        <v>-5432</v>
      </c>
      <c r="CT90" s="239">
        <v>-1222</v>
      </c>
      <c r="CU90" s="239">
        <v>-136</v>
      </c>
      <c r="CV90" s="239">
        <v>158106.19999999998</v>
      </c>
      <c r="CW90" s="239">
        <v>35573.894999999997</v>
      </c>
      <c r="CX90" s="239">
        <v>3952.6550000000002</v>
      </c>
      <c r="CY90" s="239">
        <v>171351</v>
      </c>
      <c r="CZ90" s="239">
        <v>38554</v>
      </c>
      <c r="DA90" s="239">
        <v>4284</v>
      </c>
      <c r="DB90" s="239">
        <v>-13245</v>
      </c>
      <c r="DC90" s="239">
        <v>-2980</v>
      </c>
      <c r="DD90" s="239">
        <v>-331</v>
      </c>
      <c r="DE90" s="641">
        <v>0.5</v>
      </c>
      <c r="DF90" s="641">
        <v>0.4</v>
      </c>
      <c r="DG90" s="641">
        <v>0.09</v>
      </c>
      <c r="DH90" s="641">
        <v>0.01</v>
      </c>
      <c r="DI90" s="214" t="s">
        <v>1190</v>
      </c>
    </row>
    <row r="91" spans="2:113" s="214" customFormat="1" x14ac:dyDescent="0.2">
      <c r="B91" s="609" t="s">
        <v>264</v>
      </c>
      <c r="C91" s="609" t="s">
        <v>263</v>
      </c>
      <c r="D91" s="239">
        <v>-309224</v>
      </c>
      <c r="E91" s="239">
        <v>0</v>
      </c>
      <c r="F91" s="239">
        <v>-309224</v>
      </c>
      <c r="G91" s="239">
        <v>0</v>
      </c>
      <c r="H91" s="239">
        <v>0</v>
      </c>
      <c r="I91" s="239">
        <v>0</v>
      </c>
      <c r="J91" s="239">
        <v>-309224</v>
      </c>
      <c r="K91" s="239">
        <v>0</v>
      </c>
      <c r="L91" s="239">
        <v>-309224</v>
      </c>
      <c r="M91" s="239">
        <v>193935</v>
      </c>
      <c r="N91" s="239">
        <v>193935</v>
      </c>
      <c r="O91" s="239">
        <v>0</v>
      </c>
      <c r="P91" s="239">
        <v>0</v>
      </c>
      <c r="Q91" s="239">
        <v>0</v>
      </c>
      <c r="R91" s="239">
        <v>0</v>
      </c>
      <c r="S91" s="239">
        <v>0</v>
      </c>
      <c r="T91" s="239">
        <v>0</v>
      </c>
      <c r="U91" s="239">
        <v>0</v>
      </c>
      <c r="V91" s="239">
        <v>0</v>
      </c>
      <c r="W91" s="239">
        <v>0</v>
      </c>
      <c r="X91" s="239">
        <v>0</v>
      </c>
      <c r="Y91" s="239">
        <v>0</v>
      </c>
      <c r="Z91" s="239">
        <v>0</v>
      </c>
      <c r="AA91" s="239">
        <v>0</v>
      </c>
      <c r="AB91" s="239">
        <v>0</v>
      </c>
      <c r="AC91" s="239">
        <v>0</v>
      </c>
      <c r="AD91" s="239">
        <v>0</v>
      </c>
      <c r="AE91" s="239">
        <v>0</v>
      </c>
      <c r="AF91" s="239">
        <v>0</v>
      </c>
      <c r="AG91" s="239">
        <v>0</v>
      </c>
      <c r="AH91" s="239">
        <v>0</v>
      </c>
      <c r="AI91" s="239">
        <v>0</v>
      </c>
      <c r="AJ91" s="239">
        <v>0</v>
      </c>
      <c r="AK91" s="239">
        <v>569381.04876033065</v>
      </c>
      <c r="AL91" s="239">
        <v>142345.26219008266</v>
      </c>
      <c r="AM91" s="239">
        <v>0</v>
      </c>
      <c r="AN91" s="239">
        <v>540199</v>
      </c>
      <c r="AO91" s="239">
        <v>135050</v>
      </c>
      <c r="AP91" s="239">
        <v>0</v>
      </c>
      <c r="AQ91" s="239">
        <v>29182</v>
      </c>
      <c r="AR91" s="239">
        <v>7295</v>
      </c>
      <c r="AS91" s="239">
        <v>0</v>
      </c>
      <c r="AT91" s="239">
        <v>0</v>
      </c>
      <c r="AU91" s="239">
        <v>0</v>
      </c>
      <c r="AV91" s="239">
        <v>0</v>
      </c>
      <c r="AW91" s="239">
        <v>0</v>
      </c>
      <c r="AX91" s="239">
        <v>0</v>
      </c>
      <c r="AY91" s="239">
        <v>0</v>
      </c>
      <c r="AZ91" s="239">
        <v>0</v>
      </c>
      <c r="BA91" s="239">
        <v>0</v>
      </c>
      <c r="BB91" s="239">
        <v>0</v>
      </c>
      <c r="BC91" s="239">
        <v>18000.628099173555</v>
      </c>
      <c r="BD91" s="239">
        <v>4500.1570247933887</v>
      </c>
      <c r="BE91" s="239">
        <v>0</v>
      </c>
      <c r="BF91" s="239">
        <v>13915</v>
      </c>
      <c r="BG91" s="239">
        <v>3479</v>
      </c>
      <c r="BH91" s="239">
        <v>0</v>
      </c>
      <c r="BI91" s="239">
        <v>4086</v>
      </c>
      <c r="BJ91" s="239">
        <v>1021</v>
      </c>
      <c r="BK91" s="239">
        <v>0</v>
      </c>
      <c r="BL91" s="239">
        <v>14835.909917355373</v>
      </c>
      <c r="BM91" s="239">
        <v>3708.9774793388433</v>
      </c>
      <c r="BN91" s="239">
        <v>0</v>
      </c>
      <c r="BO91" s="239">
        <v>5601</v>
      </c>
      <c r="BP91" s="239">
        <v>1400</v>
      </c>
      <c r="BQ91" s="239">
        <v>0</v>
      </c>
      <c r="BR91" s="239">
        <v>9235</v>
      </c>
      <c r="BS91" s="239">
        <v>2309</v>
      </c>
      <c r="BT91" s="239">
        <v>0</v>
      </c>
      <c r="BU91" s="239">
        <v>6882.1157024793392</v>
      </c>
      <c r="BV91" s="239">
        <v>1720.5289256198348</v>
      </c>
      <c r="BW91" s="239">
        <v>0</v>
      </c>
      <c r="BX91" s="239">
        <v>0</v>
      </c>
      <c r="BY91" s="239">
        <v>0</v>
      </c>
      <c r="BZ91" s="239">
        <v>0</v>
      </c>
      <c r="CA91" s="239">
        <v>6882</v>
      </c>
      <c r="CB91" s="239">
        <v>1721</v>
      </c>
      <c r="CC91" s="239">
        <v>0</v>
      </c>
      <c r="CD91" s="239">
        <v>0</v>
      </c>
      <c r="CE91" s="239">
        <v>0</v>
      </c>
      <c r="CF91" s="239">
        <v>0</v>
      </c>
      <c r="CG91" s="239">
        <v>0</v>
      </c>
      <c r="CH91" s="239">
        <v>0</v>
      </c>
      <c r="CI91" s="239">
        <v>0</v>
      </c>
      <c r="CJ91" s="239">
        <v>0</v>
      </c>
      <c r="CK91" s="239">
        <v>0</v>
      </c>
      <c r="CL91" s="239">
        <v>0</v>
      </c>
      <c r="CM91" s="239">
        <v>862.69917355371911</v>
      </c>
      <c r="CN91" s="239">
        <v>215.67479338842978</v>
      </c>
      <c r="CO91" s="239">
        <v>0</v>
      </c>
      <c r="CP91" s="239">
        <v>21067</v>
      </c>
      <c r="CQ91" s="239">
        <v>5267</v>
      </c>
      <c r="CR91" s="239">
        <v>0</v>
      </c>
      <c r="CS91" s="239">
        <v>-20204</v>
      </c>
      <c r="CT91" s="239">
        <v>-5051</v>
      </c>
      <c r="CU91" s="239">
        <v>0</v>
      </c>
      <c r="CV91" s="239">
        <v>255342.02561983469</v>
      </c>
      <c r="CW91" s="239">
        <v>63835.506404958673</v>
      </c>
      <c r="CX91" s="239">
        <v>0</v>
      </c>
      <c r="CY91" s="239">
        <v>257247</v>
      </c>
      <c r="CZ91" s="239">
        <v>64312</v>
      </c>
      <c r="DA91" s="239">
        <v>0</v>
      </c>
      <c r="DB91" s="239">
        <v>-1905</v>
      </c>
      <c r="DC91" s="239">
        <v>-476</v>
      </c>
      <c r="DD91" s="239">
        <v>0</v>
      </c>
      <c r="DE91" s="641">
        <v>0.5</v>
      </c>
      <c r="DF91" s="641">
        <v>0.4</v>
      </c>
      <c r="DG91" s="641">
        <v>0.1</v>
      </c>
      <c r="DH91" s="641">
        <v>0</v>
      </c>
      <c r="DI91" s="214" t="s">
        <v>1190</v>
      </c>
    </row>
    <row r="92" spans="2:113" s="214" customFormat="1" x14ac:dyDescent="0.2">
      <c r="B92" s="609" t="s">
        <v>266</v>
      </c>
      <c r="C92" s="609" t="s">
        <v>265</v>
      </c>
      <c r="D92" s="239">
        <v>-50701</v>
      </c>
      <c r="E92" s="239">
        <v>0</v>
      </c>
      <c r="F92" s="239">
        <v>-50701</v>
      </c>
      <c r="G92" s="239">
        <v>0</v>
      </c>
      <c r="H92" s="239">
        <v>0</v>
      </c>
      <c r="I92" s="239">
        <v>0</v>
      </c>
      <c r="J92" s="239">
        <v>-50701</v>
      </c>
      <c r="K92" s="239">
        <v>0</v>
      </c>
      <c r="L92" s="239">
        <v>-50701</v>
      </c>
      <c r="M92" s="239">
        <v>268877</v>
      </c>
      <c r="N92" s="239">
        <v>268877</v>
      </c>
      <c r="O92" s="239">
        <v>0</v>
      </c>
      <c r="P92" s="239">
        <v>0</v>
      </c>
      <c r="Q92" s="239">
        <v>0</v>
      </c>
      <c r="R92" s="239">
        <v>0</v>
      </c>
      <c r="S92" s="239">
        <v>560839</v>
      </c>
      <c r="T92" s="239">
        <v>55275</v>
      </c>
      <c r="U92" s="239">
        <v>87720</v>
      </c>
      <c r="V92" s="239">
        <v>44680</v>
      </c>
      <c r="W92" s="239">
        <v>473119</v>
      </c>
      <c r="X92" s="239">
        <v>10595</v>
      </c>
      <c r="Y92" s="239">
        <v>0</v>
      </c>
      <c r="Z92" s="239">
        <v>0</v>
      </c>
      <c r="AA92" s="239">
        <v>0</v>
      </c>
      <c r="AB92" s="239">
        <v>0</v>
      </c>
      <c r="AC92" s="239">
        <v>0</v>
      </c>
      <c r="AD92" s="239">
        <v>0</v>
      </c>
      <c r="AE92" s="239">
        <v>0</v>
      </c>
      <c r="AF92" s="239">
        <v>0</v>
      </c>
      <c r="AG92" s="239">
        <v>0</v>
      </c>
      <c r="AH92" s="239">
        <v>0</v>
      </c>
      <c r="AI92" s="239">
        <v>0</v>
      </c>
      <c r="AJ92" s="239">
        <v>0</v>
      </c>
      <c r="AK92" s="239">
        <v>1033719.7487603306</v>
      </c>
      <c r="AL92" s="239">
        <v>258429.93719008265</v>
      </c>
      <c r="AM92" s="239">
        <v>0</v>
      </c>
      <c r="AN92" s="239">
        <v>966828</v>
      </c>
      <c r="AO92" s="239">
        <v>241707</v>
      </c>
      <c r="AP92" s="239">
        <v>0</v>
      </c>
      <c r="AQ92" s="239">
        <v>66892</v>
      </c>
      <c r="AR92" s="239">
        <v>16723</v>
      </c>
      <c r="AS92" s="239">
        <v>0</v>
      </c>
      <c r="AT92" s="239">
        <v>1832.1198347107438</v>
      </c>
      <c r="AU92" s="239">
        <v>458.02995867768595</v>
      </c>
      <c r="AV92" s="239">
        <v>0</v>
      </c>
      <c r="AW92" s="239">
        <v>4586</v>
      </c>
      <c r="AX92" s="239">
        <v>1146</v>
      </c>
      <c r="AY92" s="239">
        <v>0</v>
      </c>
      <c r="AZ92" s="239">
        <v>-2754</v>
      </c>
      <c r="BA92" s="239">
        <v>-688</v>
      </c>
      <c r="BB92" s="239">
        <v>0</v>
      </c>
      <c r="BC92" s="239">
        <v>0</v>
      </c>
      <c r="BD92" s="239">
        <v>0</v>
      </c>
      <c r="BE92" s="239">
        <v>0</v>
      </c>
      <c r="BF92" s="239">
        <v>0</v>
      </c>
      <c r="BG92" s="239">
        <v>0</v>
      </c>
      <c r="BH92" s="239">
        <v>0</v>
      </c>
      <c r="BI92" s="239">
        <v>0</v>
      </c>
      <c r="BJ92" s="239">
        <v>0</v>
      </c>
      <c r="BK92" s="239">
        <v>0</v>
      </c>
      <c r="BL92" s="239">
        <v>344.51157024793389</v>
      </c>
      <c r="BM92" s="239">
        <v>86.127892561983472</v>
      </c>
      <c r="BN92" s="239">
        <v>0</v>
      </c>
      <c r="BO92" s="239">
        <v>1031</v>
      </c>
      <c r="BP92" s="239">
        <v>258</v>
      </c>
      <c r="BQ92" s="239">
        <v>0</v>
      </c>
      <c r="BR92" s="239">
        <v>-686</v>
      </c>
      <c r="BS92" s="239">
        <v>-172</v>
      </c>
      <c r="BT92" s="239">
        <v>0</v>
      </c>
      <c r="BU92" s="239">
        <v>190.31322314049589</v>
      </c>
      <c r="BV92" s="239">
        <v>47.578305785123973</v>
      </c>
      <c r="BW92" s="239">
        <v>0</v>
      </c>
      <c r="BX92" s="239">
        <v>0</v>
      </c>
      <c r="BY92" s="239">
        <v>0</v>
      </c>
      <c r="BZ92" s="239">
        <v>0</v>
      </c>
      <c r="CA92" s="239">
        <v>190</v>
      </c>
      <c r="CB92" s="239">
        <v>48</v>
      </c>
      <c r="CC92" s="239">
        <v>0</v>
      </c>
      <c r="CD92" s="239">
        <v>0</v>
      </c>
      <c r="CE92" s="239">
        <v>0</v>
      </c>
      <c r="CF92" s="239">
        <v>0</v>
      </c>
      <c r="CG92" s="239">
        <v>0</v>
      </c>
      <c r="CH92" s="239">
        <v>0</v>
      </c>
      <c r="CI92" s="239">
        <v>0</v>
      </c>
      <c r="CJ92" s="239">
        <v>0</v>
      </c>
      <c r="CK92" s="239">
        <v>0</v>
      </c>
      <c r="CL92" s="239">
        <v>0</v>
      </c>
      <c r="CM92" s="239">
        <v>6464.1570247933887</v>
      </c>
      <c r="CN92" s="239">
        <v>1616.0392561983472</v>
      </c>
      <c r="CO92" s="239">
        <v>0</v>
      </c>
      <c r="CP92" s="239">
        <v>3041</v>
      </c>
      <c r="CQ92" s="239">
        <v>760</v>
      </c>
      <c r="CR92" s="239">
        <v>0</v>
      </c>
      <c r="CS92" s="239">
        <v>3423</v>
      </c>
      <c r="CT92" s="239">
        <v>856</v>
      </c>
      <c r="CU92" s="239">
        <v>0</v>
      </c>
      <c r="CV92" s="239">
        <v>210161.13595041321</v>
      </c>
      <c r="CW92" s="239">
        <v>51311.888842975204</v>
      </c>
      <c r="CX92" s="239">
        <v>0</v>
      </c>
      <c r="CY92" s="239">
        <v>196693</v>
      </c>
      <c r="CZ92" s="239">
        <v>49502</v>
      </c>
      <c r="DA92" s="239">
        <v>0</v>
      </c>
      <c r="DB92" s="239">
        <v>13468</v>
      </c>
      <c r="DC92" s="239">
        <v>1810</v>
      </c>
      <c r="DD92" s="239">
        <v>0</v>
      </c>
      <c r="DE92" s="641">
        <v>0.5</v>
      </c>
      <c r="DF92" s="641">
        <v>0.4</v>
      </c>
      <c r="DG92" s="641">
        <v>0.1</v>
      </c>
      <c r="DH92" s="641">
        <v>0</v>
      </c>
      <c r="DI92" s="214" t="s">
        <v>1190</v>
      </c>
    </row>
    <row r="93" spans="2:113" s="214" customFormat="1" x14ac:dyDescent="0.2">
      <c r="B93" s="609" t="s">
        <v>268</v>
      </c>
      <c r="C93" s="609" t="s">
        <v>267</v>
      </c>
      <c r="D93" s="239">
        <v>-25768</v>
      </c>
      <c r="E93" s="239">
        <v>0</v>
      </c>
      <c r="F93" s="239">
        <v>-25768</v>
      </c>
      <c r="G93" s="239">
        <v>0</v>
      </c>
      <c r="H93" s="239">
        <v>0</v>
      </c>
      <c r="I93" s="239">
        <v>0</v>
      </c>
      <c r="J93" s="239">
        <v>-25768</v>
      </c>
      <c r="K93" s="239">
        <v>0</v>
      </c>
      <c r="L93" s="239">
        <v>-25768</v>
      </c>
      <c r="M93" s="239">
        <v>100187</v>
      </c>
      <c r="N93" s="239">
        <v>100187</v>
      </c>
      <c r="O93" s="239">
        <v>0</v>
      </c>
      <c r="P93" s="239">
        <v>0</v>
      </c>
      <c r="Q93" s="239">
        <v>0</v>
      </c>
      <c r="R93" s="239">
        <v>0</v>
      </c>
      <c r="S93" s="239">
        <v>468423</v>
      </c>
      <c r="T93" s="239">
        <v>0</v>
      </c>
      <c r="U93" s="239">
        <v>470000</v>
      </c>
      <c r="V93" s="239">
        <v>0</v>
      </c>
      <c r="W93" s="239">
        <v>-1577</v>
      </c>
      <c r="X93" s="239">
        <v>0</v>
      </c>
      <c r="Y93" s="239">
        <v>0</v>
      </c>
      <c r="Z93" s="239">
        <v>0</v>
      </c>
      <c r="AA93" s="239">
        <v>0</v>
      </c>
      <c r="AB93" s="239">
        <v>0</v>
      </c>
      <c r="AC93" s="239">
        <v>0</v>
      </c>
      <c r="AD93" s="239">
        <v>0</v>
      </c>
      <c r="AE93" s="239">
        <v>0</v>
      </c>
      <c r="AF93" s="239">
        <v>0</v>
      </c>
      <c r="AG93" s="239">
        <v>0</v>
      </c>
      <c r="AH93" s="239">
        <v>0</v>
      </c>
      <c r="AI93" s="239">
        <v>0</v>
      </c>
      <c r="AJ93" s="239">
        <v>0</v>
      </c>
      <c r="AK93" s="239">
        <v>403367.25330578513</v>
      </c>
      <c r="AL93" s="239">
        <v>100841.81332644628</v>
      </c>
      <c r="AM93" s="239">
        <v>0</v>
      </c>
      <c r="AN93" s="239">
        <v>390328</v>
      </c>
      <c r="AO93" s="239">
        <v>97582</v>
      </c>
      <c r="AP93" s="239">
        <v>0</v>
      </c>
      <c r="AQ93" s="239">
        <v>13039</v>
      </c>
      <c r="AR93" s="239">
        <v>3260</v>
      </c>
      <c r="AS93" s="239">
        <v>0</v>
      </c>
      <c r="AT93" s="239">
        <v>4247.3528925619839</v>
      </c>
      <c r="AU93" s="239">
        <v>1061.838223140496</v>
      </c>
      <c r="AV93" s="239">
        <v>0</v>
      </c>
      <c r="AW93" s="239">
        <v>4920</v>
      </c>
      <c r="AX93" s="239">
        <v>1230</v>
      </c>
      <c r="AY93" s="239">
        <v>0</v>
      </c>
      <c r="AZ93" s="239">
        <v>-673</v>
      </c>
      <c r="BA93" s="239">
        <v>-168</v>
      </c>
      <c r="BB93" s="239">
        <v>0</v>
      </c>
      <c r="BC93" s="239">
        <v>626.53223140495868</v>
      </c>
      <c r="BD93" s="239">
        <v>156.63305785123967</v>
      </c>
      <c r="BE93" s="239">
        <v>0</v>
      </c>
      <c r="BF93" s="239">
        <v>1815</v>
      </c>
      <c r="BG93" s="239">
        <v>454</v>
      </c>
      <c r="BH93" s="239">
        <v>0</v>
      </c>
      <c r="BI93" s="239">
        <v>-1188</v>
      </c>
      <c r="BJ93" s="239">
        <v>-297</v>
      </c>
      <c r="BK93" s="239">
        <v>0</v>
      </c>
      <c r="BL93" s="239">
        <v>0</v>
      </c>
      <c r="BM93" s="239">
        <v>0</v>
      </c>
      <c r="BN93" s="239">
        <v>0</v>
      </c>
      <c r="BO93" s="239">
        <v>0</v>
      </c>
      <c r="BP93" s="239">
        <v>0</v>
      </c>
      <c r="BQ93" s="239">
        <v>0</v>
      </c>
      <c r="BR93" s="239">
        <v>0</v>
      </c>
      <c r="BS93" s="239">
        <v>0</v>
      </c>
      <c r="BT93" s="239">
        <v>0</v>
      </c>
      <c r="BU93" s="239">
        <v>-1263.2090909090912</v>
      </c>
      <c r="BV93" s="239">
        <v>-315.80227272727279</v>
      </c>
      <c r="BW93" s="239">
        <v>0</v>
      </c>
      <c r="BX93" s="239">
        <v>0</v>
      </c>
      <c r="BY93" s="239">
        <v>0</v>
      </c>
      <c r="BZ93" s="239">
        <v>0</v>
      </c>
      <c r="CA93" s="239">
        <v>-1263</v>
      </c>
      <c r="CB93" s="239">
        <v>-316</v>
      </c>
      <c r="CC93" s="239">
        <v>0</v>
      </c>
      <c r="CD93" s="239">
        <v>0</v>
      </c>
      <c r="CE93" s="239">
        <v>0</v>
      </c>
      <c r="CF93" s="239">
        <v>0</v>
      </c>
      <c r="CG93" s="239">
        <v>0</v>
      </c>
      <c r="CH93" s="239">
        <v>0</v>
      </c>
      <c r="CI93" s="239">
        <v>0</v>
      </c>
      <c r="CJ93" s="239">
        <v>0</v>
      </c>
      <c r="CK93" s="239">
        <v>0</v>
      </c>
      <c r="CL93" s="239">
        <v>0</v>
      </c>
      <c r="CM93" s="239">
        <v>0</v>
      </c>
      <c r="CN93" s="239">
        <v>0</v>
      </c>
      <c r="CO93" s="239">
        <v>0</v>
      </c>
      <c r="CP93" s="239">
        <v>0</v>
      </c>
      <c r="CQ93" s="239">
        <v>0</v>
      </c>
      <c r="CR93" s="239">
        <v>0</v>
      </c>
      <c r="CS93" s="239">
        <v>0</v>
      </c>
      <c r="CT93" s="239">
        <v>0</v>
      </c>
      <c r="CU93" s="239">
        <v>0</v>
      </c>
      <c r="CV93" s="239">
        <v>139823.48719008264</v>
      </c>
      <c r="CW93" s="239">
        <v>33262.193595041324</v>
      </c>
      <c r="CX93" s="239">
        <v>0</v>
      </c>
      <c r="CY93" s="239">
        <v>140754</v>
      </c>
      <c r="CZ93" s="239">
        <v>33489</v>
      </c>
      <c r="DA93" s="239">
        <v>0</v>
      </c>
      <c r="DB93" s="239">
        <v>-931</v>
      </c>
      <c r="DC93" s="239">
        <v>-227</v>
      </c>
      <c r="DD93" s="239">
        <v>0</v>
      </c>
      <c r="DE93" s="641">
        <v>0.5</v>
      </c>
      <c r="DF93" s="641">
        <v>0.4</v>
      </c>
      <c r="DG93" s="641">
        <v>0.1</v>
      </c>
      <c r="DH93" s="641">
        <v>0</v>
      </c>
      <c r="DI93" s="214" t="s">
        <v>1190</v>
      </c>
    </row>
    <row r="94" spans="2:113" s="214" customFormat="1" x14ac:dyDescent="0.2">
      <c r="B94" s="609" t="s">
        <v>270</v>
      </c>
      <c r="C94" s="609" t="s">
        <v>269</v>
      </c>
      <c r="D94" s="239">
        <v>-108369</v>
      </c>
      <c r="E94" s="239">
        <v>0</v>
      </c>
      <c r="F94" s="239">
        <v>-108369</v>
      </c>
      <c r="G94" s="239">
        <v>0</v>
      </c>
      <c r="H94" s="239">
        <v>0</v>
      </c>
      <c r="I94" s="239">
        <v>0</v>
      </c>
      <c r="J94" s="239">
        <v>-108369</v>
      </c>
      <c r="K94" s="239">
        <v>0</v>
      </c>
      <c r="L94" s="239">
        <v>-108369</v>
      </c>
      <c r="M94" s="239">
        <v>445553</v>
      </c>
      <c r="N94" s="239">
        <v>445553</v>
      </c>
      <c r="O94" s="239">
        <v>0</v>
      </c>
      <c r="P94" s="239">
        <v>883</v>
      </c>
      <c r="Q94" s="239">
        <v>884</v>
      </c>
      <c r="R94" s="239">
        <v>-1</v>
      </c>
      <c r="S94" s="239">
        <v>3754186</v>
      </c>
      <c r="T94" s="239">
        <v>0</v>
      </c>
      <c r="U94" s="239">
        <v>3149518</v>
      </c>
      <c r="V94" s="239">
        <v>0</v>
      </c>
      <c r="W94" s="239">
        <v>604668</v>
      </c>
      <c r="X94" s="239">
        <v>0</v>
      </c>
      <c r="Y94" s="239">
        <v>96998.36880165289</v>
      </c>
      <c r="Z94" s="239">
        <v>95058.401425619842</v>
      </c>
      <c r="AA94" s="239">
        <v>0</v>
      </c>
      <c r="AB94" s="239">
        <v>1939.9673760330579</v>
      </c>
      <c r="AC94" s="239">
        <v>100000</v>
      </c>
      <c r="AD94" s="239">
        <v>98000</v>
      </c>
      <c r="AE94" s="239">
        <v>0</v>
      </c>
      <c r="AF94" s="239">
        <v>2000</v>
      </c>
      <c r="AG94" s="239">
        <v>-3002</v>
      </c>
      <c r="AH94" s="239">
        <v>-2942</v>
      </c>
      <c r="AI94" s="239">
        <v>0</v>
      </c>
      <c r="AJ94" s="239">
        <v>-60</v>
      </c>
      <c r="AK94" s="239">
        <v>2273390.8322623968</v>
      </c>
      <c r="AL94" s="239">
        <v>0</v>
      </c>
      <c r="AM94" s="239">
        <v>46395.731270661156</v>
      </c>
      <c r="AN94" s="239">
        <v>1995362</v>
      </c>
      <c r="AO94" s="239">
        <v>0</v>
      </c>
      <c r="AP94" s="239">
        <v>40722</v>
      </c>
      <c r="AQ94" s="239">
        <v>278029</v>
      </c>
      <c r="AR94" s="239">
        <v>0</v>
      </c>
      <c r="AS94" s="239">
        <v>5674</v>
      </c>
      <c r="AT94" s="239">
        <v>0</v>
      </c>
      <c r="AU94" s="239">
        <v>0</v>
      </c>
      <c r="AV94" s="239">
        <v>0</v>
      </c>
      <c r="AW94" s="239">
        <v>0</v>
      </c>
      <c r="AX94" s="239">
        <v>0</v>
      </c>
      <c r="AY94" s="239">
        <v>0</v>
      </c>
      <c r="AZ94" s="239">
        <v>0</v>
      </c>
      <c r="BA94" s="239">
        <v>0</v>
      </c>
      <c r="BB94" s="239">
        <v>0</v>
      </c>
      <c r="BC94" s="239">
        <v>0</v>
      </c>
      <c r="BD94" s="239">
        <v>0</v>
      </c>
      <c r="BE94" s="239">
        <v>0</v>
      </c>
      <c r="BF94" s="239">
        <v>0</v>
      </c>
      <c r="BG94" s="239">
        <v>0</v>
      </c>
      <c r="BH94" s="239">
        <v>0</v>
      </c>
      <c r="BI94" s="239">
        <v>0</v>
      </c>
      <c r="BJ94" s="239">
        <v>0</v>
      </c>
      <c r="BK94" s="239">
        <v>0</v>
      </c>
      <c r="BL94" s="239">
        <v>25991.176301652893</v>
      </c>
      <c r="BM94" s="239">
        <v>0</v>
      </c>
      <c r="BN94" s="239">
        <v>530.43216942148763</v>
      </c>
      <c r="BO94" s="239">
        <v>0</v>
      </c>
      <c r="BP94" s="239">
        <v>0</v>
      </c>
      <c r="BQ94" s="239">
        <v>0</v>
      </c>
      <c r="BR94" s="239">
        <v>25991</v>
      </c>
      <c r="BS94" s="239">
        <v>0</v>
      </c>
      <c r="BT94" s="239">
        <v>530</v>
      </c>
      <c r="BU94" s="239">
        <v>-19451.005578512395</v>
      </c>
      <c r="BV94" s="239">
        <v>0</v>
      </c>
      <c r="BW94" s="239">
        <v>-396.95929752066115</v>
      </c>
      <c r="BX94" s="239">
        <v>0</v>
      </c>
      <c r="BY94" s="239">
        <v>0</v>
      </c>
      <c r="BZ94" s="239">
        <v>0</v>
      </c>
      <c r="CA94" s="239">
        <v>-19451</v>
      </c>
      <c r="CB94" s="239">
        <v>0</v>
      </c>
      <c r="CC94" s="239">
        <v>-397</v>
      </c>
      <c r="CD94" s="239">
        <v>-31.316466942148761</v>
      </c>
      <c r="CE94" s="239">
        <v>0</v>
      </c>
      <c r="CF94" s="239">
        <v>-0.63911157024793386</v>
      </c>
      <c r="CG94" s="239">
        <v>0</v>
      </c>
      <c r="CH94" s="239">
        <v>0</v>
      </c>
      <c r="CI94" s="239">
        <v>0</v>
      </c>
      <c r="CJ94" s="239">
        <v>-31</v>
      </c>
      <c r="CK94" s="239">
        <v>0</v>
      </c>
      <c r="CL94" s="239">
        <v>-1</v>
      </c>
      <c r="CM94" s="239">
        <v>0</v>
      </c>
      <c r="CN94" s="239">
        <v>0</v>
      </c>
      <c r="CO94" s="239">
        <v>0</v>
      </c>
      <c r="CP94" s="239">
        <v>7166</v>
      </c>
      <c r="CQ94" s="239">
        <v>0</v>
      </c>
      <c r="CR94" s="239">
        <v>146</v>
      </c>
      <c r="CS94" s="239">
        <v>-7166</v>
      </c>
      <c r="CT94" s="239">
        <v>0</v>
      </c>
      <c r="CU94" s="239">
        <v>-146</v>
      </c>
      <c r="CV94" s="239">
        <v>802914.59818181815</v>
      </c>
      <c r="CW94" s="239">
        <v>0</v>
      </c>
      <c r="CX94" s="239">
        <v>15277.668347107439</v>
      </c>
      <c r="CY94" s="239">
        <v>797539</v>
      </c>
      <c r="CZ94" s="239">
        <v>0</v>
      </c>
      <c r="DA94" s="239">
        <v>15346</v>
      </c>
      <c r="DB94" s="239">
        <v>5376</v>
      </c>
      <c r="DC94" s="239">
        <v>0</v>
      </c>
      <c r="DD94" s="239">
        <v>-68</v>
      </c>
      <c r="DE94" s="641">
        <v>0.5</v>
      </c>
      <c r="DF94" s="641">
        <v>0.49</v>
      </c>
      <c r="DG94" s="641">
        <v>0</v>
      </c>
      <c r="DH94" s="641">
        <v>0.01</v>
      </c>
      <c r="DI94" s="214" t="s">
        <v>747</v>
      </c>
    </row>
    <row r="95" spans="2:113" s="214" customFormat="1" x14ac:dyDescent="0.2">
      <c r="B95" s="609" t="s">
        <v>272</v>
      </c>
      <c r="C95" s="609" t="s">
        <v>271</v>
      </c>
      <c r="D95" s="239">
        <v>-179893</v>
      </c>
      <c r="E95" s="239">
        <v>0</v>
      </c>
      <c r="F95" s="239">
        <v>-179893</v>
      </c>
      <c r="G95" s="239">
        <v>0</v>
      </c>
      <c r="H95" s="239">
        <v>0</v>
      </c>
      <c r="I95" s="239">
        <v>0</v>
      </c>
      <c r="J95" s="239">
        <v>-179893</v>
      </c>
      <c r="K95" s="239">
        <v>0</v>
      </c>
      <c r="L95" s="239">
        <v>-179893</v>
      </c>
      <c r="M95" s="239">
        <v>179064</v>
      </c>
      <c r="N95" s="239">
        <v>179064</v>
      </c>
      <c r="O95" s="239">
        <v>0</v>
      </c>
      <c r="P95" s="239">
        <v>0</v>
      </c>
      <c r="Q95" s="239">
        <v>0</v>
      </c>
      <c r="R95" s="239">
        <v>0</v>
      </c>
      <c r="S95" s="239">
        <v>0</v>
      </c>
      <c r="T95" s="239">
        <v>0</v>
      </c>
      <c r="U95" s="239">
        <v>0</v>
      </c>
      <c r="V95" s="239">
        <v>0</v>
      </c>
      <c r="W95" s="239">
        <v>0</v>
      </c>
      <c r="X95" s="239">
        <v>0</v>
      </c>
      <c r="Y95" s="239">
        <v>0</v>
      </c>
      <c r="Z95" s="239">
        <v>0</v>
      </c>
      <c r="AA95" s="239">
        <v>0</v>
      </c>
      <c r="AB95" s="239">
        <v>0</v>
      </c>
      <c r="AC95" s="239">
        <v>0</v>
      </c>
      <c r="AD95" s="239">
        <v>0</v>
      </c>
      <c r="AE95" s="239">
        <v>0</v>
      </c>
      <c r="AF95" s="239">
        <v>0</v>
      </c>
      <c r="AG95" s="239">
        <v>0</v>
      </c>
      <c r="AH95" s="239">
        <v>0</v>
      </c>
      <c r="AI95" s="239">
        <v>0</v>
      </c>
      <c r="AJ95" s="239">
        <v>0</v>
      </c>
      <c r="AK95" s="239">
        <v>583582.31074380176</v>
      </c>
      <c r="AL95" s="239">
        <v>131306.01991735536</v>
      </c>
      <c r="AM95" s="239">
        <v>14589.557768595043</v>
      </c>
      <c r="AN95" s="239">
        <v>579034</v>
      </c>
      <c r="AO95" s="239">
        <v>130283</v>
      </c>
      <c r="AP95" s="239">
        <v>14476</v>
      </c>
      <c r="AQ95" s="239">
        <v>4548</v>
      </c>
      <c r="AR95" s="239">
        <v>1023</v>
      </c>
      <c r="AS95" s="239">
        <v>114</v>
      </c>
      <c r="AT95" s="239">
        <v>2043.5338842975207</v>
      </c>
      <c r="AU95" s="239">
        <v>459.79512396694213</v>
      </c>
      <c r="AV95" s="239">
        <v>51.088347107438018</v>
      </c>
      <c r="AW95" s="239">
        <v>2363</v>
      </c>
      <c r="AX95" s="239">
        <v>531</v>
      </c>
      <c r="AY95" s="239">
        <v>59</v>
      </c>
      <c r="AZ95" s="239">
        <v>-319</v>
      </c>
      <c r="BA95" s="239">
        <v>-71</v>
      </c>
      <c r="BB95" s="239">
        <v>-8</v>
      </c>
      <c r="BC95" s="239">
        <v>0</v>
      </c>
      <c r="BD95" s="239">
        <v>0</v>
      </c>
      <c r="BE95" s="239">
        <v>0</v>
      </c>
      <c r="BF95" s="239">
        <v>473</v>
      </c>
      <c r="BG95" s="239">
        <v>107</v>
      </c>
      <c r="BH95" s="239">
        <v>12</v>
      </c>
      <c r="BI95" s="239">
        <v>-473</v>
      </c>
      <c r="BJ95" s="239">
        <v>-107</v>
      </c>
      <c r="BK95" s="239">
        <v>-12</v>
      </c>
      <c r="BL95" s="239">
        <v>4348.3933884297521</v>
      </c>
      <c r="BM95" s="239">
        <v>978.38851239669407</v>
      </c>
      <c r="BN95" s="239">
        <v>108.70983471074381</v>
      </c>
      <c r="BO95" s="239">
        <v>617</v>
      </c>
      <c r="BP95" s="239">
        <v>139</v>
      </c>
      <c r="BQ95" s="239">
        <v>15</v>
      </c>
      <c r="BR95" s="239">
        <v>3731</v>
      </c>
      <c r="BS95" s="239">
        <v>839</v>
      </c>
      <c r="BT95" s="239">
        <v>94</v>
      </c>
      <c r="BU95" s="239">
        <v>8401.7809917355389</v>
      </c>
      <c r="BV95" s="239">
        <v>1890.400723140496</v>
      </c>
      <c r="BW95" s="239">
        <v>210.04452479338846</v>
      </c>
      <c r="BX95" s="239">
        <v>0</v>
      </c>
      <c r="BY95" s="239">
        <v>0</v>
      </c>
      <c r="BZ95" s="239">
        <v>0</v>
      </c>
      <c r="CA95" s="239">
        <v>8402</v>
      </c>
      <c r="CB95" s="239">
        <v>1890</v>
      </c>
      <c r="CC95" s="239">
        <v>210</v>
      </c>
      <c r="CD95" s="239">
        <v>0</v>
      </c>
      <c r="CE95" s="239">
        <v>0</v>
      </c>
      <c r="CF95" s="239">
        <v>0</v>
      </c>
      <c r="CG95" s="239">
        <v>0</v>
      </c>
      <c r="CH95" s="239">
        <v>0</v>
      </c>
      <c r="CI95" s="239">
        <v>0</v>
      </c>
      <c r="CJ95" s="239">
        <v>0</v>
      </c>
      <c r="CK95" s="239">
        <v>0</v>
      </c>
      <c r="CL95" s="239">
        <v>0</v>
      </c>
      <c r="CM95" s="239">
        <v>0</v>
      </c>
      <c r="CN95" s="239">
        <v>0</v>
      </c>
      <c r="CO95" s="239">
        <v>0</v>
      </c>
      <c r="CP95" s="239">
        <v>0</v>
      </c>
      <c r="CQ95" s="239">
        <v>0</v>
      </c>
      <c r="CR95" s="239">
        <v>0</v>
      </c>
      <c r="CS95" s="239">
        <v>0</v>
      </c>
      <c r="CT95" s="239">
        <v>0</v>
      </c>
      <c r="CU95" s="239">
        <v>0</v>
      </c>
      <c r="CV95" s="239">
        <v>328653.09504132229</v>
      </c>
      <c r="CW95" s="239">
        <v>73946.946384297509</v>
      </c>
      <c r="CX95" s="239">
        <v>8216.3273760330576</v>
      </c>
      <c r="CY95" s="239">
        <v>315833</v>
      </c>
      <c r="CZ95" s="239">
        <v>71062</v>
      </c>
      <c r="DA95" s="239">
        <v>7896</v>
      </c>
      <c r="DB95" s="239">
        <v>12820</v>
      </c>
      <c r="DC95" s="239">
        <v>2885</v>
      </c>
      <c r="DD95" s="239">
        <v>320</v>
      </c>
      <c r="DE95" s="641">
        <v>0.5</v>
      </c>
      <c r="DF95" s="641">
        <v>0.4</v>
      </c>
      <c r="DG95" s="641">
        <v>0.09</v>
      </c>
      <c r="DH95" s="641">
        <v>0.01</v>
      </c>
      <c r="DI95" s="214" t="s">
        <v>1190</v>
      </c>
    </row>
    <row r="96" spans="2:113" s="214" customFormat="1" x14ac:dyDescent="0.2">
      <c r="B96" s="609" t="s">
        <v>274</v>
      </c>
      <c r="C96" s="609" t="s">
        <v>273</v>
      </c>
      <c r="D96" s="239">
        <v>-207838</v>
      </c>
      <c r="E96" s="239">
        <v>0</v>
      </c>
      <c r="F96" s="239">
        <v>-207838</v>
      </c>
      <c r="G96" s="239">
        <v>0</v>
      </c>
      <c r="H96" s="239">
        <v>0</v>
      </c>
      <c r="I96" s="239">
        <v>0</v>
      </c>
      <c r="J96" s="239">
        <v>-207838</v>
      </c>
      <c r="K96" s="239">
        <v>0</v>
      </c>
      <c r="L96" s="239">
        <v>-207838</v>
      </c>
      <c r="M96" s="239">
        <v>125728</v>
      </c>
      <c r="N96" s="239">
        <v>125728</v>
      </c>
      <c r="O96" s="239">
        <v>0</v>
      </c>
      <c r="P96" s="239">
        <v>0</v>
      </c>
      <c r="Q96" s="239">
        <v>0</v>
      </c>
      <c r="R96" s="239">
        <v>0</v>
      </c>
      <c r="S96" s="239">
        <v>0</v>
      </c>
      <c r="T96" s="239">
        <v>0</v>
      </c>
      <c r="U96" s="239">
        <v>0</v>
      </c>
      <c r="V96" s="239">
        <v>0</v>
      </c>
      <c r="W96" s="239">
        <v>0</v>
      </c>
      <c r="X96" s="239">
        <v>0</v>
      </c>
      <c r="Y96" s="239">
        <v>0</v>
      </c>
      <c r="Z96" s="239">
        <v>0</v>
      </c>
      <c r="AA96" s="239">
        <v>0</v>
      </c>
      <c r="AB96" s="239">
        <v>0</v>
      </c>
      <c r="AC96" s="239">
        <v>0</v>
      </c>
      <c r="AD96" s="239">
        <v>0</v>
      </c>
      <c r="AE96" s="239">
        <v>0</v>
      </c>
      <c r="AF96" s="239">
        <v>0</v>
      </c>
      <c r="AG96" s="239">
        <v>0</v>
      </c>
      <c r="AH96" s="239">
        <v>0</v>
      </c>
      <c r="AI96" s="239">
        <v>0</v>
      </c>
      <c r="AJ96" s="239">
        <v>0</v>
      </c>
      <c r="AK96" s="239">
        <v>430261.67685950419</v>
      </c>
      <c r="AL96" s="239">
        <v>96808.877293388432</v>
      </c>
      <c r="AM96" s="239">
        <v>10756.541921487604</v>
      </c>
      <c r="AN96" s="239">
        <v>422065</v>
      </c>
      <c r="AO96" s="239">
        <v>94965</v>
      </c>
      <c r="AP96" s="239">
        <v>10552</v>
      </c>
      <c r="AQ96" s="239">
        <v>8197</v>
      </c>
      <c r="AR96" s="239">
        <v>1844</v>
      </c>
      <c r="AS96" s="239">
        <v>205</v>
      </c>
      <c r="AT96" s="239">
        <v>0</v>
      </c>
      <c r="AU96" s="239">
        <v>0</v>
      </c>
      <c r="AV96" s="239">
        <v>0</v>
      </c>
      <c r="AW96" s="239">
        <v>0</v>
      </c>
      <c r="AX96" s="239">
        <v>0</v>
      </c>
      <c r="AY96" s="239">
        <v>0</v>
      </c>
      <c r="AZ96" s="239">
        <v>0</v>
      </c>
      <c r="BA96" s="239">
        <v>0</v>
      </c>
      <c r="BB96" s="239">
        <v>0</v>
      </c>
      <c r="BC96" s="239">
        <v>0</v>
      </c>
      <c r="BD96" s="239">
        <v>0</v>
      </c>
      <c r="BE96" s="239">
        <v>0</v>
      </c>
      <c r="BF96" s="239">
        <v>0</v>
      </c>
      <c r="BG96" s="239">
        <v>0</v>
      </c>
      <c r="BH96" s="239">
        <v>0</v>
      </c>
      <c r="BI96" s="239">
        <v>0</v>
      </c>
      <c r="BJ96" s="239">
        <v>0</v>
      </c>
      <c r="BK96" s="239">
        <v>0</v>
      </c>
      <c r="BL96" s="239">
        <v>1141.8793388429754</v>
      </c>
      <c r="BM96" s="239">
        <v>256.9228512396694</v>
      </c>
      <c r="BN96" s="239">
        <v>28.546983471074384</v>
      </c>
      <c r="BO96" s="239">
        <v>19651</v>
      </c>
      <c r="BP96" s="239">
        <v>4421</v>
      </c>
      <c r="BQ96" s="239">
        <v>491</v>
      </c>
      <c r="BR96" s="239">
        <v>-18509</v>
      </c>
      <c r="BS96" s="239">
        <v>-4164</v>
      </c>
      <c r="BT96" s="239">
        <v>-462</v>
      </c>
      <c r="BU96" s="239">
        <v>10996.776859504134</v>
      </c>
      <c r="BV96" s="239">
        <v>2474.2747933884298</v>
      </c>
      <c r="BW96" s="239">
        <v>274.9194214876033</v>
      </c>
      <c r="BX96" s="239">
        <v>0</v>
      </c>
      <c r="BY96" s="239">
        <v>0</v>
      </c>
      <c r="BZ96" s="239">
        <v>0</v>
      </c>
      <c r="CA96" s="239">
        <v>10997</v>
      </c>
      <c r="CB96" s="239">
        <v>2474</v>
      </c>
      <c r="CC96" s="239">
        <v>275</v>
      </c>
      <c r="CD96" s="239">
        <v>0</v>
      </c>
      <c r="CE96" s="239">
        <v>0</v>
      </c>
      <c r="CF96" s="239">
        <v>0</v>
      </c>
      <c r="CG96" s="239">
        <v>0</v>
      </c>
      <c r="CH96" s="239">
        <v>0</v>
      </c>
      <c r="CI96" s="239">
        <v>0</v>
      </c>
      <c r="CJ96" s="239">
        <v>0</v>
      </c>
      <c r="CK96" s="239">
        <v>0</v>
      </c>
      <c r="CL96" s="239">
        <v>0</v>
      </c>
      <c r="CM96" s="239">
        <v>4134.5446280991737</v>
      </c>
      <c r="CN96" s="239">
        <v>930.27254132231405</v>
      </c>
      <c r="CO96" s="239">
        <v>103.36361570247934</v>
      </c>
      <c r="CP96" s="239">
        <v>4033</v>
      </c>
      <c r="CQ96" s="239">
        <v>907</v>
      </c>
      <c r="CR96" s="239">
        <v>101</v>
      </c>
      <c r="CS96" s="239">
        <v>102</v>
      </c>
      <c r="CT96" s="239">
        <v>23</v>
      </c>
      <c r="CU96" s="239">
        <v>2</v>
      </c>
      <c r="CV96" s="239">
        <v>187832.33636363636</v>
      </c>
      <c r="CW96" s="239">
        <v>42262.275681818181</v>
      </c>
      <c r="CX96" s="239">
        <v>4695.8084090909088</v>
      </c>
      <c r="CY96" s="239">
        <v>202176</v>
      </c>
      <c r="CZ96" s="239">
        <v>45490</v>
      </c>
      <c r="DA96" s="239">
        <v>5054</v>
      </c>
      <c r="DB96" s="239">
        <v>-14344</v>
      </c>
      <c r="DC96" s="239">
        <v>-3228</v>
      </c>
      <c r="DD96" s="239">
        <v>-358</v>
      </c>
      <c r="DE96" s="641">
        <v>0.5</v>
      </c>
      <c r="DF96" s="641">
        <v>0.4</v>
      </c>
      <c r="DG96" s="641">
        <v>0.09</v>
      </c>
      <c r="DH96" s="641">
        <v>0.01</v>
      </c>
      <c r="DI96" s="214" t="s">
        <v>1190</v>
      </c>
    </row>
    <row r="97" spans="1:113" s="214" customFormat="1" x14ac:dyDescent="0.2">
      <c r="A97" s="215" t="s">
        <v>1211</v>
      </c>
      <c r="B97" s="609" t="s">
        <v>276</v>
      </c>
      <c r="C97" s="609" t="s">
        <v>275</v>
      </c>
      <c r="D97" s="239">
        <v>-282437</v>
      </c>
      <c r="E97" s="239">
        <v>0</v>
      </c>
      <c r="F97" s="239">
        <v>-282437</v>
      </c>
      <c r="G97" s="239">
        <v>0</v>
      </c>
      <c r="H97" s="239">
        <v>0</v>
      </c>
      <c r="I97" s="239">
        <v>0</v>
      </c>
      <c r="J97" s="239">
        <v>-282437</v>
      </c>
      <c r="K97" s="239">
        <v>0</v>
      </c>
      <c r="L97" s="239">
        <v>-282437</v>
      </c>
      <c r="M97" s="239">
        <v>150579</v>
      </c>
      <c r="N97" s="239">
        <v>150579</v>
      </c>
      <c r="O97" s="239">
        <v>0</v>
      </c>
      <c r="P97" s="239">
        <v>0</v>
      </c>
      <c r="Q97" s="239">
        <v>0</v>
      </c>
      <c r="R97" s="239">
        <v>0</v>
      </c>
      <c r="S97" s="239">
        <v>0</v>
      </c>
      <c r="T97" s="239">
        <v>0</v>
      </c>
      <c r="U97" s="239">
        <v>0</v>
      </c>
      <c r="V97" s="239">
        <v>0</v>
      </c>
      <c r="W97" s="239">
        <v>0</v>
      </c>
      <c r="X97" s="239">
        <v>0</v>
      </c>
      <c r="Y97" s="239">
        <v>0</v>
      </c>
      <c r="Z97" s="239">
        <v>0</v>
      </c>
      <c r="AA97" s="239">
        <v>0</v>
      </c>
      <c r="AB97" s="239">
        <v>0</v>
      </c>
      <c r="AC97" s="239">
        <v>0</v>
      </c>
      <c r="AD97" s="239">
        <v>0</v>
      </c>
      <c r="AE97" s="239">
        <v>0</v>
      </c>
      <c r="AF97" s="239">
        <v>0</v>
      </c>
      <c r="AG97" s="239">
        <v>0</v>
      </c>
      <c r="AH97" s="239">
        <v>0</v>
      </c>
      <c r="AI97" s="239">
        <v>0</v>
      </c>
      <c r="AJ97" s="239">
        <v>0</v>
      </c>
      <c r="AK97" s="239">
        <v>358112.52386363642</v>
      </c>
      <c r="AL97" s="239">
        <v>80575.317869318184</v>
      </c>
      <c r="AM97" s="239">
        <v>8952.8130965909095</v>
      </c>
      <c r="AN97" s="239">
        <v>352130</v>
      </c>
      <c r="AO97" s="239">
        <v>79229</v>
      </c>
      <c r="AP97" s="239">
        <v>8803</v>
      </c>
      <c r="AQ97" s="239">
        <v>5983</v>
      </c>
      <c r="AR97" s="239">
        <v>1346</v>
      </c>
      <c r="AS97" s="239">
        <v>150</v>
      </c>
      <c r="AT97" s="239">
        <v>1136.0969008264462</v>
      </c>
      <c r="AU97" s="239">
        <v>255.6218026859504</v>
      </c>
      <c r="AV97" s="239">
        <v>28.402422520661158</v>
      </c>
      <c r="AW97" s="239">
        <v>0</v>
      </c>
      <c r="AX97" s="239">
        <v>0</v>
      </c>
      <c r="AY97" s="239">
        <v>0</v>
      </c>
      <c r="AZ97" s="239">
        <v>1136</v>
      </c>
      <c r="BA97" s="239">
        <v>256</v>
      </c>
      <c r="BB97" s="239">
        <v>28</v>
      </c>
      <c r="BC97" s="239">
        <v>0</v>
      </c>
      <c r="BD97" s="239">
        <v>0</v>
      </c>
      <c r="BE97" s="239">
        <v>0</v>
      </c>
      <c r="BF97" s="239">
        <v>0</v>
      </c>
      <c r="BG97" s="239">
        <v>0</v>
      </c>
      <c r="BH97" s="239">
        <v>0</v>
      </c>
      <c r="BI97" s="239">
        <v>0</v>
      </c>
      <c r="BJ97" s="239">
        <v>0</v>
      </c>
      <c r="BK97" s="239">
        <v>0</v>
      </c>
      <c r="BL97" s="239">
        <v>1595.9528925619834</v>
      </c>
      <c r="BM97" s="239">
        <v>359.08940082644625</v>
      </c>
      <c r="BN97" s="239">
        <v>39.898822314049589</v>
      </c>
      <c r="BO97" s="239">
        <v>1596</v>
      </c>
      <c r="BP97" s="239">
        <v>359</v>
      </c>
      <c r="BQ97" s="239">
        <v>40</v>
      </c>
      <c r="BR97" s="239">
        <v>0</v>
      </c>
      <c r="BS97" s="239">
        <v>0</v>
      </c>
      <c r="BT97" s="239">
        <v>0</v>
      </c>
      <c r="BU97" s="239">
        <v>-255.64462809917356</v>
      </c>
      <c r="BV97" s="239">
        <v>-57.520041322314043</v>
      </c>
      <c r="BW97" s="239">
        <v>-6.3911157024793388</v>
      </c>
      <c r="BX97" s="239">
        <v>0</v>
      </c>
      <c r="BY97" s="239">
        <v>0</v>
      </c>
      <c r="BZ97" s="239">
        <v>0</v>
      </c>
      <c r="CA97" s="239">
        <v>-256</v>
      </c>
      <c r="CB97" s="239">
        <v>-58</v>
      </c>
      <c r="CC97" s="239">
        <v>-6</v>
      </c>
      <c r="CD97" s="239">
        <v>0</v>
      </c>
      <c r="CE97" s="239">
        <v>0</v>
      </c>
      <c r="CF97" s="239">
        <v>0</v>
      </c>
      <c r="CG97" s="239">
        <v>0</v>
      </c>
      <c r="CH97" s="239">
        <v>0</v>
      </c>
      <c r="CI97" s="239">
        <v>0</v>
      </c>
      <c r="CJ97" s="239">
        <v>0</v>
      </c>
      <c r="CK97" s="239">
        <v>0</v>
      </c>
      <c r="CL97" s="239">
        <v>0</v>
      </c>
      <c r="CM97" s="239">
        <v>323.00495867768598</v>
      </c>
      <c r="CN97" s="239">
        <v>72.676115702479336</v>
      </c>
      <c r="CO97" s="239">
        <v>8.0751239669421491</v>
      </c>
      <c r="CP97" s="239">
        <v>325</v>
      </c>
      <c r="CQ97" s="239">
        <v>73</v>
      </c>
      <c r="CR97" s="239">
        <v>8</v>
      </c>
      <c r="CS97" s="239">
        <v>-2</v>
      </c>
      <c r="CT97" s="239">
        <v>0</v>
      </c>
      <c r="CU97" s="239">
        <v>0</v>
      </c>
      <c r="CV97" s="239">
        <v>339373.59504132229</v>
      </c>
      <c r="CW97" s="239">
        <v>76359.058884297527</v>
      </c>
      <c r="CX97" s="239">
        <v>8484.3398760330583</v>
      </c>
      <c r="CY97" s="239">
        <v>344881</v>
      </c>
      <c r="CZ97" s="239">
        <v>77598</v>
      </c>
      <c r="DA97" s="239">
        <v>8622</v>
      </c>
      <c r="DB97" s="239">
        <v>-5507</v>
      </c>
      <c r="DC97" s="239">
        <v>-1239</v>
      </c>
      <c r="DD97" s="239">
        <v>-138</v>
      </c>
      <c r="DE97" s="641">
        <v>0.5</v>
      </c>
      <c r="DF97" s="641">
        <v>0.4</v>
      </c>
      <c r="DG97" s="641">
        <v>0.09</v>
      </c>
      <c r="DH97" s="641">
        <v>0.01</v>
      </c>
      <c r="DI97" s="214" t="s">
        <v>1190</v>
      </c>
    </row>
    <row r="98" spans="1:113" s="214" customFormat="1" x14ac:dyDescent="0.2">
      <c r="B98" s="609" t="s">
        <v>278</v>
      </c>
      <c r="C98" s="609" t="s">
        <v>277</v>
      </c>
      <c r="D98" s="239">
        <v>-111447</v>
      </c>
      <c r="E98" s="239">
        <v>0</v>
      </c>
      <c r="F98" s="239">
        <v>-111447</v>
      </c>
      <c r="G98" s="239">
        <v>0</v>
      </c>
      <c r="H98" s="239">
        <v>0</v>
      </c>
      <c r="I98" s="239">
        <v>0</v>
      </c>
      <c r="J98" s="239">
        <v>-111447</v>
      </c>
      <c r="K98" s="239">
        <v>0</v>
      </c>
      <c r="L98" s="239">
        <v>-111447</v>
      </c>
      <c r="M98" s="239">
        <v>127788</v>
      </c>
      <c r="N98" s="239">
        <v>127788</v>
      </c>
      <c r="O98" s="239">
        <v>0</v>
      </c>
      <c r="P98" s="239">
        <v>0</v>
      </c>
      <c r="Q98" s="239">
        <v>0</v>
      </c>
      <c r="R98" s="239">
        <v>0</v>
      </c>
      <c r="S98" s="239">
        <v>0</v>
      </c>
      <c r="T98" s="239">
        <v>0</v>
      </c>
      <c r="U98" s="239">
        <v>0</v>
      </c>
      <c r="V98" s="239">
        <v>0</v>
      </c>
      <c r="W98" s="239">
        <v>0</v>
      </c>
      <c r="X98" s="239">
        <v>0</v>
      </c>
      <c r="Y98" s="239">
        <v>0</v>
      </c>
      <c r="Z98" s="239">
        <v>0</v>
      </c>
      <c r="AA98" s="239">
        <v>0</v>
      </c>
      <c r="AB98" s="239">
        <v>0</v>
      </c>
      <c r="AC98" s="239">
        <v>0</v>
      </c>
      <c r="AD98" s="239">
        <v>0</v>
      </c>
      <c r="AE98" s="239">
        <v>0</v>
      </c>
      <c r="AF98" s="239">
        <v>0</v>
      </c>
      <c r="AG98" s="239">
        <v>0</v>
      </c>
      <c r="AH98" s="239">
        <v>0</v>
      </c>
      <c r="AI98" s="239">
        <v>0</v>
      </c>
      <c r="AJ98" s="239">
        <v>0</v>
      </c>
      <c r="AK98" s="239">
        <v>527695.9603305785</v>
      </c>
      <c r="AL98" s="239">
        <v>131923.99008264462</v>
      </c>
      <c r="AM98" s="239">
        <v>0</v>
      </c>
      <c r="AN98" s="239">
        <v>450419</v>
      </c>
      <c r="AO98" s="239">
        <v>112605</v>
      </c>
      <c r="AP98" s="239">
        <v>0</v>
      </c>
      <c r="AQ98" s="239">
        <v>77277</v>
      </c>
      <c r="AR98" s="239">
        <v>19319</v>
      </c>
      <c r="AS98" s="239">
        <v>0</v>
      </c>
      <c r="AT98" s="239">
        <v>0</v>
      </c>
      <c r="AU98" s="239">
        <v>0</v>
      </c>
      <c r="AV98" s="239">
        <v>0</v>
      </c>
      <c r="AW98" s="239">
        <v>0</v>
      </c>
      <c r="AX98" s="239">
        <v>0</v>
      </c>
      <c r="AY98" s="239">
        <v>0</v>
      </c>
      <c r="AZ98" s="239">
        <v>0</v>
      </c>
      <c r="BA98" s="239">
        <v>0</v>
      </c>
      <c r="BB98" s="239">
        <v>0</v>
      </c>
      <c r="BC98" s="239">
        <v>0</v>
      </c>
      <c r="BD98" s="239">
        <v>0</v>
      </c>
      <c r="BE98" s="239">
        <v>0</v>
      </c>
      <c r="BF98" s="239">
        <v>0</v>
      </c>
      <c r="BG98" s="239">
        <v>0</v>
      </c>
      <c r="BH98" s="239">
        <v>0</v>
      </c>
      <c r="BI98" s="239">
        <v>0</v>
      </c>
      <c r="BJ98" s="239">
        <v>0</v>
      </c>
      <c r="BK98" s="239">
        <v>0</v>
      </c>
      <c r="BL98" s="239">
        <v>7769.5677685950413</v>
      </c>
      <c r="BM98" s="239">
        <v>1942.3919421487603</v>
      </c>
      <c r="BN98" s="239">
        <v>0</v>
      </c>
      <c r="BO98" s="239">
        <v>2920</v>
      </c>
      <c r="BP98" s="239">
        <v>730</v>
      </c>
      <c r="BQ98" s="239">
        <v>0</v>
      </c>
      <c r="BR98" s="239">
        <v>4850</v>
      </c>
      <c r="BS98" s="239">
        <v>1212</v>
      </c>
      <c r="BT98" s="239">
        <v>0</v>
      </c>
      <c r="BU98" s="239">
        <v>-1177.9942148760331</v>
      </c>
      <c r="BV98" s="239">
        <v>-294.49855371900827</v>
      </c>
      <c r="BW98" s="239">
        <v>0</v>
      </c>
      <c r="BX98" s="239">
        <v>0</v>
      </c>
      <c r="BY98" s="239">
        <v>0</v>
      </c>
      <c r="BZ98" s="239">
        <v>0</v>
      </c>
      <c r="CA98" s="239">
        <v>-1178</v>
      </c>
      <c r="CB98" s="239">
        <v>-294</v>
      </c>
      <c r="CC98" s="239">
        <v>0</v>
      </c>
      <c r="CD98" s="239">
        <v>26466.928925619835</v>
      </c>
      <c r="CE98" s="239">
        <v>6616.7322314049588</v>
      </c>
      <c r="CF98" s="239">
        <v>0</v>
      </c>
      <c r="CG98" s="239">
        <v>0</v>
      </c>
      <c r="CH98" s="239">
        <v>0</v>
      </c>
      <c r="CI98" s="239">
        <v>0</v>
      </c>
      <c r="CJ98" s="239">
        <v>26467</v>
      </c>
      <c r="CK98" s="239">
        <v>6617</v>
      </c>
      <c r="CL98" s="239">
        <v>0</v>
      </c>
      <c r="CM98" s="239">
        <v>3119.6760330578513</v>
      </c>
      <c r="CN98" s="239">
        <v>779.91900826446283</v>
      </c>
      <c r="CO98" s="239">
        <v>0</v>
      </c>
      <c r="CP98" s="239">
        <v>1443</v>
      </c>
      <c r="CQ98" s="239">
        <v>361</v>
      </c>
      <c r="CR98" s="239">
        <v>0</v>
      </c>
      <c r="CS98" s="239">
        <v>1677</v>
      </c>
      <c r="CT98" s="239">
        <v>419</v>
      </c>
      <c r="CU98" s="239">
        <v>0</v>
      </c>
      <c r="CV98" s="239">
        <v>115056.85371900827</v>
      </c>
      <c r="CW98" s="239">
        <v>28764.213429752068</v>
      </c>
      <c r="CX98" s="239">
        <v>0</v>
      </c>
      <c r="CY98" s="239">
        <v>124216</v>
      </c>
      <c r="CZ98" s="239">
        <v>31054</v>
      </c>
      <c r="DA98" s="239">
        <v>0</v>
      </c>
      <c r="DB98" s="239">
        <v>-9159</v>
      </c>
      <c r="DC98" s="239">
        <v>-2290</v>
      </c>
      <c r="DD98" s="239">
        <v>0</v>
      </c>
      <c r="DE98" s="641">
        <v>0.5</v>
      </c>
      <c r="DF98" s="641">
        <v>0.4</v>
      </c>
      <c r="DG98" s="641">
        <v>0.1</v>
      </c>
      <c r="DH98" s="641">
        <v>0</v>
      </c>
      <c r="DI98" s="214" t="s">
        <v>1190</v>
      </c>
    </row>
    <row r="99" spans="1:113" s="214" customFormat="1" x14ac:dyDescent="0.2">
      <c r="B99" s="609" t="s">
        <v>280</v>
      </c>
      <c r="C99" s="609" t="s">
        <v>279</v>
      </c>
      <c r="D99" s="239">
        <v>127806</v>
      </c>
      <c r="E99" s="239">
        <v>0</v>
      </c>
      <c r="F99" s="239">
        <v>127806</v>
      </c>
      <c r="G99" s="239">
        <v>0</v>
      </c>
      <c r="H99" s="239">
        <v>0</v>
      </c>
      <c r="I99" s="239">
        <v>0</v>
      </c>
      <c r="J99" s="239">
        <v>127806</v>
      </c>
      <c r="K99" s="239">
        <v>0</v>
      </c>
      <c r="L99" s="239">
        <v>127806</v>
      </c>
      <c r="M99" s="239">
        <v>178973</v>
      </c>
      <c r="N99" s="239">
        <v>178973</v>
      </c>
      <c r="O99" s="239">
        <v>0</v>
      </c>
      <c r="P99" s="239">
        <v>0</v>
      </c>
      <c r="Q99" s="239">
        <v>0</v>
      </c>
      <c r="R99" s="239">
        <v>0</v>
      </c>
      <c r="S99" s="239">
        <v>25223</v>
      </c>
      <c r="T99" s="239">
        <v>0</v>
      </c>
      <c r="U99" s="239">
        <v>0</v>
      </c>
      <c r="V99" s="239">
        <v>0</v>
      </c>
      <c r="W99" s="239">
        <v>25223</v>
      </c>
      <c r="X99" s="239">
        <v>0</v>
      </c>
      <c r="Y99" s="239">
        <v>0</v>
      </c>
      <c r="Z99" s="239">
        <v>0</v>
      </c>
      <c r="AA99" s="239">
        <v>0</v>
      </c>
      <c r="AB99" s="239">
        <v>0</v>
      </c>
      <c r="AC99" s="239">
        <v>0</v>
      </c>
      <c r="AD99" s="239">
        <v>0</v>
      </c>
      <c r="AE99" s="239">
        <v>0</v>
      </c>
      <c r="AF99" s="239">
        <v>0</v>
      </c>
      <c r="AG99" s="239">
        <v>0</v>
      </c>
      <c r="AH99" s="239">
        <v>0</v>
      </c>
      <c r="AI99" s="239">
        <v>0</v>
      </c>
      <c r="AJ99" s="239">
        <v>0</v>
      </c>
      <c r="AK99" s="239">
        <v>443843.10206611571</v>
      </c>
      <c r="AL99" s="239">
        <v>110960.77551652893</v>
      </c>
      <c r="AM99" s="239">
        <v>0</v>
      </c>
      <c r="AN99" s="239">
        <v>384765</v>
      </c>
      <c r="AO99" s="239">
        <v>96191</v>
      </c>
      <c r="AP99" s="239">
        <v>0</v>
      </c>
      <c r="AQ99" s="239">
        <v>59078</v>
      </c>
      <c r="AR99" s="239">
        <v>14770</v>
      </c>
      <c r="AS99" s="239">
        <v>0</v>
      </c>
      <c r="AT99" s="239">
        <v>188.69008264462809</v>
      </c>
      <c r="AU99" s="239">
        <v>47.172520661157023</v>
      </c>
      <c r="AV99" s="239">
        <v>0</v>
      </c>
      <c r="AW99" s="239">
        <v>0</v>
      </c>
      <c r="AX99" s="239">
        <v>0</v>
      </c>
      <c r="AY99" s="239">
        <v>0</v>
      </c>
      <c r="AZ99" s="239">
        <v>189</v>
      </c>
      <c r="BA99" s="239">
        <v>47</v>
      </c>
      <c r="BB99" s="239">
        <v>0</v>
      </c>
      <c r="BC99" s="239">
        <v>-187.06694214876035</v>
      </c>
      <c r="BD99" s="239">
        <v>-46.766735537190087</v>
      </c>
      <c r="BE99" s="239">
        <v>0</v>
      </c>
      <c r="BF99" s="239">
        <v>0</v>
      </c>
      <c r="BG99" s="239">
        <v>0</v>
      </c>
      <c r="BH99" s="239">
        <v>0</v>
      </c>
      <c r="BI99" s="239">
        <v>-187</v>
      </c>
      <c r="BJ99" s="239">
        <v>-47</v>
      </c>
      <c r="BK99" s="239">
        <v>0</v>
      </c>
      <c r="BL99" s="239">
        <v>7403.5495867768605</v>
      </c>
      <c r="BM99" s="239">
        <v>1850.8873966942151</v>
      </c>
      <c r="BN99" s="239">
        <v>0</v>
      </c>
      <c r="BO99" s="239">
        <v>3187</v>
      </c>
      <c r="BP99" s="239">
        <v>797</v>
      </c>
      <c r="BQ99" s="239">
        <v>0</v>
      </c>
      <c r="BR99" s="239">
        <v>4217</v>
      </c>
      <c r="BS99" s="239">
        <v>1054</v>
      </c>
      <c r="BT99" s="239">
        <v>0</v>
      </c>
      <c r="BU99" s="239">
        <v>-506.82561983471078</v>
      </c>
      <c r="BV99" s="239">
        <v>-126.70640495867769</v>
      </c>
      <c r="BW99" s="239">
        <v>0</v>
      </c>
      <c r="BX99" s="239">
        <v>0</v>
      </c>
      <c r="BY99" s="239">
        <v>0</v>
      </c>
      <c r="BZ99" s="239">
        <v>0</v>
      </c>
      <c r="CA99" s="239">
        <v>-507</v>
      </c>
      <c r="CB99" s="239">
        <v>-127</v>
      </c>
      <c r="CC99" s="239">
        <v>0</v>
      </c>
      <c r="CD99" s="239">
        <v>894.35041322314055</v>
      </c>
      <c r="CE99" s="239">
        <v>223.58760330578514</v>
      </c>
      <c r="CF99" s="239">
        <v>0</v>
      </c>
      <c r="CG99" s="239">
        <v>0</v>
      </c>
      <c r="CH99" s="239">
        <v>0</v>
      </c>
      <c r="CI99" s="239">
        <v>0</v>
      </c>
      <c r="CJ99" s="239">
        <v>894</v>
      </c>
      <c r="CK99" s="239">
        <v>224</v>
      </c>
      <c r="CL99" s="239">
        <v>0</v>
      </c>
      <c r="CM99" s="239">
        <v>-73.852892561983481</v>
      </c>
      <c r="CN99" s="239">
        <v>-18.46322314049587</v>
      </c>
      <c r="CO99" s="239">
        <v>0</v>
      </c>
      <c r="CP99" s="239">
        <v>756</v>
      </c>
      <c r="CQ99" s="239">
        <v>189</v>
      </c>
      <c r="CR99" s="239">
        <v>0</v>
      </c>
      <c r="CS99" s="239">
        <v>-830</v>
      </c>
      <c r="CT99" s="239">
        <v>-207</v>
      </c>
      <c r="CU99" s="239">
        <v>0</v>
      </c>
      <c r="CV99" s="239">
        <v>312981.20867768594</v>
      </c>
      <c r="CW99" s="239">
        <v>78154.103305785131</v>
      </c>
      <c r="CX99" s="239">
        <v>0</v>
      </c>
      <c r="CY99" s="239">
        <v>326812</v>
      </c>
      <c r="CZ99" s="239">
        <v>81703</v>
      </c>
      <c r="DA99" s="239">
        <v>0</v>
      </c>
      <c r="DB99" s="239">
        <v>-13831</v>
      </c>
      <c r="DC99" s="239">
        <v>-3549</v>
      </c>
      <c r="DD99" s="239">
        <v>0</v>
      </c>
      <c r="DE99" s="641">
        <v>0.5</v>
      </c>
      <c r="DF99" s="641">
        <v>0.4</v>
      </c>
      <c r="DG99" s="641">
        <v>0.1</v>
      </c>
      <c r="DH99" s="641">
        <v>0</v>
      </c>
      <c r="DI99" s="214" t="s">
        <v>1190</v>
      </c>
    </row>
    <row r="100" spans="1:113" s="214" customFormat="1" x14ac:dyDescent="0.2">
      <c r="B100" s="609" t="s">
        <v>282</v>
      </c>
      <c r="C100" s="609" t="s">
        <v>281</v>
      </c>
      <c r="D100" s="239">
        <v>-332057</v>
      </c>
      <c r="E100" s="239">
        <v>0</v>
      </c>
      <c r="F100" s="239">
        <v>-332057</v>
      </c>
      <c r="G100" s="239">
        <v>0</v>
      </c>
      <c r="H100" s="239">
        <v>0</v>
      </c>
      <c r="I100" s="239">
        <v>0</v>
      </c>
      <c r="J100" s="239">
        <v>-332057</v>
      </c>
      <c r="K100" s="239">
        <v>0</v>
      </c>
      <c r="L100" s="239">
        <v>-332057</v>
      </c>
      <c r="M100" s="239">
        <v>343642</v>
      </c>
      <c r="N100" s="239">
        <v>343642</v>
      </c>
      <c r="O100" s="239">
        <v>0</v>
      </c>
      <c r="P100" s="239">
        <v>0</v>
      </c>
      <c r="Q100" s="239">
        <v>0</v>
      </c>
      <c r="R100" s="239">
        <v>0</v>
      </c>
      <c r="S100" s="239">
        <v>0</v>
      </c>
      <c r="T100" s="239">
        <v>0</v>
      </c>
      <c r="U100" s="239">
        <v>0</v>
      </c>
      <c r="V100" s="239">
        <v>0</v>
      </c>
      <c r="W100" s="239">
        <v>0</v>
      </c>
      <c r="X100" s="239">
        <v>0</v>
      </c>
      <c r="Y100" s="239">
        <v>0</v>
      </c>
      <c r="Z100" s="239">
        <v>0</v>
      </c>
      <c r="AA100" s="239">
        <v>0</v>
      </c>
      <c r="AB100" s="239">
        <v>0</v>
      </c>
      <c r="AC100" s="239">
        <v>0</v>
      </c>
      <c r="AD100" s="239">
        <v>0</v>
      </c>
      <c r="AE100" s="239">
        <v>0</v>
      </c>
      <c r="AF100" s="239">
        <v>0</v>
      </c>
      <c r="AG100" s="239">
        <v>0</v>
      </c>
      <c r="AH100" s="239">
        <v>0</v>
      </c>
      <c r="AI100" s="239">
        <v>0</v>
      </c>
      <c r="AJ100" s="239">
        <v>0</v>
      </c>
      <c r="AK100" s="239">
        <v>595798.67479338846</v>
      </c>
      <c r="AL100" s="239">
        <v>397199.11652892566</v>
      </c>
      <c r="AM100" s="239">
        <v>0</v>
      </c>
      <c r="AN100" s="239">
        <v>611087</v>
      </c>
      <c r="AO100" s="239">
        <v>407392</v>
      </c>
      <c r="AP100" s="239">
        <v>0</v>
      </c>
      <c r="AQ100" s="239">
        <v>-15288</v>
      </c>
      <c r="AR100" s="239">
        <v>-10193</v>
      </c>
      <c r="AS100" s="239">
        <v>0</v>
      </c>
      <c r="AT100" s="239">
        <v>0</v>
      </c>
      <c r="AU100" s="239">
        <v>0</v>
      </c>
      <c r="AV100" s="239">
        <v>0</v>
      </c>
      <c r="AW100" s="239">
        <v>0</v>
      </c>
      <c r="AX100" s="239">
        <v>0</v>
      </c>
      <c r="AY100" s="239">
        <v>0</v>
      </c>
      <c r="AZ100" s="239">
        <v>0</v>
      </c>
      <c r="BA100" s="239">
        <v>0</v>
      </c>
      <c r="BB100" s="239">
        <v>0</v>
      </c>
      <c r="BC100" s="239">
        <v>0</v>
      </c>
      <c r="BD100" s="239">
        <v>0</v>
      </c>
      <c r="BE100" s="239">
        <v>0</v>
      </c>
      <c r="BF100" s="239">
        <v>0</v>
      </c>
      <c r="BG100" s="239">
        <v>0</v>
      </c>
      <c r="BH100" s="239">
        <v>0</v>
      </c>
      <c r="BI100" s="239">
        <v>0</v>
      </c>
      <c r="BJ100" s="239">
        <v>0</v>
      </c>
      <c r="BK100" s="239">
        <v>0</v>
      </c>
      <c r="BL100" s="239">
        <v>14802.736983471075</v>
      </c>
      <c r="BM100" s="239">
        <v>9868.4913223140484</v>
      </c>
      <c r="BN100" s="239">
        <v>0</v>
      </c>
      <c r="BO100" s="239">
        <v>15163</v>
      </c>
      <c r="BP100" s="239">
        <v>10109</v>
      </c>
      <c r="BQ100" s="239">
        <v>0</v>
      </c>
      <c r="BR100" s="239">
        <v>-360</v>
      </c>
      <c r="BS100" s="239">
        <v>-241</v>
      </c>
      <c r="BT100" s="239">
        <v>0</v>
      </c>
      <c r="BU100" s="239">
        <v>3982.5780991735537</v>
      </c>
      <c r="BV100" s="239">
        <v>2655.0520661157025</v>
      </c>
      <c r="BW100" s="239">
        <v>0</v>
      </c>
      <c r="BX100" s="239">
        <v>0</v>
      </c>
      <c r="BY100" s="239">
        <v>0</v>
      </c>
      <c r="BZ100" s="239">
        <v>0</v>
      </c>
      <c r="CA100" s="239">
        <v>3983</v>
      </c>
      <c r="CB100" s="239">
        <v>2655</v>
      </c>
      <c r="CC100" s="239">
        <v>0</v>
      </c>
      <c r="CD100" s="239">
        <v>0</v>
      </c>
      <c r="CE100" s="239">
        <v>0</v>
      </c>
      <c r="CF100" s="239">
        <v>0</v>
      </c>
      <c r="CG100" s="239">
        <v>0</v>
      </c>
      <c r="CH100" s="239">
        <v>0</v>
      </c>
      <c r="CI100" s="239">
        <v>0</v>
      </c>
      <c r="CJ100" s="239">
        <v>0</v>
      </c>
      <c r="CK100" s="239">
        <v>0</v>
      </c>
      <c r="CL100" s="239">
        <v>0</v>
      </c>
      <c r="CM100" s="239">
        <v>2217.7171487603305</v>
      </c>
      <c r="CN100" s="239">
        <v>1478.478099173554</v>
      </c>
      <c r="CO100" s="239">
        <v>0</v>
      </c>
      <c r="CP100" s="239">
        <v>2351</v>
      </c>
      <c r="CQ100" s="239">
        <v>1567</v>
      </c>
      <c r="CR100" s="239">
        <v>0</v>
      </c>
      <c r="CS100" s="239">
        <v>-133</v>
      </c>
      <c r="CT100" s="239">
        <v>-89</v>
      </c>
      <c r="CU100" s="239">
        <v>0</v>
      </c>
      <c r="CV100" s="239">
        <v>501423.21756198345</v>
      </c>
      <c r="CW100" s="239">
        <v>334282.14504132234</v>
      </c>
      <c r="CX100" s="239">
        <v>0</v>
      </c>
      <c r="CY100" s="239">
        <v>478334</v>
      </c>
      <c r="CZ100" s="239">
        <v>318889</v>
      </c>
      <c r="DA100" s="239">
        <v>0</v>
      </c>
      <c r="DB100" s="239">
        <v>23089</v>
      </c>
      <c r="DC100" s="239">
        <v>15393</v>
      </c>
      <c r="DD100" s="239">
        <v>0</v>
      </c>
      <c r="DE100" s="641">
        <v>0.5</v>
      </c>
      <c r="DF100" s="641">
        <v>0.3</v>
      </c>
      <c r="DG100" s="641">
        <v>0.2</v>
      </c>
      <c r="DH100" s="641">
        <v>0</v>
      </c>
      <c r="DI100" s="214" t="s">
        <v>1191</v>
      </c>
    </row>
    <row r="101" spans="1:113" s="214" customFormat="1" x14ac:dyDescent="0.2">
      <c r="B101" s="609" t="s">
        <v>284</v>
      </c>
      <c r="C101" s="609" t="s">
        <v>283</v>
      </c>
      <c r="D101" s="239">
        <v>-44686</v>
      </c>
      <c r="E101" s="239">
        <v>0</v>
      </c>
      <c r="F101" s="239">
        <v>-44686</v>
      </c>
      <c r="G101" s="239">
        <v>0</v>
      </c>
      <c r="H101" s="239">
        <v>0</v>
      </c>
      <c r="I101" s="239">
        <v>0</v>
      </c>
      <c r="J101" s="239">
        <v>-44686</v>
      </c>
      <c r="K101" s="239">
        <v>0</v>
      </c>
      <c r="L101" s="239">
        <v>-44686</v>
      </c>
      <c r="M101" s="239">
        <v>172128</v>
      </c>
      <c r="N101" s="239">
        <v>172128</v>
      </c>
      <c r="O101" s="239">
        <v>0</v>
      </c>
      <c r="P101" s="239">
        <v>0</v>
      </c>
      <c r="Q101" s="239">
        <v>0</v>
      </c>
      <c r="R101" s="239">
        <v>0</v>
      </c>
      <c r="S101" s="239">
        <v>0</v>
      </c>
      <c r="T101" s="239">
        <v>0</v>
      </c>
      <c r="U101" s="239">
        <v>0</v>
      </c>
      <c r="V101" s="239">
        <v>0</v>
      </c>
      <c r="W101" s="239">
        <v>0</v>
      </c>
      <c r="X101" s="239">
        <v>0</v>
      </c>
      <c r="Y101" s="239">
        <v>0</v>
      </c>
      <c r="Z101" s="239">
        <v>0</v>
      </c>
      <c r="AA101" s="239">
        <v>0</v>
      </c>
      <c r="AB101" s="239">
        <v>0</v>
      </c>
      <c r="AC101" s="239">
        <v>0</v>
      </c>
      <c r="AD101" s="239">
        <v>0</v>
      </c>
      <c r="AE101" s="239">
        <v>0</v>
      </c>
      <c r="AF101" s="239">
        <v>0</v>
      </c>
      <c r="AG101" s="239">
        <v>0</v>
      </c>
      <c r="AH101" s="239">
        <v>0</v>
      </c>
      <c r="AI101" s="239">
        <v>0</v>
      </c>
      <c r="AJ101" s="239">
        <v>0</v>
      </c>
      <c r="AK101" s="239">
        <v>580619.06487603311</v>
      </c>
      <c r="AL101" s="239">
        <v>130639.28959710745</v>
      </c>
      <c r="AM101" s="239">
        <v>14515.476621900827</v>
      </c>
      <c r="AN101" s="239">
        <v>520146</v>
      </c>
      <c r="AO101" s="239">
        <v>117033</v>
      </c>
      <c r="AP101" s="239">
        <v>13004</v>
      </c>
      <c r="AQ101" s="239">
        <v>60473</v>
      </c>
      <c r="AR101" s="239">
        <v>13606</v>
      </c>
      <c r="AS101" s="239">
        <v>1511</v>
      </c>
      <c r="AT101" s="239">
        <v>871.62644628099179</v>
      </c>
      <c r="AU101" s="239">
        <v>196.11595041322312</v>
      </c>
      <c r="AV101" s="239">
        <v>21.790661157024793</v>
      </c>
      <c r="AW101" s="239">
        <v>2931</v>
      </c>
      <c r="AX101" s="239">
        <v>660</v>
      </c>
      <c r="AY101" s="239">
        <v>73</v>
      </c>
      <c r="AZ101" s="239">
        <v>-2059</v>
      </c>
      <c r="BA101" s="239">
        <v>-464</v>
      </c>
      <c r="BB101" s="239">
        <v>-51</v>
      </c>
      <c r="BC101" s="239">
        <v>947.50826446280996</v>
      </c>
      <c r="BD101" s="239">
        <v>213.18935950413223</v>
      </c>
      <c r="BE101" s="239">
        <v>23.687706611570249</v>
      </c>
      <c r="BF101" s="239">
        <v>5395</v>
      </c>
      <c r="BG101" s="239">
        <v>1214</v>
      </c>
      <c r="BH101" s="239">
        <v>135</v>
      </c>
      <c r="BI101" s="239">
        <v>-4447</v>
      </c>
      <c r="BJ101" s="239">
        <v>-1001</v>
      </c>
      <c r="BK101" s="239">
        <v>-111</v>
      </c>
      <c r="BL101" s="239">
        <v>2719.5719008264464</v>
      </c>
      <c r="BM101" s="239">
        <v>611.90367768595036</v>
      </c>
      <c r="BN101" s="239">
        <v>67.989297520661154</v>
      </c>
      <c r="BO101" s="239">
        <v>1236</v>
      </c>
      <c r="BP101" s="239">
        <v>278</v>
      </c>
      <c r="BQ101" s="239">
        <v>31</v>
      </c>
      <c r="BR101" s="239">
        <v>1484</v>
      </c>
      <c r="BS101" s="239">
        <v>334</v>
      </c>
      <c r="BT101" s="239">
        <v>37</v>
      </c>
      <c r="BU101" s="239">
        <v>-1535.0851239669423</v>
      </c>
      <c r="BV101" s="239">
        <v>-345.39415289256198</v>
      </c>
      <c r="BW101" s="239">
        <v>-38.377128099173554</v>
      </c>
      <c r="BX101" s="239">
        <v>0</v>
      </c>
      <c r="BY101" s="239">
        <v>0</v>
      </c>
      <c r="BZ101" s="239">
        <v>0</v>
      </c>
      <c r="CA101" s="239">
        <v>-1535</v>
      </c>
      <c r="CB101" s="239">
        <v>-345</v>
      </c>
      <c r="CC101" s="239">
        <v>-38</v>
      </c>
      <c r="CD101" s="239">
        <v>0</v>
      </c>
      <c r="CE101" s="239">
        <v>0</v>
      </c>
      <c r="CF101" s="239">
        <v>0</v>
      </c>
      <c r="CG101" s="239">
        <v>0</v>
      </c>
      <c r="CH101" s="239">
        <v>0</v>
      </c>
      <c r="CI101" s="239">
        <v>0</v>
      </c>
      <c r="CJ101" s="239">
        <v>0</v>
      </c>
      <c r="CK101" s="239">
        <v>0</v>
      </c>
      <c r="CL101" s="239">
        <v>0</v>
      </c>
      <c r="CM101" s="239">
        <v>11863.533884297522</v>
      </c>
      <c r="CN101" s="239">
        <v>2669.2951239669424</v>
      </c>
      <c r="CO101" s="239">
        <v>296.58834710743804</v>
      </c>
      <c r="CP101" s="239">
        <v>15713</v>
      </c>
      <c r="CQ101" s="239">
        <v>3535</v>
      </c>
      <c r="CR101" s="239">
        <v>393</v>
      </c>
      <c r="CS101" s="239">
        <v>-3849</v>
      </c>
      <c r="CT101" s="239">
        <v>-866</v>
      </c>
      <c r="CU101" s="239">
        <v>-96</v>
      </c>
      <c r="CV101" s="239">
        <v>207120.27520661161</v>
      </c>
      <c r="CW101" s="239">
        <v>46602.061921487599</v>
      </c>
      <c r="CX101" s="239">
        <v>5178.0068801652897</v>
      </c>
      <c r="CY101" s="239">
        <v>206736</v>
      </c>
      <c r="CZ101" s="239">
        <v>46516</v>
      </c>
      <c r="DA101" s="239">
        <v>5168</v>
      </c>
      <c r="DB101" s="239">
        <v>384</v>
      </c>
      <c r="DC101" s="239">
        <v>86</v>
      </c>
      <c r="DD101" s="239">
        <v>10</v>
      </c>
      <c r="DE101" s="641">
        <v>0.5</v>
      </c>
      <c r="DF101" s="641">
        <v>0.4</v>
      </c>
      <c r="DG101" s="641">
        <v>0.09</v>
      </c>
      <c r="DH101" s="641">
        <v>0.01</v>
      </c>
      <c r="DI101" s="214" t="s">
        <v>1190</v>
      </c>
    </row>
    <row r="102" spans="1:113" s="214" customFormat="1" x14ac:dyDescent="0.2">
      <c r="B102" s="609" t="s">
        <v>286</v>
      </c>
      <c r="C102" s="609" t="s">
        <v>285</v>
      </c>
      <c r="D102" s="239">
        <v>-6439</v>
      </c>
      <c r="E102" s="239">
        <v>0</v>
      </c>
      <c r="F102" s="239">
        <v>-6439</v>
      </c>
      <c r="G102" s="239">
        <v>0</v>
      </c>
      <c r="H102" s="239">
        <v>0</v>
      </c>
      <c r="I102" s="239">
        <v>0</v>
      </c>
      <c r="J102" s="239">
        <v>-6439</v>
      </c>
      <c r="K102" s="239">
        <v>0</v>
      </c>
      <c r="L102" s="239">
        <v>-6439</v>
      </c>
      <c r="M102" s="239">
        <v>85351</v>
      </c>
      <c r="N102" s="239">
        <v>85351</v>
      </c>
      <c r="O102" s="239">
        <v>0</v>
      </c>
      <c r="P102" s="239">
        <v>0</v>
      </c>
      <c r="Q102" s="239">
        <v>0</v>
      </c>
      <c r="R102" s="239">
        <v>0</v>
      </c>
      <c r="S102" s="239">
        <v>0</v>
      </c>
      <c r="T102" s="239">
        <v>0</v>
      </c>
      <c r="U102" s="239">
        <v>0</v>
      </c>
      <c r="V102" s="239">
        <v>0</v>
      </c>
      <c r="W102" s="239">
        <v>0</v>
      </c>
      <c r="X102" s="239">
        <v>0</v>
      </c>
      <c r="Y102" s="239">
        <v>0</v>
      </c>
      <c r="Z102" s="239">
        <v>0</v>
      </c>
      <c r="AA102" s="239">
        <v>0</v>
      </c>
      <c r="AB102" s="239">
        <v>0</v>
      </c>
      <c r="AC102" s="239">
        <v>0</v>
      </c>
      <c r="AD102" s="239">
        <v>0</v>
      </c>
      <c r="AE102" s="239">
        <v>0</v>
      </c>
      <c r="AF102" s="239">
        <v>0</v>
      </c>
      <c r="AG102" s="239">
        <v>0</v>
      </c>
      <c r="AH102" s="239">
        <v>0</v>
      </c>
      <c r="AI102" s="239">
        <v>0</v>
      </c>
      <c r="AJ102" s="239">
        <v>0</v>
      </c>
      <c r="AK102" s="239">
        <v>233439.45743801654</v>
      </c>
      <c r="AL102" s="239">
        <v>58359.864359504136</v>
      </c>
      <c r="AM102" s="239">
        <v>0</v>
      </c>
      <c r="AN102" s="239">
        <v>218811</v>
      </c>
      <c r="AO102" s="239">
        <v>54703</v>
      </c>
      <c r="AP102" s="239">
        <v>0</v>
      </c>
      <c r="AQ102" s="239">
        <v>14628</v>
      </c>
      <c r="AR102" s="239">
        <v>3657</v>
      </c>
      <c r="AS102" s="239">
        <v>0</v>
      </c>
      <c r="AT102" s="239">
        <v>0</v>
      </c>
      <c r="AU102" s="239">
        <v>0</v>
      </c>
      <c r="AV102" s="239">
        <v>0</v>
      </c>
      <c r="AW102" s="239">
        <v>0</v>
      </c>
      <c r="AX102" s="239">
        <v>0</v>
      </c>
      <c r="AY102" s="239">
        <v>0</v>
      </c>
      <c r="AZ102" s="239">
        <v>0</v>
      </c>
      <c r="BA102" s="239">
        <v>0</v>
      </c>
      <c r="BB102" s="239">
        <v>0</v>
      </c>
      <c r="BC102" s="239">
        <v>-11662.264462809919</v>
      </c>
      <c r="BD102" s="239">
        <v>-2915.5661157024797</v>
      </c>
      <c r="BE102" s="239">
        <v>0</v>
      </c>
      <c r="BF102" s="239">
        <v>0</v>
      </c>
      <c r="BG102" s="239">
        <v>0</v>
      </c>
      <c r="BH102" s="239">
        <v>0</v>
      </c>
      <c r="BI102" s="239">
        <v>-11662</v>
      </c>
      <c r="BJ102" s="239">
        <v>-2916</v>
      </c>
      <c r="BK102" s="239">
        <v>0</v>
      </c>
      <c r="BL102" s="239">
        <v>-100.22892561983471</v>
      </c>
      <c r="BM102" s="239">
        <v>-25.057231404958678</v>
      </c>
      <c r="BN102" s="239">
        <v>0</v>
      </c>
      <c r="BO102" s="239">
        <v>4412</v>
      </c>
      <c r="BP102" s="239">
        <v>1103</v>
      </c>
      <c r="BQ102" s="239">
        <v>0</v>
      </c>
      <c r="BR102" s="239">
        <v>-4512</v>
      </c>
      <c r="BS102" s="239">
        <v>-1128</v>
      </c>
      <c r="BT102" s="239">
        <v>0</v>
      </c>
      <c r="BU102" s="239">
        <v>806.7008264462811</v>
      </c>
      <c r="BV102" s="239">
        <v>201.67520661157027</v>
      </c>
      <c r="BW102" s="239">
        <v>0</v>
      </c>
      <c r="BX102" s="239">
        <v>0</v>
      </c>
      <c r="BY102" s="239">
        <v>0</v>
      </c>
      <c r="BZ102" s="239">
        <v>0</v>
      </c>
      <c r="CA102" s="239">
        <v>807</v>
      </c>
      <c r="CB102" s="239">
        <v>202</v>
      </c>
      <c r="CC102" s="239">
        <v>0</v>
      </c>
      <c r="CD102" s="239">
        <v>0</v>
      </c>
      <c r="CE102" s="239">
        <v>0</v>
      </c>
      <c r="CF102" s="239">
        <v>0</v>
      </c>
      <c r="CG102" s="239">
        <v>0</v>
      </c>
      <c r="CH102" s="239">
        <v>0</v>
      </c>
      <c r="CI102" s="239">
        <v>0</v>
      </c>
      <c r="CJ102" s="239">
        <v>0</v>
      </c>
      <c r="CK102" s="239">
        <v>0</v>
      </c>
      <c r="CL102" s="239">
        <v>0</v>
      </c>
      <c r="CM102" s="239">
        <v>1036.7809917355371</v>
      </c>
      <c r="CN102" s="239">
        <v>259.19524793388427</v>
      </c>
      <c r="CO102" s="239">
        <v>0</v>
      </c>
      <c r="CP102" s="239">
        <v>0</v>
      </c>
      <c r="CQ102" s="239">
        <v>0</v>
      </c>
      <c r="CR102" s="239">
        <v>0</v>
      </c>
      <c r="CS102" s="239">
        <v>1037</v>
      </c>
      <c r="CT102" s="239">
        <v>259</v>
      </c>
      <c r="CU102" s="239">
        <v>0</v>
      </c>
      <c r="CV102" s="239">
        <v>134177.72396694217</v>
      </c>
      <c r="CW102" s="239">
        <v>33544.430991735542</v>
      </c>
      <c r="CX102" s="239">
        <v>0</v>
      </c>
      <c r="CY102" s="239">
        <v>138989</v>
      </c>
      <c r="CZ102" s="239">
        <v>34747</v>
      </c>
      <c r="DA102" s="239">
        <v>0</v>
      </c>
      <c r="DB102" s="239">
        <v>-4811</v>
      </c>
      <c r="DC102" s="239">
        <v>-1203</v>
      </c>
      <c r="DD102" s="239">
        <v>0</v>
      </c>
      <c r="DE102" s="641">
        <v>0.5</v>
      </c>
      <c r="DF102" s="641">
        <v>0.4</v>
      </c>
      <c r="DG102" s="641">
        <v>0.1</v>
      </c>
      <c r="DH102" s="641">
        <v>0</v>
      </c>
      <c r="DI102" s="214" t="s">
        <v>1190</v>
      </c>
    </row>
    <row r="103" spans="1:113" s="214" customFormat="1" x14ac:dyDescent="0.2">
      <c r="B103" s="609" t="s">
        <v>288</v>
      </c>
      <c r="C103" s="609" t="s">
        <v>287</v>
      </c>
      <c r="D103" s="239">
        <v>102025</v>
      </c>
      <c r="E103" s="239">
        <v>0</v>
      </c>
      <c r="F103" s="239">
        <v>102025</v>
      </c>
      <c r="G103" s="239">
        <v>0</v>
      </c>
      <c r="H103" s="239">
        <v>0</v>
      </c>
      <c r="I103" s="239">
        <v>0</v>
      </c>
      <c r="J103" s="239">
        <v>102025</v>
      </c>
      <c r="K103" s="239">
        <v>0</v>
      </c>
      <c r="L103" s="239">
        <v>102025</v>
      </c>
      <c r="M103" s="239">
        <v>136407</v>
      </c>
      <c r="N103" s="239">
        <v>136407</v>
      </c>
      <c r="O103" s="239">
        <v>0</v>
      </c>
      <c r="P103" s="239">
        <v>0</v>
      </c>
      <c r="Q103" s="239">
        <v>0</v>
      </c>
      <c r="R103" s="239">
        <v>0</v>
      </c>
      <c r="S103" s="239">
        <v>0</v>
      </c>
      <c r="T103" s="239">
        <v>0</v>
      </c>
      <c r="U103" s="239">
        <v>0</v>
      </c>
      <c r="V103" s="239">
        <v>0</v>
      </c>
      <c r="W103" s="239">
        <v>0</v>
      </c>
      <c r="X103" s="239">
        <v>0</v>
      </c>
      <c r="Y103" s="239">
        <v>0</v>
      </c>
      <c r="Z103" s="239">
        <v>0</v>
      </c>
      <c r="AA103" s="239">
        <v>0</v>
      </c>
      <c r="AB103" s="239">
        <v>0</v>
      </c>
      <c r="AC103" s="239">
        <v>0</v>
      </c>
      <c r="AD103" s="239">
        <v>0</v>
      </c>
      <c r="AE103" s="239">
        <v>0</v>
      </c>
      <c r="AF103" s="239">
        <v>0</v>
      </c>
      <c r="AG103" s="239">
        <v>0</v>
      </c>
      <c r="AH103" s="239">
        <v>0</v>
      </c>
      <c r="AI103" s="239">
        <v>0</v>
      </c>
      <c r="AJ103" s="239">
        <v>0</v>
      </c>
      <c r="AK103" s="239">
        <v>541225.64793388429</v>
      </c>
      <c r="AL103" s="239">
        <v>121775.77078512395</v>
      </c>
      <c r="AM103" s="239">
        <v>13530.641198347108</v>
      </c>
      <c r="AN103" s="239">
        <v>520704</v>
      </c>
      <c r="AO103" s="239">
        <v>117158</v>
      </c>
      <c r="AP103" s="239">
        <v>13018</v>
      </c>
      <c r="AQ103" s="239">
        <v>20522</v>
      </c>
      <c r="AR103" s="239">
        <v>4618</v>
      </c>
      <c r="AS103" s="239">
        <v>513</v>
      </c>
      <c r="AT103" s="239">
        <v>0</v>
      </c>
      <c r="AU103" s="239">
        <v>0</v>
      </c>
      <c r="AV103" s="239">
        <v>0</v>
      </c>
      <c r="AW103" s="239">
        <v>0</v>
      </c>
      <c r="AX103" s="239">
        <v>0</v>
      </c>
      <c r="AY103" s="239">
        <v>0</v>
      </c>
      <c r="AZ103" s="239">
        <v>0</v>
      </c>
      <c r="BA103" s="239">
        <v>0</v>
      </c>
      <c r="BB103" s="239">
        <v>0</v>
      </c>
      <c r="BC103" s="239">
        <v>304.33884297520666</v>
      </c>
      <c r="BD103" s="239">
        <v>68.476239669421489</v>
      </c>
      <c r="BE103" s="239">
        <v>7.6084710743801658</v>
      </c>
      <c r="BF103" s="239">
        <v>0</v>
      </c>
      <c r="BG103" s="239">
        <v>0</v>
      </c>
      <c r="BH103" s="239">
        <v>0</v>
      </c>
      <c r="BI103" s="239">
        <v>304</v>
      </c>
      <c r="BJ103" s="239">
        <v>68</v>
      </c>
      <c r="BK103" s="239">
        <v>8</v>
      </c>
      <c r="BL103" s="239">
        <v>4233.9619834710747</v>
      </c>
      <c r="BM103" s="239">
        <v>952.64144628099166</v>
      </c>
      <c r="BN103" s="239">
        <v>105.84904958677686</v>
      </c>
      <c r="BO103" s="239">
        <v>0</v>
      </c>
      <c r="BP103" s="239">
        <v>0</v>
      </c>
      <c r="BQ103" s="239">
        <v>0</v>
      </c>
      <c r="BR103" s="239">
        <v>4234</v>
      </c>
      <c r="BS103" s="239">
        <v>953</v>
      </c>
      <c r="BT103" s="239">
        <v>106</v>
      </c>
      <c r="BU103" s="239">
        <v>3211.3834710743804</v>
      </c>
      <c r="BV103" s="239">
        <v>722.56128099173554</v>
      </c>
      <c r="BW103" s="239">
        <v>80.284586776859513</v>
      </c>
      <c r="BX103" s="239">
        <v>0</v>
      </c>
      <c r="BY103" s="239">
        <v>0</v>
      </c>
      <c r="BZ103" s="239">
        <v>0</v>
      </c>
      <c r="CA103" s="239">
        <v>3211</v>
      </c>
      <c r="CB103" s="239">
        <v>723</v>
      </c>
      <c r="CC103" s="239">
        <v>80</v>
      </c>
      <c r="CD103" s="239">
        <v>0</v>
      </c>
      <c r="CE103" s="239">
        <v>0</v>
      </c>
      <c r="CF103" s="239">
        <v>0</v>
      </c>
      <c r="CG103" s="239">
        <v>0</v>
      </c>
      <c r="CH103" s="239">
        <v>0</v>
      </c>
      <c r="CI103" s="239">
        <v>0</v>
      </c>
      <c r="CJ103" s="239">
        <v>0</v>
      </c>
      <c r="CK103" s="239">
        <v>0</v>
      </c>
      <c r="CL103" s="239">
        <v>0</v>
      </c>
      <c r="CM103" s="239">
        <v>532.39008264462814</v>
      </c>
      <c r="CN103" s="239">
        <v>119.78776859504131</v>
      </c>
      <c r="CO103" s="239">
        <v>13.309752066115703</v>
      </c>
      <c r="CP103" s="239">
        <v>0</v>
      </c>
      <c r="CQ103" s="239">
        <v>0</v>
      </c>
      <c r="CR103" s="239">
        <v>0</v>
      </c>
      <c r="CS103" s="239">
        <v>532</v>
      </c>
      <c r="CT103" s="239">
        <v>120</v>
      </c>
      <c r="CU103" s="239">
        <v>13</v>
      </c>
      <c r="CV103" s="239">
        <v>137954.32809917355</v>
      </c>
      <c r="CW103" s="239">
        <v>31039.723822314048</v>
      </c>
      <c r="CX103" s="239">
        <v>3448.8582024793391</v>
      </c>
      <c r="CY103" s="239">
        <v>152521</v>
      </c>
      <c r="CZ103" s="239">
        <v>34317</v>
      </c>
      <c r="DA103" s="239">
        <v>3813</v>
      </c>
      <c r="DB103" s="239">
        <v>-14567</v>
      </c>
      <c r="DC103" s="239">
        <v>-3277</v>
      </c>
      <c r="DD103" s="239">
        <v>-364</v>
      </c>
      <c r="DE103" s="641">
        <v>0.5</v>
      </c>
      <c r="DF103" s="641">
        <v>0.4</v>
      </c>
      <c r="DG103" s="641">
        <v>0.09</v>
      </c>
      <c r="DH103" s="641">
        <v>0.01</v>
      </c>
      <c r="DI103" s="214" t="s">
        <v>1190</v>
      </c>
    </row>
    <row r="104" spans="1:113" s="214" customFormat="1" x14ac:dyDescent="0.2">
      <c r="B104" s="609" t="s">
        <v>290</v>
      </c>
      <c r="C104" s="609" t="s">
        <v>289</v>
      </c>
      <c r="D104" s="239">
        <v>-59441</v>
      </c>
      <c r="E104" s="239">
        <v>0</v>
      </c>
      <c r="F104" s="239">
        <v>-59441</v>
      </c>
      <c r="G104" s="239">
        <v>0</v>
      </c>
      <c r="H104" s="239">
        <v>0</v>
      </c>
      <c r="I104" s="239">
        <v>0</v>
      </c>
      <c r="J104" s="239">
        <v>-59441</v>
      </c>
      <c r="K104" s="239">
        <v>0</v>
      </c>
      <c r="L104" s="239">
        <v>-59441</v>
      </c>
      <c r="M104" s="239">
        <v>219686</v>
      </c>
      <c r="N104" s="239">
        <v>219686</v>
      </c>
      <c r="O104" s="239">
        <v>0</v>
      </c>
      <c r="P104" s="239">
        <v>0</v>
      </c>
      <c r="Q104" s="239">
        <v>0</v>
      </c>
      <c r="R104" s="239">
        <v>0</v>
      </c>
      <c r="S104" s="239">
        <v>0</v>
      </c>
      <c r="T104" s="239">
        <v>0</v>
      </c>
      <c r="U104" s="239">
        <v>0</v>
      </c>
      <c r="V104" s="239">
        <v>0</v>
      </c>
      <c r="W104" s="239">
        <v>0</v>
      </c>
      <c r="X104" s="239">
        <v>0</v>
      </c>
      <c r="Y104" s="239">
        <v>0</v>
      </c>
      <c r="Z104" s="239">
        <v>0</v>
      </c>
      <c r="AA104" s="239">
        <v>0</v>
      </c>
      <c r="AB104" s="239">
        <v>0</v>
      </c>
      <c r="AC104" s="239">
        <v>0</v>
      </c>
      <c r="AD104" s="239">
        <v>0</v>
      </c>
      <c r="AE104" s="239">
        <v>0</v>
      </c>
      <c r="AF104" s="239">
        <v>0</v>
      </c>
      <c r="AG104" s="239">
        <v>0</v>
      </c>
      <c r="AH104" s="239">
        <v>0</v>
      </c>
      <c r="AI104" s="239">
        <v>0</v>
      </c>
      <c r="AJ104" s="239">
        <v>0</v>
      </c>
      <c r="AK104" s="239">
        <v>482249.85247933882</v>
      </c>
      <c r="AL104" s="239">
        <v>108506.21680785123</v>
      </c>
      <c r="AM104" s="239">
        <v>12056.24631198347</v>
      </c>
      <c r="AN104" s="239">
        <v>441342</v>
      </c>
      <c r="AO104" s="239">
        <v>99302</v>
      </c>
      <c r="AP104" s="239">
        <v>11034</v>
      </c>
      <c r="AQ104" s="239">
        <v>40908</v>
      </c>
      <c r="AR104" s="239">
        <v>9204</v>
      </c>
      <c r="AS104" s="239">
        <v>1022</v>
      </c>
      <c r="AT104" s="239">
        <v>5157.5289256198348</v>
      </c>
      <c r="AU104" s="239">
        <v>1160.4440082644628</v>
      </c>
      <c r="AV104" s="239">
        <v>128.93822314049586</v>
      </c>
      <c r="AW104" s="239">
        <v>2793</v>
      </c>
      <c r="AX104" s="239">
        <v>628</v>
      </c>
      <c r="AY104" s="239">
        <v>70</v>
      </c>
      <c r="AZ104" s="239">
        <v>2365</v>
      </c>
      <c r="BA104" s="239">
        <v>532</v>
      </c>
      <c r="BB104" s="239">
        <v>59</v>
      </c>
      <c r="BC104" s="239">
        <v>-12.985123966942149</v>
      </c>
      <c r="BD104" s="239">
        <v>-2.9216528925619834</v>
      </c>
      <c r="BE104" s="239">
        <v>-0.32462809917355373</v>
      </c>
      <c r="BF104" s="239">
        <v>0</v>
      </c>
      <c r="BG104" s="239">
        <v>0</v>
      </c>
      <c r="BH104" s="239">
        <v>0</v>
      </c>
      <c r="BI104" s="239">
        <v>-13</v>
      </c>
      <c r="BJ104" s="239">
        <v>-3</v>
      </c>
      <c r="BK104" s="239">
        <v>0</v>
      </c>
      <c r="BL104" s="239">
        <v>6612.2685950413234</v>
      </c>
      <c r="BM104" s="239">
        <v>1487.7604338842975</v>
      </c>
      <c r="BN104" s="239">
        <v>165.30671487603308</v>
      </c>
      <c r="BO104" s="239">
        <v>6230</v>
      </c>
      <c r="BP104" s="239">
        <v>1402</v>
      </c>
      <c r="BQ104" s="239">
        <v>156</v>
      </c>
      <c r="BR104" s="239">
        <v>382</v>
      </c>
      <c r="BS104" s="239">
        <v>86</v>
      </c>
      <c r="BT104" s="239">
        <v>9</v>
      </c>
      <c r="BU104" s="239">
        <v>1158.1107438016529</v>
      </c>
      <c r="BV104" s="239">
        <v>260.57491735537189</v>
      </c>
      <c r="BW104" s="239">
        <v>28.95276859504132</v>
      </c>
      <c r="BX104" s="239">
        <v>0</v>
      </c>
      <c r="BY104" s="239">
        <v>0</v>
      </c>
      <c r="BZ104" s="239">
        <v>0</v>
      </c>
      <c r="CA104" s="239">
        <v>1158</v>
      </c>
      <c r="CB104" s="239">
        <v>261</v>
      </c>
      <c r="CC104" s="239">
        <v>29</v>
      </c>
      <c r="CD104" s="239">
        <v>0</v>
      </c>
      <c r="CE104" s="239">
        <v>0</v>
      </c>
      <c r="CF104" s="239">
        <v>0</v>
      </c>
      <c r="CG104" s="239">
        <v>0</v>
      </c>
      <c r="CH104" s="239">
        <v>0</v>
      </c>
      <c r="CI104" s="239">
        <v>0</v>
      </c>
      <c r="CJ104" s="239">
        <v>0</v>
      </c>
      <c r="CK104" s="239">
        <v>0</v>
      </c>
      <c r="CL104" s="239">
        <v>0</v>
      </c>
      <c r="CM104" s="239">
        <v>4588.2123966942154</v>
      </c>
      <c r="CN104" s="239">
        <v>1032.3477892561982</v>
      </c>
      <c r="CO104" s="239">
        <v>114.70530991735536</v>
      </c>
      <c r="CP104" s="239">
        <v>9399</v>
      </c>
      <c r="CQ104" s="239">
        <v>2115</v>
      </c>
      <c r="CR104" s="239">
        <v>235</v>
      </c>
      <c r="CS104" s="239">
        <v>-4811</v>
      </c>
      <c r="CT104" s="239">
        <v>-1083</v>
      </c>
      <c r="CU104" s="239">
        <v>-120</v>
      </c>
      <c r="CV104" s="239">
        <v>453149.66859504132</v>
      </c>
      <c r="CW104" s="239">
        <v>101958.67543388429</v>
      </c>
      <c r="CX104" s="239">
        <v>11328.741714876034</v>
      </c>
      <c r="CY104" s="239">
        <v>458015</v>
      </c>
      <c r="CZ104" s="239">
        <v>103053</v>
      </c>
      <c r="DA104" s="239">
        <v>11450</v>
      </c>
      <c r="DB104" s="239">
        <v>-4865</v>
      </c>
      <c r="DC104" s="239">
        <v>-1094</v>
      </c>
      <c r="DD104" s="239">
        <v>-121</v>
      </c>
      <c r="DE104" s="641">
        <v>0.5</v>
      </c>
      <c r="DF104" s="641">
        <v>0.4</v>
      </c>
      <c r="DG104" s="641">
        <v>0.09</v>
      </c>
      <c r="DH104" s="641">
        <v>0.01</v>
      </c>
      <c r="DI104" s="214" t="s">
        <v>1190</v>
      </c>
    </row>
    <row r="105" spans="1:113" s="214" customFormat="1" x14ac:dyDescent="0.2">
      <c r="B105" s="609" t="s">
        <v>292</v>
      </c>
      <c r="C105" s="609" t="s">
        <v>291</v>
      </c>
      <c r="D105" s="239">
        <v>-33860</v>
      </c>
      <c r="E105" s="239">
        <v>0</v>
      </c>
      <c r="F105" s="239">
        <v>-33860</v>
      </c>
      <c r="G105" s="239">
        <v>0</v>
      </c>
      <c r="H105" s="239">
        <v>0</v>
      </c>
      <c r="I105" s="239">
        <v>0</v>
      </c>
      <c r="J105" s="239">
        <v>-33860</v>
      </c>
      <c r="K105" s="239">
        <v>0</v>
      </c>
      <c r="L105" s="239">
        <v>-33860</v>
      </c>
      <c r="M105" s="239">
        <v>142304</v>
      </c>
      <c r="N105" s="239">
        <v>142304</v>
      </c>
      <c r="O105" s="239">
        <v>0</v>
      </c>
      <c r="P105" s="239">
        <v>0</v>
      </c>
      <c r="Q105" s="239">
        <v>0</v>
      </c>
      <c r="R105" s="239">
        <v>0</v>
      </c>
      <c r="S105" s="239">
        <v>81582</v>
      </c>
      <c r="T105" s="239">
        <v>0</v>
      </c>
      <c r="U105" s="239">
        <v>79376</v>
      </c>
      <c r="V105" s="239">
        <v>0</v>
      </c>
      <c r="W105" s="239">
        <v>2206</v>
      </c>
      <c r="X105" s="239">
        <v>0</v>
      </c>
      <c r="Y105" s="239">
        <v>324752.87809917354</v>
      </c>
      <c r="Z105" s="239">
        <v>324752.87809917354</v>
      </c>
      <c r="AA105" s="239">
        <v>0</v>
      </c>
      <c r="AB105" s="239">
        <v>0</v>
      </c>
      <c r="AC105" s="239">
        <v>296414</v>
      </c>
      <c r="AD105" s="239">
        <v>296414</v>
      </c>
      <c r="AE105" s="239">
        <v>0</v>
      </c>
      <c r="AF105" s="239">
        <v>0</v>
      </c>
      <c r="AG105" s="239">
        <v>28339</v>
      </c>
      <c r="AH105" s="239">
        <v>28339</v>
      </c>
      <c r="AI105" s="239">
        <v>0</v>
      </c>
      <c r="AJ105" s="239">
        <v>0</v>
      </c>
      <c r="AK105" s="239">
        <v>380053.27479338844</v>
      </c>
      <c r="AL105" s="239">
        <v>85511.986828512396</v>
      </c>
      <c r="AM105" s="239">
        <v>9501.3318698347121</v>
      </c>
      <c r="AN105" s="239">
        <v>365560</v>
      </c>
      <c r="AO105" s="239">
        <v>82251</v>
      </c>
      <c r="AP105" s="239">
        <v>9139</v>
      </c>
      <c r="AQ105" s="239">
        <v>14493</v>
      </c>
      <c r="AR105" s="239">
        <v>3261</v>
      </c>
      <c r="AS105" s="239">
        <v>362</v>
      </c>
      <c r="AT105" s="239">
        <v>3208.1371900826443</v>
      </c>
      <c r="AU105" s="239">
        <v>721.830867768595</v>
      </c>
      <c r="AV105" s="239">
        <v>80.203429752066114</v>
      </c>
      <c r="AW105" s="239">
        <v>2310</v>
      </c>
      <c r="AX105" s="239">
        <v>520</v>
      </c>
      <c r="AY105" s="239">
        <v>58</v>
      </c>
      <c r="AZ105" s="239">
        <v>898</v>
      </c>
      <c r="BA105" s="239">
        <v>202</v>
      </c>
      <c r="BB105" s="239">
        <v>22</v>
      </c>
      <c r="BC105" s="239">
        <v>0</v>
      </c>
      <c r="BD105" s="239">
        <v>0</v>
      </c>
      <c r="BE105" s="239">
        <v>0</v>
      </c>
      <c r="BF105" s="239">
        <v>5476</v>
      </c>
      <c r="BG105" s="239">
        <v>1232</v>
      </c>
      <c r="BH105" s="239">
        <v>137</v>
      </c>
      <c r="BI105" s="239">
        <v>-5476</v>
      </c>
      <c r="BJ105" s="239">
        <v>-1232</v>
      </c>
      <c r="BK105" s="239">
        <v>-137</v>
      </c>
      <c r="BL105" s="239">
        <v>4021.3305785123971</v>
      </c>
      <c r="BM105" s="239">
        <v>904.79938016528934</v>
      </c>
      <c r="BN105" s="239">
        <v>100.53326446280991</v>
      </c>
      <c r="BO105" s="239">
        <v>9673</v>
      </c>
      <c r="BP105" s="239">
        <v>2177</v>
      </c>
      <c r="BQ105" s="239">
        <v>242</v>
      </c>
      <c r="BR105" s="239">
        <v>-5652</v>
      </c>
      <c r="BS105" s="239">
        <v>-1272</v>
      </c>
      <c r="BT105" s="239">
        <v>-141</v>
      </c>
      <c r="BU105" s="239">
        <v>7588.5876033057857</v>
      </c>
      <c r="BV105" s="239">
        <v>1707.4322107438015</v>
      </c>
      <c r="BW105" s="239">
        <v>189.71469008264464</v>
      </c>
      <c r="BX105" s="239">
        <v>0</v>
      </c>
      <c r="BY105" s="239">
        <v>0</v>
      </c>
      <c r="BZ105" s="239">
        <v>0</v>
      </c>
      <c r="CA105" s="239">
        <v>7589</v>
      </c>
      <c r="CB105" s="239">
        <v>1707</v>
      </c>
      <c r="CC105" s="239">
        <v>190</v>
      </c>
      <c r="CD105" s="239">
        <v>0</v>
      </c>
      <c r="CE105" s="239">
        <v>0</v>
      </c>
      <c r="CF105" s="239">
        <v>0</v>
      </c>
      <c r="CG105" s="239">
        <v>0</v>
      </c>
      <c r="CH105" s="239">
        <v>0</v>
      </c>
      <c r="CI105" s="239">
        <v>0</v>
      </c>
      <c r="CJ105" s="239">
        <v>0</v>
      </c>
      <c r="CK105" s="239">
        <v>0</v>
      </c>
      <c r="CL105" s="239">
        <v>0</v>
      </c>
      <c r="CM105" s="239">
        <v>-11075.904958677687</v>
      </c>
      <c r="CN105" s="239">
        <v>-2492.0786157024795</v>
      </c>
      <c r="CO105" s="239">
        <v>-276.89762396694215</v>
      </c>
      <c r="CP105" s="239">
        <v>2452</v>
      </c>
      <c r="CQ105" s="239">
        <v>552</v>
      </c>
      <c r="CR105" s="239">
        <v>61</v>
      </c>
      <c r="CS105" s="239">
        <v>-13528</v>
      </c>
      <c r="CT105" s="239">
        <v>-3044</v>
      </c>
      <c r="CU105" s="239">
        <v>-338</v>
      </c>
      <c r="CV105" s="239">
        <v>250064.47107438016</v>
      </c>
      <c r="CW105" s="239">
        <v>55999.02737603306</v>
      </c>
      <c r="CX105" s="239">
        <v>6222.1141528925618</v>
      </c>
      <c r="CY105" s="239">
        <v>238583</v>
      </c>
      <c r="CZ105" s="239">
        <v>52458</v>
      </c>
      <c r="DA105" s="239">
        <v>5829</v>
      </c>
      <c r="DB105" s="239">
        <v>11481</v>
      </c>
      <c r="DC105" s="239">
        <v>3541</v>
      </c>
      <c r="DD105" s="239">
        <v>393</v>
      </c>
      <c r="DE105" s="641">
        <v>0.5</v>
      </c>
      <c r="DF105" s="641">
        <v>0.4</v>
      </c>
      <c r="DG105" s="641">
        <v>0.09</v>
      </c>
      <c r="DH105" s="641">
        <v>0.01</v>
      </c>
      <c r="DI105" s="214" t="s">
        <v>1190</v>
      </c>
    </row>
    <row r="106" spans="1:113" s="214" customFormat="1" x14ac:dyDescent="0.2">
      <c r="B106" s="609" t="s">
        <v>294</v>
      </c>
      <c r="C106" s="609" t="s">
        <v>293</v>
      </c>
      <c r="D106" s="239">
        <v>-699592</v>
      </c>
      <c r="E106" s="239">
        <v>0</v>
      </c>
      <c r="F106" s="239">
        <v>-699592</v>
      </c>
      <c r="G106" s="239">
        <v>0</v>
      </c>
      <c r="H106" s="239">
        <v>0</v>
      </c>
      <c r="I106" s="239">
        <v>0</v>
      </c>
      <c r="J106" s="239">
        <v>-699592</v>
      </c>
      <c r="K106" s="239">
        <v>0</v>
      </c>
      <c r="L106" s="239">
        <v>-699592</v>
      </c>
      <c r="M106" s="239">
        <v>127876</v>
      </c>
      <c r="N106" s="239">
        <v>127876</v>
      </c>
      <c r="O106" s="239">
        <v>0</v>
      </c>
      <c r="P106" s="239">
        <v>0</v>
      </c>
      <c r="Q106" s="239">
        <v>0</v>
      </c>
      <c r="R106" s="239">
        <v>0</v>
      </c>
      <c r="S106" s="239">
        <v>221292</v>
      </c>
      <c r="T106" s="239">
        <v>0</v>
      </c>
      <c r="U106" s="239">
        <v>199297</v>
      </c>
      <c r="V106" s="239">
        <v>0</v>
      </c>
      <c r="W106" s="239">
        <v>21995</v>
      </c>
      <c r="X106" s="239">
        <v>0</v>
      </c>
      <c r="Y106" s="239">
        <v>0</v>
      </c>
      <c r="Z106" s="239">
        <v>0</v>
      </c>
      <c r="AA106" s="239">
        <v>0</v>
      </c>
      <c r="AB106" s="239">
        <v>0</v>
      </c>
      <c r="AC106" s="239">
        <v>0</v>
      </c>
      <c r="AD106" s="239">
        <v>0</v>
      </c>
      <c r="AE106" s="239">
        <v>0</v>
      </c>
      <c r="AF106" s="239">
        <v>0</v>
      </c>
      <c r="AG106" s="239">
        <v>0</v>
      </c>
      <c r="AH106" s="239">
        <v>0</v>
      </c>
      <c r="AI106" s="239">
        <v>0</v>
      </c>
      <c r="AJ106" s="239">
        <v>0</v>
      </c>
      <c r="AK106" s="239">
        <v>527155.86033057864</v>
      </c>
      <c r="AL106" s="239">
        <v>118610.06857438016</v>
      </c>
      <c r="AM106" s="239">
        <v>13178.896508264465</v>
      </c>
      <c r="AN106" s="239">
        <v>489869</v>
      </c>
      <c r="AO106" s="239">
        <v>110220</v>
      </c>
      <c r="AP106" s="239">
        <v>12247</v>
      </c>
      <c r="AQ106" s="239">
        <v>37287</v>
      </c>
      <c r="AR106" s="239">
        <v>8390</v>
      </c>
      <c r="AS106" s="239">
        <v>932</v>
      </c>
      <c r="AT106" s="239">
        <v>486.13057851239677</v>
      </c>
      <c r="AU106" s="239">
        <v>109.37938016528926</v>
      </c>
      <c r="AV106" s="239">
        <v>12.153264462809918</v>
      </c>
      <c r="AW106" s="239">
        <v>487</v>
      </c>
      <c r="AX106" s="239">
        <v>109</v>
      </c>
      <c r="AY106" s="239">
        <v>12</v>
      </c>
      <c r="AZ106" s="239">
        <v>-1</v>
      </c>
      <c r="BA106" s="239">
        <v>0</v>
      </c>
      <c r="BB106" s="239">
        <v>0</v>
      </c>
      <c r="BC106" s="239">
        <v>883.80000000000007</v>
      </c>
      <c r="BD106" s="239">
        <v>198.85499999999999</v>
      </c>
      <c r="BE106" s="239">
        <v>22.095000000000002</v>
      </c>
      <c r="BF106" s="239">
        <v>0</v>
      </c>
      <c r="BG106" s="239">
        <v>0</v>
      </c>
      <c r="BH106" s="239">
        <v>0</v>
      </c>
      <c r="BI106" s="239">
        <v>884</v>
      </c>
      <c r="BJ106" s="239">
        <v>199</v>
      </c>
      <c r="BK106" s="239">
        <v>22</v>
      </c>
      <c r="BL106" s="239">
        <v>112.80826446280994</v>
      </c>
      <c r="BM106" s="239">
        <v>25.381859504132233</v>
      </c>
      <c r="BN106" s="239">
        <v>2.8202066115702484</v>
      </c>
      <c r="BO106" s="239">
        <v>313</v>
      </c>
      <c r="BP106" s="239">
        <v>70</v>
      </c>
      <c r="BQ106" s="239">
        <v>8</v>
      </c>
      <c r="BR106" s="239">
        <v>-200</v>
      </c>
      <c r="BS106" s="239">
        <v>-45</v>
      </c>
      <c r="BT106" s="239">
        <v>-5</v>
      </c>
      <c r="BU106" s="239">
        <v>-1975.7677685950414</v>
      </c>
      <c r="BV106" s="239">
        <v>-444.5477479338843</v>
      </c>
      <c r="BW106" s="239">
        <v>-49.394194214876038</v>
      </c>
      <c r="BX106" s="239">
        <v>0</v>
      </c>
      <c r="BY106" s="239">
        <v>0</v>
      </c>
      <c r="BZ106" s="239">
        <v>0</v>
      </c>
      <c r="CA106" s="239">
        <v>-1976</v>
      </c>
      <c r="CB106" s="239">
        <v>-445</v>
      </c>
      <c r="CC106" s="239">
        <v>-49</v>
      </c>
      <c r="CD106" s="239">
        <v>0</v>
      </c>
      <c r="CE106" s="239">
        <v>0</v>
      </c>
      <c r="CF106" s="239">
        <v>0</v>
      </c>
      <c r="CG106" s="239">
        <v>0</v>
      </c>
      <c r="CH106" s="239">
        <v>0</v>
      </c>
      <c r="CI106" s="239">
        <v>0</v>
      </c>
      <c r="CJ106" s="239">
        <v>0</v>
      </c>
      <c r="CK106" s="239">
        <v>0</v>
      </c>
      <c r="CL106" s="239">
        <v>0</v>
      </c>
      <c r="CM106" s="239">
        <v>5922.839669421488</v>
      </c>
      <c r="CN106" s="239">
        <v>1332.6389256198347</v>
      </c>
      <c r="CO106" s="239">
        <v>148.07099173553718</v>
      </c>
      <c r="CP106" s="239">
        <v>230</v>
      </c>
      <c r="CQ106" s="239">
        <v>52</v>
      </c>
      <c r="CR106" s="239">
        <v>6</v>
      </c>
      <c r="CS106" s="239">
        <v>5693</v>
      </c>
      <c r="CT106" s="239">
        <v>1281</v>
      </c>
      <c r="CU106" s="239">
        <v>142</v>
      </c>
      <c r="CV106" s="239">
        <v>149867.31570247933</v>
      </c>
      <c r="CW106" s="239">
        <v>33000.032603305786</v>
      </c>
      <c r="CX106" s="239">
        <v>3666.670289256198</v>
      </c>
      <c r="CY106" s="239">
        <v>151000</v>
      </c>
      <c r="CZ106" s="239">
        <v>33326</v>
      </c>
      <c r="DA106" s="239">
        <v>3703</v>
      </c>
      <c r="DB106" s="239">
        <v>-1133</v>
      </c>
      <c r="DC106" s="239">
        <v>-326</v>
      </c>
      <c r="DD106" s="239">
        <v>-36</v>
      </c>
      <c r="DE106" s="641">
        <v>0.5</v>
      </c>
      <c r="DF106" s="641">
        <v>0.4</v>
      </c>
      <c r="DG106" s="641">
        <v>0.09</v>
      </c>
      <c r="DH106" s="641">
        <v>0.01</v>
      </c>
      <c r="DI106" s="214" t="s">
        <v>1190</v>
      </c>
    </row>
    <row r="107" spans="1:113" s="214" customFormat="1" x14ac:dyDescent="0.2">
      <c r="B107" s="609" t="s">
        <v>296</v>
      </c>
      <c r="C107" s="609" t="s">
        <v>295</v>
      </c>
      <c r="D107" s="239">
        <v>-35653</v>
      </c>
      <c r="E107" s="239">
        <v>0</v>
      </c>
      <c r="F107" s="239">
        <v>-35653</v>
      </c>
      <c r="G107" s="239">
        <v>0</v>
      </c>
      <c r="H107" s="239">
        <v>0</v>
      </c>
      <c r="I107" s="239">
        <v>0</v>
      </c>
      <c r="J107" s="239">
        <v>-35653</v>
      </c>
      <c r="K107" s="239">
        <v>0</v>
      </c>
      <c r="L107" s="239">
        <v>-35653</v>
      </c>
      <c r="M107" s="239">
        <v>90578</v>
      </c>
      <c r="N107" s="239">
        <v>90578</v>
      </c>
      <c r="O107" s="239">
        <v>0</v>
      </c>
      <c r="P107" s="239">
        <v>0</v>
      </c>
      <c r="Q107" s="239">
        <v>0</v>
      </c>
      <c r="R107" s="239">
        <v>0</v>
      </c>
      <c r="S107" s="239">
        <v>104853</v>
      </c>
      <c r="T107" s="239">
        <v>0</v>
      </c>
      <c r="U107" s="239">
        <v>98819</v>
      </c>
      <c r="V107" s="239">
        <v>0</v>
      </c>
      <c r="W107" s="239">
        <v>6034</v>
      </c>
      <c r="X107" s="239">
        <v>0</v>
      </c>
      <c r="Y107" s="239">
        <v>0</v>
      </c>
      <c r="Z107" s="239">
        <v>0</v>
      </c>
      <c r="AA107" s="239">
        <v>0</v>
      </c>
      <c r="AB107" s="239">
        <v>0</v>
      </c>
      <c r="AC107" s="239">
        <v>0</v>
      </c>
      <c r="AD107" s="239">
        <v>0</v>
      </c>
      <c r="AE107" s="239">
        <v>0</v>
      </c>
      <c r="AF107" s="239">
        <v>0</v>
      </c>
      <c r="AG107" s="239">
        <v>0</v>
      </c>
      <c r="AH107" s="239">
        <v>0</v>
      </c>
      <c r="AI107" s="239">
        <v>0</v>
      </c>
      <c r="AJ107" s="239">
        <v>0</v>
      </c>
      <c r="AK107" s="239">
        <v>301406.43677685951</v>
      </c>
      <c r="AL107" s="239">
        <v>75351.609194214878</v>
      </c>
      <c r="AM107" s="239">
        <v>0</v>
      </c>
      <c r="AN107" s="239">
        <v>296214</v>
      </c>
      <c r="AO107" s="239">
        <v>74053</v>
      </c>
      <c r="AP107" s="239">
        <v>0</v>
      </c>
      <c r="AQ107" s="239">
        <v>5192</v>
      </c>
      <c r="AR107" s="239">
        <v>1299</v>
      </c>
      <c r="AS107" s="239">
        <v>0</v>
      </c>
      <c r="AT107" s="239">
        <v>1072.4900826446283</v>
      </c>
      <c r="AU107" s="239">
        <v>268.12252066115707</v>
      </c>
      <c r="AV107" s="239">
        <v>0</v>
      </c>
      <c r="AW107" s="239">
        <v>1650</v>
      </c>
      <c r="AX107" s="239">
        <v>412</v>
      </c>
      <c r="AY107" s="239">
        <v>0</v>
      </c>
      <c r="AZ107" s="239">
        <v>-578</v>
      </c>
      <c r="BA107" s="239">
        <v>-144</v>
      </c>
      <c r="BB107" s="239">
        <v>0</v>
      </c>
      <c r="BC107" s="239">
        <v>0</v>
      </c>
      <c r="BD107" s="239">
        <v>0</v>
      </c>
      <c r="BE107" s="239">
        <v>0</v>
      </c>
      <c r="BF107" s="239">
        <v>0</v>
      </c>
      <c r="BG107" s="239">
        <v>0</v>
      </c>
      <c r="BH107" s="239">
        <v>0</v>
      </c>
      <c r="BI107" s="239">
        <v>0</v>
      </c>
      <c r="BJ107" s="239">
        <v>0</v>
      </c>
      <c r="BK107" s="239">
        <v>0</v>
      </c>
      <c r="BL107" s="239">
        <v>4061.909090909091</v>
      </c>
      <c r="BM107" s="239">
        <v>1015.4772727272727</v>
      </c>
      <c r="BN107" s="239">
        <v>0</v>
      </c>
      <c r="BO107" s="239">
        <v>0</v>
      </c>
      <c r="BP107" s="239">
        <v>0</v>
      </c>
      <c r="BQ107" s="239">
        <v>0</v>
      </c>
      <c r="BR107" s="239">
        <v>4062</v>
      </c>
      <c r="BS107" s="239">
        <v>1015</v>
      </c>
      <c r="BT107" s="239">
        <v>0</v>
      </c>
      <c r="BU107" s="239">
        <v>-1459.203305785124</v>
      </c>
      <c r="BV107" s="239">
        <v>-364.80082644628101</v>
      </c>
      <c r="BW107" s="239">
        <v>0</v>
      </c>
      <c r="BX107" s="239">
        <v>0</v>
      </c>
      <c r="BY107" s="239">
        <v>0</v>
      </c>
      <c r="BZ107" s="239">
        <v>0</v>
      </c>
      <c r="CA107" s="239">
        <v>-1459</v>
      </c>
      <c r="CB107" s="239">
        <v>-365</v>
      </c>
      <c r="CC107" s="239">
        <v>0</v>
      </c>
      <c r="CD107" s="239">
        <v>0</v>
      </c>
      <c r="CE107" s="239">
        <v>0</v>
      </c>
      <c r="CF107" s="239">
        <v>0</v>
      </c>
      <c r="CG107" s="239">
        <v>0</v>
      </c>
      <c r="CH107" s="239">
        <v>0</v>
      </c>
      <c r="CI107" s="239">
        <v>0</v>
      </c>
      <c r="CJ107" s="239">
        <v>0</v>
      </c>
      <c r="CK107" s="239">
        <v>0</v>
      </c>
      <c r="CL107" s="239">
        <v>0</v>
      </c>
      <c r="CM107" s="239">
        <v>625.72066115702489</v>
      </c>
      <c r="CN107" s="239">
        <v>156.43016528925622</v>
      </c>
      <c r="CO107" s="239">
        <v>0</v>
      </c>
      <c r="CP107" s="239">
        <v>0</v>
      </c>
      <c r="CQ107" s="239">
        <v>0</v>
      </c>
      <c r="CR107" s="239">
        <v>0</v>
      </c>
      <c r="CS107" s="239">
        <v>626</v>
      </c>
      <c r="CT107" s="239">
        <v>156</v>
      </c>
      <c r="CU107" s="239">
        <v>0</v>
      </c>
      <c r="CV107" s="239">
        <v>138085.78057851241</v>
      </c>
      <c r="CW107" s="239">
        <v>34142.327892561989</v>
      </c>
      <c r="CX107" s="239">
        <v>0</v>
      </c>
      <c r="CY107" s="239">
        <v>130226</v>
      </c>
      <c r="CZ107" s="239">
        <v>32199</v>
      </c>
      <c r="DA107" s="239">
        <v>0</v>
      </c>
      <c r="DB107" s="239">
        <v>7860</v>
      </c>
      <c r="DC107" s="239">
        <v>1943</v>
      </c>
      <c r="DD107" s="239">
        <v>0</v>
      </c>
      <c r="DE107" s="641">
        <v>0.5</v>
      </c>
      <c r="DF107" s="641">
        <v>0.4</v>
      </c>
      <c r="DG107" s="641">
        <v>0.1</v>
      </c>
      <c r="DH107" s="641">
        <v>0</v>
      </c>
      <c r="DI107" s="214" t="s">
        <v>1190</v>
      </c>
    </row>
    <row r="108" spans="1:113" s="214" customFormat="1" x14ac:dyDescent="0.2">
      <c r="B108" s="609" t="s">
        <v>298</v>
      </c>
      <c r="C108" s="609" t="s">
        <v>297</v>
      </c>
      <c r="D108" s="239">
        <v>-111039</v>
      </c>
      <c r="E108" s="239">
        <v>0</v>
      </c>
      <c r="F108" s="239">
        <v>-111039</v>
      </c>
      <c r="G108" s="239">
        <v>0</v>
      </c>
      <c r="H108" s="239">
        <v>0</v>
      </c>
      <c r="I108" s="239">
        <v>0</v>
      </c>
      <c r="J108" s="239">
        <v>-111039</v>
      </c>
      <c r="K108" s="239">
        <v>0</v>
      </c>
      <c r="L108" s="239">
        <v>-111039</v>
      </c>
      <c r="M108" s="239">
        <v>118856</v>
      </c>
      <c r="N108" s="239">
        <v>118856</v>
      </c>
      <c r="O108" s="239">
        <v>0</v>
      </c>
      <c r="P108" s="239">
        <v>0</v>
      </c>
      <c r="Q108" s="239">
        <v>0</v>
      </c>
      <c r="R108" s="239">
        <v>0</v>
      </c>
      <c r="S108" s="239">
        <v>86580</v>
      </c>
      <c r="T108" s="239">
        <v>0</v>
      </c>
      <c r="U108" s="239">
        <v>136357</v>
      </c>
      <c r="V108" s="239">
        <v>0</v>
      </c>
      <c r="W108" s="239">
        <v>-49777</v>
      </c>
      <c r="X108" s="239">
        <v>0</v>
      </c>
      <c r="Y108" s="239">
        <v>0</v>
      </c>
      <c r="Z108" s="239">
        <v>0</v>
      </c>
      <c r="AA108" s="239">
        <v>0</v>
      </c>
      <c r="AB108" s="239">
        <v>0</v>
      </c>
      <c r="AC108" s="239">
        <v>0</v>
      </c>
      <c r="AD108" s="239">
        <v>0</v>
      </c>
      <c r="AE108" s="239">
        <v>0</v>
      </c>
      <c r="AF108" s="239">
        <v>0</v>
      </c>
      <c r="AG108" s="239">
        <v>0</v>
      </c>
      <c r="AH108" s="239">
        <v>0</v>
      </c>
      <c r="AI108" s="239">
        <v>0</v>
      </c>
      <c r="AJ108" s="239">
        <v>0</v>
      </c>
      <c r="AK108" s="239">
        <v>541760.47272727278</v>
      </c>
      <c r="AL108" s="239">
        <v>135440.11818181819</v>
      </c>
      <c r="AM108" s="239">
        <v>0</v>
      </c>
      <c r="AN108" s="239">
        <v>486414</v>
      </c>
      <c r="AO108" s="239">
        <v>121604</v>
      </c>
      <c r="AP108" s="239">
        <v>0</v>
      </c>
      <c r="AQ108" s="239">
        <v>55346</v>
      </c>
      <c r="AR108" s="239">
        <v>13836</v>
      </c>
      <c r="AS108" s="239">
        <v>0</v>
      </c>
      <c r="AT108" s="239">
        <v>2408.3347107438017</v>
      </c>
      <c r="AU108" s="239">
        <v>602.08367768595042</v>
      </c>
      <c r="AV108" s="239">
        <v>0</v>
      </c>
      <c r="AW108" s="239">
        <v>838</v>
      </c>
      <c r="AX108" s="239">
        <v>209</v>
      </c>
      <c r="AY108" s="239">
        <v>0</v>
      </c>
      <c r="AZ108" s="239">
        <v>1570</v>
      </c>
      <c r="BA108" s="239">
        <v>393</v>
      </c>
      <c r="BB108" s="239">
        <v>0</v>
      </c>
      <c r="BC108" s="239">
        <v>143.64793388429754</v>
      </c>
      <c r="BD108" s="239">
        <v>35.911983471074386</v>
      </c>
      <c r="BE108" s="239">
        <v>0</v>
      </c>
      <c r="BF108" s="239">
        <v>0</v>
      </c>
      <c r="BG108" s="239">
        <v>0</v>
      </c>
      <c r="BH108" s="239">
        <v>0</v>
      </c>
      <c r="BI108" s="239">
        <v>144</v>
      </c>
      <c r="BJ108" s="239">
        <v>36</v>
      </c>
      <c r="BK108" s="239">
        <v>0</v>
      </c>
      <c r="BL108" s="239">
        <v>784.38264462809923</v>
      </c>
      <c r="BM108" s="239">
        <v>196.09566115702481</v>
      </c>
      <c r="BN108" s="239">
        <v>0</v>
      </c>
      <c r="BO108" s="239">
        <v>2077</v>
      </c>
      <c r="BP108" s="239">
        <v>519</v>
      </c>
      <c r="BQ108" s="239">
        <v>0</v>
      </c>
      <c r="BR108" s="239">
        <v>-1293</v>
      </c>
      <c r="BS108" s="239">
        <v>-323</v>
      </c>
      <c r="BT108" s="239">
        <v>0</v>
      </c>
      <c r="BU108" s="239">
        <v>-6592.7909090909088</v>
      </c>
      <c r="BV108" s="239">
        <v>-1648.1977272727272</v>
      </c>
      <c r="BW108" s="239">
        <v>0</v>
      </c>
      <c r="BX108" s="239">
        <v>0</v>
      </c>
      <c r="BY108" s="239">
        <v>0</v>
      </c>
      <c r="BZ108" s="239">
        <v>0</v>
      </c>
      <c r="CA108" s="239">
        <v>-6593</v>
      </c>
      <c r="CB108" s="239">
        <v>-1648</v>
      </c>
      <c r="CC108" s="239">
        <v>0</v>
      </c>
      <c r="CD108" s="239">
        <v>0</v>
      </c>
      <c r="CE108" s="239">
        <v>0</v>
      </c>
      <c r="CF108" s="239">
        <v>0</v>
      </c>
      <c r="CG108" s="239">
        <v>0</v>
      </c>
      <c r="CH108" s="239">
        <v>0</v>
      </c>
      <c r="CI108" s="239">
        <v>0</v>
      </c>
      <c r="CJ108" s="239">
        <v>0</v>
      </c>
      <c r="CK108" s="239">
        <v>0</v>
      </c>
      <c r="CL108" s="239">
        <v>0</v>
      </c>
      <c r="CM108" s="239">
        <v>6565.1975206611578</v>
      </c>
      <c r="CN108" s="239">
        <v>1641.2993801652894</v>
      </c>
      <c r="CO108" s="239">
        <v>0</v>
      </c>
      <c r="CP108" s="239">
        <v>11393</v>
      </c>
      <c r="CQ108" s="239">
        <v>2848</v>
      </c>
      <c r="CR108" s="239">
        <v>0</v>
      </c>
      <c r="CS108" s="239">
        <v>-4828</v>
      </c>
      <c r="CT108" s="239">
        <v>-1207</v>
      </c>
      <c r="CU108" s="239">
        <v>0</v>
      </c>
      <c r="CV108" s="239">
        <v>70682.349586776865</v>
      </c>
      <c r="CW108" s="239">
        <v>17357.539876033061</v>
      </c>
      <c r="CX108" s="239">
        <v>0</v>
      </c>
      <c r="CY108" s="239">
        <v>72914</v>
      </c>
      <c r="CZ108" s="239">
        <v>17735</v>
      </c>
      <c r="DA108" s="239">
        <v>0</v>
      </c>
      <c r="DB108" s="239">
        <v>-2232</v>
      </c>
      <c r="DC108" s="239">
        <v>-377</v>
      </c>
      <c r="DD108" s="239">
        <v>0</v>
      </c>
      <c r="DE108" s="641">
        <v>0.5</v>
      </c>
      <c r="DF108" s="641">
        <v>0.4</v>
      </c>
      <c r="DG108" s="641">
        <v>0.1</v>
      </c>
      <c r="DH108" s="641">
        <v>0</v>
      </c>
      <c r="DI108" s="214" t="s">
        <v>1190</v>
      </c>
    </row>
    <row r="109" spans="1:113" s="214" customFormat="1" x14ac:dyDescent="0.2">
      <c r="B109" s="609" t="s">
        <v>300</v>
      </c>
      <c r="C109" s="609" t="s">
        <v>299</v>
      </c>
      <c r="D109" s="239">
        <v>-285818</v>
      </c>
      <c r="E109" s="239">
        <v>0</v>
      </c>
      <c r="F109" s="239">
        <v>-285818</v>
      </c>
      <c r="G109" s="239">
        <v>0</v>
      </c>
      <c r="H109" s="239">
        <v>0</v>
      </c>
      <c r="I109" s="239">
        <v>0</v>
      </c>
      <c r="J109" s="239">
        <v>-285818</v>
      </c>
      <c r="K109" s="239">
        <v>0</v>
      </c>
      <c r="L109" s="239">
        <v>-285818</v>
      </c>
      <c r="M109" s="239">
        <v>112252</v>
      </c>
      <c r="N109" s="239">
        <v>112252</v>
      </c>
      <c r="O109" s="239">
        <v>0</v>
      </c>
      <c r="P109" s="239">
        <v>0</v>
      </c>
      <c r="Q109" s="239">
        <v>0</v>
      </c>
      <c r="R109" s="239">
        <v>0</v>
      </c>
      <c r="S109" s="239">
        <v>47587</v>
      </c>
      <c r="T109" s="239">
        <v>0</v>
      </c>
      <c r="U109" s="239">
        <v>0</v>
      </c>
      <c r="V109" s="239">
        <v>0</v>
      </c>
      <c r="W109" s="239">
        <v>47587</v>
      </c>
      <c r="X109" s="239">
        <v>0</v>
      </c>
      <c r="Y109" s="239">
        <v>25590.838842975209</v>
      </c>
      <c r="Z109" s="239">
        <v>20472.671074380167</v>
      </c>
      <c r="AA109" s="239">
        <v>4606.3509917355368</v>
      </c>
      <c r="AB109" s="239">
        <v>511.81677685950416</v>
      </c>
      <c r="AC109" s="239">
        <v>0</v>
      </c>
      <c r="AD109" s="239">
        <v>0</v>
      </c>
      <c r="AE109" s="239">
        <v>0</v>
      </c>
      <c r="AF109" s="239">
        <v>0</v>
      </c>
      <c r="AG109" s="239">
        <v>25591</v>
      </c>
      <c r="AH109" s="239">
        <v>20473</v>
      </c>
      <c r="AI109" s="239">
        <v>4606</v>
      </c>
      <c r="AJ109" s="239">
        <v>512</v>
      </c>
      <c r="AK109" s="239">
        <v>491893.94462809921</v>
      </c>
      <c r="AL109" s="239">
        <v>110676.13754132231</v>
      </c>
      <c r="AM109" s="239">
        <v>12297.34861570248</v>
      </c>
      <c r="AN109" s="239">
        <v>434908</v>
      </c>
      <c r="AO109" s="239">
        <v>97854</v>
      </c>
      <c r="AP109" s="239">
        <v>10873</v>
      </c>
      <c r="AQ109" s="239">
        <v>56986</v>
      </c>
      <c r="AR109" s="239">
        <v>12822</v>
      </c>
      <c r="AS109" s="239">
        <v>1424</v>
      </c>
      <c r="AT109" s="239">
        <v>1152.0239669421487</v>
      </c>
      <c r="AU109" s="239">
        <v>259.20539256198344</v>
      </c>
      <c r="AV109" s="239">
        <v>28.800599173553721</v>
      </c>
      <c r="AW109" s="239">
        <v>1152</v>
      </c>
      <c r="AX109" s="239">
        <v>259</v>
      </c>
      <c r="AY109" s="239">
        <v>29</v>
      </c>
      <c r="AZ109" s="239">
        <v>0</v>
      </c>
      <c r="BA109" s="239">
        <v>0</v>
      </c>
      <c r="BB109" s="239">
        <v>0</v>
      </c>
      <c r="BC109" s="239">
        <v>8715.0471074380166</v>
      </c>
      <c r="BD109" s="239">
        <v>1960.8855991735538</v>
      </c>
      <c r="BE109" s="239">
        <v>217.87617768595044</v>
      </c>
      <c r="BF109" s="239">
        <v>406</v>
      </c>
      <c r="BG109" s="239">
        <v>91</v>
      </c>
      <c r="BH109" s="239">
        <v>10</v>
      </c>
      <c r="BI109" s="239">
        <v>8309</v>
      </c>
      <c r="BJ109" s="239">
        <v>1870</v>
      </c>
      <c r="BK109" s="239">
        <v>208</v>
      </c>
      <c r="BL109" s="239">
        <v>2524.7950413223139</v>
      </c>
      <c r="BM109" s="239">
        <v>568.07888429752063</v>
      </c>
      <c r="BN109" s="239">
        <v>63.119876033057849</v>
      </c>
      <c r="BO109" s="239">
        <v>406</v>
      </c>
      <c r="BP109" s="239">
        <v>91</v>
      </c>
      <c r="BQ109" s="239">
        <v>10</v>
      </c>
      <c r="BR109" s="239">
        <v>2119</v>
      </c>
      <c r="BS109" s="239">
        <v>477</v>
      </c>
      <c r="BT109" s="239">
        <v>53</v>
      </c>
      <c r="BU109" s="239">
        <v>627.74958677685959</v>
      </c>
      <c r="BV109" s="239">
        <v>141.24365702479338</v>
      </c>
      <c r="BW109" s="239">
        <v>15.69373966942149</v>
      </c>
      <c r="BX109" s="239">
        <v>0</v>
      </c>
      <c r="BY109" s="239">
        <v>0</v>
      </c>
      <c r="BZ109" s="239">
        <v>0</v>
      </c>
      <c r="CA109" s="239">
        <v>628</v>
      </c>
      <c r="CB109" s="239">
        <v>141</v>
      </c>
      <c r="CC109" s="239">
        <v>16</v>
      </c>
      <c r="CD109" s="239">
        <v>0</v>
      </c>
      <c r="CE109" s="239">
        <v>0</v>
      </c>
      <c r="CF109" s="239">
        <v>0</v>
      </c>
      <c r="CG109" s="239">
        <v>0</v>
      </c>
      <c r="CH109" s="239">
        <v>0</v>
      </c>
      <c r="CI109" s="239">
        <v>0</v>
      </c>
      <c r="CJ109" s="239">
        <v>0</v>
      </c>
      <c r="CK109" s="239">
        <v>0</v>
      </c>
      <c r="CL109" s="239">
        <v>0</v>
      </c>
      <c r="CM109" s="239">
        <v>1762.7305785123967</v>
      </c>
      <c r="CN109" s="239">
        <v>396.61438016528922</v>
      </c>
      <c r="CO109" s="239">
        <v>44.068264462809914</v>
      </c>
      <c r="CP109" s="239">
        <v>4464</v>
      </c>
      <c r="CQ109" s="239">
        <v>1004</v>
      </c>
      <c r="CR109" s="239">
        <v>112</v>
      </c>
      <c r="CS109" s="239">
        <v>-2701</v>
      </c>
      <c r="CT109" s="239">
        <v>-607</v>
      </c>
      <c r="CU109" s="239">
        <v>-68</v>
      </c>
      <c r="CV109" s="239">
        <v>180715.36404958682</v>
      </c>
      <c r="CW109" s="239">
        <v>40506.102520661152</v>
      </c>
      <c r="CX109" s="239">
        <v>4500.6780578512389</v>
      </c>
      <c r="CY109" s="239">
        <v>138658</v>
      </c>
      <c r="CZ109" s="239">
        <v>31198</v>
      </c>
      <c r="DA109" s="239">
        <v>3466</v>
      </c>
      <c r="DB109" s="239">
        <v>42057</v>
      </c>
      <c r="DC109" s="239">
        <v>9308</v>
      </c>
      <c r="DD109" s="239">
        <v>1035</v>
      </c>
      <c r="DE109" s="641">
        <v>0.5</v>
      </c>
      <c r="DF109" s="641">
        <v>0.4</v>
      </c>
      <c r="DG109" s="641">
        <v>0.09</v>
      </c>
      <c r="DH109" s="641">
        <v>0.01</v>
      </c>
      <c r="DI109" s="214" t="s">
        <v>1190</v>
      </c>
    </row>
    <row r="110" spans="1:113" s="214" customFormat="1" x14ac:dyDescent="0.2">
      <c r="B110" s="609" t="s">
        <v>302</v>
      </c>
      <c r="C110" s="609" t="s">
        <v>301</v>
      </c>
      <c r="D110" s="239">
        <v>-235077</v>
      </c>
      <c r="E110" s="239">
        <v>0</v>
      </c>
      <c r="F110" s="239">
        <v>-235077</v>
      </c>
      <c r="G110" s="239">
        <v>0</v>
      </c>
      <c r="H110" s="239">
        <v>0</v>
      </c>
      <c r="I110" s="239">
        <v>0</v>
      </c>
      <c r="J110" s="239">
        <v>-235077</v>
      </c>
      <c r="K110" s="239">
        <v>0</v>
      </c>
      <c r="L110" s="239">
        <v>-235077</v>
      </c>
      <c r="M110" s="239">
        <v>293350</v>
      </c>
      <c r="N110" s="239">
        <v>293350</v>
      </c>
      <c r="O110" s="239">
        <v>0</v>
      </c>
      <c r="P110" s="239">
        <v>536956</v>
      </c>
      <c r="Q110" s="239">
        <v>457332</v>
      </c>
      <c r="R110" s="239">
        <v>79624</v>
      </c>
      <c r="S110" s="239">
        <v>0</v>
      </c>
      <c r="T110" s="239">
        <v>0</v>
      </c>
      <c r="U110" s="239">
        <v>0</v>
      </c>
      <c r="V110" s="239">
        <v>0</v>
      </c>
      <c r="W110" s="239">
        <v>0</v>
      </c>
      <c r="X110" s="239">
        <v>0</v>
      </c>
      <c r="Y110" s="239">
        <v>0</v>
      </c>
      <c r="Z110" s="239">
        <v>0</v>
      </c>
      <c r="AA110" s="239">
        <v>0</v>
      </c>
      <c r="AB110" s="239">
        <v>0</v>
      </c>
      <c r="AC110" s="239">
        <v>0</v>
      </c>
      <c r="AD110" s="239">
        <v>0</v>
      </c>
      <c r="AE110" s="239">
        <v>0</v>
      </c>
      <c r="AF110" s="239">
        <v>0</v>
      </c>
      <c r="AG110" s="239">
        <v>0</v>
      </c>
      <c r="AH110" s="239">
        <v>0</v>
      </c>
      <c r="AI110" s="239">
        <v>0</v>
      </c>
      <c r="AJ110" s="239">
        <v>0</v>
      </c>
      <c r="AK110" s="239">
        <v>1078737.3323037191</v>
      </c>
      <c r="AL110" s="239">
        <v>0</v>
      </c>
      <c r="AM110" s="239">
        <v>21333.711601239669</v>
      </c>
      <c r="AN110" s="239">
        <v>1082588</v>
      </c>
      <c r="AO110" s="239">
        <v>0</v>
      </c>
      <c r="AP110" s="239">
        <v>21562</v>
      </c>
      <c r="AQ110" s="239">
        <v>-3851</v>
      </c>
      <c r="AR110" s="239">
        <v>0</v>
      </c>
      <c r="AS110" s="239">
        <v>-228</v>
      </c>
      <c r="AT110" s="239">
        <v>-1338.1576033057852</v>
      </c>
      <c r="AU110" s="239">
        <v>0</v>
      </c>
      <c r="AV110" s="239">
        <v>-27.309338842975208</v>
      </c>
      <c r="AW110" s="239">
        <v>1464</v>
      </c>
      <c r="AX110" s="239">
        <v>0</v>
      </c>
      <c r="AY110" s="239">
        <v>30</v>
      </c>
      <c r="AZ110" s="239">
        <v>-2802</v>
      </c>
      <c r="BA110" s="239">
        <v>0</v>
      </c>
      <c r="BB110" s="239">
        <v>-57</v>
      </c>
      <c r="BC110" s="239">
        <v>0</v>
      </c>
      <c r="BD110" s="239">
        <v>0</v>
      </c>
      <c r="BE110" s="239">
        <v>0</v>
      </c>
      <c r="BF110" s="239">
        <v>0</v>
      </c>
      <c r="BG110" s="239">
        <v>0</v>
      </c>
      <c r="BH110" s="239">
        <v>0</v>
      </c>
      <c r="BI110" s="239">
        <v>0</v>
      </c>
      <c r="BJ110" s="239">
        <v>0</v>
      </c>
      <c r="BK110" s="239">
        <v>0</v>
      </c>
      <c r="BL110" s="239">
        <v>13857.632995867767</v>
      </c>
      <c r="BM110" s="239">
        <v>0</v>
      </c>
      <c r="BN110" s="239">
        <v>175.93828512396692</v>
      </c>
      <c r="BO110" s="239">
        <v>33876</v>
      </c>
      <c r="BP110" s="239">
        <v>0</v>
      </c>
      <c r="BQ110" s="239">
        <v>629</v>
      </c>
      <c r="BR110" s="239">
        <v>-20018</v>
      </c>
      <c r="BS110" s="239">
        <v>0</v>
      </c>
      <c r="BT110" s="239">
        <v>-453</v>
      </c>
      <c r="BU110" s="239">
        <v>-1481.3591735537191</v>
      </c>
      <c r="BV110" s="239">
        <v>0</v>
      </c>
      <c r="BW110" s="239">
        <v>-31.204876033057854</v>
      </c>
      <c r="BX110" s="239">
        <v>0</v>
      </c>
      <c r="BY110" s="239">
        <v>0</v>
      </c>
      <c r="BZ110" s="239">
        <v>0</v>
      </c>
      <c r="CA110" s="239">
        <v>-1481</v>
      </c>
      <c r="CB110" s="239">
        <v>0</v>
      </c>
      <c r="CC110" s="239">
        <v>-31</v>
      </c>
      <c r="CD110" s="239">
        <v>0</v>
      </c>
      <c r="CE110" s="239">
        <v>0</v>
      </c>
      <c r="CF110" s="239">
        <v>0</v>
      </c>
      <c r="CG110" s="239">
        <v>0</v>
      </c>
      <c r="CH110" s="239">
        <v>0</v>
      </c>
      <c r="CI110" s="239">
        <v>0</v>
      </c>
      <c r="CJ110" s="239">
        <v>0</v>
      </c>
      <c r="CK110" s="239">
        <v>0</v>
      </c>
      <c r="CL110" s="239">
        <v>0</v>
      </c>
      <c r="CM110" s="239">
        <v>15399.251260330577</v>
      </c>
      <c r="CN110" s="239">
        <v>0</v>
      </c>
      <c r="CO110" s="239">
        <v>314.27043388429752</v>
      </c>
      <c r="CP110" s="239">
        <v>19044</v>
      </c>
      <c r="CQ110" s="239">
        <v>0</v>
      </c>
      <c r="CR110" s="239">
        <v>389</v>
      </c>
      <c r="CS110" s="239">
        <v>-3645</v>
      </c>
      <c r="CT110" s="239">
        <v>0</v>
      </c>
      <c r="CU110" s="239">
        <v>-75</v>
      </c>
      <c r="CV110" s="239">
        <v>634807.45956611575</v>
      </c>
      <c r="CW110" s="239">
        <v>0</v>
      </c>
      <c r="CX110" s="239">
        <v>12796.76667355372</v>
      </c>
      <c r="CY110" s="239">
        <v>677814</v>
      </c>
      <c r="CZ110" s="239">
        <v>0</v>
      </c>
      <c r="DA110" s="239">
        <v>13698</v>
      </c>
      <c r="DB110" s="239">
        <v>-43007</v>
      </c>
      <c r="DC110" s="239">
        <v>0</v>
      </c>
      <c r="DD110" s="239">
        <v>-901</v>
      </c>
      <c r="DE110" s="641">
        <v>0.5</v>
      </c>
      <c r="DF110" s="641">
        <v>0.49</v>
      </c>
      <c r="DG110" s="641">
        <v>0</v>
      </c>
      <c r="DH110" s="641">
        <v>0.01</v>
      </c>
      <c r="DI110" s="214" t="s">
        <v>1192</v>
      </c>
    </row>
    <row r="111" spans="1:113" s="214" customFormat="1" x14ac:dyDescent="0.2">
      <c r="B111" s="609" t="s">
        <v>304</v>
      </c>
      <c r="C111" s="609" t="s">
        <v>303</v>
      </c>
      <c r="D111" s="239">
        <v>-60471</v>
      </c>
      <c r="E111" s="239">
        <v>0</v>
      </c>
      <c r="F111" s="239">
        <v>-60471</v>
      </c>
      <c r="G111" s="239">
        <v>0</v>
      </c>
      <c r="H111" s="239">
        <v>0</v>
      </c>
      <c r="I111" s="239">
        <v>0</v>
      </c>
      <c r="J111" s="239">
        <v>-60471</v>
      </c>
      <c r="K111" s="239">
        <v>0</v>
      </c>
      <c r="L111" s="239">
        <v>-60471</v>
      </c>
      <c r="M111" s="239">
        <v>101234</v>
      </c>
      <c r="N111" s="239">
        <v>101234</v>
      </c>
      <c r="O111" s="239">
        <v>0</v>
      </c>
      <c r="P111" s="239">
        <v>0</v>
      </c>
      <c r="Q111" s="239">
        <v>0</v>
      </c>
      <c r="R111" s="239">
        <v>0</v>
      </c>
      <c r="S111" s="239">
        <v>81757</v>
      </c>
      <c r="T111" s="239">
        <v>0</v>
      </c>
      <c r="U111" s="239">
        <v>73181</v>
      </c>
      <c r="V111" s="239">
        <v>0</v>
      </c>
      <c r="W111" s="239">
        <v>8576</v>
      </c>
      <c r="X111" s="239">
        <v>0</v>
      </c>
      <c r="Y111" s="239">
        <v>0</v>
      </c>
      <c r="Z111" s="239">
        <v>0</v>
      </c>
      <c r="AA111" s="239">
        <v>0</v>
      </c>
      <c r="AB111" s="239">
        <v>0</v>
      </c>
      <c r="AC111" s="239">
        <v>0</v>
      </c>
      <c r="AD111" s="239">
        <v>0</v>
      </c>
      <c r="AE111" s="239">
        <v>0</v>
      </c>
      <c r="AF111" s="239">
        <v>0</v>
      </c>
      <c r="AG111" s="239">
        <v>0</v>
      </c>
      <c r="AH111" s="239">
        <v>0</v>
      </c>
      <c r="AI111" s="239">
        <v>0</v>
      </c>
      <c r="AJ111" s="239">
        <v>0</v>
      </c>
      <c r="AK111" s="239">
        <v>352517.5078512397</v>
      </c>
      <c r="AL111" s="239">
        <v>79316.43926652892</v>
      </c>
      <c r="AM111" s="239">
        <v>8812.9376962809911</v>
      </c>
      <c r="AN111" s="239">
        <v>341060</v>
      </c>
      <c r="AO111" s="239">
        <v>76739</v>
      </c>
      <c r="AP111" s="239">
        <v>8527</v>
      </c>
      <c r="AQ111" s="239">
        <v>11458</v>
      </c>
      <c r="AR111" s="239">
        <v>2577</v>
      </c>
      <c r="AS111" s="239">
        <v>286</v>
      </c>
      <c r="AT111" s="239">
        <v>0</v>
      </c>
      <c r="AU111" s="239">
        <v>0</v>
      </c>
      <c r="AV111" s="239">
        <v>0</v>
      </c>
      <c r="AW111" s="239">
        <v>0</v>
      </c>
      <c r="AX111" s="239">
        <v>0</v>
      </c>
      <c r="AY111" s="239">
        <v>0</v>
      </c>
      <c r="AZ111" s="239">
        <v>0</v>
      </c>
      <c r="BA111" s="239">
        <v>0</v>
      </c>
      <c r="BB111" s="239">
        <v>0</v>
      </c>
      <c r="BC111" s="239">
        <v>-773.83223140495863</v>
      </c>
      <c r="BD111" s="239">
        <v>-174.11225206611573</v>
      </c>
      <c r="BE111" s="239">
        <v>-19.345805785123964</v>
      </c>
      <c r="BF111" s="239">
        <v>0</v>
      </c>
      <c r="BG111" s="239">
        <v>0</v>
      </c>
      <c r="BH111" s="239">
        <v>0</v>
      </c>
      <c r="BI111" s="239">
        <v>-774</v>
      </c>
      <c r="BJ111" s="239">
        <v>-174</v>
      </c>
      <c r="BK111" s="239">
        <v>-19</v>
      </c>
      <c r="BL111" s="239">
        <v>-62.085123966942149</v>
      </c>
      <c r="BM111" s="239">
        <v>-13.969152892561983</v>
      </c>
      <c r="BN111" s="239">
        <v>-1.5521280991735538</v>
      </c>
      <c r="BO111" s="239">
        <v>0</v>
      </c>
      <c r="BP111" s="239">
        <v>0</v>
      </c>
      <c r="BQ111" s="239">
        <v>0</v>
      </c>
      <c r="BR111" s="239">
        <v>-62</v>
      </c>
      <c r="BS111" s="239">
        <v>-14</v>
      </c>
      <c r="BT111" s="239">
        <v>-2</v>
      </c>
      <c r="BU111" s="239">
        <v>396.04628099173556</v>
      </c>
      <c r="BV111" s="239">
        <v>89.110413223140498</v>
      </c>
      <c r="BW111" s="239">
        <v>9.90115702479339</v>
      </c>
      <c r="BX111" s="239">
        <v>0</v>
      </c>
      <c r="BY111" s="239">
        <v>0</v>
      </c>
      <c r="BZ111" s="239">
        <v>0</v>
      </c>
      <c r="CA111" s="239">
        <v>396</v>
      </c>
      <c r="CB111" s="239">
        <v>89</v>
      </c>
      <c r="CC111" s="239">
        <v>10</v>
      </c>
      <c r="CD111" s="239">
        <v>0</v>
      </c>
      <c r="CE111" s="239">
        <v>0</v>
      </c>
      <c r="CF111" s="239">
        <v>0</v>
      </c>
      <c r="CG111" s="239">
        <v>0</v>
      </c>
      <c r="CH111" s="239">
        <v>0</v>
      </c>
      <c r="CI111" s="239">
        <v>0</v>
      </c>
      <c r="CJ111" s="239">
        <v>0</v>
      </c>
      <c r="CK111" s="239">
        <v>0</v>
      </c>
      <c r="CL111" s="239">
        <v>0</v>
      </c>
      <c r="CM111" s="239">
        <v>1149.1834710743803</v>
      </c>
      <c r="CN111" s="239">
        <v>258.56628099173554</v>
      </c>
      <c r="CO111" s="239">
        <v>28.729586776859506</v>
      </c>
      <c r="CP111" s="239">
        <v>1523</v>
      </c>
      <c r="CQ111" s="239">
        <v>343</v>
      </c>
      <c r="CR111" s="239">
        <v>38</v>
      </c>
      <c r="CS111" s="239">
        <v>-374</v>
      </c>
      <c r="CT111" s="239">
        <v>-84</v>
      </c>
      <c r="CU111" s="239">
        <v>-9</v>
      </c>
      <c r="CV111" s="239">
        <v>127740.20867768595</v>
      </c>
      <c r="CW111" s="239">
        <v>28475.498863636363</v>
      </c>
      <c r="CX111" s="239">
        <v>3163.9443181818183</v>
      </c>
      <c r="CY111" s="239">
        <v>129025</v>
      </c>
      <c r="CZ111" s="239">
        <v>28793</v>
      </c>
      <c r="DA111" s="239">
        <v>3199</v>
      </c>
      <c r="DB111" s="239">
        <v>-1285</v>
      </c>
      <c r="DC111" s="239">
        <v>-318</v>
      </c>
      <c r="DD111" s="239">
        <v>-35</v>
      </c>
      <c r="DE111" s="641">
        <v>0.5</v>
      </c>
      <c r="DF111" s="641">
        <v>0.4</v>
      </c>
      <c r="DG111" s="641">
        <v>0.09</v>
      </c>
      <c r="DH111" s="641">
        <v>0.01</v>
      </c>
      <c r="DI111" s="214" t="s">
        <v>1190</v>
      </c>
    </row>
    <row r="112" spans="1:113" s="214" customFormat="1" x14ac:dyDescent="0.2">
      <c r="B112" s="609" t="s">
        <v>306</v>
      </c>
      <c r="C112" s="609" t="s">
        <v>305</v>
      </c>
      <c r="D112" s="239">
        <v>-160143</v>
      </c>
      <c r="E112" s="239">
        <v>0</v>
      </c>
      <c r="F112" s="239">
        <v>-160143</v>
      </c>
      <c r="G112" s="239">
        <v>0</v>
      </c>
      <c r="H112" s="239">
        <v>0</v>
      </c>
      <c r="I112" s="239">
        <v>0</v>
      </c>
      <c r="J112" s="239">
        <v>-160143</v>
      </c>
      <c r="K112" s="239">
        <v>0</v>
      </c>
      <c r="L112" s="239">
        <v>-160143</v>
      </c>
      <c r="M112" s="239">
        <v>179492</v>
      </c>
      <c r="N112" s="239">
        <v>179492</v>
      </c>
      <c r="O112" s="239">
        <v>0</v>
      </c>
      <c r="P112" s="239">
        <v>0</v>
      </c>
      <c r="Q112" s="239">
        <v>0</v>
      </c>
      <c r="R112" s="239">
        <v>0</v>
      </c>
      <c r="S112" s="239">
        <v>0</v>
      </c>
      <c r="T112" s="239">
        <v>0</v>
      </c>
      <c r="U112" s="239">
        <v>0</v>
      </c>
      <c r="V112" s="239">
        <v>0</v>
      </c>
      <c r="W112" s="239">
        <v>0</v>
      </c>
      <c r="X112" s="239">
        <v>0</v>
      </c>
      <c r="Y112" s="239">
        <v>0</v>
      </c>
      <c r="Z112" s="239">
        <v>0</v>
      </c>
      <c r="AA112" s="239">
        <v>0</v>
      </c>
      <c r="AB112" s="239">
        <v>0</v>
      </c>
      <c r="AC112" s="239">
        <v>0</v>
      </c>
      <c r="AD112" s="239">
        <v>0</v>
      </c>
      <c r="AE112" s="239">
        <v>0</v>
      </c>
      <c r="AF112" s="239">
        <v>0</v>
      </c>
      <c r="AG112" s="239">
        <v>0</v>
      </c>
      <c r="AH112" s="239">
        <v>0</v>
      </c>
      <c r="AI112" s="239">
        <v>0</v>
      </c>
      <c r="AJ112" s="239">
        <v>0</v>
      </c>
      <c r="AK112" s="239">
        <v>422389.24256198347</v>
      </c>
      <c r="AL112" s="239">
        <v>105597.31064049587</v>
      </c>
      <c r="AM112" s="239">
        <v>0</v>
      </c>
      <c r="AN112" s="239">
        <v>396637</v>
      </c>
      <c r="AO112" s="239">
        <v>99159</v>
      </c>
      <c r="AP112" s="239">
        <v>0</v>
      </c>
      <c r="AQ112" s="239">
        <v>25752</v>
      </c>
      <c r="AR112" s="239">
        <v>6438</v>
      </c>
      <c r="AS112" s="239">
        <v>0</v>
      </c>
      <c r="AT112" s="239">
        <v>1845.9165289256198</v>
      </c>
      <c r="AU112" s="239">
        <v>461.47913223140495</v>
      </c>
      <c r="AV112" s="239">
        <v>0</v>
      </c>
      <c r="AW112" s="239">
        <v>0</v>
      </c>
      <c r="AX112" s="239">
        <v>0</v>
      </c>
      <c r="AY112" s="239">
        <v>0</v>
      </c>
      <c r="AZ112" s="239">
        <v>1846</v>
      </c>
      <c r="BA112" s="239">
        <v>461</v>
      </c>
      <c r="BB112" s="239">
        <v>0</v>
      </c>
      <c r="BC112" s="239">
        <v>4549.2570247933891</v>
      </c>
      <c r="BD112" s="239">
        <v>1137.3142561983473</v>
      </c>
      <c r="BE112" s="239">
        <v>0</v>
      </c>
      <c r="BF112" s="239">
        <v>38626</v>
      </c>
      <c r="BG112" s="239">
        <v>9656</v>
      </c>
      <c r="BH112" s="239">
        <v>0</v>
      </c>
      <c r="BI112" s="239">
        <v>-34077</v>
      </c>
      <c r="BJ112" s="239">
        <v>-8519</v>
      </c>
      <c r="BK112" s="239">
        <v>0</v>
      </c>
      <c r="BL112" s="239">
        <v>6683.6867768595039</v>
      </c>
      <c r="BM112" s="239">
        <v>1670.921694214876</v>
      </c>
      <c r="BN112" s="239">
        <v>0</v>
      </c>
      <c r="BO112" s="239">
        <v>214</v>
      </c>
      <c r="BP112" s="239">
        <v>54</v>
      </c>
      <c r="BQ112" s="239">
        <v>0</v>
      </c>
      <c r="BR112" s="239">
        <v>6470</v>
      </c>
      <c r="BS112" s="239">
        <v>1617</v>
      </c>
      <c r="BT112" s="239">
        <v>0</v>
      </c>
      <c r="BU112" s="239">
        <v>4555.3438016528926</v>
      </c>
      <c r="BV112" s="239">
        <v>1138.8359504132231</v>
      </c>
      <c r="BW112" s="239">
        <v>0</v>
      </c>
      <c r="BX112" s="239">
        <v>0</v>
      </c>
      <c r="BY112" s="239">
        <v>0</v>
      </c>
      <c r="BZ112" s="239">
        <v>0</v>
      </c>
      <c r="CA112" s="239">
        <v>4555</v>
      </c>
      <c r="CB112" s="239">
        <v>1139</v>
      </c>
      <c r="CC112" s="239">
        <v>0</v>
      </c>
      <c r="CD112" s="239">
        <v>0</v>
      </c>
      <c r="CE112" s="239">
        <v>0</v>
      </c>
      <c r="CF112" s="239">
        <v>0</v>
      </c>
      <c r="CG112" s="239">
        <v>0</v>
      </c>
      <c r="CH112" s="239">
        <v>0</v>
      </c>
      <c r="CI112" s="239">
        <v>0</v>
      </c>
      <c r="CJ112" s="239">
        <v>0</v>
      </c>
      <c r="CK112" s="239">
        <v>0</v>
      </c>
      <c r="CL112" s="239">
        <v>0</v>
      </c>
      <c r="CM112" s="239">
        <v>3873.6247933884297</v>
      </c>
      <c r="CN112" s="239">
        <v>968.40619834710742</v>
      </c>
      <c r="CO112" s="239">
        <v>0</v>
      </c>
      <c r="CP112" s="239">
        <v>0</v>
      </c>
      <c r="CQ112" s="239">
        <v>0</v>
      </c>
      <c r="CR112" s="239">
        <v>0</v>
      </c>
      <c r="CS112" s="239">
        <v>3874</v>
      </c>
      <c r="CT112" s="239">
        <v>968</v>
      </c>
      <c r="CU112" s="239">
        <v>0</v>
      </c>
      <c r="CV112" s="239">
        <v>297457.3347107438</v>
      </c>
      <c r="CW112" s="239">
        <v>74364.333677685951</v>
      </c>
      <c r="CX112" s="239">
        <v>0</v>
      </c>
      <c r="CY112" s="239">
        <v>316645</v>
      </c>
      <c r="CZ112" s="239">
        <v>79161</v>
      </c>
      <c r="DA112" s="239">
        <v>0</v>
      </c>
      <c r="DB112" s="239">
        <v>-19188</v>
      </c>
      <c r="DC112" s="239">
        <v>-4797</v>
      </c>
      <c r="DD112" s="239">
        <v>0</v>
      </c>
      <c r="DE112" s="641">
        <v>0.5</v>
      </c>
      <c r="DF112" s="641">
        <v>0.4</v>
      </c>
      <c r="DG112" s="641">
        <v>0.1</v>
      </c>
      <c r="DH112" s="641">
        <v>0</v>
      </c>
      <c r="DI112" s="214" t="s">
        <v>1190</v>
      </c>
    </row>
    <row r="113" spans="1:113" s="214" customFormat="1" x14ac:dyDescent="0.2">
      <c r="B113" s="609" t="s">
        <v>308</v>
      </c>
      <c r="C113" s="609" t="s">
        <v>307</v>
      </c>
      <c r="D113" s="239">
        <v>-74092</v>
      </c>
      <c r="E113" s="239">
        <v>0</v>
      </c>
      <c r="F113" s="239">
        <v>-74092</v>
      </c>
      <c r="G113" s="239">
        <v>0</v>
      </c>
      <c r="H113" s="239">
        <v>0</v>
      </c>
      <c r="I113" s="239">
        <v>0</v>
      </c>
      <c r="J113" s="239">
        <v>-74092</v>
      </c>
      <c r="K113" s="239">
        <v>0</v>
      </c>
      <c r="L113" s="239">
        <v>-74092</v>
      </c>
      <c r="M113" s="239">
        <v>79768</v>
      </c>
      <c r="N113" s="239">
        <v>79768</v>
      </c>
      <c r="O113" s="239">
        <v>0</v>
      </c>
      <c r="P113" s="239">
        <v>0</v>
      </c>
      <c r="Q113" s="239">
        <v>0</v>
      </c>
      <c r="R113" s="239">
        <v>0</v>
      </c>
      <c r="S113" s="239">
        <v>0</v>
      </c>
      <c r="T113" s="239">
        <v>0</v>
      </c>
      <c r="U113" s="239">
        <v>0</v>
      </c>
      <c r="V113" s="239">
        <v>0</v>
      </c>
      <c r="W113" s="239">
        <v>0</v>
      </c>
      <c r="X113" s="239">
        <v>0</v>
      </c>
      <c r="Y113" s="239">
        <v>113515.34504132232</v>
      </c>
      <c r="Z113" s="239">
        <v>113515.34504132232</v>
      </c>
      <c r="AA113" s="239">
        <v>0</v>
      </c>
      <c r="AB113" s="239">
        <v>0</v>
      </c>
      <c r="AC113" s="239">
        <v>90616</v>
      </c>
      <c r="AD113" s="239">
        <v>90616</v>
      </c>
      <c r="AE113" s="239">
        <v>0</v>
      </c>
      <c r="AF113" s="239">
        <v>0</v>
      </c>
      <c r="AG113" s="239">
        <v>22899</v>
      </c>
      <c r="AH113" s="239">
        <v>22899</v>
      </c>
      <c r="AI113" s="239">
        <v>0</v>
      </c>
      <c r="AJ113" s="239">
        <v>0</v>
      </c>
      <c r="AK113" s="239">
        <v>298278.03636363632</v>
      </c>
      <c r="AL113" s="239">
        <v>65423.477603305779</v>
      </c>
      <c r="AM113" s="239">
        <v>7269.2752892561984</v>
      </c>
      <c r="AN113" s="239">
        <v>293715</v>
      </c>
      <c r="AO113" s="239">
        <v>64347</v>
      </c>
      <c r="AP113" s="239">
        <v>7150</v>
      </c>
      <c r="AQ113" s="239">
        <v>4563</v>
      </c>
      <c r="AR113" s="239">
        <v>1076</v>
      </c>
      <c r="AS113" s="239">
        <v>119</v>
      </c>
      <c r="AT113" s="239">
        <v>0</v>
      </c>
      <c r="AU113" s="239">
        <v>0</v>
      </c>
      <c r="AV113" s="239">
        <v>0</v>
      </c>
      <c r="AW113" s="239">
        <v>0</v>
      </c>
      <c r="AX113" s="239">
        <v>0</v>
      </c>
      <c r="AY113" s="239">
        <v>0</v>
      </c>
      <c r="AZ113" s="239">
        <v>0</v>
      </c>
      <c r="BA113" s="239">
        <v>0</v>
      </c>
      <c r="BB113" s="239">
        <v>0</v>
      </c>
      <c r="BC113" s="239">
        <v>1022.9842975206611</v>
      </c>
      <c r="BD113" s="239">
        <v>230.17146694214875</v>
      </c>
      <c r="BE113" s="239">
        <v>25.574607438016528</v>
      </c>
      <c r="BF113" s="239">
        <v>0</v>
      </c>
      <c r="BG113" s="239">
        <v>0</v>
      </c>
      <c r="BH113" s="239">
        <v>0</v>
      </c>
      <c r="BI113" s="239">
        <v>1023</v>
      </c>
      <c r="BJ113" s="239">
        <v>230</v>
      </c>
      <c r="BK113" s="239">
        <v>26</v>
      </c>
      <c r="BL113" s="239">
        <v>3941.3909090909092</v>
      </c>
      <c r="BM113" s="239">
        <v>886.81295454545443</v>
      </c>
      <c r="BN113" s="239">
        <v>98.534772727272724</v>
      </c>
      <c r="BO113" s="239">
        <v>1406</v>
      </c>
      <c r="BP113" s="239">
        <v>316</v>
      </c>
      <c r="BQ113" s="239">
        <v>35</v>
      </c>
      <c r="BR113" s="239">
        <v>2535</v>
      </c>
      <c r="BS113" s="239">
        <v>571</v>
      </c>
      <c r="BT113" s="239">
        <v>64</v>
      </c>
      <c r="BU113" s="239">
        <v>3055.5619834710742</v>
      </c>
      <c r="BV113" s="239">
        <v>687.50144628099167</v>
      </c>
      <c r="BW113" s="239">
        <v>76.389049586776864</v>
      </c>
      <c r="BX113" s="239">
        <v>0</v>
      </c>
      <c r="BY113" s="239">
        <v>0</v>
      </c>
      <c r="BZ113" s="239">
        <v>0</v>
      </c>
      <c r="CA113" s="239">
        <v>3056</v>
      </c>
      <c r="CB113" s="239">
        <v>688</v>
      </c>
      <c r="CC113" s="239">
        <v>76</v>
      </c>
      <c r="CD113" s="239">
        <v>0</v>
      </c>
      <c r="CE113" s="239">
        <v>0</v>
      </c>
      <c r="CF113" s="239">
        <v>0</v>
      </c>
      <c r="CG113" s="239">
        <v>0</v>
      </c>
      <c r="CH113" s="239">
        <v>0</v>
      </c>
      <c r="CI113" s="239">
        <v>0</v>
      </c>
      <c r="CJ113" s="239">
        <v>0</v>
      </c>
      <c r="CK113" s="239">
        <v>0</v>
      </c>
      <c r="CL113" s="239">
        <v>0</v>
      </c>
      <c r="CM113" s="239">
        <v>27.999173553719011</v>
      </c>
      <c r="CN113" s="239">
        <v>6.2998140495867769</v>
      </c>
      <c r="CO113" s="239">
        <v>0.69997933884297525</v>
      </c>
      <c r="CP113" s="239">
        <v>0</v>
      </c>
      <c r="CQ113" s="239">
        <v>0</v>
      </c>
      <c r="CR113" s="239">
        <v>0</v>
      </c>
      <c r="CS113" s="239">
        <v>28</v>
      </c>
      <c r="CT113" s="239">
        <v>6</v>
      </c>
      <c r="CU113" s="239">
        <v>1</v>
      </c>
      <c r="CV113" s="239">
        <v>97507.223140495873</v>
      </c>
      <c r="CW113" s="239">
        <v>21939.12520661157</v>
      </c>
      <c r="CX113" s="239">
        <v>2437.680578512397</v>
      </c>
      <c r="CY113" s="239">
        <v>93286</v>
      </c>
      <c r="CZ113" s="239">
        <v>20694</v>
      </c>
      <c r="DA113" s="239">
        <v>2299</v>
      </c>
      <c r="DB113" s="239">
        <v>4221</v>
      </c>
      <c r="DC113" s="239">
        <v>1245</v>
      </c>
      <c r="DD113" s="239">
        <v>139</v>
      </c>
      <c r="DE113" s="641">
        <v>0.5</v>
      </c>
      <c r="DF113" s="641">
        <v>0.4</v>
      </c>
      <c r="DG113" s="641">
        <v>0.09</v>
      </c>
      <c r="DH113" s="641">
        <v>0.01</v>
      </c>
      <c r="DI113" s="214" t="s">
        <v>1190</v>
      </c>
    </row>
    <row r="114" spans="1:113" s="214" customFormat="1" x14ac:dyDescent="0.2">
      <c r="B114" s="609" t="s">
        <v>310</v>
      </c>
      <c r="C114" s="609" t="s">
        <v>309</v>
      </c>
      <c r="D114" s="239">
        <v>-78365</v>
      </c>
      <c r="E114" s="239">
        <v>0</v>
      </c>
      <c r="F114" s="239">
        <v>-78365</v>
      </c>
      <c r="G114" s="239">
        <v>0</v>
      </c>
      <c r="H114" s="239">
        <v>0</v>
      </c>
      <c r="I114" s="239">
        <v>0</v>
      </c>
      <c r="J114" s="239">
        <v>-78365</v>
      </c>
      <c r="K114" s="239">
        <v>0</v>
      </c>
      <c r="L114" s="239">
        <v>-78365</v>
      </c>
      <c r="M114" s="239">
        <v>96778</v>
      </c>
      <c r="N114" s="239">
        <v>96778</v>
      </c>
      <c r="O114" s="239">
        <v>0</v>
      </c>
      <c r="P114" s="239">
        <v>0</v>
      </c>
      <c r="Q114" s="239">
        <v>0</v>
      </c>
      <c r="R114" s="239">
        <v>0</v>
      </c>
      <c r="S114" s="239">
        <v>0</v>
      </c>
      <c r="T114" s="239">
        <v>0</v>
      </c>
      <c r="U114" s="239">
        <v>0</v>
      </c>
      <c r="V114" s="239">
        <v>0</v>
      </c>
      <c r="W114" s="239">
        <v>0</v>
      </c>
      <c r="X114" s="239">
        <v>0</v>
      </c>
      <c r="Y114" s="239">
        <v>0</v>
      </c>
      <c r="Z114" s="239">
        <v>0</v>
      </c>
      <c r="AA114" s="239">
        <v>0</v>
      </c>
      <c r="AB114" s="239">
        <v>0</v>
      </c>
      <c r="AC114" s="239">
        <v>0</v>
      </c>
      <c r="AD114" s="239">
        <v>0</v>
      </c>
      <c r="AE114" s="239">
        <v>0</v>
      </c>
      <c r="AF114" s="239">
        <v>0</v>
      </c>
      <c r="AG114" s="239">
        <v>0</v>
      </c>
      <c r="AH114" s="239">
        <v>0</v>
      </c>
      <c r="AI114" s="239">
        <v>0</v>
      </c>
      <c r="AJ114" s="239">
        <v>0</v>
      </c>
      <c r="AK114" s="239">
        <v>362158.96239669429</v>
      </c>
      <c r="AL114" s="239">
        <v>81485.766539256205</v>
      </c>
      <c r="AM114" s="239">
        <v>9053.9740599173565</v>
      </c>
      <c r="AN114" s="239">
        <v>340961</v>
      </c>
      <c r="AO114" s="239">
        <v>76716</v>
      </c>
      <c r="AP114" s="239">
        <v>8524</v>
      </c>
      <c r="AQ114" s="239">
        <v>21198</v>
      </c>
      <c r="AR114" s="239">
        <v>4770</v>
      </c>
      <c r="AS114" s="239">
        <v>530</v>
      </c>
      <c r="AT114" s="239">
        <v>1238.8619834710744</v>
      </c>
      <c r="AU114" s="239">
        <v>278.74394628099174</v>
      </c>
      <c r="AV114" s="239">
        <v>30.97154958677686</v>
      </c>
      <c r="AW114" s="239">
        <v>1041</v>
      </c>
      <c r="AX114" s="239">
        <v>234</v>
      </c>
      <c r="AY114" s="239">
        <v>26</v>
      </c>
      <c r="AZ114" s="239">
        <v>198</v>
      </c>
      <c r="BA114" s="239">
        <v>45</v>
      </c>
      <c r="BB114" s="239">
        <v>5</v>
      </c>
      <c r="BC114" s="239">
        <v>0</v>
      </c>
      <c r="BD114" s="239">
        <v>0</v>
      </c>
      <c r="BE114" s="239">
        <v>0</v>
      </c>
      <c r="BF114" s="239">
        <v>0</v>
      </c>
      <c r="BG114" s="239">
        <v>0</v>
      </c>
      <c r="BH114" s="239">
        <v>0</v>
      </c>
      <c r="BI114" s="239">
        <v>0</v>
      </c>
      <c r="BJ114" s="239">
        <v>0</v>
      </c>
      <c r="BK114" s="239">
        <v>0</v>
      </c>
      <c r="BL114" s="239">
        <v>1591.4892561983472</v>
      </c>
      <c r="BM114" s="239">
        <v>358.08508264462807</v>
      </c>
      <c r="BN114" s="239">
        <v>39.787231404958682</v>
      </c>
      <c r="BO114" s="239">
        <v>4193</v>
      </c>
      <c r="BP114" s="239">
        <v>943</v>
      </c>
      <c r="BQ114" s="239">
        <v>105</v>
      </c>
      <c r="BR114" s="239">
        <v>-2602</v>
      </c>
      <c r="BS114" s="239">
        <v>-585</v>
      </c>
      <c r="BT114" s="239">
        <v>-65</v>
      </c>
      <c r="BU114" s="239">
        <v>-1745.2818181818182</v>
      </c>
      <c r="BV114" s="239">
        <v>-392.68840909090903</v>
      </c>
      <c r="BW114" s="239">
        <v>-43.632045454545448</v>
      </c>
      <c r="BX114" s="239">
        <v>0</v>
      </c>
      <c r="BY114" s="239">
        <v>0</v>
      </c>
      <c r="BZ114" s="239">
        <v>0</v>
      </c>
      <c r="CA114" s="239">
        <v>-1745</v>
      </c>
      <c r="CB114" s="239">
        <v>-393</v>
      </c>
      <c r="CC114" s="239">
        <v>-44</v>
      </c>
      <c r="CD114" s="239">
        <v>0</v>
      </c>
      <c r="CE114" s="239">
        <v>0</v>
      </c>
      <c r="CF114" s="239">
        <v>0</v>
      </c>
      <c r="CG114" s="239">
        <v>0</v>
      </c>
      <c r="CH114" s="239">
        <v>0</v>
      </c>
      <c r="CI114" s="239">
        <v>0</v>
      </c>
      <c r="CJ114" s="239">
        <v>0</v>
      </c>
      <c r="CK114" s="239">
        <v>0</v>
      </c>
      <c r="CL114" s="239">
        <v>0</v>
      </c>
      <c r="CM114" s="239">
        <v>0</v>
      </c>
      <c r="CN114" s="239">
        <v>0</v>
      </c>
      <c r="CO114" s="239">
        <v>0</v>
      </c>
      <c r="CP114" s="239">
        <v>0</v>
      </c>
      <c r="CQ114" s="239">
        <v>0</v>
      </c>
      <c r="CR114" s="239">
        <v>0</v>
      </c>
      <c r="CS114" s="239">
        <v>0</v>
      </c>
      <c r="CT114" s="239">
        <v>0</v>
      </c>
      <c r="CU114" s="239">
        <v>0</v>
      </c>
      <c r="CV114" s="239">
        <v>138286.5561983471</v>
      </c>
      <c r="CW114" s="239">
        <v>31114.475144628097</v>
      </c>
      <c r="CX114" s="239">
        <v>3457.1639049586779</v>
      </c>
      <c r="CY114" s="239">
        <v>141401</v>
      </c>
      <c r="CZ114" s="239">
        <v>31815</v>
      </c>
      <c r="DA114" s="239">
        <v>3535</v>
      </c>
      <c r="DB114" s="239">
        <v>-3114</v>
      </c>
      <c r="DC114" s="239">
        <v>-701</v>
      </c>
      <c r="DD114" s="239">
        <v>-78</v>
      </c>
      <c r="DE114" s="641">
        <v>0.5</v>
      </c>
      <c r="DF114" s="641">
        <v>0.4</v>
      </c>
      <c r="DG114" s="641">
        <v>0.09</v>
      </c>
      <c r="DH114" s="641">
        <v>0.01</v>
      </c>
      <c r="DI114" s="214" t="s">
        <v>1190</v>
      </c>
    </row>
    <row r="115" spans="1:113" s="214" customFormat="1" x14ac:dyDescent="0.2">
      <c r="A115" s="215" t="s">
        <v>1211</v>
      </c>
      <c r="B115" s="609" t="s">
        <v>312</v>
      </c>
      <c r="C115" s="609" t="s">
        <v>311</v>
      </c>
      <c r="D115" s="239">
        <v>36525</v>
      </c>
      <c r="E115" s="239">
        <v>0</v>
      </c>
      <c r="F115" s="239">
        <v>36525</v>
      </c>
      <c r="G115" s="239">
        <v>0</v>
      </c>
      <c r="H115" s="239">
        <v>0</v>
      </c>
      <c r="I115" s="239">
        <v>0</v>
      </c>
      <c r="J115" s="239">
        <v>36525</v>
      </c>
      <c r="K115" s="239">
        <v>0</v>
      </c>
      <c r="L115" s="239">
        <v>36525</v>
      </c>
      <c r="M115" s="239">
        <v>184873</v>
      </c>
      <c r="N115" s="239">
        <v>184873</v>
      </c>
      <c r="O115" s="239">
        <v>0</v>
      </c>
      <c r="P115" s="239">
        <v>206776</v>
      </c>
      <c r="Q115" s="239">
        <v>0</v>
      </c>
      <c r="R115" s="239">
        <v>206776</v>
      </c>
      <c r="S115" s="239">
        <v>55664</v>
      </c>
      <c r="T115" s="239">
        <v>0</v>
      </c>
      <c r="U115" s="239">
        <v>55664</v>
      </c>
      <c r="V115" s="239">
        <v>0</v>
      </c>
      <c r="W115" s="239">
        <v>0</v>
      </c>
      <c r="X115" s="239">
        <v>0</v>
      </c>
      <c r="Y115" s="239">
        <v>586224.5805785124</v>
      </c>
      <c r="Z115" s="239">
        <v>586224.5805785124</v>
      </c>
      <c r="AA115" s="239">
        <v>0</v>
      </c>
      <c r="AB115" s="239">
        <v>0</v>
      </c>
      <c r="AC115" s="239">
        <v>488370</v>
      </c>
      <c r="AD115" s="239">
        <v>488370</v>
      </c>
      <c r="AE115" s="239">
        <v>0</v>
      </c>
      <c r="AF115" s="239">
        <v>0</v>
      </c>
      <c r="AG115" s="239">
        <v>97855</v>
      </c>
      <c r="AH115" s="239">
        <v>97855</v>
      </c>
      <c r="AI115" s="239">
        <v>0</v>
      </c>
      <c r="AJ115" s="239">
        <v>0</v>
      </c>
      <c r="AK115" s="239">
        <v>587750.73842975206</v>
      </c>
      <c r="AL115" s="239">
        <v>146937.68460743802</v>
      </c>
      <c r="AM115" s="239">
        <v>0</v>
      </c>
      <c r="AN115" s="239">
        <v>570390</v>
      </c>
      <c r="AO115" s="239">
        <v>142598</v>
      </c>
      <c r="AP115" s="239">
        <v>0</v>
      </c>
      <c r="AQ115" s="239">
        <v>17361</v>
      </c>
      <c r="AR115" s="239">
        <v>4340</v>
      </c>
      <c r="AS115" s="239">
        <v>0</v>
      </c>
      <c r="AT115" s="239">
        <v>5983.7074380165295</v>
      </c>
      <c r="AU115" s="239">
        <v>1495.9268595041324</v>
      </c>
      <c r="AV115" s="239">
        <v>0</v>
      </c>
      <c r="AW115" s="239">
        <v>0</v>
      </c>
      <c r="AX115" s="239">
        <v>0</v>
      </c>
      <c r="AY115" s="239">
        <v>0</v>
      </c>
      <c r="AZ115" s="239">
        <v>5984</v>
      </c>
      <c r="BA115" s="239">
        <v>1496</v>
      </c>
      <c r="BB115" s="239">
        <v>0</v>
      </c>
      <c r="BC115" s="239">
        <v>9967.3000000000011</v>
      </c>
      <c r="BD115" s="239">
        <v>2491.8250000000003</v>
      </c>
      <c r="BE115" s="239">
        <v>0</v>
      </c>
      <c r="BF115" s="239">
        <v>0</v>
      </c>
      <c r="BG115" s="239">
        <v>0</v>
      </c>
      <c r="BH115" s="239">
        <v>0</v>
      </c>
      <c r="BI115" s="239">
        <v>9967</v>
      </c>
      <c r="BJ115" s="239">
        <v>2492</v>
      </c>
      <c r="BK115" s="239">
        <v>0</v>
      </c>
      <c r="BL115" s="239">
        <v>1292.0198347107439</v>
      </c>
      <c r="BM115" s="239">
        <v>323.00495867768598</v>
      </c>
      <c r="BN115" s="239">
        <v>0</v>
      </c>
      <c r="BO115" s="239">
        <v>0</v>
      </c>
      <c r="BP115" s="239">
        <v>0</v>
      </c>
      <c r="BQ115" s="239">
        <v>0</v>
      </c>
      <c r="BR115" s="239">
        <v>1292</v>
      </c>
      <c r="BS115" s="239">
        <v>323</v>
      </c>
      <c r="BT115" s="239">
        <v>0</v>
      </c>
      <c r="BU115" s="239">
        <v>814.41074380165298</v>
      </c>
      <c r="BV115" s="239">
        <v>203.60268595041325</v>
      </c>
      <c r="BW115" s="239">
        <v>0</v>
      </c>
      <c r="BX115" s="239">
        <v>0</v>
      </c>
      <c r="BY115" s="239">
        <v>0</v>
      </c>
      <c r="BZ115" s="239">
        <v>0</v>
      </c>
      <c r="CA115" s="239">
        <v>814</v>
      </c>
      <c r="CB115" s="239">
        <v>204</v>
      </c>
      <c r="CC115" s="239">
        <v>0</v>
      </c>
      <c r="CD115" s="239">
        <v>0</v>
      </c>
      <c r="CE115" s="239">
        <v>0</v>
      </c>
      <c r="CF115" s="239">
        <v>0</v>
      </c>
      <c r="CG115" s="239">
        <v>0</v>
      </c>
      <c r="CH115" s="239">
        <v>0</v>
      </c>
      <c r="CI115" s="239">
        <v>0</v>
      </c>
      <c r="CJ115" s="239">
        <v>0</v>
      </c>
      <c r="CK115" s="239">
        <v>0</v>
      </c>
      <c r="CL115" s="239">
        <v>0</v>
      </c>
      <c r="CM115" s="239">
        <v>5605.1099173553721</v>
      </c>
      <c r="CN115" s="239">
        <v>1401.277479338843</v>
      </c>
      <c r="CO115" s="239">
        <v>0</v>
      </c>
      <c r="CP115" s="239">
        <v>5798</v>
      </c>
      <c r="CQ115" s="239">
        <v>1449</v>
      </c>
      <c r="CR115" s="239">
        <v>0</v>
      </c>
      <c r="CS115" s="239">
        <v>-193</v>
      </c>
      <c r="CT115" s="239">
        <v>-48</v>
      </c>
      <c r="CU115" s="239">
        <v>0</v>
      </c>
      <c r="CV115" s="239">
        <v>195055.65950413226</v>
      </c>
      <c r="CW115" s="239">
        <v>47815.009917355383</v>
      </c>
      <c r="CX115" s="239">
        <v>0</v>
      </c>
      <c r="CY115" s="239">
        <v>188067</v>
      </c>
      <c r="CZ115" s="239">
        <v>45050</v>
      </c>
      <c r="DA115" s="239">
        <v>0</v>
      </c>
      <c r="DB115" s="239">
        <v>6989</v>
      </c>
      <c r="DC115" s="239">
        <v>2765</v>
      </c>
      <c r="DD115" s="239">
        <v>0</v>
      </c>
      <c r="DE115" s="641">
        <v>0.5</v>
      </c>
      <c r="DF115" s="641">
        <v>0.4</v>
      </c>
      <c r="DG115" s="641">
        <v>0.1</v>
      </c>
      <c r="DH115" s="641">
        <v>0</v>
      </c>
      <c r="DI115" s="214" t="s">
        <v>1190</v>
      </c>
    </row>
    <row r="116" spans="1:113" s="214" customFormat="1" x14ac:dyDescent="0.2">
      <c r="B116" s="609" t="s">
        <v>314</v>
      </c>
      <c r="C116" s="609" t="s">
        <v>313</v>
      </c>
      <c r="D116" s="239">
        <v>-108190</v>
      </c>
      <c r="E116" s="239">
        <v>0</v>
      </c>
      <c r="F116" s="239">
        <v>-108190</v>
      </c>
      <c r="G116" s="239">
        <v>0</v>
      </c>
      <c r="H116" s="239">
        <v>0</v>
      </c>
      <c r="I116" s="239">
        <v>0</v>
      </c>
      <c r="J116" s="239">
        <v>-108190</v>
      </c>
      <c r="K116" s="239">
        <v>0</v>
      </c>
      <c r="L116" s="239">
        <v>-108190</v>
      </c>
      <c r="M116" s="239">
        <v>276508</v>
      </c>
      <c r="N116" s="239">
        <v>276508</v>
      </c>
      <c r="O116" s="239">
        <v>0</v>
      </c>
      <c r="P116" s="239">
        <v>0</v>
      </c>
      <c r="Q116" s="239">
        <v>0</v>
      </c>
      <c r="R116" s="239">
        <v>0</v>
      </c>
      <c r="S116" s="239">
        <v>0</v>
      </c>
      <c r="T116" s="239">
        <v>0</v>
      </c>
      <c r="U116" s="239">
        <v>0</v>
      </c>
      <c r="V116" s="239">
        <v>0</v>
      </c>
      <c r="W116" s="239">
        <v>0</v>
      </c>
      <c r="X116" s="239">
        <v>0</v>
      </c>
      <c r="Y116" s="239">
        <v>0</v>
      </c>
      <c r="Z116" s="239">
        <v>0</v>
      </c>
      <c r="AA116" s="239">
        <v>0</v>
      </c>
      <c r="AB116" s="239">
        <v>0</v>
      </c>
      <c r="AC116" s="239">
        <v>0</v>
      </c>
      <c r="AD116" s="239">
        <v>0</v>
      </c>
      <c r="AE116" s="239">
        <v>0</v>
      </c>
      <c r="AF116" s="239">
        <v>0</v>
      </c>
      <c r="AG116" s="239">
        <v>0</v>
      </c>
      <c r="AH116" s="239">
        <v>0</v>
      </c>
      <c r="AI116" s="239">
        <v>0</v>
      </c>
      <c r="AJ116" s="239">
        <v>0</v>
      </c>
      <c r="AK116" s="239">
        <v>559951.05898760329</v>
      </c>
      <c r="AL116" s="239">
        <v>373300.70599173557</v>
      </c>
      <c r="AM116" s="239">
        <v>0</v>
      </c>
      <c r="AN116" s="239">
        <v>517602</v>
      </c>
      <c r="AO116" s="239">
        <v>345068</v>
      </c>
      <c r="AP116" s="239">
        <v>0</v>
      </c>
      <c r="AQ116" s="239">
        <v>42349</v>
      </c>
      <c r="AR116" s="239">
        <v>28233</v>
      </c>
      <c r="AS116" s="239">
        <v>0</v>
      </c>
      <c r="AT116" s="239">
        <v>0</v>
      </c>
      <c r="AU116" s="239">
        <v>0</v>
      </c>
      <c r="AV116" s="239">
        <v>0</v>
      </c>
      <c r="AW116" s="239">
        <v>0</v>
      </c>
      <c r="AX116" s="239">
        <v>0</v>
      </c>
      <c r="AY116" s="239">
        <v>0</v>
      </c>
      <c r="AZ116" s="239">
        <v>0</v>
      </c>
      <c r="BA116" s="239">
        <v>0</v>
      </c>
      <c r="BB116" s="239">
        <v>0</v>
      </c>
      <c r="BC116" s="239">
        <v>8565.921074380165</v>
      </c>
      <c r="BD116" s="239">
        <v>5710.6140495867767</v>
      </c>
      <c r="BE116" s="239">
        <v>0</v>
      </c>
      <c r="BF116" s="239">
        <v>24348</v>
      </c>
      <c r="BG116" s="239">
        <v>16231</v>
      </c>
      <c r="BH116" s="239">
        <v>0</v>
      </c>
      <c r="BI116" s="239">
        <v>-15782</v>
      </c>
      <c r="BJ116" s="239">
        <v>-10520</v>
      </c>
      <c r="BK116" s="239">
        <v>0</v>
      </c>
      <c r="BL116" s="239">
        <v>-2712.8764462809922</v>
      </c>
      <c r="BM116" s="239">
        <v>-1808.5842975206615</v>
      </c>
      <c r="BN116" s="239">
        <v>0</v>
      </c>
      <c r="BO116" s="239">
        <v>0</v>
      </c>
      <c r="BP116" s="239">
        <v>0</v>
      </c>
      <c r="BQ116" s="239">
        <v>0</v>
      </c>
      <c r="BR116" s="239">
        <v>-2713</v>
      </c>
      <c r="BS116" s="239">
        <v>-1809</v>
      </c>
      <c r="BT116" s="239">
        <v>0</v>
      </c>
      <c r="BU116" s="239">
        <v>-423.03099173553716</v>
      </c>
      <c r="BV116" s="239">
        <v>-282.02066115702479</v>
      </c>
      <c r="BW116" s="239">
        <v>0</v>
      </c>
      <c r="BX116" s="239">
        <v>0</v>
      </c>
      <c r="BY116" s="239">
        <v>0</v>
      </c>
      <c r="BZ116" s="239">
        <v>0</v>
      </c>
      <c r="CA116" s="239">
        <v>-423</v>
      </c>
      <c r="CB116" s="239">
        <v>-282</v>
      </c>
      <c r="CC116" s="239">
        <v>0</v>
      </c>
      <c r="CD116" s="239">
        <v>0</v>
      </c>
      <c r="CE116" s="239">
        <v>0</v>
      </c>
      <c r="CF116" s="239">
        <v>0</v>
      </c>
      <c r="CG116" s="239">
        <v>0</v>
      </c>
      <c r="CH116" s="239">
        <v>0</v>
      </c>
      <c r="CI116" s="239">
        <v>0</v>
      </c>
      <c r="CJ116" s="239">
        <v>0</v>
      </c>
      <c r="CK116" s="239">
        <v>0</v>
      </c>
      <c r="CL116" s="239">
        <v>0</v>
      </c>
      <c r="CM116" s="239">
        <v>447.68243801652892</v>
      </c>
      <c r="CN116" s="239">
        <v>298.45495867768597</v>
      </c>
      <c r="CO116" s="239">
        <v>0</v>
      </c>
      <c r="CP116" s="239">
        <v>2065</v>
      </c>
      <c r="CQ116" s="239">
        <v>1376</v>
      </c>
      <c r="CR116" s="239">
        <v>0</v>
      </c>
      <c r="CS116" s="239">
        <v>-1617</v>
      </c>
      <c r="CT116" s="239">
        <v>-1078</v>
      </c>
      <c r="CU116" s="239">
        <v>0</v>
      </c>
      <c r="CV116" s="239">
        <v>344630.61818181816</v>
      </c>
      <c r="CW116" s="239">
        <v>229753.74545454545</v>
      </c>
      <c r="CX116" s="239">
        <v>0</v>
      </c>
      <c r="CY116" s="239">
        <v>298912</v>
      </c>
      <c r="CZ116" s="239">
        <v>199275</v>
      </c>
      <c r="DA116" s="239">
        <v>0</v>
      </c>
      <c r="DB116" s="239">
        <v>45719</v>
      </c>
      <c r="DC116" s="239">
        <v>30479</v>
      </c>
      <c r="DD116" s="239">
        <v>0</v>
      </c>
      <c r="DE116" s="641">
        <v>0.5</v>
      </c>
      <c r="DF116" s="641">
        <v>0.3</v>
      </c>
      <c r="DG116" s="641">
        <v>0.2</v>
      </c>
      <c r="DH116" s="641">
        <v>0</v>
      </c>
      <c r="DI116" s="214" t="s">
        <v>1193</v>
      </c>
    </row>
    <row r="117" spans="1:113" s="214" customFormat="1" x14ac:dyDescent="0.2">
      <c r="B117" s="609" t="s">
        <v>316</v>
      </c>
      <c r="C117" s="609" t="s">
        <v>315</v>
      </c>
      <c r="D117" s="239">
        <v>-375122</v>
      </c>
      <c r="E117" s="239">
        <v>0</v>
      </c>
      <c r="F117" s="239">
        <v>-375122</v>
      </c>
      <c r="G117" s="239">
        <v>0</v>
      </c>
      <c r="H117" s="239">
        <v>0</v>
      </c>
      <c r="I117" s="239">
        <v>0</v>
      </c>
      <c r="J117" s="239">
        <v>-375122</v>
      </c>
      <c r="K117" s="239">
        <v>0</v>
      </c>
      <c r="L117" s="239">
        <v>-375122</v>
      </c>
      <c r="M117" s="239">
        <v>232751</v>
      </c>
      <c r="N117" s="239">
        <v>232751</v>
      </c>
      <c r="O117" s="239">
        <v>0</v>
      </c>
      <c r="P117" s="239">
        <v>0</v>
      </c>
      <c r="Q117" s="239">
        <v>0</v>
      </c>
      <c r="R117" s="239">
        <v>0</v>
      </c>
      <c r="S117" s="239">
        <v>0</v>
      </c>
      <c r="T117" s="239">
        <v>0</v>
      </c>
      <c r="U117" s="239">
        <v>0</v>
      </c>
      <c r="V117" s="239">
        <v>0</v>
      </c>
      <c r="W117" s="239">
        <v>0</v>
      </c>
      <c r="X117" s="239">
        <v>0</v>
      </c>
      <c r="Y117" s="239">
        <v>0</v>
      </c>
      <c r="Z117" s="239">
        <v>0</v>
      </c>
      <c r="AA117" s="239">
        <v>0</v>
      </c>
      <c r="AB117" s="239">
        <v>0</v>
      </c>
      <c r="AC117" s="239">
        <v>0</v>
      </c>
      <c r="AD117" s="239">
        <v>0</v>
      </c>
      <c r="AE117" s="239">
        <v>0</v>
      </c>
      <c r="AF117" s="239">
        <v>0</v>
      </c>
      <c r="AG117" s="239">
        <v>0</v>
      </c>
      <c r="AH117" s="239">
        <v>0</v>
      </c>
      <c r="AI117" s="239">
        <v>0</v>
      </c>
      <c r="AJ117" s="239">
        <v>0</v>
      </c>
      <c r="AK117" s="239">
        <v>404312.12396694219</v>
      </c>
      <c r="AL117" s="239">
        <v>101078.03099173555</v>
      </c>
      <c r="AM117" s="239">
        <v>0</v>
      </c>
      <c r="AN117" s="239">
        <v>369241</v>
      </c>
      <c r="AO117" s="239">
        <v>92310</v>
      </c>
      <c r="AP117" s="239">
        <v>0</v>
      </c>
      <c r="AQ117" s="239">
        <v>35071</v>
      </c>
      <c r="AR117" s="239">
        <v>8768</v>
      </c>
      <c r="AS117" s="239">
        <v>0</v>
      </c>
      <c r="AT117" s="239">
        <v>782.35371900826453</v>
      </c>
      <c r="AU117" s="239">
        <v>195.58842975206613</v>
      </c>
      <c r="AV117" s="239">
        <v>0</v>
      </c>
      <c r="AW117" s="239">
        <v>1460</v>
      </c>
      <c r="AX117" s="239">
        <v>365</v>
      </c>
      <c r="AY117" s="239">
        <v>0</v>
      </c>
      <c r="AZ117" s="239">
        <v>-678</v>
      </c>
      <c r="BA117" s="239">
        <v>-169</v>
      </c>
      <c r="BB117" s="239">
        <v>0</v>
      </c>
      <c r="BC117" s="239">
        <v>0</v>
      </c>
      <c r="BD117" s="239">
        <v>0</v>
      </c>
      <c r="BE117" s="239">
        <v>0</v>
      </c>
      <c r="BF117" s="239">
        <v>0</v>
      </c>
      <c r="BG117" s="239">
        <v>0</v>
      </c>
      <c r="BH117" s="239">
        <v>0</v>
      </c>
      <c r="BI117" s="239">
        <v>0</v>
      </c>
      <c r="BJ117" s="239">
        <v>0</v>
      </c>
      <c r="BK117" s="239">
        <v>0</v>
      </c>
      <c r="BL117" s="239">
        <v>70367.604132231412</v>
      </c>
      <c r="BM117" s="239">
        <v>17591.901033057853</v>
      </c>
      <c r="BN117" s="239">
        <v>0</v>
      </c>
      <c r="BO117" s="239">
        <v>1912</v>
      </c>
      <c r="BP117" s="239">
        <v>478</v>
      </c>
      <c r="BQ117" s="239">
        <v>0</v>
      </c>
      <c r="BR117" s="239">
        <v>68456</v>
      </c>
      <c r="BS117" s="239">
        <v>17114</v>
      </c>
      <c r="BT117" s="239">
        <v>0</v>
      </c>
      <c r="BU117" s="239">
        <v>-682.93636363636369</v>
      </c>
      <c r="BV117" s="239">
        <v>-170.73409090909092</v>
      </c>
      <c r="BW117" s="239">
        <v>0</v>
      </c>
      <c r="BX117" s="239">
        <v>0</v>
      </c>
      <c r="BY117" s="239">
        <v>0</v>
      </c>
      <c r="BZ117" s="239">
        <v>0</v>
      </c>
      <c r="CA117" s="239">
        <v>-683</v>
      </c>
      <c r="CB117" s="239">
        <v>-171</v>
      </c>
      <c r="CC117" s="239">
        <v>0</v>
      </c>
      <c r="CD117" s="239">
        <v>0</v>
      </c>
      <c r="CE117" s="239">
        <v>0</v>
      </c>
      <c r="CF117" s="239">
        <v>0</v>
      </c>
      <c r="CG117" s="239">
        <v>0</v>
      </c>
      <c r="CH117" s="239">
        <v>0</v>
      </c>
      <c r="CI117" s="239">
        <v>0</v>
      </c>
      <c r="CJ117" s="239">
        <v>0</v>
      </c>
      <c r="CK117" s="239">
        <v>0</v>
      </c>
      <c r="CL117" s="239">
        <v>0</v>
      </c>
      <c r="CM117" s="239">
        <v>5314.5677685950413</v>
      </c>
      <c r="CN117" s="239">
        <v>1328.6419421487603</v>
      </c>
      <c r="CO117" s="239">
        <v>0</v>
      </c>
      <c r="CP117" s="239">
        <v>3413</v>
      </c>
      <c r="CQ117" s="239">
        <v>853</v>
      </c>
      <c r="CR117" s="239">
        <v>0</v>
      </c>
      <c r="CS117" s="239">
        <v>1902</v>
      </c>
      <c r="CT117" s="239">
        <v>476</v>
      </c>
      <c r="CU117" s="239">
        <v>0</v>
      </c>
      <c r="CV117" s="239">
        <v>500027.97438016534</v>
      </c>
      <c r="CW117" s="239">
        <v>125006.99359504133</v>
      </c>
      <c r="CX117" s="239">
        <v>0</v>
      </c>
      <c r="CY117" s="239">
        <v>479006</v>
      </c>
      <c r="CZ117" s="239">
        <v>119752</v>
      </c>
      <c r="DA117" s="239">
        <v>0</v>
      </c>
      <c r="DB117" s="239">
        <v>21022</v>
      </c>
      <c r="DC117" s="239">
        <v>5255</v>
      </c>
      <c r="DD117" s="239">
        <v>0</v>
      </c>
      <c r="DE117" s="641">
        <v>0.5</v>
      </c>
      <c r="DF117" s="641">
        <v>0.4</v>
      </c>
      <c r="DG117" s="641">
        <v>0.1</v>
      </c>
      <c r="DH117" s="641">
        <v>0</v>
      </c>
      <c r="DI117" s="214" t="s">
        <v>1190</v>
      </c>
    </row>
    <row r="118" spans="1:113" s="214" customFormat="1" x14ac:dyDescent="0.2">
      <c r="B118" s="609" t="s">
        <v>318</v>
      </c>
      <c r="C118" s="609" t="s">
        <v>317</v>
      </c>
      <c r="D118" s="239">
        <v>-226830</v>
      </c>
      <c r="E118" s="239">
        <v>0</v>
      </c>
      <c r="F118" s="239">
        <v>-226830</v>
      </c>
      <c r="G118" s="239">
        <v>0</v>
      </c>
      <c r="H118" s="239">
        <v>0</v>
      </c>
      <c r="I118" s="239">
        <v>0</v>
      </c>
      <c r="J118" s="239">
        <v>-226830</v>
      </c>
      <c r="K118" s="239">
        <v>0</v>
      </c>
      <c r="L118" s="239">
        <v>-226830</v>
      </c>
      <c r="M118" s="239">
        <v>499664</v>
      </c>
      <c r="N118" s="239">
        <v>499664</v>
      </c>
      <c r="O118" s="239">
        <v>0</v>
      </c>
      <c r="P118" s="239">
        <v>0</v>
      </c>
      <c r="Q118" s="239">
        <v>0</v>
      </c>
      <c r="R118" s="239">
        <v>0</v>
      </c>
      <c r="S118" s="239">
        <v>0</v>
      </c>
      <c r="T118" s="239">
        <v>0</v>
      </c>
      <c r="U118" s="239">
        <v>0</v>
      </c>
      <c r="V118" s="239">
        <v>0</v>
      </c>
      <c r="W118" s="239">
        <v>0</v>
      </c>
      <c r="X118" s="239">
        <v>0</v>
      </c>
      <c r="Y118" s="239">
        <v>0</v>
      </c>
      <c r="Z118" s="239">
        <v>0</v>
      </c>
      <c r="AA118" s="239">
        <v>0</v>
      </c>
      <c r="AB118" s="239">
        <v>0</v>
      </c>
      <c r="AC118" s="239">
        <v>0</v>
      </c>
      <c r="AD118" s="239">
        <v>0</v>
      </c>
      <c r="AE118" s="239">
        <v>0</v>
      </c>
      <c r="AF118" s="239">
        <v>0</v>
      </c>
      <c r="AG118" s="239">
        <v>0</v>
      </c>
      <c r="AH118" s="239">
        <v>0</v>
      </c>
      <c r="AI118" s="239">
        <v>0</v>
      </c>
      <c r="AJ118" s="239">
        <v>0</v>
      </c>
      <c r="AK118" s="239">
        <v>891090.89349173545</v>
      </c>
      <c r="AL118" s="239">
        <v>594060.59566115704</v>
      </c>
      <c r="AM118" s="239">
        <v>0</v>
      </c>
      <c r="AN118" s="239">
        <v>973884</v>
      </c>
      <c r="AO118" s="239">
        <v>649256</v>
      </c>
      <c r="AP118" s="239">
        <v>0</v>
      </c>
      <c r="AQ118" s="239">
        <v>-82793</v>
      </c>
      <c r="AR118" s="239">
        <v>-55195</v>
      </c>
      <c r="AS118" s="239">
        <v>0</v>
      </c>
      <c r="AT118" s="239">
        <v>0</v>
      </c>
      <c r="AU118" s="239">
        <v>0</v>
      </c>
      <c r="AV118" s="239">
        <v>0</v>
      </c>
      <c r="AW118" s="239">
        <v>0</v>
      </c>
      <c r="AX118" s="239">
        <v>0</v>
      </c>
      <c r="AY118" s="239">
        <v>0</v>
      </c>
      <c r="AZ118" s="239">
        <v>0</v>
      </c>
      <c r="BA118" s="239">
        <v>0</v>
      </c>
      <c r="BB118" s="239">
        <v>0</v>
      </c>
      <c r="BC118" s="239">
        <v>4245.2225206611565</v>
      </c>
      <c r="BD118" s="239">
        <v>2830.148347107438</v>
      </c>
      <c r="BE118" s="239">
        <v>0</v>
      </c>
      <c r="BF118" s="239">
        <v>0</v>
      </c>
      <c r="BG118" s="239">
        <v>0</v>
      </c>
      <c r="BH118" s="239">
        <v>0</v>
      </c>
      <c r="BI118" s="239">
        <v>4245</v>
      </c>
      <c r="BJ118" s="239">
        <v>2830</v>
      </c>
      <c r="BK118" s="239">
        <v>0</v>
      </c>
      <c r="BL118" s="239">
        <v>611.11239669421479</v>
      </c>
      <c r="BM118" s="239">
        <v>407.40826446280994</v>
      </c>
      <c r="BN118" s="239">
        <v>0</v>
      </c>
      <c r="BO118" s="239">
        <v>1326</v>
      </c>
      <c r="BP118" s="239">
        <v>884</v>
      </c>
      <c r="BQ118" s="239">
        <v>0</v>
      </c>
      <c r="BR118" s="239">
        <v>-715</v>
      </c>
      <c r="BS118" s="239">
        <v>-477</v>
      </c>
      <c r="BT118" s="239">
        <v>0</v>
      </c>
      <c r="BU118" s="239">
        <v>34497.720867768592</v>
      </c>
      <c r="BV118" s="239">
        <v>22998.480578512397</v>
      </c>
      <c r="BW118" s="239">
        <v>0</v>
      </c>
      <c r="BX118" s="239">
        <v>0</v>
      </c>
      <c r="BY118" s="239">
        <v>0</v>
      </c>
      <c r="BZ118" s="239">
        <v>0</v>
      </c>
      <c r="CA118" s="239">
        <v>34498</v>
      </c>
      <c r="CB118" s="239">
        <v>22998</v>
      </c>
      <c r="CC118" s="239">
        <v>0</v>
      </c>
      <c r="CD118" s="239">
        <v>0</v>
      </c>
      <c r="CE118" s="239">
        <v>0</v>
      </c>
      <c r="CF118" s="239">
        <v>0</v>
      </c>
      <c r="CG118" s="239">
        <v>0</v>
      </c>
      <c r="CH118" s="239">
        <v>0</v>
      </c>
      <c r="CI118" s="239">
        <v>0</v>
      </c>
      <c r="CJ118" s="239">
        <v>0</v>
      </c>
      <c r="CK118" s="239">
        <v>0</v>
      </c>
      <c r="CL118" s="239">
        <v>0</v>
      </c>
      <c r="CM118" s="239">
        <v>17164.406404958678</v>
      </c>
      <c r="CN118" s="239">
        <v>11442.937603305785</v>
      </c>
      <c r="CO118" s="239">
        <v>0</v>
      </c>
      <c r="CP118" s="239">
        <v>27183</v>
      </c>
      <c r="CQ118" s="239">
        <v>18122</v>
      </c>
      <c r="CR118" s="239">
        <v>0</v>
      </c>
      <c r="CS118" s="239">
        <v>-10019</v>
      </c>
      <c r="CT118" s="239">
        <v>-6679</v>
      </c>
      <c r="CU118" s="239">
        <v>0</v>
      </c>
      <c r="CV118" s="239">
        <v>398736.15929752064</v>
      </c>
      <c r="CW118" s="239">
        <v>265824.10619834712</v>
      </c>
      <c r="CX118" s="239">
        <v>0</v>
      </c>
      <c r="CY118" s="239">
        <v>399850</v>
      </c>
      <c r="CZ118" s="239">
        <v>266567</v>
      </c>
      <c r="DA118" s="239">
        <v>0</v>
      </c>
      <c r="DB118" s="239">
        <v>-1114</v>
      </c>
      <c r="DC118" s="239">
        <v>-743</v>
      </c>
      <c r="DD118" s="239">
        <v>0</v>
      </c>
      <c r="DE118" s="641">
        <v>0.5</v>
      </c>
      <c r="DF118" s="641">
        <v>0.3</v>
      </c>
      <c r="DG118" s="641">
        <v>0.2</v>
      </c>
      <c r="DH118" s="641">
        <v>0</v>
      </c>
      <c r="DI118" s="214" t="s">
        <v>1193</v>
      </c>
    </row>
    <row r="119" spans="1:113" s="214" customFormat="1" x14ac:dyDescent="0.2">
      <c r="B119" s="609" t="s">
        <v>320</v>
      </c>
      <c r="C119" s="609" t="s">
        <v>319</v>
      </c>
      <c r="D119" s="239">
        <v>-85248</v>
      </c>
      <c r="E119" s="239">
        <v>0</v>
      </c>
      <c r="F119" s="239">
        <v>-85248</v>
      </c>
      <c r="G119" s="239">
        <v>0</v>
      </c>
      <c r="H119" s="239">
        <v>0</v>
      </c>
      <c r="I119" s="239">
        <v>0</v>
      </c>
      <c r="J119" s="239">
        <v>-85248</v>
      </c>
      <c r="K119" s="239">
        <v>0</v>
      </c>
      <c r="L119" s="239">
        <v>-85248</v>
      </c>
      <c r="M119" s="239">
        <v>165255</v>
      </c>
      <c r="N119" s="239">
        <v>165255</v>
      </c>
      <c r="O119" s="239">
        <v>0</v>
      </c>
      <c r="P119" s="239">
        <v>0</v>
      </c>
      <c r="Q119" s="239">
        <v>0</v>
      </c>
      <c r="R119" s="239">
        <v>0</v>
      </c>
      <c r="S119" s="239">
        <v>0</v>
      </c>
      <c r="T119" s="239">
        <v>0</v>
      </c>
      <c r="U119" s="239">
        <v>0</v>
      </c>
      <c r="V119" s="239">
        <v>0</v>
      </c>
      <c r="W119" s="239">
        <v>0</v>
      </c>
      <c r="X119" s="239">
        <v>0</v>
      </c>
      <c r="Y119" s="239">
        <v>352981.82747933886</v>
      </c>
      <c r="Z119" s="239">
        <v>352641.68824380171</v>
      </c>
      <c r="AA119" s="239">
        <v>0</v>
      </c>
      <c r="AB119" s="239">
        <v>340.13923553719013</v>
      </c>
      <c r="AC119" s="239">
        <v>157261</v>
      </c>
      <c r="AD119" s="239">
        <v>156926</v>
      </c>
      <c r="AE119" s="239">
        <v>0</v>
      </c>
      <c r="AF119" s="239">
        <v>335</v>
      </c>
      <c r="AG119" s="239">
        <v>195721</v>
      </c>
      <c r="AH119" s="239">
        <v>195716</v>
      </c>
      <c r="AI119" s="239">
        <v>0</v>
      </c>
      <c r="AJ119" s="239">
        <v>5</v>
      </c>
      <c r="AK119" s="239">
        <v>535539.42157024797</v>
      </c>
      <c r="AL119" s="239">
        <v>0</v>
      </c>
      <c r="AM119" s="239">
        <v>10929.375950413223</v>
      </c>
      <c r="AN119" s="239">
        <v>496170</v>
      </c>
      <c r="AO119" s="239">
        <v>0</v>
      </c>
      <c r="AP119" s="239">
        <v>10126</v>
      </c>
      <c r="AQ119" s="239">
        <v>39369</v>
      </c>
      <c r="AR119" s="239">
        <v>0</v>
      </c>
      <c r="AS119" s="239">
        <v>803</v>
      </c>
      <c r="AT119" s="239">
        <v>7577.0937396694208</v>
      </c>
      <c r="AU119" s="239">
        <v>0</v>
      </c>
      <c r="AV119" s="239">
        <v>154.63456611570246</v>
      </c>
      <c r="AW119" s="239">
        <v>4329</v>
      </c>
      <c r="AX119" s="239">
        <v>0</v>
      </c>
      <c r="AY119" s="239">
        <v>88</v>
      </c>
      <c r="AZ119" s="239">
        <v>3248</v>
      </c>
      <c r="BA119" s="239">
        <v>0</v>
      </c>
      <c r="BB119" s="239">
        <v>67</v>
      </c>
      <c r="BC119" s="239">
        <v>0</v>
      </c>
      <c r="BD119" s="239">
        <v>0</v>
      </c>
      <c r="BE119" s="239">
        <v>0</v>
      </c>
      <c r="BF119" s="239">
        <v>0</v>
      </c>
      <c r="BG119" s="239">
        <v>0</v>
      </c>
      <c r="BH119" s="239">
        <v>0</v>
      </c>
      <c r="BI119" s="239">
        <v>0</v>
      </c>
      <c r="BJ119" s="239">
        <v>0</v>
      </c>
      <c r="BK119" s="239">
        <v>0</v>
      </c>
      <c r="BL119" s="239">
        <v>7175.9447107438018</v>
      </c>
      <c r="BM119" s="239">
        <v>0</v>
      </c>
      <c r="BN119" s="239">
        <v>146.4478512396694</v>
      </c>
      <c r="BO119" s="239">
        <v>13009</v>
      </c>
      <c r="BP119" s="239">
        <v>0</v>
      </c>
      <c r="BQ119" s="239">
        <v>265</v>
      </c>
      <c r="BR119" s="239">
        <v>-5833</v>
      </c>
      <c r="BS119" s="239">
        <v>0</v>
      </c>
      <c r="BT119" s="239">
        <v>-119</v>
      </c>
      <c r="BU119" s="239">
        <v>5471.4341528925615</v>
      </c>
      <c r="BV119" s="239">
        <v>0</v>
      </c>
      <c r="BW119" s="239">
        <v>111.66192148760331</v>
      </c>
      <c r="BX119" s="239">
        <v>0</v>
      </c>
      <c r="BY119" s="239">
        <v>0</v>
      </c>
      <c r="BZ119" s="239">
        <v>0</v>
      </c>
      <c r="CA119" s="239">
        <v>5471</v>
      </c>
      <c r="CB119" s="239">
        <v>0</v>
      </c>
      <c r="CC119" s="239">
        <v>112</v>
      </c>
      <c r="CD119" s="239">
        <v>0</v>
      </c>
      <c r="CE119" s="239">
        <v>0</v>
      </c>
      <c r="CF119" s="239">
        <v>0</v>
      </c>
      <c r="CG119" s="239">
        <v>0</v>
      </c>
      <c r="CH119" s="239">
        <v>0</v>
      </c>
      <c r="CI119" s="239">
        <v>0</v>
      </c>
      <c r="CJ119" s="239">
        <v>0</v>
      </c>
      <c r="CK119" s="239">
        <v>0</v>
      </c>
      <c r="CL119" s="239">
        <v>0</v>
      </c>
      <c r="CM119" s="239">
        <v>0</v>
      </c>
      <c r="CN119" s="239">
        <v>0</v>
      </c>
      <c r="CO119" s="239">
        <v>0</v>
      </c>
      <c r="CP119" s="239">
        <v>0</v>
      </c>
      <c r="CQ119" s="239">
        <v>0</v>
      </c>
      <c r="CR119" s="239">
        <v>0</v>
      </c>
      <c r="CS119" s="239">
        <v>0</v>
      </c>
      <c r="CT119" s="239">
        <v>0</v>
      </c>
      <c r="CU119" s="239">
        <v>0</v>
      </c>
      <c r="CV119" s="239">
        <v>423813.51423553715</v>
      </c>
      <c r="CW119" s="239">
        <v>0</v>
      </c>
      <c r="CX119" s="239">
        <v>8649.2553925619832</v>
      </c>
      <c r="CY119" s="239">
        <v>373693</v>
      </c>
      <c r="CZ119" s="239">
        <v>0</v>
      </c>
      <c r="DA119" s="239">
        <v>7585</v>
      </c>
      <c r="DB119" s="239">
        <v>50121</v>
      </c>
      <c r="DC119" s="239">
        <v>0</v>
      </c>
      <c r="DD119" s="239">
        <v>1064</v>
      </c>
      <c r="DE119" s="641">
        <v>0.5</v>
      </c>
      <c r="DF119" s="641">
        <v>0.49</v>
      </c>
      <c r="DG119" s="641">
        <v>0</v>
      </c>
      <c r="DH119" s="641">
        <v>0.01</v>
      </c>
      <c r="DI119" s="214" t="s">
        <v>747</v>
      </c>
    </row>
    <row r="120" spans="1:113" s="214" customFormat="1" x14ac:dyDescent="0.2">
      <c r="B120" s="609" t="s">
        <v>322</v>
      </c>
      <c r="C120" s="609" t="s">
        <v>321</v>
      </c>
      <c r="D120" s="239">
        <v>-56974</v>
      </c>
      <c r="E120" s="239">
        <v>0</v>
      </c>
      <c r="F120" s="239">
        <v>-56974</v>
      </c>
      <c r="G120" s="239">
        <v>0</v>
      </c>
      <c r="H120" s="239">
        <v>0</v>
      </c>
      <c r="I120" s="239">
        <v>0</v>
      </c>
      <c r="J120" s="239">
        <v>-56974</v>
      </c>
      <c r="K120" s="239">
        <v>0</v>
      </c>
      <c r="L120" s="239">
        <v>-56974</v>
      </c>
      <c r="M120" s="239">
        <v>156084</v>
      </c>
      <c r="N120" s="239">
        <v>156084</v>
      </c>
      <c r="O120" s="239">
        <v>0</v>
      </c>
      <c r="P120" s="239">
        <v>0</v>
      </c>
      <c r="Q120" s="239">
        <v>0</v>
      </c>
      <c r="R120" s="239">
        <v>0</v>
      </c>
      <c r="S120" s="239">
        <v>0</v>
      </c>
      <c r="T120" s="239">
        <v>0</v>
      </c>
      <c r="U120" s="239">
        <v>0</v>
      </c>
      <c r="V120" s="239">
        <v>0</v>
      </c>
      <c r="W120" s="239">
        <v>0</v>
      </c>
      <c r="X120" s="239">
        <v>0</v>
      </c>
      <c r="Y120" s="239">
        <v>0</v>
      </c>
      <c r="Z120" s="239">
        <v>0</v>
      </c>
      <c r="AA120" s="239">
        <v>0</v>
      </c>
      <c r="AB120" s="239">
        <v>0</v>
      </c>
      <c r="AC120" s="239">
        <v>0</v>
      </c>
      <c r="AD120" s="239">
        <v>0</v>
      </c>
      <c r="AE120" s="239">
        <v>0</v>
      </c>
      <c r="AF120" s="239">
        <v>0</v>
      </c>
      <c r="AG120" s="239">
        <v>0</v>
      </c>
      <c r="AH120" s="239">
        <v>0</v>
      </c>
      <c r="AI120" s="239">
        <v>0</v>
      </c>
      <c r="AJ120" s="239">
        <v>0</v>
      </c>
      <c r="AK120" s="239">
        <v>618821.90826446284</v>
      </c>
      <c r="AL120" s="239">
        <v>139234.92935950411</v>
      </c>
      <c r="AM120" s="239">
        <v>15470.547706611571</v>
      </c>
      <c r="AN120" s="239">
        <v>572348</v>
      </c>
      <c r="AO120" s="239">
        <v>128778</v>
      </c>
      <c r="AP120" s="239">
        <v>14309</v>
      </c>
      <c r="AQ120" s="239">
        <v>46474</v>
      </c>
      <c r="AR120" s="239">
        <v>10457</v>
      </c>
      <c r="AS120" s="239">
        <v>1162</v>
      </c>
      <c r="AT120" s="239">
        <v>6724.6710743801659</v>
      </c>
      <c r="AU120" s="239">
        <v>1513.0509917355373</v>
      </c>
      <c r="AV120" s="239">
        <v>168.11677685950411</v>
      </c>
      <c r="AW120" s="239">
        <v>5882</v>
      </c>
      <c r="AX120" s="239">
        <v>1324</v>
      </c>
      <c r="AY120" s="239">
        <v>147</v>
      </c>
      <c r="AZ120" s="239">
        <v>843</v>
      </c>
      <c r="BA120" s="239">
        <v>189</v>
      </c>
      <c r="BB120" s="239">
        <v>21</v>
      </c>
      <c r="BC120" s="239">
        <v>0</v>
      </c>
      <c r="BD120" s="239">
        <v>0</v>
      </c>
      <c r="BE120" s="239">
        <v>0</v>
      </c>
      <c r="BF120" s="239">
        <v>8116</v>
      </c>
      <c r="BG120" s="239">
        <v>1826</v>
      </c>
      <c r="BH120" s="239">
        <v>203</v>
      </c>
      <c r="BI120" s="239">
        <v>-8116</v>
      </c>
      <c r="BJ120" s="239">
        <v>-1826</v>
      </c>
      <c r="BK120" s="239">
        <v>-203</v>
      </c>
      <c r="BL120" s="239">
        <v>818.46859504132237</v>
      </c>
      <c r="BM120" s="239">
        <v>184.15543388429751</v>
      </c>
      <c r="BN120" s="239">
        <v>20.46171487603306</v>
      </c>
      <c r="BO120" s="239">
        <v>8116</v>
      </c>
      <c r="BP120" s="239">
        <v>1826</v>
      </c>
      <c r="BQ120" s="239">
        <v>203</v>
      </c>
      <c r="BR120" s="239">
        <v>-7298</v>
      </c>
      <c r="BS120" s="239">
        <v>-1642</v>
      </c>
      <c r="BT120" s="239">
        <v>-183</v>
      </c>
      <c r="BU120" s="239">
        <v>5218.3966942148763</v>
      </c>
      <c r="BV120" s="239">
        <v>1174.1392561983471</v>
      </c>
      <c r="BW120" s="239">
        <v>130.45991735537191</v>
      </c>
      <c r="BX120" s="239">
        <v>0</v>
      </c>
      <c r="BY120" s="239">
        <v>0</v>
      </c>
      <c r="BZ120" s="239">
        <v>0</v>
      </c>
      <c r="CA120" s="239">
        <v>5218</v>
      </c>
      <c r="CB120" s="239">
        <v>1174</v>
      </c>
      <c r="CC120" s="239">
        <v>130</v>
      </c>
      <c r="CD120" s="239">
        <v>125.79338842975208</v>
      </c>
      <c r="CE120" s="239">
        <v>28.303512396694217</v>
      </c>
      <c r="CF120" s="239">
        <v>3.1448347107438019</v>
      </c>
      <c r="CG120" s="239">
        <v>0</v>
      </c>
      <c r="CH120" s="239">
        <v>0</v>
      </c>
      <c r="CI120" s="239">
        <v>0</v>
      </c>
      <c r="CJ120" s="239">
        <v>126</v>
      </c>
      <c r="CK120" s="239">
        <v>28</v>
      </c>
      <c r="CL120" s="239">
        <v>3</v>
      </c>
      <c r="CM120" s="239">
        <v>263.76033057851242</v>
      </c>
      <c r="CN120" s="239">
        <v>59.346074380165291</v>
      </c>
      <c r="CO120" s="239">
        <v>6.5940082644628104</v>
      </c>
      <c r="CP120" s="239">
        <v>811</v>
      </c>
      <c r="CQ120" s="239">
        <v>183</v>
      </c>
      <c r="CR120" s="239">
        <v>20</v>
      </c>
      <c r="CS120" s="239">
        <v>-547</v>
      </c>
      <c r="CT120" s="239">
        <v>-124</v>
      </c>
      <c r="CU120" s="239">
        <v>-13</v>
      </c>
      <c r="CV120" s="239">
        <v>157589.45537190084</v>
      </c>
      <c r="CW120" s="239">
        <v>35457.627458677678</v>
      </c>
      <c r="CX120" s="239">
        <v>3939.736384297521</v>
      </c>
      <c r="CY120" s="239">
        <v>158777</v>
      </c>
      <c r="CZ120" s="239">
        <v>35725</v>
      </c>
      <c r="DA120" s="239">
        <v>3969</v>
      </c>
      <c r="DB120" s="239">
        <v>-1188</v>
      </c>
      <c r="DC120" s="239">
        <v>-267</v>
      </c>
      <c r="DD120" s="239">
        <v>-29</v>
      </c>
      <c r="DE120" s="641">
        <v>0.5</v>
      </c>
      <c r="DF120" s="641">
        <v>0.4</v>
      </c>
      <c r="DG120" s="641">
        <v>0.09</v>
      </c>
      <c r="DH120" s="641">
        <v>0.01</v>
      </c>
      <c r="DI120" s="214" t="s">
        <v>1190</v>
      </c>
    </row>
    <row r="121" spans="1:113" s="214" customFormat="1" x14ac:dyDescent="0.2">
      <c r="B121" s="609" t="s">
        <v>324</v>
      </c>
      <c r="C121" s="609" t="s">
        <v>323</v>
      </c>
      <c r="D121" s="239">
        <v>-1539506</v>
      </c>
      <c r="E121" s="239">
        <v>0</v>
      </c>
      <c r="F121" s="239">
        <v>-1539506</v>
      </c>
      <c r="G121" s="239">
        <v>0</v>
      </c>
      <c r="H121" s="239">
        <v>0</v>
      </c>
      <c r="I121" s="239">
        <v>0</v>
      </c>
      <c r="J121" s="239">
        <v>-1539506</v>
      </c>
      <c r="K121" s="239">
        <v>0</v>
      </c>
      <c r="L121" s="239">
        <v>-1539506</v>
      </c>
      <c r="M121" s="239">
        <v>556007</v>
      </c>
      <c r="N121" s="239">
        <v>556007</v>
      </c>
      <c r="O121" s="239">
        <v>0</v>
      </c>
      <c r="P121" s="239">
        <v>0</v>
      </c>
      <c r="Q121" s="239">
        <v>0</v>
      </c>
      <c r="R121" s="239">
        <v>0</v>
      </c>
      <c r="S121" s="239">
        <v>0</v>
      </c>
      <c r="T121" s="239">
        <v>0</v>
      </c>
      <c r="U121" s="239">
        <v>0</v>
      </c>
      <c r="V121" s="239">
        <v>0</v>
      </c>
      <c r="W121" s="239">
        <v>0</v>
      </c>
      <c r="X121" s="239">
        <v>0</v>
      </c>
      <c r="Y121" s="239">
        <v>0</v>
      </c>
      <c r="Z121" s="239">
        <v>0</v>
      </c>
      <c r="AA121" s="239">
        <v>0</v>
      </c>
      <c r="AB121" s="239">
        <v>0</v>
      </c>
      <c r="AC121" s="239">
        <v>0</v>
      </c>
      <c r="AD121" s="239">
        <v>0</v>
      </c>
      <c r="AE121" s="239">
        <v>0</v>
      </c>
      <c r="AF121" s="239">
        <v>0</v>
      </c>
      <c r="AG121" s="239">
        <v>0</v>
      </c>
      <c r="AH121" s="239">
        <v>0</v>
      </c>
      <c r="AI121" s="239">
        <v>0</v>
      </c>
      <c r="AJ121" s="239">
        <v>0</v>
      </c>
      <c r="AK121" s="239">
        <v>415979.76508264465</v>
      </c>
      <c r="AL121" s="239">
        <v>277319.84338842978</v>
      </c>
      <c r="AM121" s="239">
        <v>0</v>
      </c>
      <c r="AN121" s="239">
        <v>348499</v>
      </c>
      <c r="AO121" s="239">
        <v>232333</v>
      </c>
      <c r="AP121" s="239">
        <v>0</v>
      </c>
      <c r="AQ121" s="239">
        <v>67481</v>
      </c>
      <c r="AR121" s="239">
        <v>44987</v>
      </c>
      <c r="AS121" s="239">
        <v>0</v>
      </c>
      <c r="AT121" s="239">
        <v>0</v>
      </c>
      <c r="AU121" s="239">
        <v>0</v>
      </c>
      <c r="AV121" s="239">
        <v>0</v>
      </c>
      <c r="AW121" s="239">
        <v>0</v>
      </c>
      <c r="AX121" s="239">
        <v>0</v>
      </c>
      <c r="AY121" s="239">
        <v>0</v>
      </c>
      <c r="AZ121" s="239">
        <v>0</v>
      </c>
      <c r="BA121" s="239">
        <v>0</v>
      </c>
      <c r="BB121" s="239">
        <v>0</v>
      </c>
      <c r="BC121" s="239">
        <v>0</v>
      </c>
      <c r="BD121" s="239">
        <v>0</v>
      </c>
      <c r="BE121" s="239">
        <v>0</v>
      </c>
      <c r="BF121" s="239">
        <v>107288</v>
      </c>
      <c r="BG121" s="239">
        <v>71525</v>
      </c>
      <c r="BH121" s="239">
        <v>0</v>
      </c>
      <c r="BI121" s="239">
        <v>-107288</v>
      </c>
      <c r="BJ121" s="239">
        <v>-71525</v>
      </c>
      <c r="BK121" s="239">
        <v>0</v>
      </c>
      <c r="BL121" s="239">
        <v>19498.076652892563</v>
      </c>
      <c r="BM121" s="239">
        <v>12998.717768595043</v>
      </c>
      <c r="BN121" s="239">
        <v>0</v>
      </c>
      <c r="BO121" s="239">
        <v>7389</v>
      </c>
      <c r="BP121" s="239">
        <v>4926</v>
      </c>
      <c r="BQ121" s="239">
        <v>0</v>
      </c>
      <c r="BR121" s="239">
        <v>12109</v>
      </c>
      <c r="BS121" s="239">
        <v>8073</v>
      </c>
      <c r="BT121" s="239">
        <v>0</v>
      </c>
      <c r="BU121" s="239">
        <v>19092.088636363635</v>
      </c>
      <c r="BV121" s="239">
        <v>12728.059090909092</v>
      </c>
      <c r="BW121" s="239">
        <v>0</v>
      </c>
      <c r="BX121" s="239">
        <v>0</v>
      </c>
      <c r="BY121" s="239">
        <v>0</v>
      </c>
      <c r="BZ121" s="239">
        <v>0</v>
      </c>
      <c r="CA121" s="239">
        <v>19092</v>
      </c>
      <c r="CB121" s="239">
        <v>12728</v>
      </c>
      <c r="CC121" s="239">
        <v>0</v>
      </c>
      <c r="CD121" s="239">
        <v>0</v>
      </c>
      <c r="CE121" s="239">
        <v>0</v>
      </c>
      <c r="CF121" s="239">
        <v>0</v>
      </c>
      <c r="CG121" s="239">
        <v>0</v>
      </c>
      <c r="CH121" s="239">
        <v>0</v>
      </c>
      <c r="CI121" s="239">
        <v>0</v>
      </c>
      <c r="CJ121" s="239">
        <v>0</v>
      </c>
      <c r="CK121" s="239">
        <v>0</v>
      </c>
      <c r="CL121" s="239">
        <v>0</v>
      </c>
      <c r="CM121" s="239">
        <v>0</v>
      </c>
      <c r="CN121" s="239">
        <v>0</v>
      </c>
      <c r="CO121" s="239">
        <v>0</v>
      </c>
      <c r="CP121" s="239">
        <v>0</v>
      </c>
      <c r="CQ121" s="239">
        <v>0</v>
      </c>
      <c r="CR121" s="239">
        <v>0</v>
      </c>
      <c r="CS121" s="239">
        <v>0</v>
      </c>
      <c r="CT121" s="239">
        <v>0</v>
      </c>
      <c r="CU121" s="239">
        <v>0</v>
      </c>
      <c r="CV121" s="239">
        <v>854756.69566115702</v>
      </c>
      <c r="CW121" s="239">
        <v>569837.79710743809</v>
      </c>
      <c r="CX121" s="239">
        <v>0</v>
      </c>
      <c r="CY121" s="239">
        <v>810725</v>
      </c>
      <c r="CZ121" s="239">
        <v>540483</v>
      </c>
      <c r="DA121" s="239">
        <v>0</v>
      </c>
      <c r="DB121" s="239">
        <v>44032</v>
      </c>
      <c r="DC121" s="239">
        <v>29355</v>
      </c>
      <c r="DD121" s="239">
        <v>0</v>
      </c>
      <c r="DE121" s="641">
        <v>0.5</v>
      </c>
      <c r="DF121" s="641">
        <v>0.3</v>
      </c>
      <c r="DG121" s="641">
        <v>0.2</v>
      </c>
      <c r="DH121" s="641">
        <v>0</v>
      </c>
      <c r="DI121" s="214" t="s">
        <v>1193</v>
      </c>
    </row>
    <row r="122" spans="1:113" s="214" customFormat="1" x14ac:dyDescent="0.2">
      <c r="B122" s="609" t="s">
        <v>326</v>
      </c>
      <c r="C122" s="609" t="s">
        <v>325</v>
      </c>
      <c r="D122" s="239">
        <v>-51722</v>
      </c>
      <c r="E122" s="239">
        <v>0</v>
      </c>
      <c r="F122" s="239">
        <v>-51722</v>
      </c>
      <c r="G122" s="239">
        <v>0</v>
      </c>
      <c r="H122" s="239">
        <v>0</v>
      </c>
      <c r="I122" s="239">
        <v>0</v>
      </c>
      <c r="J122" s="239">
        <v>-51722</v>
      </c>
      <c r="K122" s="239">
        <v>0</v>
      </c>
      <c r="L122" s="239">
        <v>-51722</v>
      </c>
      <c r="M122" s="239">
        <v>126674</v>
      </c>
      <c r="N122" s="239">
        <v>126674</v>
      </c>
      <c r="O122" s="239">
        <v>0</v>
      </c>
      <c r="P122" s="239">
        <v>0</v>
      </c>
      <c r="Q122" s="239">
        <v>0</v>
      </c>
      <c r="R122" s="239">
        <v>0</v>
      </c>
      <c r="S122" s="239">
        <v>21190</v>
      </c>
      <c r="T122" s="239">
        <v>0</v>
      </c>
      <c r="U122" s="239">
        <v>0</v>
      </c>
      <c r="V122" s="239">
        <v>0</v>
      </c>
      <c r="W122" s="239">
        <v>21190</v>
      </c>
      <c r="X122" s="239">
        <v>0</v>
      </c>
      <c r="Y122" s="239">
        <v>0</v>
      </c>
      <c r="Z122" s="239">
        <v>0</v>
      </c>
      <c r="AA122" s="239">
        <v>0</v>
      </c>
      <c r="AB122" s="239">
        <v>0</v>
      </c>
      <c r="AC122" s="239">
        <v>0</v>
      </c>
      <c r="AD122" s="239">
        <v>0</v>
      </c>
      <c r="AE122" s="239">
        <v>0</v>
      </c>
      <c r="AF122" s="239">
        <v>0</v>
      </c>
      <c r="AG122" s="239">
        <v>0</v>
      </c>
      <c r="AH122" s="239">
        <v>0</v>
      </c>
      <c r="AI122" s="239">
        <v>0</v>
      </c>
      <c r="AJ122" s="239">
        <v>0</v>
      </c>
      <c r="AK122" s="239">
        <v>416685.52685950411</v>
      </c>
      <c r="AL122" s="239">
        <v>93754.243543388424</v>
      </c>
      <c r="AM122" s="239">
        <v>10417.138171487604</v>
      </c>
      <c r="AN122" s="239">
        <v>363553</v>
      </c>
      <c r="AO122" s="239">
        <v>81800</v>
      </c>
      <c r="AP122" s="239">
        <v>9089</v>
      </c>
      <c r="AQ122" s="239">
        <v>53133</v>
      </c>
      <c r="AR122" s="239">
        <v>11954</v>
      </c>
      <c r="AS122" s="239">
        <v>1328</v>
      </c>
      <c r="AT122" s="239">
        <v>2190.8338842975209</v>
      </c>
      <c r="AU122" s="239">
        <v>492.93762396694211</v>
      </c>
      <c r="AV122" s="239">
        <v>54.770847107438023</v>
      </c>
      <c r="AW122" s="239">
        <v>1059</v>
      </c>
      <c r="AX122" s="239">
        <v>238</v>
      </c>
      <c r="AY122" s="239">
        <v>26</v>
      </c>
      <c r="AZ122" s="239">
        <v>1132</v>
      </c>
      <c r="BA122" s="239">
        <v>255</v>
      </c>
      <c r="BB122" s="239">
        <v>29</v>
      </c>
      <c r="BC122" s="239">
        <v>-2086.9528925619834</v>
      </c>
      <c r="BD122" s="239">
        <v>-469.56440082644622</v>
      </c>
      <c r="BE122" s="239">
        <v>-52.173822314049588</v>
      </c>
      <c r="BF122" s="239">
        <v>6086</v>
      </c>
      <c r="BG122" s="239">
        <v>1370</v>
      </c>
      <c r="BH122" s="239">
        <v>152</v>
      </c>
      <c r="BI122" s="239">
        <v>-8173</v>
      </c>
      <c r="BJ122" s="239">
        <v>-1840</v>
      </c>
      <c r="BK122" s="239">
        <v>-204</v>
      </c>
      <c r="BL122" s="239">
        <v>0</v>
      </c>
      <c r="BM122" s="239">
        <v>0</v>
      </c>
      <c r="BN122" s="239">
        <v>0</v>
      </c>
      <c r="BO122" s="239">
        <v>0</v>
      </c>
      <c r="BP122" s="239">
        <v>0</v>
      </c>
      <c r="BQ122" s="239">
        <v>0</v>
      </c>
      <c r="BR122" s="239">
        <v>0</v>
      </c>
      <c r="BS122" s="239">
        <v>0</v>
      </c>
      <c r="BT122" s="239">
        <v>0</v>
      </c>
      <c r="BU122" s="239">
        <v>435.00165289256205</v>
      </c>
      <c r="BV122" s="239">
        <v>97.875371900826451</v>
      </c>
      <c r="BW122" s="239">
        <v>10.875041322314051</v>
      </c>
      <c r="BX122" s="239">
        <v>0</v>
      </c>
      <c r="BY122" s="239">
        <v>0</v>
      </c>
      <c r="BZ122" s="239">
        <v>0</v>
      </c>
      <c r="CA122" s="239">
        <v>435</v>
      </c>
      <c r="CB122" s="239">
        <v>98</v>
      </c>
      <c r="CC122" s="239">
        <v>11</v>
      </c>
      <c r="CD122" s="239">
        <v>0</v>
      </c>
      <c r="CE122" s="239">
        <v>0</v>
      </c>
      <c r="CF122" s="239">
        <v>0</v>
      </c>
      <c r="CG122" s="239">
        <v>0</v>
      </c>
      <c r="CH122" s="239">
        <v>0</v>
      </c>
      <c r="CI122" s="239">
        <v>0</v>
      </c>
      <c r="CJ122" s="239">
        <v>0</v>
      </c>
      <c r="CK122" s="239">
        <v>0</v>
      </c>
      <c r="CL122" s="239">
        <v>0</v>
      </c>
      <c r="CM122" s="239">
        <v>1367.0900826446282</v>
      </c>
      <c r="CN122" s="239">
        <v>307.59526859504132</v>
      </c>
      <c r="CO122" s="239">
        <v>34.177252066115706</v>
      </c>
      <c r="CP122" s="239">
        <v>1409</v>
      </c>
      <c r="CQ122" s="239">
        <v>317</v>
      </c>
      <c r="CR122" s="239">
        <v>35</v>
      </c>
      <c r="CS122" s="239">
        <v>-42</v>
      </c>
      <c r="CT122" s="239">
        <v>-9</v>
      </c>
      <c r="CU122" s="239">
        <v>-1</v>
      </c>
      <c r="CV122" s="239">
        <v>232857.57438016529</v>
      </c>
      <c r="CW122" s="239">
        <v>52323.999173553711</v>
      </c>
      <c r="CX122" s="239">
        <v>5813.7776859504129</v>
      </c>
      <c r="CY122" s="239">
        <v>217794</v>
      </c>
      <c r="CZ122" s="239">
        <v>49004</v>
      </c>
      <c r="DA122" s="239">
        <v>5445</v>
      </c>
      <c r="DB122" s="239">
        <v>15064</v>
      </c>
      <c r="DC122" s="239">
        <v>3320</v>
      </c>
      <c r="DD122" s="239">
        <v>369</v>
      </c>
      <c r="DE122" s="641">
        <v>0.5</v>
      </c>
      <c r="DF122" s="641">
        <v>0.4</v>
      </c>
      <c r="DG122" s="641">
        <v>0.09</v>
      </c>
      <c r="DH122" s="641">
        <v>0.01</v>
      </c>
      <c r="DI122" s="214" t="s">
        <v>1190</v>
      </c>
    </row>
    <row r="123" spans="1:113" s="214" customFormat="1" x14ac:dyDescent="0.2">
      <c r="B123" s="609" t="s">
        <v>328</v>
      </c>
      <c r="C123" s="609" t="s">
        <v>327</v>
      </c>
      <c r="D123" s="239">
        <v>-367676</v>
      </c>
      <c r="E123" s="239">
        <v>0</v>
      </c>
      <c r="F123" s="239">
        <v>-367676</v>
      </c>
      <c r="G123" s="239">
        <v>0</v>
      </c>
      <c r="H123" s="239">
        <v>0</v>
      </c>
      <c r="I123" s="239">
        <v>0</v>
      </c>
      <c r="J123" s="239">
        <v>-367676</v>
      </c>
      <c r="K123" s="239">
        <v>0</v>
      </c>
      <c r="L123" s="239">
        <v>-367676</v>
      </c>
      <c r="M123" s="239">
        <v>305922</v>
      </c>
      <c r="N123" s="239">
        <v>305922</v>
      </c>
      <c r="O123" s="239">
        <v>0</v>
      </c>
      <c r="P123" s="239">
        <v>0</v>
      </c>
      <c r="Q123" s="239">
        <v>0</v>
      </c>
      <c r="R123" s="239">
        <v>0</v>
      </c>
      <c r="S123" s="239">
        <v>0</v>
      </c>
      <c r="T123" s="239">
        <v>0</v>
      </c>
      <c r="U123" s="239">
        <v>0</v>
      </c>
      <c r="V123" s="239">
        <v>0</v>
      </c>
      <c r="W123" s="239">
        <v>0</v>
      </c>
      <c r="X123" s="239">
        <v>0</v>
      </c>
      <c r="Y123" s="239">
        <v>0</v>
      </c>
      <c r="Z123" s="239">
        <v>0</v>
      </c>
      <c r="AA123" s="239">
        <v>0</v>
      </c>
      <c r="AB123" s="239">
        <v>0</v>
      </c>
      <c r="AC123" s="239">
        <v>0</v>
      </c>
      <c r="AD123" s="239">
        <v>0</v>
      </c>
      <c r="AE123" s="239">
        <v>0</v>
      </c>
      <c r="AF123" s="239">
        <v>0</v>
      </c>
      <c r="AG123" s="239">
        <v>0</v>
      </c>
      <c r="AH123" s="239">
        <v>0</v>
      </c>
      <c r="AI123" s="239">
        <v>0</v>
      </c>
      <c r="AJ123" s="239">
        <v>0</v>
      </c>
      <c r="AK123" s="239">
        <v>732306.6672520662</v>
      </c>
      <c r="AL123" s="239">
        <v>488204.4448347108</v>
      </c>
      <c r="AM123" s="239">
        <v>0</v>
      </c>
      <c r="AN123" s="239">
        <v>663190</v>
      </c>
      <c r="AO123" s="239">
        <v>442126</v>
      </c>
      <c r="AP123" s="239">
        <v>0</v>
      </c>
      <c r="AQ123" s="239">
        <v>69117</v>
      </c>
      <c r="AR123" s="239">
        <v>46078</v>
      </c>
      <c r="AS123" s="239">
        <v>0</v>
      </c>
      <c r="AT123" s="239">
        <v>3190.3840909090909</v>
      </c>
      <c r="AU123" s="239">
        <v>2126.9227272727271</v>
      </c>
      <c r="AV123" s="239">
        <v>0</v>
      </c>
      <c r="AW123" s="239">
        <v>0</v>
      </c>
      <c r="AX123" s="239">
        <v>0</v>
      </c>
      <c r="AY123" s="239">
        <v>0</v>
      </c>
      <c r="AZ123" s="239">
        <v>3190</v>
      </c>
      <c r="BA123" s="239">
        <v>2127</v>
      </c>
      <c r="BB123" s="239">
        <v>0</v>
      </c>
      <c r="BC123" s="239">
        <v>27651.009917355375</v>
      </c>
      <c r="BD123" s="239">
        <v>18434.00661157025</v>
      </c>
      <c r="BE123" s="239">
        <v>0</v>
      </c>
      <c r="BF123" s="239">
        <v>25525</v>
      </c>
      <c r="BG123" s="239">
        <v>17016</v>
      </c>
      <c r="BH123" s="239">
        <v>0</v>
      </c>
      <c r="BI123" s="239">
        <v>2126</v>
      </c>
      <c r="BJ123" s="239">
        <v>1418</v>
      </c>
      <c r="BK123" s="239">
        <v>0</v>
      </c>
      <c r="BL123" s="239">
        <v>5764.7863636363636</v>
      </c>
      <c r="BM123" s="239">
        <v>3843.1909090909094</v>
      </c>
      <c r="BN123" s="239">
        <v>0</v>
      </c>
      <c r="BO123" s="239">
        <v>5637</v>
      </c>
      <c r="BP123" s="239">
        <v>3758</v>
      </c>
      <c r="BQ123" s="239">
        <v>0</v>
      </c>
      <c r="BR123" s="239">
        <v>128</v>
      </c>
      <c r="BS123" s="239">
        <v>85</v>
      </c>
      <c r="BT123" s="239">
        <v>0</v>
      </c>
      <c r="BU123" s="239">
        <v>-8453.6200413223141</v>
      </c>
      <c r="BV123" s="239">
        <v>-5635.7466942148767</v>
      </c>
      <c r="BW123" s="239">
        <v>0</v>
      </c>
      <c r="BX123" s="239">
        <v>0</v>
      </c>
      <c r="BY123" s="239">
        <v>0</v>
      </c>
      <c r="BZ123" s="239">
        <v>0</v>
      </c>
      <c r="CA123" s="239">
        <v>-8454</v>
      </c>
      <c r="CB123" s="239">
        <v>-5636</v>
      </c>
      <c r="CC123" s="239">
        <v>0</v>
      </c>
      <c r="CD123" s="239">
        <v>0</v>
      </c>
      <c r="CE123" s="239">
        <v>0</v>
      </c>
      <c r="CF123" s="239">
        <v>0</v>
      </c>
      <c r="CG123" s="239">
        <v>0</v>
      </c>
      <c r="CH123" s="239">
        <v>0</v>
      </c>
      <c r="CI123" s="239">
        <v>0</v>
      </c>
      <c r="CJ123" s="239">
        <v>0</v>
      </c>
      <c r="CK123" s="239">
        <v>0</v>
      </c>
      <c r="CL123" s="239">
        <v>0</v>
      </c>
      <c r="CM123" s="239">
        <v>0</v>
      </c>
      <c r="CN123" s="239">
        <v>0</v>
      </c>
      <c r="CO123" s="239">
        <v>0</v>
      </c>
      <c r="CP123" s="239">
        <v>0</v>
      </c>
      <c r="CQ123" s="239">
        <v>0</v>
      </c>
      <c r="CR123" s="239">
        <v>0</v>
      </c>
      <c r="CS123" s="239">
        <v>0</v>
      </c>
      <c r="CT123" s="239">
        <v>0</v>
      </c>
      <c r="CU123" s="239">
        <v>0</v>
      </c>
      <c r="CV123" s="239">
        <v>295793.4867768595</v>
      </c>
      <c r="CW123" s="239">
        <v>197195.6578512397</v>
      </c>
      <c r="CX123" s="239">
        <v>0</v>
      </c>
      <c r="CY123" s="239">
        <v>286894</v>
      </c>
      <c r="CZ123" s="239">
        <v>191263</v>
      </c>
      <c r="DA123" s="239">
        <v>0</v>
      </c>
      <c r="DB123" s="239">
        <v>8899</v>
      </c>
      <c r="DC123" s="239">
        <v>5933</v>
      </c>
      <c r="DD123" s="239">
        <v>0</v>
      </c>
      <c r="DE123" s="641">
        <v>0.5</v>
      </c>
      <c r="DF123" s="641">
        <v>0.3</v>
      </c>
      <c r="DG123" s="641">
        <v>0.2</v>
      </c>
      <c r="DH123" s="641">
        <v>0</v>
      </c>
      <c r="DI123" s="214" t="s">
        <v>1191</v>
      </c>
    </row>
    <row r="124" spans="1:113" s="214" customFormat="1" x14ac:dyDescent="0.2">
      <c r="B124" s="609" t="s">
        <v>330</v>
      </c>
      <c r="C124" s="609" t="s">
        <v>329</v>
      </c>
      <c r="D124" s="239">
        <v>-44151</v>
      </c>
      <c r="E124" s="239">
        <v>0</v>
      </c>
      <c r="F124" s="239">
        <v>-44151</v>
      </c>
      <c r="G124" s="239">
        <v>0</v>
      </c>
      <c r="H124" s="239">
        <v>0</v>
      </c>
      <c r="I124" s="239">
        <v>0</v>
      </c>
      <c r="J124" s="239">
        <v>-44151</v>
      </c>
      <c r="K124" s="239">
        <v>0</v>
      </c>
      <c r="L124" s="239">
        <v>-44151</v>
      </c>
      <c r="M124" s="239">
        <v>121903</v>
      </c>
      <c r="N124" s="239">
        <v>121903</v>
      </c>
      <c r="O124" s="239">
        <v>0</v>
      </c>
      <c r="P124" s="239">
        <v>0</v>
      </c>
      <c r="Q124" s="239">
        <v>0</v>
      </c>
      <c r="R124" s="239">
        <v>0</v>
      </c>
      <c r="S124" s="239">
        <v>0</v>
      </c>
      <c r="T124" s="239">
        <v>0</v>
      </c>
      <c r="U124" s="239">
        <v>0</v>
      </c>
      <c r="V124" s="239">
        <v>0</v>
      </c>
      <c r="W124" s="239">
        <v>0</v>
      </c>
      <c r="X124" s="239">
        <v>0</v>
      </c>
      <c r="Y124" s="239">
        <v>0</v>
      </c>
      <c r="Z124" s="239">
        <v>0</v>
      </c>
      <c r="AA124" s="239">
        <v>0</v>
      </c>
      <c r="AB124" s="239">
        <v>0</v>
      </c>
      <c r="AC124" s="239">
        <v>0</v>
      </c>
      <c r="AD124" s="239">
        <v>0</v>
      </c>
      <c r="AE124" s="239">
        <v>0</v>
      </c>
      <c r="AF124" s="239">
        <v>0</v>
      </c>
      <c r="AG124" s="239">
        <v>0</v>
      </c>
      <c r="AH124" s="239">
        <v>0</v>
      </c>
      <c r="AI124" s="239">
        <v>0</v>
      </c>
      <c r="AJ124" s="239">
        <v>0</v>
      </c>
      <c r="AK124" s="239">
        <v>216815.04958677688</v>
      </c>
      <c r="AL124" s="239">
        <v>44047.341167355371</v>
      </c>
      <c r="AM124" s="239">
        <v>4894.1490185950415</v>
      </c>
      <c r="AN124" s="239">
        <v>198221</v>
      </c>
      <c r="AO124" s="239">
        <v>39714</v>
      </c>
      <c r="AP124" s="239">
        <v>4413</v>
      </c>
      <c r="AQ124" s="239">
        <v>18594</v>
      </c>
      <c r="AR124" s="239">
        <v>4333</v>
      </c>
      <c r="AS124" s="239">
        <v>481</v>
      </c>
      <c r="AT124" s="239">
        <v>0</v>
      </c>
      <c r="AU124" s="239">
        <v>0</v>
      </c>
      <c r="AV124" s="239">
        <v>0</v>
      </c>
      <c r="AW124" s="239">
        <v>0</v>
      </c>
      <c r="AX124" s="239">
        <v>0</v>
      </c>
      <c r="AY124" s="239">
        <v>0</v>
      </c>
      <c r="AZ124" s="239">
        <v>0</v>
      </c>
      <c r="BA124" s="239">
        <v>0</v>
      </c>
      <c r="BB124" s="239">
        <v>0</v>
      </c>
      <c r="BC124" s="239">
        <v>-185.44380165289257</v>
      </c>
      <c r="BD124" s="239">
        <v>-41.724855371900823</v>
      </c>
      <c r="BE124" s="239">
        <v>-4.6360950413223136</v>
      </c>
      <c r="BF124" s="239">
        <v>0</v>
      </c>
      <c r="BG124" s="239">
        <v>0</v>
      </c>
      <c r="BH124" s="239">
        <v>0</v>
      </c>
      <c r="BI124" s="239">
        <v>-185</v>
      </c>
      <c r="BJ124" s="239">
        <v>-42</v>
      </c>
      <c r="BK124" s="239">
        <v>-5</v>
      </c>
      <c r="BL124" s="239">
        <v>0</v>
      </c>
      <c r="BM124" s="239">
        <v>0</v>
      </c>
      <c r="BN124" s="239">
        <v>0</v>
      </c>
      <c r="BO124" s="239">
        <v>0</v>
      </c>
      <c r="BP124" s="239">
        <v>0</v>
      </c>
      <c r="BQ124" s="239">
        <v>0</v>
      </c>
      <c r="BR124" s="239">
        <v>0</v>
      </c>
      <c r="BS124" s="239">
        <v>0</v>
      </c>
      <c r="BT124" s="239">
        <v>0</v>
      </c>
      <c r="BU124" s="239">
        <v>997.01404958677688</v>
      </c>
      <c r="BV124" s="239">
        <v>224.32816115702479</v>
      </c>
      <c r="BW124" s="239">
        <v>24.925351239669421</v>
      </c>
      <c r="BX124" s="239">
        <v>0</v>
      </c>
      <c r="BY124" s="239">
        <v>0</v>
      </c>
      <c r="BZ124" s="239">
        <v>0</v>
      </c>
      <c r="CA124" s="239">
        <v>997</v>
      </c>
      <c r="CB124" s="239">
        <v>224</v>
      </c>
      <c r="CC124" s="239">
        <v>25</v>
      </c>
      <c r="CD124" s="239">
        <v>0</v>
      </c>
      <c r="CE124" s="239">
        <v>0</v>
      </c>
      <c r="CF124" s="239">
        <v>0</v>
      </c>
      <c r="CG124" s="239">
        <v>0</v>
      </c>
      <c r="CH124" s="239">
        <v>0</v>
      </c>
      <c r="CI124" s="239">
        <v>0</v>
      </c>
      <c r="CJ124" s="239">
        <v>0</v>
      </c>
      <c r="CK124" s="239">
        <v>0</v>
      </c>
      <c r="CL124" s="239">
        <v>0</v>
      </c>
      <c r="CM124" s="239">
        <v>2084.5181818181823</v>
      </c>
      <c r="CN124" s="239">
        <v>469.01659090909095</v>
      </c>
      <c r="CO124" s="239">
        <v>52.112954545454549</v>
      </c>
      <c r="CP124" s="239">
        <v>2085</v>
      </c>
      <c r="CQ124" s="239">
        <v>469</v>
      </c>
      <c r="CR124" s="239">
        <v>52</v>
      </c>
      <c r="CS124" s="239">
        <v>0</v>
      </c>
      <c r="CT124" s="239">
        <v>0</v>
      </c>
      <c r="CU124" s="239">
        <v>0</v>
      </c>
      <c r="CV124" s="239">
        <v>274954.39421487605</v>
      </c>
      <c r="CW124" s="239">
        <v>61864.738698347108</v>
      </c>
      <c r="CX124" s="239">
        <v>6873.8598553719003</v>
      </c>
      <c r="CY124" s="239">
        <v>276888</v>
      </c>
      <c r="CZ124" s="239">
        <v>62300</v>
      </c>
      <c r="DA124" s="239">
        <v>6922</v>
      </c>
      <c r="DB124" s="239">
        <v>-1934</v>
      </c>
      <c r="DC124" s="239">
        <v>-435</v>
      </c>
      <c r="DD124" s="239">
        <v>-48</v>
      </c>
      <c r="DE124" s="641">
        <v>0.5</v>
      </c>
      <c r="DF124" s="641">
        <v>0.4</v>
      </c>
      <c r="DG124" s="641">
        <v>0.09</v>
      </c>
      <c r="DH124" s="641">
        <v>0.01</v>
      </c>
      <c r="DI124" s="214" t="s">
        <v>1190</v>
      </c>
    </row>
    <row r="125" spans="1:113" s="214" customFormat="1" x14ac:dyDescent="0.2">
      <c r="B125" s="609" t="s">
        <v>332</v>
      </c>
      <c r="C125" s="609" t="s">
        <v>331</v>
      </c>
      <c r="D125" s="239">
        <v>-51333</v>
      </c>
      <c r="E125" s="239">
        <v>0</v>
      </c>
      <c r="F125" s="239">
        <v>-51333</v>
      </c>
      <c r="G125" s="239">
        <v>0</v>
      </c>
      <c r="H125" s="239">
        <v>0</v>
      </c>
      <c r="I125" s="239">
        <v>0</v>
      </c>
      <c r="J125" s="239">
        <v>-51333</v>
      </c>
      <c r="K125" s="239">
        <v>0</v>
      </c>
      <c r="L125" s="239">
        <v>-51333</v>
      </c>
      <c r="M125" s="239">
        <v>287378</v>
      </c>
      <c r="N125" s="239">
        <v>287378</v>
      </c>
      <c r="O125" s="239">
        <v>0</v>
      </c>
      <c r="P125" s="239">
        <v>0</v>
      </c>
      <c r="Q125" s="239">
        <v>0</v>
      </c>
      <c r="R125" s="239">
        <v>0</v>
      </c>
      <c r="S125" s="239">
        <v>0</v>
      </c>
      <c r="T125" s="239">
        <v>0</v>
      </c>
      <c r="U125" s="239">
        <v>0</v>
      </c>
      <c r="V125" s="239">
        <v>0</v>
      </c>
      <c r="W125" s="239">
        <v>0</v>
      </c>
      <c r="X125" s="239">
        <v>0</v>
      </c>
      <c r="Y125" s="239">
        <v>0</v>
      </c>
      <c r="Z125" s="239">
        <v>0</v>
      </c>
      <c r="AA125" s="239">
        <v>0</v>
      </c>
      <c r="AB125" s="239">
        <v>0</v>
      </c>
      <c r="AC125" s="239">
        <v>0</v>
      </c>
      <c r="AD125" s="239">
        <v>0</v>
      </c>
      <c r="AE125" s="239">
        <v>0</v>
      </c>
      <c r="AF125" s="239">
        <v>0</v>
      </c>
      <c r="AG125" s="239">
        <v>0</v>
      </c>
      <c r="AH125" s="239">
        <v>0</v>
      </c>
      <c r="AI125" s="239">
        <v>0</v>
      </c>
      <c r="AJ125" s="239">
        <v>0</v>
      </c>
      <c r="AK125" s="239">
        <v>1106052.3673553718</v>
      </c>
      <c r="AL125" s="239">
        <v>248861.78265495866</v>
      </c>
      <c r="AM125" s="239">
        <v>27651.309183884296</v>
      </c>
      <c r="AN125" s="239">
        <v>996571</v>
      </c>
      <c r="AO125" s="239">
        <v>224228</v>
      </c>
      <c r="AP125" s="239">
        <v>24914</v>
      </c>
      <c r="AQ125" s="239">
        <v>109481</v>
      </c>
      <c r="AR125" s="239">
        <v>24634</v>
      </c>
      <c r="AS125" s="239">
        <v>2737</v>
      </c>
      <c r="AT125" s="239">
        <v>2790.1785123966947</v>
      </c>
      <c r="AU125" s="239">
        <v>627.79016528925615</v>
      </c>
      <c r="AV125" s="239">
        <v>69.754462809917356</v>
      </c>
      <c r="AW125" s="239">
        <v>724</v>
      </c>
      <c r="AX125" s="239">
        <v>163</v>
      </c>
      <c r="AY125" s="239">
        <v>18</v>
      </c>
      <c r="AZ125" s="239">
        <v>2066</v>
      </c>
      <c r="BA125" s="239">
        <v>465</v>
      </c>
      <c r="BB125" s="239">
        <v>52</v>
      </c>
      <c r="BC125" s="239">
        <v>61093.790909090909</v>
      </c>
      <c r="BD125" s="239">
        <v>13746.102954545455</v>
      </c>
      <c r="BE125" s="239">
        <v>1527.3447727272728</v>
      </c>
      <c r="BF125" s="239">
        <v>14070</v>
      </c>
      <c r="BG125" s="239">
        <v>3166</v>
      </c>
      <c r="BH125" s="239">
        <v>352</v>
      </c>
      <c r="BI125" s="239">
        <v>47024</v>
      </c>
      <c r="BJ125" s="239">
        <v>10580</v>
      </c>
      <c r="BK125" s="239">
        <v>1175</v>
      </c>
      <c r="BL125" s="239">
        <v>23665.794214876034</v>
      </c>
      <c r="BM125" s="239">
        <v>5324.8036983471075</v>
      </c>
      <c r="BN125" s="239">
        <v>591.6448553719008</v>
      </c>
      <c r="BO125" s="239">
        <v>6636</v>
      </c>
      <c r="BP125" s="239">
        <v>1493</v>
      </c>
      <c r="BQ125" s="239">
        <v>166</v>
      </c>
      <c r="BR125" s="239">
        <v>17030</v>
      </c>
      <c r="BS125" s="239">
        <v>3832</v>
      </c>
      <c r="BT125" s="239">
        <v>426</v>
      </c>
      <c r="BU125" s="239">
        <v>1878.3793388429754</v>
      </c>
      <c r="BV125" s="239">
        <v>422.63535123966943</v>
      </c>
      <c r="BW125" s="239">
        <v>46.959483471074385</v>
      </c>
      <c r="BX125" s="239">
        <v>0</v>
      </c>
      <c r="BY125" s="239">
        <v>0</v>
      </c>
      <c r="BZ125" s="239">
        <v>0</v>
      </c>
      <c r="CA125" s="239">
        <v>1878</v>
      </c>
      <c r="CB125" s="239">
        <v>423</v>
      </c>
      <c r="CC125" s="239">
        <v>47</v>
      </c>
      <c r="CD125" s="239">
        <v>-2184.3413223140496</v>
      </c>
      <c r="CE125" s="239">
        <v>-491.47679752066114</v>
      </c>
      <c r="CF125" s="239">
        <v>-54.60853305785124</v>
      </c>
      <c r="CG125" s="239">
        <v>0</v>
      </c>
      <c r="CH125" s="239">
        <v>0</v>
      </c>
      <c r="CI125" s="239">
        <v>0</v>
      </c>
      <c r="CJ125" s="239">
        <v>-2184</v>
      </c>
      <c r="CK125" s="239">
        <v>-491</v>
      </c>
      <c r="CL125" s="239">
        <v>-55</v>
      </c>
      <c r="CM125" s="239">
        <v>-1057.0702479338847</v>
      </c>
      <c r="CN125" s="239">
        <v>-237.84080578512408</v>
      </c>
      <c r="CO125" s="239">
        <v>-26.426756198347121</v>
      </c>
      <c r="CP125" s="239">
        <v>8285</v>
      </c>
      <c r="CQ125" s="239">
        <v>1864</v>
      </c>
      <c r="CR125" s="239">
        <v>207</v>
      </c>
      <c r="CS125" s="239">
        <v>-9342</v>
      </c>
      <c r="CT125" s="239">
        <v>-2102</v>
      </c>
      <c r="CU125" s="239">
        <v>-233</v>
      </c>
      <c r="CV125" s="239">
        <v>362005.00578512397</v>
      </c>
      <c r="CW125" s="239">
        <v>81451.126301652883</v>
      </c>
      <c r="CX125" s="239">
        <v>9050.1251446281003</v>
      </c>
      <c r="CY125" s="239">
        <v>357977</v>
      </c>
      <c r="CZ125" s="239">
        <v>80545</v>
      </c>
      <c r="DA125" s="239">
        <v>8949</v>
      </c>
      <c r="DB125" s="239">
        <v>4028</v>
      </c>
      <c r="DC125" s="239">
        <v>906</v>
      </c>
      <c r="DD125" s="239">
        <v>101</v>
      </c>
      <c r="DE125" s="641">
        <v>0.5</v>
      </c>
      <c r="DF125" s="641">
        <v>0.4</v>
      </c>
      <c r="DG125" s="641">
        <v>0.09</v>
      </c>
      <c r="DH125" s="641">
        <v>0.01</v>
      </c>
      <c r="DI125" s="214" t="s">
        <v>1190</v>
      </c>
    </row>
    <row r="126" spans="1:113" s="214" customFormat="1" x14ac:dyDescent="0.2">
      <c r="B126" s="609" t="s">
        <v>334</v>
      </c>
      <c r="C126" s="609" t="s">
        <v>333</v>
      </c>
      <c r="D126" s="239">
        <v>-21331</v>
      </c>
      <c r="E126" s="239">
        <v>0</v>
      </c>
      <c r="F126" s="239">
        <v>-21331</v>
      </c>
      <c r="G126" s="239">
        <v>0</v>
      </c>
      <c r="H126" s="239">
        <v>0</v>
      </c>
      <c r="I126" s="239">
        <v>0</v>
      </c>
      <c r="J126" s="239">
        <v>-21331</v>
      </c>
      <c r="K126" s="239">
        <v>0</v>
      </c>
      <c r="L126" s="239">
        <v>-21331</v>
      </c>
      <c r="M126" s="239">
        <v>248795</v>
      </c>
      <c r="N126" s="239">
        <v>248795</v>
      </c>
      <c r="O126" s="239">
        <v>0</v>
      </c>
      <c r="P126" s="239">
        <v>0</v>
      </c>
      <c r="Q126" s="239">
        <v>0</v>
      </c>
      <c r="R126" s="239">
        <v>0</v>
      </c>
      <c r="S126" s="239">
        <v>0</v>
      </c>
      <c r="T126" s="239">
        <v>0</v>
      </c>
      <c r="U126" s="239">
        <v>0</v>
      </c>
      <c r="V126" s="239">
        <v>0</v>
      </c>
      <c r="W126" s="239">
        <v>0</v>
      </c>
      <c r="X126" s="239">
        <v>0</v>
      </c>
      <c r="Y126" s="239">
        <v>0</v>
      </c>
      <c r="Z126" s="239">
        <v>0</v>
      </c>
      <c r="AA126" s="239">
        <v>0</v>
      </c>
      <c r="AB126" s="239">
        <v>0</v>
      </c>
      <c r="AC126" s="239">
        <v>0</v>
      </c>
      <c r="AD126" s="239">
        <v>0</v>
      </c>
      <c r="AE126" s="239">
        <v>0</v>
      </c>
      <c r="AF126" s="239">
        <v>0</v>
      </c>
      <c r="AG126" s="239">
        <v>0</v>
      </c>
      <c r="AH126" s="239">
        <v>0</v>
      </c>
      <c r="AI126" s="239">
        <v>0</v>
      </c>
      <c r="AJ126" s="239">
        <v>0</v>
      </c>
      <c r="AK126" s="239">
        <v>521127.00929752062</v>
      </c>
      <c r="AL126" s="239">
        <v>347418.00619834714</v>
      </c>
      <c r="AM126" s="239">
        <v>0</v>
      </c>
      <c r="AN126" s="239">
        <v>475377</v>
      </c>
      <c r="AO126" s="239">
        <v>316918</v>
      </c>
      <c r="AP126" s="239">
        <v>0</v>
      </c>
      <c r="AQ126" s="239">
        <v>45750</v>
      </c>
      <c r="AR126" s="239">
        <v>30500</v>
      </c>
      <c r="AS126" s="239">
        <v>0</v>
      </c>
      <c r="AT126" s="239">
        <v>0</v>
      </c>
      <c r="AU126" s="239">
        <v>0</v>
      </c>
      <c r="AV126" s="239">
        <v>0</v>
      </c>
      <c r="AW126" s="239">
        <v>0</v>
      </c>
      <c r="AX126" s="239">
        <v>0</v>
      </c>
      <c r="AY126" s="239">
        <v>0</v>
      </c>
      <c r="AZ126" s="239">
        <v>0</v>
      </c>
      <c r="BA126" s="239">
        <v>0</v>
      </c>
      <c r="BB126" s="239">
        <v>0</v>
      </c>
      <c r="BC126" s="239">
        <v>0</v>
      </c>
      <c r="BD126" s="239">
        <v>0</v>
      </c>
      <c r="BE126" s="239">
        <v>0</v>
      </c>
      <c r="BF126" s="239">
        <v>0</v>
      </c>
      <c r="BG126" s="239">
        <v>0</v>
      </c>
      <c r="BH126" s="239">
        <v>0</v>
      </c>
      <c r="BI126" s="239">
        <v>0</v>
      </c>
      <c r="BJ126" s="239">
        <v>0</v>
      </c>
      <c r="BK126" s="239">
        <v>0</v>
      </c>
      <c r="BL126" s="239">
        <v>0</v>
      </c>
      <c r="BM126" s="239">
        <v>0</v>
      </c>
      <c r="BN126" s="239">
        <v>0</v>
      </c>
      <c r="BO126" s="239">
        <v>0</v>
      </c>
      <c r="BP126" s="239">
        <v>0</v>
      </c>
      <c r="BQ126" s="239">
        <v>0</v>
      </c>
      <c r="BR126" s="239">
        <v>0</v>
      </c>
      <c r="BS126" s="239">
        <v>0</v>
      </c>
      <c r="BT126" s="239">
        <v>0</v>
      </c>
      <c r="BU126" s="239">
        <v>5346.0161157024795</v>
      </c>
      <c r="BV126" s="239">
        <v>3564.010743801653</v>
      </c>
      <c r="BW126" s="239">
        <v>0</v>
      </c>
      <c r="BX126" s="239">
        <v>0</v>
      </c>
      <c r="BY126" s="239">
        <v>0</v>
      </c>
      <c r="BZ126" s="239">
        <v>0</v>
      </c>
      <c r="CA126" s="239">
        <v>5346</v>
      </c>
      <c r="CB126" s="239">
        <v>3564</v>
      </c>
      <c r="CC126" s="239">
        <v>0</v>
      </c>
      <c r="CD126" s="239">
        <v>0</v>
      </c>
      <c r="CE126" s="239">
        <v>0</v>
      </c>
      <c r="CF126" s="239">
        <v>0</v>
      </c>
      <c r="CG126" s="239">
        <v>0</v>
      </c>
      <c r="CH126" s="239">
        <v>0</v>
      </c>
      <c r="CI126" s="239">
        <v>0</v>
      </c>
      <c r="CJ126" s="239">
        <v>0</v>
      </c>
      <c r="CK126" s="239">
        <v>0</v>
      </c>
      <c r="CL126" s="239">
        <v>0</v>
      </c>
      <c r="CM126" s="239">
        <v>0</v>
      </c>
      <c r="CN126" s="239">
        <v>0</v>
      </c>
      <c r="CO126" s="239">
        <v>0</v>
      </c>
      <c r="CP126" s="239">
        <v>0</v>
      </c>
      <c r="CQ126" s="239">
        <v>0</v>
      </c>
      <c r="CR126" s="239">
        <v>0</v>
      </c>
      <c r="CS126" s="239">
        <v>0</v>
      </c>
      <c r="CT126" s="239">
        <v>0</v>
      </c>
      <c r="CU126" s="239">
        <v>0</v>
      </c>
      <c r="CV126" s="239">
        <v>198198.04338842974</v>
      </c>
      <c r="CW126" s="239">
        <v>132132.02892561984</v>
      </c>
      <c r="CX126" s="239">
        <v>0</v>
      </c>
      <c r="CY126" s="239">
        <v>190748</v>
      </c>
      <c r="CZ126" s="239">
        <v>127165</v>
      </c>
      <c r="DA126" s="239">
        <v>0</v>
      </c>
      <c r="DB126" s="239">
        <v>7450</v>
      </c>
      <c r="DC126" s="239">
        <v>4967</v>
      </c>
      <c r="DD126" s="239">
        <v>0</v>
      </c>
      <c r="DE126" s="641">
        <v>0.5</v>
      </c>
      <c r="DF126" s="641">
        <v>0.3</v>
      </c>
      <c r="DG126" s="641">
        <v>0.2</v>
      </c>
      <c r="DH126" s="641">
        <v>0</v>
      </c>
      <c r="DI126" s="214" t="s">
        <v>1191</v>
      </c>
    </row>
    <row r="127" spans="1:113" s="214" customFormat="1" x14ac:dyDescent="0.2">
      <c r="B127" s="609" t="s">
        <v>336</v>
      </c>
      <c r="C127" s="609" t="s">
        <v>335</v>
      </c>
      <c r="D127" s="239">
        <v>-827648</v>
      </c>
      <c r="E127" s="239">
        <v>0</v>
      </c>
      <c r="F127" s="239">
        <v>-827648</v>
      </c>
      <c r="G127" s="239">
        <v>0</v>
      </c>
      <c r="H127" s="239">
        <v>0</v>
      </c>
      <c r="I127" s="239">
        <v>0</v>
      </c>
      <c r="J127" s="239">
        <v>-827648</v>
      </c>
      <c r="K127" s="239">
        <v>0</v>
      </c>
      <c r="L127" s="239">
        <v>-827648</v>
      </c>
      <c r="M127" s="239">
        <v>98299</v>
      </c>
      <c r="N127" s="239">
        <v>98299</v>
      </c>
      <c r="O127" s="239">
        <v>0</v>
      </c>
      <c r="P127" s="239">
        <v>0</v>
      </c>
      <c r="Q127" s="239">
        <v>0</v>
      </c>
      <c r="R127" s="239">
        <v>0</v>
      </c>
      <c r="S127" s="239">
        <v>0</v>
      </c>
      <c r="T127" s="239">
        <v>0</v>
      </c>
      <c r="U127" s="239">
        <v>0</v>
      </c>
      <c r="V127" s="239">
        <v>0</v>
      </c>
      <c r="W127" s="239">
        <v>0</v>
      </c>
      <c r="X127" s="239">
        <v>0</v>
      </c>
      <c r="Y127" s="239">
        <v>0</v>
      </c>
      <c r="Z127" s="239">
        <v>0</v>
      </c>
      <c r="AA127" s="239">
        <v>0</v>
      </c>
      <c r="AB127" s="239">
        <v>0</v>
      </c>
      <c r="AC127" s="239">
        <v>0</v>
      </c>
      <c r="AD127" s="239">
        <v>0</v>
      </c>
      <c r="AE127" s="239">
        <v>0</v>
      </c>
      <c r="AF127" s="239">
        <v>0</v>
      </c>
      <c r="AG127" s="239">
        <v>0</v>
      </c>
      <c r="AH127" s="239">
        <v>0</v>
      </c>
      <c r="AI127" s="239">
        <v>0</v>
      </c>
      <c r="AJ127" s="239">
        <v>0</v>
      </c>
      <c r="AK127" s="239">
        <v>267635.98429752066</v>
      </c>
      <c r="AL127" s="239">
        <v>60218.096466942145</v>
      </c>
      <c r="AM127" s="239">
        <v>6690.8996074380166</v>
      </c>
      <c r="AN127" s="239">
        <v>225247</v>
      </c>
      <c r="AO127" s="239">
        <v>50681</v>
      </c>
      <c r="AP127" s="239">
        <v>5631</v>
      </c>
      <c r="AQ127" s="239">
        <v>42389</v>
      </c>
      <c r="AR127" s="239">
        <v>9537</v>
      </c>
      <c r="AS127" s="239">
        <v>1060</v>
      </c>
      <c r="AT127" s="239">
        <v>0</v>
      </c>
      <c r="AU127" s="239">
        <v>0</v>
      </c>
      <c r="AV127" s="239">
        <v>0</v>
      </c>
      <c r="AW127" s="239">
        <v>0</v>
      </c>
      <c r="AX127" s="239">
        <v>0</v>
      </c>
      <c r="AY127" s="239">
        <v>0</v>
      </c>
      <c r="AZ127" s="239">
        <v>0</v>
      </c>
      <c r="BA127" s="239">
        <v>0</v>
      </c>
      <c r="BB127" s="239">
        <v>0</v>
      </c>
      <c r="BC127" s="239">
        <v>0</v>
      </c>
      <c r="BD127" s="239">
        <v>0</v>
      </c>
      <c r="BE127" s="239">
        <v>0</v>
      </c>
      <c r="BF127" s="239">
        <v>0</v>
      </c>
      <c r="BG127" s="239">
        <v>0</v>
      </c>
      <c r="BH127" s="239">
        <v>0</v>
      </c>
      <c r="BI127" s="239">
        <v>0</v>
      </c>
      <c r="BJ127" s="239">
        <v>0</v>
      </c>
      <c r="BK127" s="239">
        <v>0</v>
      </c>
      <c r="BL127" s="239">
        <v>8503.6330578512388</v>
      </c>
      <c r="BM127" s="239">
        <v>1913.3174380165287</v>
      </c>
      <c r="BN127" s="239">
        <v>212.590826446281</v>
      </c>
      <c r="BO127" s="239">
        <v>447</v>
      </c>
      <c r="BP127" s="239">
        <v>100</v>
      </c>
      <c r="BQ127" s="239">
        <v>11</v>
      </c>
      <c r="BR127" s="239">
        <v>8057</v>
      </c>
      <c r="BS127" s="239">
        <v>1813</v>
      </c>
      <c r="BT127" s="239">
        <v>202</v>
      </c>
      <c r="BU127" s="239">
        <v>3868.7553719008265</v>
      </c>
      <c r="BV127" s="239">
        <v>870.4699586776859</v>
      </c>
      <c r="BW127" s="239">
        <v>96.71888429752066</v>
      </c>
      <c r="BX127" s="239">
        <v>0</v>
      </c>
      <c r="BY127" s="239">
        <v>0</v>
      </c>
      <c r="BZ127" s="239">
        <v>0</v>
      </c>
      <c r="CA127" s="239">
        <v>3869</v>
      </c>
      <c r="CB127" s="239">
        <v>870</v>
      </c>
      <c r="CC127" s="239">
        <v>97</v>
      </c>
      <c r="CD127" s="239">
        <v>0</v>
      </c>
      <c r="CE127" s="239">
        <v>0</v>
      </c>
      <c r="CF127" s="239">
        <v>0</v>
      </c>
      <c r="CG127" s="239">
        <v>0</v>
      </c>
      <c r="CH127" s="239">
        <v>0</v>
      </c>
      <c r="CI127" s="239">
        <v>0</v>
      </c>
      <c r="CJ127" s="239">
        <v>0</v>
      </c>
      <c r="CK127" s="239">
        <v>0</v>
      </c>
      <c r="CL127" s="239">
        <v>0</v>
      </c>
      <c r="CM127" s="239">
        <v>279.58595041322315</v>
      </c>
      <c r="CN127" s="239">
        <v>62.906838842975205</v>
      </c>
      <c r="CO127" s="239">
        <v>6.9896487603305788</v>
      </c>
      <c r="CP127" s="239">
        <v>0</v>
      </c>
      <c r="CQ127" s="239">
        <v>0</v>
      </c>
      <c r="CR127" s="239">
        <v>0</v>
      </c>
      <c r="CS127" s="239">
        <v>280</v>
      </c>
      <c r="CT127" s="239">
        <v>63</v>
      </c>
      <c r="CU127" s="239">
        <v>7</v>
      </c>
      <c r="CV127" s="239">
        <v>165478.33388429755</v>
      </c>
      <c r="CW127" s="239">
        <v>37232.625123966944</v>
      </c>
      <c r="CX127" s="239">
        <v>4136.9583471074375</v>
      </c>
      <c r="CY127" s="239">
        <v>172292</v>
      </c>
      <c r="CZ127" s="239">
        <v>38766</v>
      </c>
      <c r="DA127" s="239">
        <v>4307</v>
      </c>
      <c r="DB127" s="239">
        <v>-6814</v>
      </c>
      <c r="DC127" s="239">
        <v>-1533</v>
      </c>
      <c r="DD127" s="239">
        <v>-170</v>
      </c>
      <c r="DE127" s="641">
        <v>0.5</v>
      </c>
      <c r="DF127" s="641">
        <v>0.4</v>
      </c>
      <c r="DG127" s="641">
        <v>0.09</v>
      </c>
      <c r="DH127" s="641">
        <v>0.01</v>
      </c>
      <c r="DI127" s="214" t="s">
        <v>1190</v>
      </c>
    </row>
    <row r="128" spans="1:113" s="214" customFormat="1" x14ac:dyDescent="0.2">
      <c r="B128" s="609" t="s">
        <v>338</v>
      </c>
      <c r="C128" s="609" t="s">
        <v>337</v>
      </c>
      <c r="D128" s="239">
        <v>-90034</v>
      </c>
      <c r="E128" s="239">
        <v>0</v>
      </c>
      <c r="F128" s="239">
        <v>-90034</v>
      </c>
      <c r="G128" s="239">
        <v>0</v>
      </c>
      <c r="H128" s="239">
        <v>0</v>
      </c>
      <c r="I128" s="239">
        <v>0</v>
      </c>
      <c r="J128" s="239">
        <v>-90034</v>
      </c>
      <c r="K128" s="239">
        <v>0</v>
      </c>
      <c r="L128" s="239">
        <v>-90034</v>
      </c>
      <c r="M128" s="239">
        <v>118845</v>
      </c>
      <c r="N128" s="239">
        <v>118845</v>
      </c>
      <c r="O128" s="239">
        <v>0</v>
      </c>
      <c r="P128" s="239">
        <v>0</v>
      </c>
      <c r="Q128" s="239">
        <v>0</v>
      </c>
      <c r="R128" s="239">
        <v>0</v>
      </c>
      <c r="S128" s="239">
        <v>0</v>
      </c>
      <c r="T128" s="239">
        <v>0</v>
      </c>
      <c r="U128" s="239">
        <v>0</v>
      </c>
      <c r="V128" s="239">
        <v>0</v>
      </c>
      <c r="W128" s="239">
        <v>0</v>
      </c>
      <c r="X128" s="239">
        <v>0</v>
      </c>
      <c r="Y128" s="239">
        <v>131354.67355371901</v>
      </c>
      <c r="Z128" s="239">
        <v>131354.67355371901</v>
      </c>
      <c r="AA128" s="239">
        <v>0</v>
      </c>
      <c r="AB128" s="239">
        <v>0</v>
      </c>
      <c r="AC128" s="239">
        <v>117273</v>
      </c>
      <c r="AD128" s="239">
        <v>117273</v>
      </c>
      <c r="AE128" s="239">
        <v>0</v>
      </c>
      <c r="AF128" s="239">
        <v>0</v>
      </c>
      <c r="AG128" s="239">
        <v>14082</v>
      </c>
      <c r="AH128" s="239">
        <v>14082</v>
      </c>
      <c r="AI128" s="239">
        <v>0</v>
      </c>
      <c r="AJ128" s="239">
        <v>0</v>
      </c>
      <c r="AK128" s="239">
        <v>545627.44264462823</v>
      </c>
      <c r="AL128" s="239">
        <v>0</v>
      </c>
      <c r="AM128" s="239">
        <v>11126.486074380167</v>
      </c>
      <c r="AN128" s="239">
        <v>498183</v>
      </c>
      <c r="AO128" s="239">
        <v>0</v>
      </c>
      <c r="AP128" s="239">
        <v>10167</v>
      </c>
      <c r="AQ128" s="239">
        <v>47444</v>
      </c>
      <c r="AR128" s="239">
        <v>0</v>
      </c>
      <c r="AS128" s="239">
        <v>959</v>
      </c>
      <c r="AT128" s="239">
        <v>2214.0245041322314</v>
      </c>
      <c r="AU128" s="239">
        <v>0</v>
      </c>
      <c r="AV128" s="239">
        <v>45.184173553719006</v>
      </c>
      <c r="AW128" s="239">
        <v>2626</v>
      </c>
      <c r="AX128" s="239">
        <v>0</v>
      </c>
      <c r="AY128" s="239">
        <v>54</v>
      </c>
      <c r="AZ128" s="239">
        <v>-412</v>
      </c>
      <c r="BA128" s="239">
        <v>0</v>
      </c>
      <c r="BB128" s="239">
        <v>-9</v>
      </c>
      <c r="BC128" s="239">
        <v>0</v>
      </c>
      <c r="BD128" s="239">
        <v>0</v>
      </c>
      <c r="BE128" s="239">
        <v>0</v>
      </c>
      <c r="BF128" s="239">
        <v>0</v>
      </c>
      <c r="BG128" s="239">
        <v>0</v>
      </c>
      <c r="BH128" s="239">
        <v>0</v>
      </c>
      <c r="BI128" s="239">
        <v>0</v>
      </c>
      <c r="BJ128" s="239">
        <v>0</v>
      </c>
      <c r="BK128" s="239">
        <v>0</v>
      </c>
      <c r="BL128" s="239">
        <v>19820.341053719007</v>
      </c>
      <c r="BM128" s="239">
        <v>0</v>
      </c>
      <c r="BN128" s="239">
        <v>404.49675619834716</v>
      </c>
      <c r="BO128" s="239">
        <v>0</v>
      </c>
      <c r="BP128" s="239">
        <v>0</v>
      </c>
      <c r="BQ128" s="239">
        <v>0</v>
      </c>
      <c r="BR128" s="239">
        <v>19820</v>
      </c>
      <c r="BS128" s="239">
        <v>0</v>
      </c>
      <c r="BT128" s="239">
        <v>404</v>
      </c>
      <c r="BU128" s="239">
        <v>-1591.6718595041323</v>
      </c>
      <c r="BV128" s="239">
        <v>0</v>
      </c>
      <c r="BW128" s="239">
        <v>-32.483099173553718</v>
      </c>
      <c r="BX128" s="239">
        <v>0</v>
      </c>
      <c r="BY128" s="239">
        <v>0</v>
      </c>
      <c r="BZ128" s="239">
        <v>0</v>
      </c>
      <c r="CA128" s="239">
        <v>-1592</v>
      </c>
      <c r="CB128" s="239">
        <v>0</v>
      </c>
      <c r="CC128" s="239">
        <v>-32</v>
      </c>
      <c r="CD128" s="239">
        <v>0</v>
      </c>
      <c r="CE128" s="239">
        <v>0</v>
      </c>
      <c r="CF128" s="239">
        <v>0</v>
      </c>
      <c r="CG128" s="239">
        <v>0</v>
      </c>
      <c r="CH128" s="239">
        <v>0</v>
      </c>
      <c r="CI128" s="239">
        <v>0</v>
      </c>
      <c r="CJ128" s="239">
        <v>0</v>
      </c>
      <c r="CK128" s="239">
        <v>0</v>
      </c>
      <c r="CL128" s="239">
        <v>0</v>
      </c>
      <c r="CM128" s="239">
        <v>4112.3989049586771</v>
      </c>
      <c r="CN128" s="239">
        <v>0</v>
      </c>
      <c r="CO128" s="239">
        <v>83.926508264462811</v>
      </c>
      <c r="CP128" s="239">
        <v>1309</v>
      </c>
      <c r="CQ128" s="239">
        <v>0</v>
      </c>
      <c r="CR128" s="239">
        <v>27</v>
      </c>
      <c r="CS128" s="239">
        <v>2803</v>
      </c>
      <c r="CT128" s="239">
        <v>0</v>
      </c>
      <c r="CU128" s="239">
        <v>57</v>
      </c>
      <c r="CV128" s="239">
        <v>243952.50654958675</v>
      </c>
      <c r="CW128" s="239">
        <v>0</v>
      </c>
      <c r="CX128" s="239">
        <v>4978.622582644628</v>
      </c>
      <c r="CY128" s="239">
        <v>231266</v>
      </c>
      <c r="CZ128" s="239">
        <v>0</v>
      </c>
      <c r="DA128" s="239">
        <v>4685</v>
      </c>
      <c r="DB128" s="239">
        <v>12687</v>
      </c>
      <c r="DC128" s="239">
        <v>0</v>
      </c>
      <c r="DD128" s="239">
        <v>294</v>
      </c>
      <c r="DE128" s="641">
        <v>0.5</v>
      </c>
      <c r="DF128" s="641">
        <v>0.49</v>
      </c>
      <c r="DG128" s="641">
        <v>0</v>
      </c>
      <c r="DH128" s="641">
        <v>0.01</v>
      </c>
      <c r="DI128" s="214" t="s">
        <v>747</v>
      </c>
    </row>
    <row r="129" spans="2:113" s="214" customFormat="1" x14ac:dyDescent="0.2">
      <c r="B129" s="609" t="s">
        <v>340</v>
      </c>
      <c r="C129" s="609" t="s">
        <v>339</v>
      </c>
      <c r="D129" s="239">
        <v>-131986</v>
      </c>
      <c r="E129" s="239">
        <v>0</v>
      </c>
      <c r="F129" s="239">
        <v>-131986</v>
      </c>
      <c r="G129" s="239">
        <v>0</v>
      </c>
      <c r="H129" s="239">
        <v>0</v>
      </c>
      <c r="I129" s="239">
        <v>0</v>
      </c>
      <c r="J129" s="239">
        <v>-131986</v>
      </c>
      <c r="K129" s="239">
        <v>0</v>
      </c>
      <c r="L129" s="239">
        <v>-131986</v>
      </c>
      <c r="M129" s="239">
        <v>133943</v>
      </c>
      <c r="N129" s="239">
        <v>133943</v>
      </c>
      <c r="O129" s="239">
        <v>0</v>
      </c>
      <c r="P129" s="239">
        <v>0</v>
      </c>
      <c r="Q129" s="239">
        <v>0</v>
      </c>
      <c r="R129" s="239">
        <v>0</v>
      </c>
      <c r="S129" s="239">
        <v>0</v>
      </c>
      <c r="T129" s="239">
        <v>0</v>
      </c>
      <c r="U129" s="239">
        <v>0</v>
      </c>
      <c r="V129" s="239">
        <v>0</v>
      </c>
      <c r="W129" s="239">
        <v>0</v>
      </c>
      <c r="X129" s="239">
        <v>0</v>
      </c>
      <c r="Y129" s="239">
        <v>0</v>
      </c>
      <c r="Z129" s="239">
        <v>0</v>
      </c>
      <c r="AA129" s="239">
        <v>0</v>
      </c>
      <c r="AB129" s="239">
        <v>0</v>
      </c>
      <c r="AC129" s="239">
        <v>0</v>
      </c>
      <c r="AD129" s="239">
        <v>0</v>
      </c>
      <c r="AE129" s="239">
        <v>0</v>
      </c>
      <c r="AF129" s="239">
        <v>0</v>
      </c>
      <c r="AG129" s="239">
        <v>0</v>
      </c>
      <c r="AH129" s="239">
        <v>0</v>
      </c>
      <c r="AI129" s="239">
        <v>0</v>
      </c>
      <c r="AJ129" s="239">
        <v>0</v>
      </c>
      <c r="AK129" s="239">
        <v>565021.49628099182</v>
      </c>
      <c r="AL129" s="239">
        <v>127129.83666322315</v>
      </c>
      <c r="AM129" s="239">
        <v>14125.537407024794</v>
      </c>
      <c r="AN129" s="239">
        <v>510307</v>
      </c>
      <c r="AO129" s="239">
        <v>114819</v>
      </c>
      <c r="AP129" s="239">
        <v>12758</v>
      </c>
      <c r="AQ129" s="239">
        <v>54714</v>
      </c>
      <c r="AR129" s="239">
        <v>12311</v>
      </c>
      <c r="AS129" s="239">
        <v>1368</v>
      </c>
      <c r="AT129" s="239">
        <v>0</v>
      </c>
      <c r="AU129" s="239">
        <v>0</v>
      </c>
      <c r="AV129" s="239">
        <v>0</v>
      </c>
      <c r="AW129" s="239">
        <v>0</v>
      </c>
      <c r="AX129" s="239">
        <v>0</v>
      </c>
      <c r="AY129" s="239">
        <v>0</v>
      </c>
      <c r="AZ129" s="239">
        <v>0</v>
      </c>
      <c r="BA129" s="239">
        <v>0</v>
      </c>
      <c r="BB129" s="239">
        <v>0</v>
      </c>
      <c r="BC129" s="239">
        <v>43410.486776859507</v>
      </c>
      <c r="BD129" s="239">
        <v>9767.3595247933881</v>
      </c>
      <c r="BE129" s="239">
        <v>1085.2621694214877</v>
      </c>
      <c r="BF129" s="239">
        <v>43411</v>
      </c>
      <c r="BG129" s="239">
        <v>9767</v>
      </c>
      <c r="BH129" s="239">
        <v>1085</v>
      </c>
      <c r="BI129" s="239">
        <v>-1</v>
      </c>
      <c r="BJ129" s="239">
        <v>0</v>
      </c>
      <c r="BK129" s="239">
        <v>0</v>
      </c>
      <c r="BL129" s="239">
        <v>1473</v>
      </c>
      <c r="BM129" s="239">
        <v>331.42500000000001</v>
      </c>
      <c r="BN129" s="239">
        <v>36.825000000000003</v>
      </c>
      <c r="BO129" s="239">
        <v>0</v>
      </c>
      <c r="BP129" s="239">
        <v>0</v>
      </c>
      <c r="BQ129" s="239">
        <v>0</v>
      </c>
      <c r="BR129" s="239">
        <v>1473</v>
      </c>
      <c r="BS129" s="239">
        <v>331</v>
      </c>
      <c r="BT129" s="239">
        <v>37</v>
      </c>
      <c r="BU129" s="239">
        <v>-3704.4123966942152</v>
      </c>
      <c r="BV129" s="239">
        <v>-833.49278925619831</v>
      </c>
      <c r="BW129" s="239">
        <v>-92.610309917355366</v>
      </c>
      <c r="BX129" s="239">
        <v>0</v>
      </c>
      <c r="BY129" s="239">
        <v>0</v>
      </c>
      <c r="BZ129" s="239">
        <v>0</v>
      </c>
      <c r="CA129" s="239">
        <v>-3704</v>
      </c>
      <c r="CB129" s="239">
        <v>-833</v>
      </c>
      <c r="CC129" s="239">
        <v>-93</v>
      </c>
      <c r="CD129" s="239">
        <v>0</v>
      </c>
      <c r="CE129" s="239">
        <v>0</v>
      </c>
      <c r="CF129" s="239">
        <v>0</v>
      </c>
      <c r="CG129" s="239">
        <v>0</v>
      </c>
      <c r="CH129" s="239">
        <v>0</v>
      </c>
      <c r="CI129" s="239">
        <v>0</v>
      </c>
      <c r="CJ129" s="239">
        <v>0</v>
      </c>
      <c r="CK129" s="239">
        <v>0</v>
      </c>
      <c r="CL129" s="239">
        <v>0</v>
      </c>
      <c r="CM129" s="239">
        <v>4626.3561983471072</v>
      </c>
      <c r="CN129" s="239">
        <v>1040.930144628099</v>
      </c>
      <c r="CO129" s="239">
        <v>115.65890495867768</v>
      </c>
      <c r="CP129" s="239">
        <v>6212</v>
      </c>
      <c r="CQ129" s="239">
        <v>1397</v>
      </c>
      <c r="CR129" s="239">
        <v>155</v>
      </c>
      <c r="CS129" s="239">
        <v>-1586</v>
      </c>
      <c r="CT129" s="239">
        <v>-356</v>
      </c>
      <c r="CU129" s="239">
        <v>-39</v>
      </c>
      <c r="CV129" s="239">
        <v>120590.79338842975</v>
      </c>
      <c r="CW129" s="239">
        <v>27132.928512396695</v>
      </c>
      <c r="CX129" s="239">
        <v>3014.7698347107439</v>
      </c>
      <c r="CY129" s="239">
        <v>123610</v>
      </c>
      <c r="CZ129" s="239">
        <v>27812</v>
      </c>
      <c r="DA129" s="239">
        <v>3090</v>
      </c>
      <c r="DB129" s="239">
        <v>-3019</v>
      </c>
      <c r="DC129" s="239">
        <v>-679</v>
      </c>
      <c r="DD129" s="239">
        <v>-75</v>
      </c>
      <c r="DE129" s="641">
        <v>0.5</v>
      </c>
      <c r="DF129" s="641">
        <v>0.4</v>
      </c>
      <c r="DG129" s="641">
        <v>0.09</v>
      </c>
      <c r="DH129" s="641">
        <v>0.01</v>
      </c>
      <c r="DI129" s="214" t="s">
        <v>1190</v>
      </c>
    </row>
    <row r="130" spans="2:113" s="214" customFormat="1" x14ac:dyDescent="0.2">
      <c r="B130" s="609" t="s">
        <v>342</v>
      </c>
      <c r="C130" s="609" t="s">
        <v>341</v>
      </c>
      <c r="D130" s="239">
        <v>-326236</v>
      </c>
      <c r="E130" s="239">
        <v>0</v>
      </c>
      <c r="F130" s="239">
        <v>-326236</v>
      </c>
      <c r="G130" s="239">
        <v>0</v>
      </c>
      <c r="H130" s="239">
        <v>0</v>
      </c>
      <c r="I130" s="239">
        <v>0</v>
      </c>
      <c r="J130" s="239">
        <v>-326236</v>
      </c>
      <c r="K130" s="239">
        <v>0</v>
      </c>
      <c r="L130" s="239">
        <v>-326236</v>
      </c>
      <c r="M130" s="239">
        <v>140006</v>
      </c>
      <c r="N130" s="239">
        <v>140006</v>
      </c>
      <c r="O130" s="239">
        <v>0</v>
      </c>
      <c r="P130" s="239">
        <v>0</v>
      </c>
      <c r="Q130" s="239">
        <v>0</v>
      </c>
      <c r="R130" s="239">
        <v>0</v>
      </c>
      <c r="S130" s="239">
        <v>0</v>
      </c>
      <c r="T130" s="239">
        <v>0</v>
      </c>
      <c r="U130" s="239">
        <v>0</v>
      </c>
      <c r="V130" s="239">
        <v>0</v>
      </c>
      <c r="W130" s="239">
        <v>0</v>
      </c>
      <c r="X130" s="239">
        <v>0</v>
      </c>
      <c r="Y130" s="239">
        <v>0</v>
      </c>
      <c r="Z130" s="239">
        <v>0</v>
      </c>
      <c r="AA130" s="239">
        <v>0</v>
      </c>
      <c r="AB130" s="239">
        <v>0</v>
      </c>
      <c r="AC130" s="239">
        <v>0</v>
      </c>
      <c r="AD130" s="239">
        <v>0</v>
      </c>
      <c r="AE130" s="239">
        <v>0</v>
      </c>
      <c r="AF130" s="239">
        <v>0</v>
      </c>
      <c r="AG130" s="239">
        <v>0</v>
      </c>
      <c r="AH130" s="239">
        <v>0</v>
      </c>
      <c r="AI130" s="239">
        <v>0</v>
      </c>
      <c r="AJ130" s="239">
        <v>0</v>
      </c>
      <c r="AK130" s="239">
        <v>440119.61776859505</v>
      </c>
      <c r="AL130" s="239">
        <v>99026.91399793388</v>
      </c>
      <c r="AM130" s="239">
        <v>11002.990444214876</v>
      </c>
      <c r="AN130" s="239">
        <v>426673</v>
      </c>
      <c r="AO130" s="239">
        <v>96001</v>
      </c>
      <c r="AP130" s="239">
        <v>10667</v>
      </c>
      <c r="AQ130" s="239">
        <v>13447</v>
      </c>
      <c r="AR130" s="239">
        <v>3026</v>
      </c>
      <c r="AS130" s="239">
        <v>336</v>
      </c>
      <c r="AT130" s="239">
        <v>137.15537190082645</v>
      </c>
      <c r="AU130" s="239">
        <v>30.859958677685945</v>
      </c>
      <c r="AV130" s="239">
        <v>3.428884297520661</v>
      </c>
      <c r="AW130" s="239">
        <v>1114</v>
      </c>
      <c r="AX130" s="239">
        <v>251</v>
      </c>
      <c r="AY130" s="239">
        <v>28</v>
      </c>
      <c r="AZ130" s="239">
        <v>-977</v>
      </c>
      <c r="BA130" s="239">
        <v>-220</v>
      </c>
      <c r="BB130" s="239">
        <v>-25</v>
      </c>
      <c r="BC130" s="239">
        <v>0</v>
      </c>
      <c r="BD130" s="239">
        <v>0</v>
      </c>
      <c r="BE130" s="239">
        <v>0</v>
      </c>
      <c r="BF130" s="239">
        <v>0</v>
      </c>
      <c r="BG130" s="239">
        <v>0</v>
      </c>
      <c r="BH130" s="239">
        <v>0</v>
      </c>
      <c r="BI130" s="239">
        <v>0</v>
      </c>
      <c r="BJ130" s="239">
        <v>0</v>
      </c>
      <c r="BK130" s="239">
        <v>0</v>
      </c>
      <c r="BL130" s="239">
        <v>5885.1016528925629</v>
      </c>
      <c r="BM130" s="239">
        <v>1324.1478719008264</v>
      </c>
      <c r="BN130" s="239">
        <v>147.12754132231407</v>
      </c>
      <c r="BO130" s="239">
        <v>0</v>
      </c>
      <c r="BP130" s="239">
        <v>0</v>
      </c>
      <c r="BQ130" s="239">
        <v>0</v>
      </c>
      <c r="BR130" s="239">
        <v>5885</v>
      </c>
      <c r="BS130" s="239">
        <v>1324</v>
      </c>
      <c r="BT130" s="239">
        <v>147</v>
      </c>
      <c r="BU130" s="239">
        <v>643.57520661157025</v>
      </c>
      <c r="BV130" s="239">
        <v>144.80442148760329</v>
      </c>
      <c r="BW130" s="239">
        <v>16.089380165289256</v>
      </c>
      <c r="BX130" s="239">
        <v>0</v>
      </c>
      <c r="BY130" s="239">
        <v>0</v>
      </c>
      <c r="BZ130" s="239">
        <v>0</v>
      </c>
      <c r="CA130" s="239">
        <v>644</v>
      </c>
      <c r="CB130" s="239">
        <v>145</v>
      </c>
      <c r="CC130" s="239">
        <v>16</v>
      </c>
      <c r="CD130" s="239">
        <v>0</v>
      </c>
      <c r="CE130" s="239">
        <v>0</v>
      </c>
      <c r="CF130" s="239">
        <v>0</v>
      </c>
      <c r="CG130" s="239">
        <v>0</v>
      </c>
      <c r="CH130" s="239">
        <v>0</v>
      </c>
      <c r="CI130" s="239">
        <v>0</v>
      </c>
      <c r="CJ130" s="239">
        <v>0</v>
      </c>
      <c r="CK130" s="239">
        <v>0</v>
      </c>
      <c r="CL130" s="239">
        <v>0</v>
      </c>
      <c r="CM130" s="239">
        <v>1346.3950413223138</v>
      </c>
      <c r="CN130" s="239">
        <v>302.93888429752059</v>
      </c>
      <c r="CO130" s="239">
        <v>33.659876033057856</v>
      </c>
      <c r="CP130" s="239">
        <v>2847</v>
      </c>
      <c r="CQ130" s="239">
        <v>640</v>
      </c>
      <c r="CR130" s="239">
        <v>71</v>
      </c>
      <c r="CS130" s="239">
        <v>-1501</v>
      </c>
      <c r="CT130" s="239">
        <v>-337</v>
      </c>
      <c r="CU130" s="239">
        <v>-37</v>
      </c>
      <c r="CV130" s="239">
        <v>193497.17603305788</v>
      </c>
      <c r="CW130" s="239">
        <v>43536.864607438016</v>
      </c>
      <c r="CX130" s="239">
        <v>4837.429400826446</v>
      </c>
      <c r="CY130" s="239">
        <v>201028</v>
      </c>
      <c r="CZ130" s="239">
        <v>45231</v>
      </c>
      <c r="DA130" s="239">
        <v>5026</v>
      </c>
      <c r="DB130" s="239">
        <v>-7531</v>
      </c>
      <c r="DC130" s="239">
        <v>-1694</v>
      </c>
      <c r="DD130" s="239">
        <v>-189</v>
      </c>
      <c r="DE130" s="641">
        <v>0.5</v>
      </c>
      <c r="DF130" s="641">
        <v>0.4</v>
      </c>
      <c r="DG130" s="641">
        <v>0.09</v>
      </c>
      <c r="DH130" s="641">
        <v>0.01</v>
      </c>
      <c r="DI130" s="214" t="s">
        <v>1190</v>
      </c>
    </row>
    <row r="131" spans="2:113" s="214" customFormat="1" x14ac:dyDescent="0.2">
      <c r="B131" s="609" t="s">
        <v>344</v>
      </c>
      <c r="C131" s="609" t="s">
        <v>343</v>
      </c>
      <c r="D131" s="239">
        <v>-86862</v>
      </c>
      <c r="E131" s="239">
        <v>0</v>
      </c>
      <c r="F131" s="239">
        <v>-86862</v>
      </c>
      <c r="G131" s="239">
        <v>0</v>
      </c>
      <c r="H131" s="239">
        <v>0</v>
      </c>
      <c r="I131" s="239">
        <v>0</v>
      </c>
      <c r="J131" s="239">
        <v>-86862</v>
      </c>
      <c r="K131" s="239">
        <v>0</v>
      </c>
      <c r="L131" s="239">
        <v>-86862</v>
      </c>
      <c r="M131" s="239">
        <v>270688</v>
      </c>
      <c r="N131" s="239">
        <v>270688</v>
      </c>
      <c r="O131" s="239">
        <v>0</v>
      </c>
      <c r="P131" s="239">
        <v>0</v>
      </c>
      <c r="Q131" s="239">
        <v>0</v>
      </c>
      <c r="R131" s="239">
        <v>0</v>
      </c>
      <c r="S131" s="239">
        <v>0</v>
      </c>
      <c r="T131" s="239">
        <v>0</v>
      </c>
      <c r="U131" s="239">
        <v>0</v>
      </c>
      <c r="V131" s="239">
        <v>0</v>
      </c>
      <c r="W131" s="239">
        <v>0</v>
      </c>
      <c r="X131" s="239">
        <v>0</v>
      </c>
      <c r="Y131" s="239">
        <v>0</v>
      </c>
      <c r="Z131" s="239">
        <v>0</v>
      </c>
      <c r="AA131" s="239">
        <v>0</v>
      </c>
      <c r="AB131" s="239">
        <v>0</v>
      </c>
      <c r="AC131" s="239">
        <v>0</v>
      </c>
      <c r="AD131" s="239">
        <v>0</v>
      </c>
      <c r="AE131" s="239">
        <v>0</v>
      </c>
      <c r="AF131" s="239">
        <v>0</v>
      </c>
      <c r="AG131" s="239">
        <v>0</v>
      </c>
      <c r="AH131" s="239">
        <v>0</v>
      </c>
      <c r="AI131" s="239">
        <v>0</v>
      </c>
      <c r="AJ131" s="239">
        <v>0</v>
      </c>
      <c r="AK131" s="239">
        <v>576532.50433884293</v>
      </c>
      <c r="AL131" s="239">
        <v>384355.00289256201</v>
      </c>
      <c r="AM131" s="239">
        <v>0</v>
      </c>
      <c r="AN131" s="239">
        <v>556325</v>
      </c>
      <c r="AO131" s="239">
        <v>370883</v>
      </c>
      <c r="AP131" s="239">
        <v>0</v>
      </c>
      <c r="AQ131" s="239">
        <v>20208</v>
      </c>
      <c r="AR131" s="239">
        <v>13472</v>
      </c>
      <c r="AS131" s="239">
        <v>0</v>
      </c>
      <c r="AT131" s="239">
        <v>0</v>
      </c>
      <c r="AU131" s="239">
        <v>0</v>
      </c>
      <c r="AV131" s="239">
        <v>0</v>
      </c>
      <c r="AW131" s="239">
        <v>0</v>
      </c>
      <c r="AX131" s="239">
        <v>0</v>
      </c>
      <c r="AY131" s="239">
        <v>0</v>
      </c>
      <c r="AZ131" s="239">
        <v>0</v>
      </c>
      <c r="BA131" s="239">
        <v>0</v>
      </c>
      <c r="BB131" s="239">
        <v>0</v>
      </c>
      <c r="BC131" s="239">
        <v>-350.29400826446278</v>
      </c>
      <c r="BD131" s="239">
        <v>-233.52933884297522</v>
      </c>
      <c r="BE131" s="239">
        <v>0</v>
      </c>
      <c r="BF131" s="239">
        <v>5332</v>
      </c>
      <c r="BG131" s="239">
        <v>3554</v>
      </c>
      <c r="BH131" s="239">
        <v>0</v>
      </c>
      <c r="BI131" s="239">
        <v>-5682</v>
      </c>
      <c r="BJ131" s="239">
        <v>-3788</v>
      </c>
      <c r="BK131" s="239">
        <v>0</v>
      </c>
      <c r="BL131" s="239">
        <v>22777.023347107435</v>
      </c>
      <c r="BM131" s="239">
        <v>15184.68223140496</v>
      </c>
      <c r="BN131" s="239">
        <v>0</v>
      </c>
      <c r="BO131" s="239">
        <v>2023</v>
      </c>
      <c r="BP131" s="239">
        <v>1349</v>
      </c>
      <c r="BQ131" s="239">
        <v>0</v>
      </c>
      <c r="BR131" s="239">
        <v>20754</v>
      </c>
      <c r="BS131" s="239">
        <v>13836</v>
      </c>
      <c r="BT131" s="239">
        <v>0</v>
      </c>
      <c r="BU131" s="239">
        <v>7043.0095041322311</v>
      </c>
      <c r="BV131" s="239">
        <v>4695.339669421488</v>
      </c>
      <c r="BW131" s="239">
        <v>0</v>
      </c>
      <c r="BX131" s="239">
        <v>0</v>
      </c>
      <c r="BY131" s="239">
        <v>0</v>
      </c>
      <c r="BZ131" s="239">
        <v>0</v>
      </c>
      <c r="CA131" s="239">
        <v>7043</v>
      </c>
      <c r="CB131" s="239">
        <v>4695</v>
      </c>
      <c r="CC131" s="239">
        <v>0</v>
      </c>
      <c r="CD131" s="239">
        <v>0</v>
      </c>
      <c r="CE131" s="239">
        <v>0</v>
      </c>
      <c r="CF131" s="239">
        <v>0</v>
      </c>
      <c r="CG131" s="239">
        <v>0</v>
      </c>
      <c r="CH131" s="239">
        <v>0</v>
      </c>
      <c r="CI131" s="239">
        <v>0</v>
      </c>
      <c r="CJ131" s="239">
        <v>0</v>
      </c>
      <c r="CK131" s="239">
        <v>0</v>
      </c>
      <c r="CL131" s="239">
        <v>0</v>
      </c>
      <c r="CM131" s="239">
        <v>588.89566115702473</v>
      </c>
      <c r="CN131" s="239">
        <v>392.59710743801656</v>
      </c>
      <c r="CO131" s="239">
        <v>0</v>
      </c>
      <c r="CP131" s="239">
        <v>0</v>
      </c>
      <c r="CQ131" s="239">
        <v>0</v>
      </c>
      <c r="CR131" s="239">
        <v>0</v>
      </c>
      <c r="CS131" s="239">
        <v>589</v>
      </c>
      <c r="CT131" s="239">
        <v>393</v>
      </c>
      <c r="CU131" s="239">
        <v>0</v>
      </c>
      <c r="CV131" s="239">
        <v>325843.31095041323</v>
      </c>
      <c r="CW131" s="239">
        <v>217228.87396694216</v>
      </c>
      <c r="CX131" s="239">
        <v>0</v>
      </c>
      <c r="CY131" s="239">
        <v>325603</v>
      </c>
      <c r="CZ131" s="239">
        <v>217069</v>
      </c>
      <c r="DA131" s="239">
        <v>0</v>
      </c>
      <c r="DB131" s="239">
        <v>240</v>
      </c>
      <c r="DC131" s="239">
        <v>160</v>
      </c>
      <c r="DD131" s="239">
        <v>0</v>
      </c>
      <c r="DE131" s="641">
        <v>0.5</v>
      </c>
      <c r="DF131" s="641">
        <v>0.3</v>
      </c>
      <c r="DG131" s="641">
        <v>0.2</v>
      </c>
      <c r="DH131" s="641">
        <v>0</v>
      </c>
      <c r="DI131" s="214" t="s">
        <v>1191</v>
      </c>
    </row>
    <row r="132" spans="2:113" s="214" customFormat="1" x14ac:dyDescent="0.2">
      <c r="B132" s="609" t="s">
        <v>346</v>
      </c>
      <c r="C132" s="609" t="s">
        <v>345</v>
      </c>
      <c r="D132" s="239">
        <v>-9503</v>
      </c>
      <c r="E132" s="239">
        <v>0</v>
      </c>
      <c r="F132" s="239">
        <v>-9503</v>
      </c>
      <c r="G132" s="239">
        <v>0</v>
      </c>
      <c r="H132" s="239">
        <v>0</v>
      </c>
      <c r="I132" s="239">
        <v>0</v>
      </c>
      <c r="J132" s="239">
        <v>-9503</v>
      </c>
      <c r="K132" s="239">
        <v>0</v>
      </c>
      <c r="L132" s="239">
        <v>-9503</v>
      </c>
      <c r="M132" s="239">
        <v>304935</v>
      </c>
      <c r="N132" s="239">
        <v>304935</v>
      </c>
      <c r="O132" s="239">
        <v>0</v>
      </c>
      <c r="P132" s="239">
        <v>66063</v>
      </c>
      <c r="Q132" s="239">
        <v>0</v>
      </c>
      <c r="R132" s="239">
        <v>66063</v>
      </c>
      <c r="S132" s="239">
        <v>100340</v>
      </c>
      <c r="T132" s="239">
        <v>0</v>
      </c>
      <c r="U132" s="239">
        <v>100000</v>
      </c>
      <c r="V132" s="239">
        <v>0</v>
      </c>
      <c r="W132" s="239">
        <v>340</v>
      </c>
      <c r="X132" s="239">
        <v>0</v>
      </c>
      <c r="Y132" s="239">
        <v>314689.40702479339</v>
      </c>
      <c r="Z132" s="239">
        <v>314689.40702479339</v>
      </c>
      <c r="AA132" s="239">
        <v>0</v>
      </c>
      <c r="AB132" s="239">
        <v>0</v>
      </c>
      <c r="AC132" s="239">
        <v>351596</v>
      </c>
      <c r="AD132" s="239">
        <v>351596</v>
      </c>
      <c r="AE132" s="239">
        <v>0</v>
      </c>
      <c r="AF132" s="239">
        <v>0</v>
      </c>
      <c r="AG132" s="239">
        <v>-36907</v>
      </c>
      <c r="AH132" s="239">
        <v>-36907</v>
      </c>
      <c r="AI132" s="239">
        <v>0</v>
      </c>
      <c r="AJ132" s="239">
        <v>0</v>
      </c>
      <c r="AK132" s="239">
        <v>1473770.038140496</v>
      </c>
      <c r="AL132" s="239">
        <v>0</v>
      </c>
      <c r="AM132" s="239">
        <v>29543.12508264463</v>
      </c>
      <c r="AN132" s="239">
        <v>1486530</v>
      </c>
      <c r="AO132" s="239">
        <v>0</v>
      </c>
      <c r="AP132" s="239">
        <v>29692</v>
      </c>
      <c r="AQ132" s="239">
        <v>-12760</v>
      </c>
      <c r="AR132" s="239">
        <v>0</v>
      </c>
      <c r="AS132" s="239">
        <v>-149</v>
      </c>
      <c r="AT132" s="239">
        <v>0</v>
      </c>
      <c r="AU132" s="239">
        <v>0</v>
      </c>
      <c r="AV132" s="239">
        <v>0</v>
      </c>
      <c r="AW132" s="239">
        <v>0</v>
      </c>
      <c r="AX132" s="239">
        <v>0</v>
      </c>
      <c r="AY132" s="239">
        <v>0</v>
      </c>
      <c r="AZ132" s="239">
        <v>0</v>
      </c>
      <c r="BA132" s="239">
        <v>0</v>
      </c>
      <c r="BB132" s="239">
        <v>0</v>
      </c>
      <c r="BC132" s="239">
        <v>-2019.166487603306</v>
      </c>
      <c r="BD132" s="239">
        <v>0</v>
      </c>
      <c r="BE132" s="239">
        <v>-41.207479338842987</v>
      </c>
      <c r="BF132" s="239">
        <v>24855</v>
      </c>
      <c r="BG132" s="239">
        <v>0</v>
      </c>
      <c r="BH132" s="239">
        <v>507</v>
      </c>
      <c r="BI132" s="239">
        <v>-26874</v>
      </c>
      <c r="BJ132" s="239">
        <v>0</v>
      </c>
      <c r="BK132" s="239">
        <v>-548</v>
      </c>
      <c r="BL132" s="239">
        <v>26875.49367768595</v>
      </c>
      <c r="BM132" s="239">
        <v>0</v>
      </c>
      <c r="BN132" s="239">
        <v>548.47946280991732</v>
      </c>
      <c r="BO132" s="239">
        <v>12427</v>
      </c>
      <c r="BP132" s="239">
        <v>0</v>
      </c>
      <c r="BQ132" s="239">
        <v>254</v>
      </c>
      <c r="BR132" s="239">
        <v>14448</v>
      </c>
      <c r="BS132" s="239">
        <v>0</v>
      </c>
      <c r="BT132" s="239">
        <v>294</v>
      </c>
      <c r="BU132" s="239">
        <v>-9258.2412190082632</v>
      </c>
      <c r="BV132" s="239">
        <v>0</v>
      </c>
      <c r="BW132" s="239">
        <v>-188.94369834710741</v>
      </c>
      <c r="BX132" s="239">
        <v>0</v>
      </c>
      <c r="BY132" s="239">
        <v>0</v>
      </c>
      <c r="BZ132" s="239">
        <v>0</v>
      </c>
      <c r="CA132" s="239">
        <v>-9258</v>
      </c>
      <c r="CB132" s="239">
        <v>0</v>
      </c>
      <c r="CC132" s="239">
        <v>-189</v>
      </c>
      <c r="CD132" s="239">
        <v>0</v>
      </c>
      <c r="CE132" s="239">
        <v>0</v>
      </c>
      <c r="CF132" s="239">
        <v>0</v>
      </c>
      <c r="CG132" s="239">
        <v>0</v>
      </c>
      <c r="CH132" s="239">
        <v>0</v>
      </c>
      <c r="CI132" s="239">
        <v>0</v>
      </c>
      <c r="CJ132" s="239">
        <v>0</v>
      </c>
      <c r="CK132" s="239">
        <v>0</v>
      </c>
      <c r="CL132" s="239">
        <v>0</v>
      </c>
      <c r="CM132" s="239">
        <v>19324.745537190083</v>
      </c>
      <c r="CN132" s="239">
        <v>0</v>
      </c>
      <c r="CO132" s="239">
        <v>394.38256198347108</v>
      </c>
      <c r="CP132" s="239">
        <v>24855</v>
      </c>
      <c r="CQ132" s="239">
        <v>0</v>
      </c>
      <c r="CR132" s="239">
        <v>507</v>
      </c>
      <c r="CS132" s="239">
        <v>-5530</v>
      </c>
      <c r="CT132" s="239">
        <v>0</v>
      </c>
      <c r="CU132" s="239">
        <v>-113</v>
      </c>
      <c r="CV132" s="239">
        <v>339694.91832644626</v>
      </c>
      <c r="CW132" s="239">
        <v>0</v>
      </c>
      <c r="CX132" s="239">
        <v>6883.4339462809921</v>
      </c>
      <c r="CY132" s="239">
        <v>344357</v>
      </c>
      <c r="CZ132" s="239">
        <v>0</v>
      </c>
      <c r="DA132" s="239">
        <v>6894</v>
      </c>
      <c r="DB132" s="239">
        <v>-4662</v>
      </c>
      <c r="DC132" s="239">
        <v>0</v>
      </c>
      <c r="DD132" s="239">
        <v>-11</v>
      </c>
      <c r="DE132" s="641">
        <v>0.5</v>
      </c>
      <c r="DF132" s="641">
        <v>0.49</v>
      </c>
      <c r="DG132" s="641">
        <v>0</v>
      </c>
      <c r="DH132" s="641">
        <v>0.01</v>
      </c>
      <c r="DI132" s="214" t="s">
        <v>747</v>
      </c>
    </row>
    <row r="133" spans="2:113" s="214" customFormat="1" x14ac:dyDescent="0.2">
      <c r="B133" s="609" t="s">
        <v>348</v>
      </c>
      <c r="C133" s="609" t="s">
        <v>347</v>
      </c>
      <c r="D133" s="239">
        <v>-79472</v>
      </c>
      <c r="E133" s="239">
        <v>0</v>
      </c>
      <c r="F133" s="239">
        <v>-79472</v>
      </c>
      <c r="G133" s="239">
        <v>0</v>
      </c>
      <c r="H133" s="239">
        <v>0</v>
      </c>
      <c r="I133" s="239">
        <v>0</v>
      </c>
      <c r="J133" s="239">
        <v>-79472</v>
      </c>
      <c r="K133" s="239">
        <v>0</v>
      </c>
      <c r="L133" s="239">
        <v>-79472</v>
      </c>
      <c r="M133" s="239">
        <v>152119</v>
      </c>
      <c r="N133" s="239">
        <v>152119</v>
      </c>
      <c r="O133" s="239">
        <v>0</v>
      </c>
      <c r="P133" s="239">
        <v>0</v>
      </c>
      <c r="Q133" s="239">
        <v>0</v>
      </c>
      <c r="R133" s="239">
        <v>0</v>
      </c>
      <c r="S133" s="239">
        <v>0</v>
      </c>
      <c r="T133" s="239">
        <v>0</v>
      </c>
      <c r="U133" s="239">
        <v>0</v>
      </c>
      <c r="V133" s="239">
        <v>0</v>
      </c>
      <c r="W133" s="239">
        <v>0</v>
      </c>
      <c r="X133" s="239">
        <v>0</v>
      </c>
      <c r="Y133" s="239">
        <v>0</v>
      </c>
      <c r="Z133" s="239">
        <v>0</v>
      </c>
      <c r="AA133" s="239">
        <v>0</v>
      </c>
      <c r="AB133" s="239">
        <v>0</v>
      </c>
      <c r="AC133" s="239">
        <v>0</v>
      </c>
      <c r="AD133" s="239">
        <v>0</v>
      </c>
      <c r="AE133" s="239">
        <v>0</v>
      </c>
      <c r="AF133" s="239">
        <v>0</v>
      </c>
      <c r="AG133" s="239">
        <v>0</v>
      </c>
      <c r="AH133" s="239">
        <v>0</v>
      </c>
      <c r="AI133" s="239">
        <v>0</v>
      </c>
      <c r="AJ133" s="239">
        <v>0</v>
      </c>
      <c r="AK133" s="239">
        <v>360129.02231404959</v>
      </c>
      <c r="AL133" s="239">
        <v>90032.255578512399</v>
      </c>
      <c r="AM133" s="239">
        <v>0</v>
      </c>
      <c r="AN133" s="239">
        <v>325523</v>
      </c>
      <c r="AO133" s="239">
        <v>81381</v>
      </c>
      <c r="AP133" s="239">
        <v>0</v>
      </c>
      <c r="AQ133" s="239">
        <v>34606</v>
      </c>
      <c r="AR133" s="239">
        <v>8651</v>
      </c>
      <c r="AS133" s="239">
        <v>0</v>
      </c>
      <c r="AT133" s="239">
        <v>0</v>
      </c>
      <c r="AU133" s="239">
        <v>0</v>
      </c>
      <c r="AV133" s="239">
        <v>0</v>
      </c>
      <c r="AW133" s="239">
        <v>0</v>
      </c>
      <c r="AX133" s="239">
        <v>0</v>
      </c>
      <c r="AY133" s="239">
        <v>0</v>
      </c>
      <c r="AZ133" s="239">
        <v>0</v>
      </c>
      <c r="BA133" s="239">
        <v>0</v>
      </c>
      <c r="BB133" s="239">
        <v>0</v>
      </c>
      <c r="BC133" s="239">
        <v>0</v>
      </c>
      <c r="BD133" s="239">
        <v>0</v>
      </c>
      <c r="BE133" s="239">
        <v>0</v>
      </c>
      <c r="BF133" s="239">
        <v>0</v>
      </c>
      <c r="BG133" s="239">
        <v>0</v>
      </c>
      <c r="BH133" s="239">
        <v>0</v>
      </c>
      <c r="BI133" s="239">
        <v>0</v>
      </c>
      <c r="BJ133" s="239">
        <v>0</v>
      </c>
      <c r="BK133" s="239">
        <v>0</v>
      </c>
      <c r="BL133" s="239">
        <v>17332.70578512397</v>
      </c>
      <c r="BM133" s="239">
        <v>4333.1764462809924</v>
      </c>
      <c r="BN133" s="239">
        <v>0</v>
      </c>
      <c r="BO133" s="239">
        <v>19666</v>
      </c>
      <c r="BP133" s="239">
        <v>4917</v>
      </c>
      <c r="BQ133" s="239">
        <v>0</v>
      </c>
      <c r="BR133" s="239">
        <v>-2333</v>
      </c>
      <c r="BS133" s="239">
        <v>-584</v>
      </c>
      <c r="BT133" s="239">
        <v>0</v>
      </c>
      <c r="BU133" s="239">
        <v>566.88181818181818</v>
      </c>
      <c r="BV133" s="239">
        <v>141.72045454545454</v>
      </c>
      <c r="BW133" s="239">
        <v>0</v>
      </c>
      <c r="BX133" s="239">
        <v>0</v>
      </c>
      <c r="BY133" s="239">
        <v>0</v>
      </c>
      <c r="BZ133" s="239">
        <v>0</v>
      </c>
      <c r="CA133" s="239">
        <v>567</v>
      </c>
      <c r="CB133" s="239">
        <v>142</v>
      </c>
      <c r="CC133" s="239">
        <v>0</v>
      </c>
      <c r="CD133" s="239">
        <v>0</v>
      </c>
      <c r="CE133" s="239">
        <v>0</v>
      </c>
      <c r="CF133" s="239">
        <v>0</v>
      </c>
      <c r="CG133" s="239">
        <v>0</v>
      </c>
      <c r="CH133" s="239">
        <v>0</v>
      </c>
      <c r="CI133" s="239">
        <v>0</v>
      </c>
      <c r="CJ133" s="239">
        <v>0</v>
      </c>
      <c r="CK133" s="239">
        <v>0</v>
      </c>
      <c r="CL133" s="239">
        <v>0</v>
      </c>
      <c r="CM133" s="239">
        <v>929.65371900826449</v>
      </c>
      <c r="CN133" s="239">
        <v>232.41342975206612</v>
      </c>
      <c r="CO133" s="239">
        <v>0</v>
      </c>
      <c r="CP133" s="239">
        <v>1278</v>
      </c>
      <c r="CQ133" s="239">
        <v>319</v>
      </c>
      <c r="CR133" s="239">
        <v>0</v>
      </c>
      <c r="CS133" s="239">
        <v>-348</v>
      </c>
      <c r="CT133" s="239">
        <v>-87</v>
      </c>
      <c r="CU133" s="239">
        <v>0</v>
      </c>
      <c r="CV133" s="239">
        <v>285352.87107438018</v>
      </c>
      <c r="CW133" s="239">
        <v>71338.217768595045</v>
      </c>
      <c r="CX133" s="239">
        <v>0</v>
      </c>
      <c r="CY133" s="239">
        <v>272502</v>
      </c>
      <c r="CZ133" s="239">
        <v>68126</v>
      </c>
      <c r="DA133" s="239">
        <v>0</v>
      </c>
      <c r="DB133" s="239">
        <v>12851</v>
      </c>
      <c r="DC133" s="239">
        <v>3212</v>
      </c>
      <c r="DD133" s="239">
        <v>0</v>
      </c>
      <c r="DE133" s="641">
        <v>0.5</v>
      </c>
      <c r="DF133" s="641">
        <v>0.4</v>
      </c>
      <c r="DG133" s="641">
        <v>0.1</v>
      </c>
      <c r="DH133" s="641">
        <v>0</v>
      </c>
      <c r="DI133" s="214" t="s">
        <v>1190</v>
      </c>
    </row>
    <row r="134" spans="2:113" s="214" customFormat="1" x14ac:dyDescent="0.2">
      <c r="B134" s="609" t="s">
        <v>350</v>
      </c>
      <c r="C134" s="609" t="s">
        <v>349</v>
      </c>
      <c r="D134" s="239">
        <v>-2046</v>
      </c>
      <c r="E134" s="239">
        <v>0</v>
      </c>
      <c r="F134" s="239">
        <v>-2046</v>
      </c>
      <c r="G134" s="239">
        <v>0</v>
      </c>
      <c r="H134" s="239">
        <v>0</v>
      </c>
      <c r="I134" s="239">
        <v>0</v>
      </c>
      <c r="J134" s="239">
        <v>-2046</v>
      </c>
      <c r="K134" s="239">
        <v>0</v>
      </c>
      <c r="L134" s="239">
        <v>-2046</v>
      </c>
      <c r="M134" s="239">
        <v>135432</v>
      </c>
      <c r="N134" s="239">
        <v>135432</v>
      </c>
      <c r="O134" s="239">
        <v>0</v>
      </c>
      <c r="P134" s="239">
        <v>0</v>
      </c>
      <c r="Q134" s="239">
        <v>0</v>
      </c>
      <c r="R134" s="239">
        <v>0</v>
      </c>
      <c r="S134" s="239">
        <v>0</v>
      </c>
      <c r="T134" s="239">
        <v>0</v>
      </c>
      <c r="U134" s="239">
        <v>0</v>
      </c>
      <c r="V134" s="239">
        <v>0</v>
      </c>
      <c r="W134" s="239">
        <v>0</v>
      </c>
      <c r="X134" s="239">
        <v>0</v>
      </c>
      <c r="Y134" s="239">
        <v>0</v>
      </c>
      <c r="Z134" s="239">
        <v>0</v>
      </c>
      <c r="AA134" s="239">
        <v>0</v>
      </c>
      <c r="AB134" s="239">
        <v>0</v>
      </c>
      <c r="AC134" s="239">
        <v>0</v>
      </c>
      <c r="AD134" s="239">
        <v>0</v>
      </c>
      <c r="AE134" s="239">
        <v>0</v>
      </c>
      <c r="AF134" s="239">
        <v>0</v>
      </c>
      <c r="AG134" s="239">
        <v>0</v>
      </c>
      <c r="AH134" s="239">
        <v>0</v>
      </c>
      <c r="AI134" s="239">
        <v>0</v>
      </c>
      <c r="AJ134" s="239">
        <v>0</v>
      </c>
      <c r="AK134" s="239">
        <v>576444.95619834727</v>
      </c>
      <c r="AL134" s="239">
        <v>129700.1151446281</v>
      </c>
      <c r="AM134" s="239">
        <v>14411.12390495868</v>
      </c>
      <c r="AN134" s="239">
        <v>529658</v>
      </c>
      <c r="AO134" s="239">
        <v>119173</v>
      </c>
      <c r="AP134" s="239">
        <v>13241</v>
      </c>
      <c r="AQ134" s="239">
        <v>46787</v>
      </c>
      <c r="AR134" s="239">
        <v>10527</v>
      </c>
      <c r="AS134" s="239">
        <v>1170</v>
      </c>
      <c r="AT134" s="239">
        <v>0</v>
      </c>
      <c r="AU134" s="239">
        <v>0</v>
      </c>
      <c r="AV134" s="239">
        <v>0</v>
      </c>
      <c r="AW134" s="239">
        <v>0</v>
      </c>
      <c r="AX134" s="239">
        <v>0</v>
      </c>
      <c r="AY134" s="239">
        <v>0</v>
      </c>
      <c r="AZ134" s="239">
        <v>0</v>
      </c>
      <c r="BA134" s="239">
        <v>0</v>
      </c>
      <c r="BB134" s="239">
        <v>0</v>
      </c>
      <c r="BC134" s="239">
        <v>0</v>
      </c>
      <c r="BD134" s="239">
        <v>0</v>
      </c>
      <c r="BE134" s="239">
        <v>0</v>
      </c>
      <c r="BF134" s="239">
        <v>0</v>
      </c>
      <c r="BG134" s="239">
        <v>0</v>
      </c>
      <c r="BH134" s="239">
        <v>0</v>
      </c>
      <c r="BI134" s="239">
        <v>0</v>
      </c>
      <c r="BJ134" s="239">
        <v>0</v>
      </c>
      <c r="BK134" s="239">
        <v>0</v>
      </c>
      <c r="BL134" s="239">
        <v>4240.8603305785127</v>
      </c>
      <c r="BM134" s="239">
        <v>954.19357438016527</v>
      </c>
      <c r="BN134" s="239">
        <v>106.02150826446281</v>
      </c>
      <c r="BO134" s="239">
        <v>6535</v>
      </c>
      <c r="BP134" s="239">
        <v>1470</v>
      </c>
      <c r="BQ134" s="239">
        <v>163</v>
      </c>
      <c r="BR134" s="239">
        <v>-2294</v>
      </c>
      <c r="BS134" s="239">
        <v>-516</v>
      </c>
      <c r="BT134" s="239">
        <v>-57</v>
      </c>
      <c r="BU134" s="239">
        <v>-3879.3057851239669</v>
      </c>
      <c r="BV134" s="239">
        <v>-872.84380165289247</v>
      </c>
      <c r="BW134" s="239">
        <v>-96.982644628099166</v>
      </c>
      <c r="BX134" s="239">
        <v>0</v>
      </c>
      <c r="BY134" s="239">
        <v>0</v>
      </c>
      <c r="BZ134" s="239">
        <v>0</v>
      </c>
      <c r="CA134" s="239">
        <v>-3879</v>
      </c>
      <c r="CB134" s="239">
        <v>-873</v>
      </c>
      <c r="CC134" s="239">
        <v>-97</v>
      </c>
      <c r="CD134" s="239">
        <v>0</v>
      </c>
      <c r="CE134" s="239">
        <v>0</v>
      </c>
      <c r="CF134" s="239">
        <v>0</v>
      </c>
      <c r="CG134" s="239">
        <v>0</v>
      </c>
      <c r="CH134" s="239">
        <v>0</v>
      </c>
      <c r="CI134" s="239">
        <v>0</v>
      </c>
      <c r="CJ134" s="239">
        <v>0</v>
      </c>
      <c r="CK134" s="239">
        <v>0</v>
      </c>
      <c r="CL134" s="239">
        <v>0</v>
      </c>
      <c r="CM134" s="239">
        <v>10004.226446280993</v>
      </c>
      <c r="CN134" s="239">
        <v>2250.9509504132234</v>
      </c>
      <c r="CO134" s="239">
        <v>250.10566115702483</v>
      </c>
      <c r="CP134" s="239">
        <v>24323</v>
      </c>
      <c r="CQ134" s="239">
        <v>5473</v>
      </c>
      <c r="CR134" s="239">
        <v>608</v>
      </c>
      <c r="CS134" s="239">
        <v>-14319</v>
      </c>
      <c r="CT134" s="239">
        <v>-3222</v>
      </c>
      <c r="CU134" s="239">
        <v>-358</v>
      </c>
      <c r="CV134" s="239">
        <v>143319.59090909091</v>
      </c>
      <c r="CW134" s="239">
        <v>32246.907954545455</v>
      </c>
      <c r="CX134" s="239">
        <v>3582.9897727272728</v>
      </c>
      <c r="CY134" s="239">
        <v>140917</v>
      </c>
      <c r="CZ134" s="239">
        <v>31706</v>
      </c>
      <c r="DA134" s="239">
        <v>3523</v>
      </c>
      <c r="DB134" s="239">
        <v>2403</v>
      </c>
      <c r="DC134" s="239">
        <v>541</v>
      </c>
      <c r="DD134" s="239">
        <v>60</v>
      </c>
      <c r="DE134" s="641">
        <v>0.5</v>
      </c>
      <c r="DF134" s="641">
        <v>0.4</v>
      </c>
      <c r="DG134" s="641">
        <v>0.09</v>
      </c>
      <c r="DH134" s="641">
        <v>0.01</v>
      </c>
      <c r="DI134" s="214" t="s">
        <v>1190</v>
      </c>
    </row>
    <row r="135" spans="2:113" s="214" customFormat="1" x14ac:dyDescent="0.2">
      <c r="B135" s="609" t="s">
        <v>352</v>
      </c>
      <c r="C135" s="609" t="s">
        <v>351</v>
      </c>
      <c r="D135" s="239">
        <v>-228361</v>
      </c>
      <c r="E135" s="239">
        <v>0</v>
      </c>
      <c r="F135" s="239">
        <v>-228361</v>
      </c>
      <c r="G135" s="239">
        <v>0</v>
      </c>
      <c r="H135" s="239">
        <v>0</v>
      </c>
      <c r="I135" s="239">
        <v>0</v>
      </c>
      <c r="J135" s="239">
        <v>-228361</v>
      </c>
      <c r="K135" s="239">
        <v>0</v>
      </c>
      <c r="L135" s="239">
        <v>-228361</v>
      </c>
      <c r="M135" s="239">
        <v>597680</v>
      </c>
      <c r="N135" s="239">
        <v>597680</v>
      </c>
      <c r="O135" s="239">
        <v>0</v>
      </c>
      <c r="P135" s="239">
        <v>0</v>
      </c>
      <c r="Q135" s="239">
        <v>0</v>
      </c>
      <c r="R135" s="239">
        <v>0</v>
      </c>
      <c r="S135" s="239">
        <v>0</v>
      </c>
      <c r="T135" s="239">
        <v>0</v>
      </c>
      <c r="U135" s="239">
        <v>0</v>
      </c>
      <c r="V135" s="239">
        <v>0</v>
      </c>
      <c r="W135" s="239">
        <v>0</v>
      </c>
      <c r="X135" s="239">
        <v>0</v>
      </c>
      <c r="Y135" s="239">
        <v>0</v>
      </c>
      <c r="Z135" s="239">
        <v>0</v>
      </c>
      <c r="AA135" s="239">
        <v>0</v>
      </c>
      <c r="AB135" s="239">
        <v>0</v>
      </c>
      <c r="AC135" s="239">
        <v>0</v>
      </c>
      <c r="AD135" s="239">
        <v>0</v>
      </c>
      <c r="AE135" s="239">
        <v>0</v>
      </c>
      <c r="AF135" s="239">
        <v>0</v>
      </c>
      <c r="AG135" s="239">
        <v>0</v>
      </c>
      <c r="AH135" s="239">
        <v>0</v>
      </c>
      <c r="AI135" s="239">
        <v>0</v>
      </c>
      <c r="AJ135" s="239">
        <v>0</v>
      </c>
      <c r="AK135" s="239">
        <v>599182.61838842975</v>
      </c>
      <c r="AL135" s="239">
        <v>399455.07892561983</v>
      </c>
      <c r="AM135" s="239">
        <v>0</v>
      </c>
      <c r="AN135" s="239">
        <v>518309</v>
      </c>
      <c r="AO135" s="239">
        <v>345540</v>
      </c>
      <c r="AP135" s="239">
        <v>0</v>
      </c>
      <c r="AQ135" s="239">
        <v>80874</v>
      </c>
      <c r="AR135" s="239">
        <v>53915</v>
      </c>
      <c r="AS135" s="239">
        <v>0</v>
      </c>
      <c r="AT135" s="239">
        <v>6104.1241735537187</v>
      </c>
      <c r="AU135" s="239">
        <v>4069.4161157024791</v>
      </c>
      <c r="AV135" s="239">
        <v>0</v>
      </c>
      <c r="AW135" s="239">
        <v>0</v>
      </c>
      <c r="AX135" s="239">
        <v>0</v>
      </c>
      <c r="AY135" s="239">
        <v>0</v>
      </c>
      <c r="AZ135" s="239">
        <v>6104</v>
      </c>
      <c r="BA135" s="239">
        <v>4069</v>
      </c>
      <c r="BB135" s="239">
        <v>0</v>
      </c>
      <c r="BC135" s="239">
        <v>0</v>
      </c>
      <c r="BD135" s="239">
        <v>0</v>
      </c>
      <c r="BE135" s="239">
        <v>0</v>
      </c>
      <c r="BF135" s="239">
        <v>0</v>
      </c>
      <c r="BG135" s="239">
        <v>0</v>
      </c>
      <c r="BH135" s="239">
        <v>0</v>
      </c>
      <c r="BI135" s="239">
        <v>0</v>
      </c>
      <c r="BJ135" s="239">
        <v>0</v>
      </c>
      <c r="BK135" s="239">
        <v>0</v>
      </c>
      <c r="BL135" s="239">
        <v>43284.287603305776</v>
      </c>
      <c r="BM135" s="239">
        <v>28856.191735537192</v>
      </c>
      <c r="BN135" s="239">
        <v>0</v>
      </c>
      <c r="BO135" s="239">
        <v>30434</v>
      </c>
      <c r="BP135" s="239">
        <v>20289</v>
      </c>
      <c r="BQ135" s="239">
        <v>0</v>
      </c>
      <c r="BR135" s="239">
        <v>12850</v>
      </c>
      <c r="BS135" s="239">
        <v>8567</v>
      </c>
      <c r="BT135" s="239">
        <v>0</v>
      </c>
      <c r="BU135" s="239">
        <v>20800.951239669423</v>
      </c>
      <c r="BV135" s="239">
        <v>13867.300826446282</v>
      </c>
      <c r="BW135" s="239">
        <v>0</v>
      </c>
      <c r="BX135" s="239">
        <v>0</v>
      </c>
      <c r="BY135" s="239">
        <v>0</v>
      </c>
      <c r="BZ135" s="239">
        <v>0</v>
      </c>
      <c r="CA135" s="239">
        <v>20801</v>
      </c>
      <c r="CB135" s="239">
        <v>13867</v>
      </c>
      <c r="CC135" s="239">
        <v>0</v>
      </c>
      <c r="CD135" s="239">
        <v>0</v>
      </c>
      <c r="CE135" s="239">
        <v>0</v>
      </c>
      <c r="CF135" s="239">
        <v>0</v>
      </c>
      <c r="CG135" s="239">
        <v>0</v>
      </c>
      <c r="CH135" s="239">
        <v>0</v>
      </c>
      <c r="CI135" s="239">
        <v>0</v>
      </c>
      <c r="CJ135" s="239">
        <v>0</v>
      </c>
      <c r="CK135" s="239">
        <v>0</v>
      </c>
      <c r="CL135" s="239">
        <v>0</v>
      </c>
      <c r="CM135" s="239">
        <v>0</v>
      </c>
      <c r="CN135" s="239">
        <v>0</v>
      </c>
      <c r="CO135" s="239">
        <v>0</v>
      </c>
      <c r="CP135" s="239">
        <v>112582</v>
      </c>
      <c r="CQ135" s="239">
        <v>75054</v>
      </c>
      <c r="CR135" s="239">
        <v>0</v>
      </c>
      <c r="CS135" s="239">
        <v>-112582</v>
      </c>
      <c r="CT135" s="239">
        <v>-75054</v>
      </c>
      <c r="CU135" s="239">
        <v>0</v>
      </c>
      <c r="CV135" s="239">
        <v>1627901.7464876033</v>
      </c>
      <c r="CW135" s="239">
        <v>1085267.8309917357</v>
      </c>
      <c r="CX135" s="239">
        <v>0</v>
      </c>
      <c r="CY135" s="239">
        <v>1625724</v>
      </c>
      <c r="CZ135" s="239">
        <v>1083816</v>
      </c>
      <c r="DA135" s="239">
        <v>0</v>
      </c>
      <c r="DB135" s="239">
        <v>2178</v>
      </c>
      <c r="DC135" s="239">
        <v>1452</v>
      </c>
      <c r="DD135" s="239">
        <v>0</v>
      </c>
      <c r="DE135" s="641">
        <v>0.5</v>
      </c>
      <c r="DF135" s="641">
        <v>0.3</v>
      </c>
      <c r="DG135" s="641">
        <v>0.2</v>
      </c>
      <c r="DH135" s="641">
        <v>0</v>
      </c>
      <c r="DI135" s="214" t="s">
        <v>1191</v>
      </c>
    </row>
    <row r="136" spans="2:113" s="214" customFormat="1" x14ac:dyDescent="0.2">
      <c r="B136" s="609" t="s">
        <v>354</v>
      </c>
      <c r="C136" s="609" t="s">
        <v>353</v>
      </c>
      <c r="D136" s="239">
        <v>-7051</v>
      </c>
      <c r="E136" s="239">
        <v>0</v>
      </c>
      <c r="F136" s="239">
        <v>-7051</v>
      </c>
      <c r="G136" s="239">
        <v>0</v>
      </c>
      <c r="H136" s="239">
        <v>0</v>
      </c>
      <c r="I136" s="239">
        <v>0</v>
      </c>
      <c r="J136" s="239">
        <v>-7051</v>
      </c>
      <c r="K136" s="239">
        <v>0</v>
      </c>
      <c r="L136" s="239">
        <v>-7051</v>
      </c>
      <c r="M136" s="239">
        <v>124755</v>
      </c>
      <c r="N136" s="239">
        <v>124755</v>
      </c>
      <c r="O136" s="239">
        <v>0</v>
      </c>
      <c r="P136" s="239">
        <v>27560</v>
      </c>
      <c r="Q136" s="239">
        <v>59254</v>
      </c>
      <c r="R136" s="239">
        <v>-31694</v>
      </c>
      <c r="S136" s="239">
        <v>119068</v>
      </c>
      <c r="T136" s="239">
        <v>0</v>
      </c>
      <c r="U136" s="239">
        <v>140000</v>
      </c>
      <c r="V136" s="239">
        <v>0</v>
      </c>
      <c r="W136" s="239">
        <v>-20932</v>
      </c>
      <c r="X136" s="239">
        <v>0</v>
      </c>
      <c r="Y136" s="239">
        <v>385952.37603305787</v>
      </c>
      <c r="Z136" s="239">
        <v>385952.37603305787</v>
      </c>
      <c r="AA136" s="239">
        <v>0</v>
      </c>
      <c r="AB136" s="239">
        <v>0</v>
      </c>
      <c r="AC136" s="239">
        <v>84242</v>
      </c>
      <c r="AD136" s="239">
        <v>84242</v>
      </c>
      <c r="AE136" s="239">
        <v>0</v>
      </c>
      <c r="AF136" s="239">
        <v>0</v>
      </c>
      <c r="AG136" s="239">
        <v>301710</v>
      </c>
      <c r="AH136" s="239">
        <v>301710</v>
      </c>
      <c r="AI136" s="239">
        <v>0</v>
      </c>
      <c r="AJ136" s="239">
        <v>0</v>
      </c>
      <c r="AK136" s="239">
        <v>511994.91652892571</v>
      </c>
      <c r="AL136" s="239">
        <v>115198.85621900826</v>
      </c>
      <c r="AM136" s="239">
        <v>12799.872913223142</v>
      </c>
      <c r="AN136" s="239">
        <v>476193</v>
      </c>
      <c r="AO136" s="239">
        <v>107143</v>
      </c>
      <c r="AP136" s="239">
        <v>11905</v>
      </c>
      <c r="AQ136" s="239">
        <v>35802</v>
      </c>
      <c r="AR136" s="239">
        <v>8056</v>
      </c>
      <c r="AS136" s="239">
        <v>895</v>
      </c>
      <c r="AT136" s="239">
        <v>-1029.4768595041323</v>
      </c>
      <c r="AU136" s="239">
        <v>-231.63229338842976</v>
      </c>
      <c r="AV136" s="239">
        <v>-25.736921487603304</v>
      </c>
      <c r="AW136" s="239">
        <v>5075</v>
      </c>
      <c r="AX136" s="239">
        <v>1142</v>
      </c>
      <c r="AY136" s="239">
        <v>127</v>
      </c>
      <c r="AZ136" s="239">
        <v>-6104</v>
      </c>
      <c r="BA136" s="239">
        <v>-1374</v>
      </c>
      <c r="BB136" s="239">
        <v>-153</v>
      </c>
      <c r="BC136" s="239">
        <v>51269.327272727271</v>
      </c>
      <c r="BD136" s="239">
        <v>11535.598636363635</v>
      </c>
      <c r="BE136" s="239">
        <v>1281.7331818181817</v>
      </c>
      <c r="BF136" s="239">
        <v>7442</v>
      </c>
      <c r="BG136" s="239">
        <v>1674</v>
      </c>
      <c r="BH136" s="239">
        <v>186</v>
      </c>
      <c r="BI136" s="239">
        <v>43827</v>
      </c>
      <c r="BJ136" s="239">
        <v>9862</v>
      </c>
      <c r="BK136" s="239">
        <v>1096</v>
      </c>
      <c r="BL136" s="239">
        <v>0</v>
      </c>
      <c r="BM136" s="239">
        <v>0</v>
      </c>
      <c r="BN136" s="239">
        <v>0</v>
      </c>
      <c r="BO136" s="239">
        <v>2446</v>
      </c>
      <c r="BP136" s="239">
        <v>550</v>
      </c>
      <c r="BQ136" s="239">
        <v>61</v>
      </c>
      <c r="BR136" s="239">
        <v>-2446</v>
      </c>
      <c r="BS136" s="239">
        <v>-550</v>
      </c>
      <c r="BT136" s="239">
        <v>-61</v>
      </c>
      <c r="BU136" s="239">
        <v>1398.7413223140497</v>
      </c>
      <c r="BV136" s="239">
        <v>314.71679752066115</v>
      </c>
      <c r="BW136" s="239">
        <v>34.968533057851239</v>
      </c>
      <c r="BX136" s="239">
        <v>0</v>
      </c>
      <c r="BY136" s="239">
        <v>0</v>
      </c>
      <c r="BZ136" s="239">
        <v>0</v>
      </c>
      <c r="CA136" s="239">
        <v>1399</v>
      </c>
      <c r="CB136" s="239">
        <v>315</v>
      </c>
      <c r="CC136" s="239">
        <v>35</v>
      </c>
      <c r="CD136" s="239">
        <v>0</v>
      </c>
      <c r="CE136" s="239">
        <v>0</v>
      </c>
      <c r="CF136" s="239">
        <v>0</v>
      </c>
      <c r="CG136" s="239">
        <v>0</v>
      </c>
      <c r="CH136" s="239">
        <v>0</v>
      </c>
      <c r="CI136" s="239">
        <v>0</v>
      </c>
      <c r="CJ136" s="239">
        <v>0</v>
      </c>
      <c r="CK136" s="239">
        <v>0</v>
      </c>
      <c r="CL136" s="239">
        <v>0</v>
      </c>
      <c r="CM136" s="239">
        <v>202.0809917355372</v>
      </c>
      <c r="CN136" s="239">
        <v>45.468223140495866</v>
      </c>
      <c r="CO136" s="239">
        <v>5.0520247933884299</v>
      </c>
      <c r="CP136" s="239">
        <v>86</v>
      </c>
      <c r="CQ136" s="239">
        <v>19</v>
      </c>
      <c r="CR136" s="239">
        <v>2</v>
      </c>
      <c r="CS136" s="239">
        <v>116</v>
      </c>
      <c r="CT136" s="239">
        <v>26</v>
      </c>
      <c r="CU136" s="239">
        <v>3</v>
      </c>
      <c r="CV136" s="239">
        <v>186285.2669421488</v>
      </c>
      <c r="CW136" s="239">
        <v>41437.038161157019</v>
      </c>
      <c r="CX136" s="239">
        <v>4604.1153512396695</v>
      </c>
      <c r="CY136" s="239">
        <v>196656</v>
      </c>
      <c r="CZ136" s="239">
        <v>43325</v>
      </c>
      <c r="DA136" s="239">
        <v>4814</v>
      </c>
      <c r="DB136" s="239">
        <v>-10371</v>
      </c>
      <c r="DC136" s="239">
        <v>-1888</v>
      </c>
      <c r="DD136" s="239">
        <v>-210</v>
      </c>
      <c r="DE136" s="641">
        <v>0.5</v>
      </c>
      <c r="DF136" s="641">
        <v>0.4</v>
      </c>
      <c r="DG136" s="641">
        <v>0.09</v>
      </c>
      <c r="DH136" s="641">
        <v>0.01</v>
      </c>
      <c r="DI136" s="214" t="s">
        <v>1190</v>
      </c>
    </row>
    <row r="137" spans="2:113" s="214" customFormat="1" x14ac:dyDescent="0.2">
      <c r="B137" s="609" t="s">
        <v>356</v>
      </c>
      <c r="C137" s="609" t="s">
        <v>355</v>
      </c>
      <c r="D137" s="239">
        <v>-184689</v>
      </c>
      <c r="E137" s="239">
        <v>0</v>
      </c>
      <c r="F137" s="239">
        <v>-184689</v>
      </c>
      <c r="G137" s="239">
        <v>0</v>
      </c>
      <c r="H137" s="239">
        <v>0</v>
      </c>
      <c r="I137" s="239">
        <v>0</v>
      </c>
      <c r="J137" s="239">
        <v>-184689</v>
      </c>
      <c r="K137" s="239">
        <v>0</v>
      </c>
      <c r="L137" s="239">
        <v>-184689</v>
      </c>
      <c r="M137" s="239">
        <v>178742</v>
      </c>
      <c r="N137" s="239">
        <v>178742</v>
      </c>
      <c r="O137" s="239">
        <v>0</v>
      </c>
      <c r="P137" s="239">
        <v>0</v>
      </c>
      <c r="Q137" s="239">
        <v>0</v>
      </c>
      <c r="R137" s="239">
        <v>0</v>
      </c>
      <c r="S137" s="239">
        <v>0</v>
      </c>
      <c r="T137" s="239">
        <v>0</v>
      </c>
      <c r="U137" s="239">
        <v>0</v>
      </c>
      <c r="V137" s="239">
        <v>0</v>
      </c>
      <c r="W137" s="239">
        <v>0</v>
      </c>
      <c r="X137" s="239">
        <v>0</v>
      </c>
      <c r="Y137" s="239">
        <v>0</v>
      </c>
      <c r="Z137" s="239">
        <v>0</v>
      </c>
      <c r="AA137" s="239">
        <v>0</v>
      </c>
      <c r="AB137" s="239">
        <v>0</v>
      </c>
      <c r="AC137" s="239">
        <v>0</v>
      </c>
      <c r="AD137" s="239">
        <v>0</v>
      </c>
      <c r="AE137" s="239">
        <v>0</v>
      </c>
      <c r="AF137" s="239">
        <v>0</v>
      </c>
      <c r="AG137" s="239">
        <v>0</v>
      </c>
      <c r="AH137" s="239">
        <v>0</v>
      </c>
      <c r="AI137" s="239">
        <v>0</v>
      </c>
      <c r="AJ137" s="239">
        <v>0</v>
      </c>
      <c r="AK137" s="239">
        <v>655482.76818181819</v>
      </c>
      <c r="AL137" s="239">
        <v>163870.69204545455</v>
      </c>
      <c r="AM137" s="239">
        <v>0</v>
      </c>
      <c r="AN137" s="239">
        <v>575880</v>
      </c>
      <c r="AO137" s="239">
        <v>143970</v>
      </c>
      <c r="AP137" s="239">
        <v>0</v>
      </c>
      <c r="AQ137" s="239">
        <v>79603</v>
      </c>
      <c r="AR137" s="239">
        <v>19901</v>
      </c>
      <c r="AS137" s="239">
        <v>0</v>
      </c>
      <c r="AT137" s="239">
        <v>1177.9942148760331</v>
      </c>
      <c r="AU137" s="239">
        <v>294.49855371900827</v>
      </c>
      <c r="AV137" s="239">
        <v>0</v>
      </c>
      <c r="AW137" s="239">
        <v>0</v>
      </c>
      <c r="AX137" s="239">
        <v>0</v>
      </c>
      <c r="AY137" s="239">
        <v>0</v>
      </c>
      <c r="AZ137" s="239">
        <v>1178</v>
      </c>
      <c r="BA137" s="239">
        <v>294</v>
      </c>
      <c r="BB137" s="239">
        <v>0</v>
      </c>
      <c r="BC137" s="239">
        <v>32416.550413223144</v>
      </c>
      <c r="BD137" s="239">
        <v>8104.1376033057859</v>
      </c>
      <c r="BE137" s="239">
        <v>0</v>
      </c>
      <c r="BF137" s="239">
        <v>36301</v>
      </c>
      <c r="BG137" s="239">
        <v>9075</v>
      </c>
      <c r="BH137" s="239">
        <v>0</v>
      </c>
      <c r="BI137" s="239">
        <v>-3884</v>
      </c>
      <c r="BJ137" s="239">
        <v>-971</v>
      </c>
      <c r="BK137" s="239">
        <v>0</v>
      </c>
      <c r="BL137" s="239">
        <v>17021.468595041322</v>
      </c>
      <c r="BM137" s="239">
        <v>4255.3671487603306</v>
      </c>
      <c r="BN137" s="239">
        <v>0</v>
      </c>
      <c r="BO137" s="239">
        <v>0</v>
      </c>
      <c r="BP137" s="239">
        <v>0</v>
      </c>
      <c r="BQ137" s="239">
        <v>0</v>
      </c>
      <c r="BR137" s="239">
        <v>17021</v>
      </c>
      <c r="BS137" s="239">
        <v>4255</v>
      </c>
      <c r="BT137" s="239">
        <v>0</v>
      </c>
      <c r="BU137" s="239">
        <v>-2056.1132231404958</v>
      </c>
      <c r="BV137" s="239">
        <v>-514.02830578512396</v>
      </c>
      <c r="BW137" s="239">
        <v>0</v>
      </c>
      <c r="BX137" s="239">
        <v>0</v>
      </c>
      <c r="BY137" s="239">
        <v>0</v>
      </c>
      <c r="BZ137" s="239">
        <v>0</v>
      </c>
      <c r="CA137" s="239">
        <v>-2056</v>
      </c>
      <c r="CB137" s="239">
        <v>-514</v>
      </c>
      <c r="CC137" s="239">
        <v>0</v>
      </c>
      <c r="CD137" s="239">
        <v>0</v>
      </c>
      <c r="CE137" s="239">
        <v>0</v>
      </c>
      <c r="CF137" s="239">
        <v>0</v>
      </c>
      <c r="CG137" s="239">
        <v>0</v>
      </c>
      <c r="CH137" s="239">
        <v>0</v>
      </c>
      <c r="CI137" s="239">
        <v>0</v>
      </c>
      <c r="CJ137" s="239">
        <v>0</v>
      </c>
      <c r="CK137" s="239">
        <v>0</v>
      </c>
      <c r="CL137" s="239">
        <v>0</v>
      </c>
      <c r="CM137" s="239">
        <v>661.02396694214883</v>
      </c>
      <c r="CN137" s="239">
        <v>165.25599173553721</v>
      </c>
      <c r="CO137" s="239">
        <v>0</v>
      </c>
      <c r="CP137" s="239">
        <v>541</v>
      </c>
      <c r="CQ137" s="239">
        <v>135</v>
      </c>
      <c r="CR137" s="239">
        <v>0</v>
      </c>
      <c r="CS137" s="239">
        <v>120</v>
      </c>
      <c r="CT137" s="239">
        <v>30</v>
      </c>
      <c r="CU137" s="239">
        <v>0</v>
      </c>
      <c r="CV137" s="239">
        <v>238655.32727272727</v>
      </c>
      <c r="CW137" s="239">
        <v>59663.831818181818</v>
      </c>
      <c r="CX137" s="239">
        <v>0</v>
      </c>
      <c r="CY137" s="239">
        <v>239549</v>
      </c>
      <c r="CZ137" s="239">
        <v>59887</v>
      </c>
      <c r="DA137" s="239">
        <v>0</v>
      </c>
      <c r="DB137" s="239">
        <v>-894</v>
      </c>
      <c r="DC137" s="239">
        <v>-223</v>
      </c>
      <c r="DD137" s="239">
        <v>0</v>
      </c>
      <c r="DE137" s="641">
        <v>0.5</v>
      </c>
      <c r="DF137" s="641">
        <v>0.4</v>
      </c>
      <c r="DG137" s="641">
        <v>0.1</v>
      </c>
      <c r="DH137" s="641">
        <v>0</v>
      </c>
      <c r="DI137" s="214" t="s">
        <v>1190</v>
      </c>
    </row>
    <row r="138" spans="2:113" s="214" customFormat="1" x14ac:dyDescent="0.2">
      <c r="B138" s="609" t="s">
        <v>358</v>
      </c>
      <c r="C138" s="609" t="s">
        <v>357</v>
      </c>
      <c r="D138" s="239">
        <v>-1049233</v>
      </c>
      <c r="E138" s="239">
        <v>0</v>
      </c>
      <c r="F138" s="239">
        <v>-1049233</v>
      </c>
      <c r="G138" s="239">
        <v>0</v>
      </c>
      <c r="H138" s="239">
        <v>0</v>
      </c>
      <c r="I138" s="239">
        <v>0</v>
      </c>
      <c r="J138" s="239">
        <v>-1049233</v>
      </c>
      <c r="K138" s="239">
        <v>0</v>
      </c>
      <c r="L138" s="239">
        <v>-1049233</v>
      </c>
      <c r="M138" s="239">
        <v>399618</v>
      </c>
      <c r="N138" s="239">
        <v>399618</v>
      </c>
      <c r="O138" s="239">
        <v>0</v>
      </c>
      <c r="P138" s="239">
        <v>0</v>
      </c>
      <c r="Q138" s="239">
        <v>0</v>
      </c>
      <c r="R138" s="239">
        <v>0</v>
      </c>
      <c r="S138" s="239">
        <v>0</v>
      </c>
      <c r="T138" s="239">
        <v>0</v>
      </c>
      <c r="U138" s="239">
        <v>0</v>
      </c>
      <c r="V138" s="239">
        <v>0</v>
      </c>
      <c r="W138" s="239">
        <v>0</v>
      </c>
      <c r="X138" s="239">
        <v>0</v>
      </c>
      <c r="Y138" s="239">
        <v>0</v>
      </c>
      <c r="Z138" s="239">
        <v>0</v>
      </c>
      <c r="AA138" s="239">
        <v>0</v>
      </c>
      <c r="AB138" s="239">
        <v>0</v>
      </c>
      <c r="AC138" s="239">
        <v>0</v>
      </c>
      <c r="AD138" s="239">
        <v>0</v>
      </c>
      <c r="AE138" s="239">
        <v>0</v>
      </c>
      <c r="AF138" s="239">
        <v>0</v>
      </c>
      <c r="AG138" s="239">
        <v>0</v>
      </c>
      <c r="AH138" s="239">
        <v>0</v>
      </c>
      <c r="AI138" s="239">
        <v>0</v>
      </c>
      <c r="AJ138" s="239">
        <v>0</v>
      </c>
      <c r="AK138" s="239">
        <v>528968.45175619831</v>
      </c>
      <c r="AL138" s="239">
        <v>352645.63450413226</v>
      </c>
      <c r="AM138" s="239">
        <v>0</v>
      </c>
      <c r="AN138" s="239">
        <v>432039</v>
      </c>
      <c r="AO138" s="239">
        <v>288026</v>
      </c>
      <c r="AP138" s="239">
        <v>0</v>
      </c>
      <c r="AQ138" s="239">
        <v>96929</v>
      </c>
      <c r="AR138" s="239">
        <v>64620</v>
      </c>
      <c r="AS138" s="239">
        <v>0</v>
      </c>
      <c r="AT138" s="239">
        <v>0</v>
      </c>
      <c r="AU138" s="239">
        <v>0</v>
      </c>
      <c r="AV138" s="239">
        <v>0</v>
      </c>
      <c r="AW138" s="239">
        <v>0</v>
      </c>
      <c r="AX138" s="239">
        <v>0</v>
      </c>
      <c r="AY138" s="239">
        <v>0</v>
      </c>
      <c r="AZ138" s="239">
        <v>0</v>
      </c>
      <c r="BA138" s="239">
        <v>0</v>
      </c>
      <c r="BB138" s="239">
        <v>0</v>
      </c>
      <c r="BC138" s="239">
        <v>4894.3772727272726</v>
      </c>
      <c r="BD138" s="239">
        <v>3262.9181818181819</v>
      </c>
      <c r="BE138" s="239">
        <v>0</v>
      </c>
      <c r="BF138" s="239">
        <v>96437</v>
      </c>
      <c r="BG138" s="239">
        <v>64292</v>
      </c>
      <c r="BH138" s="239">
        <v>0</v>
      </c>
      <c r="BI138" s="239">
        <v>-91543</v>
      </c>
      <c r="BJ138" s="239">
        <v>-61029</v>
      </c>
      <c r="BK138" s="239">
        <v>0</v>
      </c>
      <c r="BL138" s="239">
        <v>6034.126239669421</v>
      </c>
      <c r="BM138" s="239">
        <v>4022.7508264462804</v>
      </c>
      <c r="BN138" s="239">
        <v>0</v>
      </c>
      <c r="BO138" s="239">
        <v>9416</v>
      </c>
      <c r="BP138" s="239">
        <v>6277</v>
      </c>
      <c r="BQ138" s="239">
        <v>0</v>
      </c>
      <c r="BR138" s="239">
        <v>-3382</v>
      </c>
      <c r="BS138" s="239">
        <v>-2254</v>
      </c>
      <c r="BT138" s="239">
        <v>0</v>
      </c>
      <c r="BU138" s="239">
        <v>3842.2778925619832</v>
      </c>
      <c r="BV138" s="239">
        <v>2561.5185950413224</v>
      </c>
      <c r="BW138" s="239">
        <v>0</v>
      </c>
      <c r="BX138" s="239">
        <v>0</v>
      </c>
      <c r="BY138" s="239">
        <v>0</v>
      </c>
      <c r="BZ138" s="239">
        <v>0</v>
      </c>
      <c r="CA138" s="239">
        <v>3842</v>
      </c>
      <c r="CB138" s="239">
        <v>2562</v>
      </c>
      <c r="CC138" s="239">
        <v>0</v>
      </c>
      <c r="CD138" s="239">
        <v>0</v>
      </c>
      <c r="CE138" s="239">
        <v>0</v>
      </c>
      <c r="CF138" s="239">
        <v>0</v>
      </c>
      <c r="CG138" s="239">
        <v>0</v>
      </c>
      <c r="CH138" s="239">
        <v>0</v>
      </c>
      <c r="CI138" s="239">
        <v>0</v>
      </c>
      <c r="CJ138" s="239">
        <v>0</v>
      </c>
      <c r="CK138" s="239">
        <v>0</v>
      </c>
      <c r="CL138" s="239">
        <v>0</v>
      </c>
      <c r="CM138" s="239">
        <v>582.50454545454545</v>
      </c>
      <c r="CN138" s="239">
        <v>388.33636363636367</v>
      </c>
      <c r="CO138" s="239">
        <v>0</v>
      </c>
      <c r="CP138" s="239">
        <v>0</v>
      </c>
      <c r="CQ138" s="239">
        <v>0</v>
      </c>
      <c r="CR138" s="239">
        <v>0</v>
      </c>
      <c r="CS138" s="239">
        <v>583</v>
      </c>
      <c r="CT138" s="239">
        <v>388</v>
      </c>
      <c r="CU138" s="239">
        <v>0</v>
      </c>
      <c r="CV138" s="239">
        <v>650368.67231404956</v>
      </c>
      <c r="CW138" s="239">
        <v>433579.11487603304</v>
      </c>
      <c r="CX138" s="239">
        <v>0</v>
      </c>
      <c r="CY138" s="239">
        <v>699871</v>
      </c>
      <c r="CZ138" s="239">
        <v>466580</v>
      </c>
      <c r="DA138" s="239">
        <v>0</v>
      </c>
      <c r="DB138" s="239">
        <v>-49502</v>
      </c>
      <c r="DC138" s="239">
        <v>-33001</v>
      </c>
      <c r="DD138" s="239">
        <v>0</v>
      </c>
      <c r="DE138" s="641">
        <v>0.5</v>
      </c>
      <c r="DF138" s="641">
        <v>0.3</v>
      </c>
      <c r="DG138" s="641">
        <v>0.2</v>
      </c>
      <c r="DH138" s="641">
        <v>0</v>
      </c>
      <c r="DI138" s="214" t="s">
        <v>1191</v>
      </c>
    </row>
    <row r="139" spans="2:113" s="214" customFormat="1" x14ac:dyDescent="0.2">
      <c r="B139" s="609" t="s">
        <v>360</v>
      </c>
      <c r="C139" s="609" t="s">
        <v>359</v>
      </c>
      <c r="D139" s="239">
        <v>0</v>
      </c>
      <c r="E139" s="239">
        <v>-30388</v>
      </c>
      <c r="F139" s="239">
        <v>-30388</v>
      </c>
      <c r="G139" s="239">
        <v>0</v>
      </c>
      <c r="H139" s="239">
        <v>0</v>
      </c>
      <c r="I139" s="239">
        <v>0</v>
      </c>
      <c r="J139" s="239">
        <v>0</v>
      </c>
      <c r="K139" s="239">
        <v>-30388</v>
      </c>
      <c r="L139" s="239">
        <v>-30388</v>
      </c>
      <c r="M139" s="239">
        <v>222458</v>
      </c>
      <c r="N139" s="239">
        <v>222458</v>
      </c>
      <c r="O139" s="239">
        <v>0</v>
      </c>
      <c r="P139" s="239">
        <v>0</v>
      </c>
      <c r="Q139" s="239">
        <v>0</v>
      </c>
      <c r="R139" s="239">
        <v>0</v>
      </c>
      <c r="S139" s="239">
        <v>874156</v>
      </c>
      <c r="T139" s="239">
        <v>0</v>
      </c>
      <c r="U139" s="239">
        <v>837588</v>
      </c>
      <c r="V139" s="239">
        <v>0</v>
      </c>
      <c r="W139" s="239">
        <v>36568</v>
      </c>
      <c r="X139" s="239">
        <v>0</v>
      </c>
      <c r="Y139" s="239">
        <v>207843.14049586776</v>
      </c>
      <c r="Z139" s="239">
        <v>207843.14049586776</v>
      </c>
      <c r="AA139" s="239">
        <v>0</v>
      </c>
      <c r="AB139" s="239">
        <v>0</v>
      </c>
      <c r="AC139" s="239">
        <v>233296</v>
      </c>
      <c r="AD139" s="239">
        <v>233296</v>
      </c>
      <c r="AE139" s="239">
        <v>0</v>
      </c>
      <c r="AF139" s="239">
        <v>0</v>
      </c>
      <c r="AG139" s="239">
        <v>-25453</v>
      </c>
      <c r="AH139" s="239">
        <v>-25453</v>
      </c>
      <c r="AI139" s="239">
        <v>0</v>
      </c>
      <c r="AJ139" s="239">
        <v>0</v>
      </c>
      <c r="AK139" s="239">
        <v>653271.54359504138</v>
      </c>
      <c r="AL139" s="239">
        <v>146876.64945247932</v>
      </c>
      <c r="AM139" s="239">
        <v>16319.627716942148</v>
      </c>
      <c r="AN139" s="239">
        <v>626140</v>
      </c>
      <c r="AO139" s="239">
        <v>140882</v>
      </c>
      <c r="AP139" s="239">
        <v>15654</v>
      </c>
      <c r="AQ139" s="239">
        <v>27132</v>
      </c>
      <c r="AR139" s="239">
        <v>5995</v>
      </c>
      <c r="AS139" s="239">
        <v>666</v>
      </c>
      <c r="AT139" s="239">
        <v>5881.8553719008269</v>
      </c>
      <c r="AU139" s="239">
        <v>1323.4174586776858</v>
      </c>
      <c r="AV139" s="239">
        <v>147.04638429752066</v>
      </c>
      <c r="AW139" s="239">
        <v>15003</v>
      </c>
      <c r="AX139" s="239">
        <v>3376</v>
      </c>
      <c r="AY139" s="239">
        <v>375</v>
      </c>
      <c r="AZ139" s="239">
        <v>-9121</v>
      </c>
      <c r="BA139" s="239">
        <v>-2053</v>
      </c>
      <c r="BB139" s="239">
        <v>-228</v>
      </c>
      <c r="BC139" s="239">
        <v>0</v>
      </c>
      <c r="BD139" s="239">
        <v>0</v>
      </c>
      <c r="BE139" s="239">
        <v>0</v>
      </c>
      <c r="BF139" s="239">
        <v>4058</v>
      </c>
      <c r="BG139" s="239">
        <v>913</v>
      </c>
      <c r="BH139" s="239">
        <v>101</v>
      </c>
      <c r="BI139" s="239">
        <v>-4058</v>
      </c>
      <c r="BJ139" s="239">
        <v>-913</v>
      </c>
      <c r="BK139" s="239">
        <v>-101</v>
      </c>
      <c r="BL139" s="239">
        <v>16188.797520661159</v>
      </c>
      <c r="BM139" s="239">
        <v>3642.4794421487604</v>
      </c>
      <c r="BN139" s="239">
        <v>404.71993801652894</v>
      </c>
      <c r="BO139" s="239">
        <v>2028</v>
      </c>
      <c r="BP139" s="239">
        <v>457</v>
      </c>
      <c r="BQ139" s="239">
        <v>51</v>
      </c>
      <c r="BR139" s="239">
        <v>14161</v>
      </c>
      <c r="BS139" s="239">
        <v>3185</v>
      </c>
      <c r="BT139" s="239">
        <v>354</v>
      </c>
      <c r="BU139" s="239">
        <v>2464.3330578512396</v>
      </c>
      <c r="BV139" s="239">
        <v>554.47493801652888</v>
      </c>
      <c r="BW139" s="239">
        <v>61.608326446280991</v>
      </c>
      <c r="BX139" s="239">
        <v>0</v>
      </c>
      <c r="BY139" s="239">
        <v>0</v>
      </c>
      <c r="BZ139" s="239">
        <v>0</v>
      </c>
      <c r="CA139" s="239">
        <v>2464</v>
      </c>
      <c r="CB139" s="239">
        <v>554</v>
      </c>
      <c r="CC139" s="239">
        <v>62</v>
      </c>
      <c r="CD139" s="239">
        <v>0</v>
      </c>
      <c r="CE139" s="239">
        <v>0</v>
      </c>
      <c r="CF139" s="239">
        <v>0</v>
      </c>
      <c r="CG139" s="239">
        <v>0</v>
      </c>
      <c r="CH139" s="239">
        <v>0</v>
      </c>
      <c r="CI139" s="239">
        <v>0</v>
      </c>
      <c r="CJ139" s="239">
        <v>0</v>
      </c>
      <c r="CK139" s="239">
        <v>0</v>
      </c>
      <c r="CL139" s="239">
        <v>0</v>
      </c>
      <c r="CM139" s="239">
        <v>0</v>
      </c>
      <c r="CN139" s="239">
        <v>0</v>
      </c>
      <c r="CO139" s="239">
        <v>0</v>
      </c>
      <c r="CP139" s="239">
        <v>0</v>
      </c>
      <c r="CQ139" s="239">
        <v>0</v>
      </c>
      <c r="CR139" s="239">
        <v>0</v>
      </c>
      <c r="CS139" s="239">
        <v>0</v>
      </c>
      <c r="CT139" s="239">
        <v>0</v>
      </c>
      <c r="CU139" s="239">
        <v>0</v>
      </c>
      <c r="CV139" s="239">
        <v>366780.38842975209</v>
      </c>
      <c r="CW139" s="239">
        <v>79680.968181818185</v>
      </c>
      <c r="CX139" s="239">
        <v>8853.4409090909103</v>
      </c>
      <c r="CY139" s="239">
        <v>365095</v>
      </c>
      <c r="CZ139" s="239">
        <v>78662</v>
      </c>
      <c r="DA139" s="239">
        <v>8740</v>
      </c>
      <c r="DB139" s="239">
        <v>1685</v>
      </c>
      <c r="DC139" s="239">
        <v>1019</v>
      </c>
      <c r="DD139" s="239">
        <v>113</v>
      </c>
      <c r="DE139" s="641">
        <v>0.5</v>
      </c>
      <c r="DF139" s="641">
        <v>0.4</v>
      </c>
      <c r="DG139" s="641">
        <v>0.09</v>
      </c>
      <c r="DH139" s="641">
        <v>0.01</v>
      </c>
      <c r="DI139" s="214" t="s">
        <v>1190</v>
      </c>
    </row>
    <row r="140" spans="2:113" s="214" customFormat="1" x14ac:dyDescent="0.2">
      <c r="B140" s="609" t="s">
        <v>362</v>
      </c>
      <c r="C140" s="609" t="s">
        <v>361</v>
      </c>
      <c r="D140" s="239">
        <v>21502</v>
      </c>
      <c r="E140" s="239">
        <v>0</v>
      </c>
      <c r="F140" s="239">
        <v>21502</v>
      </c>
      <c r="G140" s="239">
        <v>0</v>
      </c>
      <c r="H140" s="239">
        <v>0</v>
      </c>
      <c r="I140" s="239">
        <v>0</v>
      </c>
      <c r="J140" s="239">
        <v>21502</v>
      </c>
      <c r="K140" s="239">
        <v>0</v>
      </c>
      <c r="L140" s="239">
        <v>21502</v>
      </c>
      <c r="M140" s="239">
        <v>130406</v>
      </c>
      <c r="N140" s="239">
        <v>130406</v>
      </c>
      <c r="O140" s="239">
        <v>0</v>
      </c>
      <c r="P140" s="239">
        <v>0</v>
      </c>
      <c r="Q140" s="239">
        <v>0</v>
      </c>
      <c r="R140" s="239">
        <v>0</v>
      </c>
      <c r="S140" s="239">
        <v>0</v>
      </c>
      <c r="T140" s="239">
        <v>0</v>
      </c>
      <c r="U140" s="239">
        <v>0</v>
      </c>
      <c r="V140" s="239">
        <v>0</v>
      </c>
      <c r="W140" s="239">
        <v>0</v>
      </c>
      <c r="X140" s="239">
        <v>0</v>
      </c>
      <c r="Y140" s="239">
        <v>0</v>
      </c>
      <c r="Z140" s="239">
        <v>0</v>
      </c>
      <c r="AA140" s="239">
        <v>0</v>
      </c>
      <c r="AB140" s="239">
        <v>0</v>
      </c>
      <c r="AC140" s="239">
        <v>0</v>
      </c>
      <c r="AD140" s="239">
        <v>0</v>
      </c>
      <c r="AE140" s="239">
        <v>0</v>
      </c>
      <c r="AF140" s="239">
        <v>0</v>
      </c>
      <c r="AG140" s="239">
        <v>0</v>
      </c>
      <c r="AH140" s="239">
        <v>0</v>
      </c>
      <c r="AI140" s="239">
        <v>0</v>
      </c>
      <c r="AJ140" s="239">
        <v>0</v>
      </c>
      <c r="AK140" s="239">
        <v>535267.91074380174</v>
      </c>
      <c r="AL140" s="239">
        <v>120435.27991735536</v>
      </c>
      <c r="AM140" s="239">
        <v>13381.697768595042</v>
      </c>
      <c r="AN140" s="239">
        <v>515811</v>
      </c>
      <c r="AO140" s="239">
        <v>116057</v>
      </c>
      <c r="AP140" s="239">
        <v>12895</v>
      </c>
      <c r="AQ140" s="239">
        <v>19457</v>
      </c>
      <c r="AR140" s="239">
        <v>4378</v>
      </c>
      <c r="AS140" s="239">
        <v>487</v>
      </c>
      <c r="AT140" s="239">
        <v>1427.5520661157025</v>
      </c>
      <c r="AU140" s="239">
        <v>321.19921487603307</v>
      </c>
      <c r="AV140" s="239">
        <v>35.688801652892565</v>
      </c>
      <c r="AW140" s="239">
        <v>0</v>
      </c>
      <c r="AX140" s="239">
        <v>0</v>
      </c>
      <c r="AY140" s="239">
        <v>0</v>
      </c>
      <c r="AZ140" s="239">
        <v>1428</v>
      </c>
      <c r="BA140" s="239">
        <v>321</v>
      </c>
      <c r="BB140" s="239">
        <v>36</v>
      </c>
      <c r="BC140" s="239">
        <v>0</v>
      </c>
      <c r="BD140" s="239">
        <v>0</v>
      </c>
      <c r="BE140" s="239">
        <v>0</v>
      </c>
      <c r="BF140" s="239">
        <v>0</v>
      </c>
      <c r="BG140" s="239">
        <v>0</v>
      </c>
      <c r="BH140" s="239">
        <v>0</v>
      </c>
      <c r="BI140" s="239">
        <v>0</v>
      </c>
      <c r="BJ140" s="239">
        <v>0</v>
      </c>
      <c r="BK140" s="239">
        <v>0</v>
      </c>
      <c r="BL140" s="239">
        <v>7621.4561983471085</v>
      </c>
      <c r="BM140" s="239">
        <v>1714.8276446280993</v>
      </c>
      <c r="BN140" s="239">
        <v>190.53640495867771</v>
      </c>
      <c r="BO140" s="239">
        <v>1099</v>
      </c>
      <c r="BP140" s="239">
        <v>248</v>
      </c>
      <c r="BQ140" s="239">
        <v>28</v>
      </c>
      <c r="BR140" s="239">
        <v>6522</v>
      </c>
      <c r="BS140" s="239">
        <v>1467</v>
      </c>
      <c r="BT140" s="239">
        <v>163</v>
      </c>
      <c r="BU140" s="239">
        <v>-6083.5305785123965</v>
      </c>
      <c r="BV140" s="239">
        <v>-1368.7943801652891</v>
      </c>
      <c r="BW140" s="239">
        <v>-152.08826446280992</v>
      </c>
      <c r="BX140" s="239">
        <v>0</v>
      </c>
      <c r="BY140" s="239">
        <v>0</v>
      </c>
      <c r="BZ140" s="239">
        <v>0</v>
      </c>
      <c r="CA140" s="239">
        <v>-6084</v>
      </c>
      <c r="CB140" s="239">
        <v>-1369</v>
      </c>
      <c r="CC140" s="239">
        <v>-152</v>
      </c>
      <c r="CD140" s="239">
        <v>0</v>
      </c>
      <c r="CE140" s="239">
        <v>0</v>
      </c>
      <c r="CF140" s="239">
        <v>0</v>
      </c>
      <c r="CG140" s="239">
        <v>0</v>
      </c>
      <c r="CH140" s="239">
        <v>0</v>
      </c>
      <c r="CI140" s="239">
        <v>0</v>
      </c>
      <c r="CJ140" s="239">
        <v>0</v>
      </c>
      <c r="CK140" s="239">
        <v>0</v>
      </c>
      <c r="CL140" s="239">
        <v>0</v>
      </c>
      <c r="CM140" s="239">
        <v>373.32231404958679</v>
      </c>
      <c r="CN140" s="239">
        <v>83.997520661157026</v>
      </c>
      <c r="CO140" s="239">
        <v>9.3330578512396709</v>
      </c>
      <c r="CP140" s="239">
        <v>0</v>
      </c>
      <c r="CQ140" s="239">
        <v>0</v>
      </c>
      <c r="CR140" s="239">
        <v>0</v>
      </c>
      <c r="CS140" s="239">
        <v>373</v>
      </c>
      <c r="CT140" s="239">
        <v>84</v>
      </c>
      <c r="CU140" s="239">
        <v>9</v>
      </c>
      <c r="CV140" s="239">
        <v>122046.52727272727</v>
      </c>
      <c r="CW140" s="239">
        <v>27460.468636363636</v>
      </c>
      <c r="CX140" s="239">
        <v>3051.1631818181818</v>
      </c>
      <c r="CY140" s="239">
        <v>113218</v>
      </c>
      <c r="CZ140" s="239">
        <v>25474</v>
      </c>
      <c r="DA140" s="239">
        <v>2830</v>
      </c>
      <c r="DB140" s="239">
        <v>8829</v>
      </c>
      <c r="DC140" s="239">
        <v>1986</v>
      </c>
      <c r="DD140" s="239">
        <v>221</v>
      </c>
      <c r="DE140" s="641">
        <v>0.5</v>
      </c>
      <c r="DF140" s="641">
        <v>0.4</v>
      </c>
      <c r="DG140" s="641">
        <v>0.09</v>
      </c>
      <c r="DH140" s="641">
        <v>0.01</v>
      </c>
      <c r="DI140" s="214" t="s">
        <v>1190</v>
      </c>
    </row>
    <row r="141" spans="2:113" s="214" customFormat="1" x14ac:dyDescent="0.2">
      <c r="B141" s="609" t="s">
        <v>364</v>
      </c>
      <c r="C141" s="609" t="s">
        <v>363</v>
      </c>
      <c r="D141" s="239">
        <v>-51621</v>
      </c>
      <c r="E141" s="239">
        <v>0</v>
      </c>
      <c r="F141" s="239">
        <v>-51621</v>
      </c>
      <c r="G141" s="239">
        <v>0</v>
      </c>
      <c r="H141" s="239">
        <v>0</v>
      </c>
      <c r="I141" s="239">
        <v>0</v>
      </c>
      <c r="J141" s="239">
        <v>-51621</v>
      </c>
      <c r="K141" s="239">
        <v>0</v>
      </c>
      <c r="L141" s="239">
        <v>-51621</v>
      </c>
      <c r="M141" s="239">
        <v>193418</v>
      </c>
      <c r="N141" s="239">
        <v>193418</v>
      </c>
      <c r="O141" s="239">
        <v>0</v>
      </c>
      <c r="P141" s="239">
        <v>0</v>
      </c>
      <c r="Q141" s="239">
        <v>0</v>
      </c>
      <c r="R141" s="239">
        <v>0</v>
      </c>
      <c r="S141" s="239">
        <v>0</v>
      </c>
      <c r="T141" s="239">
        <v>0</v>
      </c>
      <c r="U141" s="239">
        <v>0</v>
      </c>
      <c r="V141" s="239">
        <v>0</v>
      </c>
      <c r="W141" s="239">
        <v>0</v>
      </c>
      <c r="X141" s="239">
        <v>0</v>
      </c>
      <c r="Y141" s="239">
        <v>0</v>
      </c>
      <c r="Z141" s="239">
        <v>0</v>
      </c>
      <c r="AA141" s="239">
        <v>0</v>
      </c>
      <c r="AB141" s="239">
        <v>0</v>
      </c>
      <c r="AC141" s="239">
        <v>81085</v>
      </c>
      <c r="AD141" s="239">
        <v>81085</v>
      </c>
      <c r="AE141" s="239">
        <v>0</v>
      </c>
      <c r="AF141" s="239">
        <v>0</v>
      </c>
      <c r="AG141" s="239">
        <v>-81085</v>
      </c>
      <c r="AH141" s="239">
        <v>-81085</v>
      </c>
      <c r="AI141" s="239">
        <v>0</v>
      </c>
      <c r="AJ141" s="239">
        <v>0</v>
      </c>
      <c r="AK141" s="239">
        <v>515489.53801652894</v>
      </c>
      <c r="AL141" s="239">
        <v>128872.38450413223</v>
      </c>
      <c r="AM141" s="239">
        <v>0</v>
      </c>
      <c r="AN141" s="239">
        <v>517184</v>
      </c>
      <c r="AO141" s="239">
        <v>129296</v>
      </c>
      <c r="AP141" s="239">
        <v>0</v>
      </c>
      <c r="AQ141" s="239">
        <v>-1694</v>
      </c>
      <c r="AR141" s="239">
        <v>-424</v>
      </c>
      <c r="AS141" s="239">
        <v>0</v>
      </c>
      <c r="AT141" s="239">
        <v>10568.673553719011</v>
      </c>
      <c r="AU141" s="239">
        <v>2642.1683884297527</v>
      </c>
      <c r="AV141" s="239">
        <v>0</v>
      </c>
      <c r="AW141" s="239">
        <v>4262</v>
      </c>
      <c r="AX141" s="239">
        <v>1065</v>
      </c>
      <c r="AY141" s="239">
        <v>0</v>
      </c>
      <c r="AZ141" s="239">
        <v>6307</v>
      </c>
      <c r="BA141" s="239">
        <v>1577</v>
      </c>
      <c r="BB141" s="239">
        <v>0</v>
      </c>
      <c r="BC141" s="239">
        <v>135329.33884297521</v>
      </c>
      <c r="BD141" s="239">
        <v>0</v>
      </c>
      <c r="BE141" s="239">
        <v>0</v>
      </c>
      <c r="BF141" s="239">
        <v>0</v>
      </c>
      <c r="BG141" s="239">
        <v>0</v>
      </c>
      <c r="BH141" s="239">
        <v>0</v>
      </c>
      <c r="BI141" s="239">
        <v>135329</v>
      </c>
      <c r="BJ141" s="239">
        <v>0</v>
      </c>
      <c r="BK141" s="239">
        <v>0</v>
      </c>
      <c r="BL141" s="239">
        <v>24769.935537190086</v>
      </c>
      <c r="BM141" s="239">
        <v>6192.4838842975214</v>
      </c>
      <c r="BN141" s="239">
        <v>0</v>
      </c>
      <c r="BO141" s="239">
        <v>35944</v>
      </c>
      <c r="BP141" s="239">
        <v>8986</v>
      </c>
      <c r="BQ141" s="239">
        <v>0</v>
      </c>
      <c r="BR141" s="239">
        <v>-11174</v>
      </c>
      <c r="BS141" s="239">
        <v>-2794</v>
      </c>
      <c r="BT141" s="239">
        <v>0</v>
      </c>
      <c r="BU141" s="239">
        <v>4138.6024793388433</v>
      </c>
      <c r="BV141" s="239">
        <v>1034.6506198347108</v>
      </c>
      <c r="BW141" s="239">
        <v>0</v>
      </c>
      <c r="BX141" s="239">
        <v>0</v>
      </c>
      <c r="BY141" s="239">
        <v>0</v>
      </c>
      <c r="BZ141" s="239">
        <v>0</v>
      </c>
      <c r="CA141" s="239">
        <v>4139</v>
      </c>
      <c r="CB141" s="239">
        <v>1035</v>
      </c>
      <c r="CC141" s="239">
        <v>0</v>
      </c>
      <c r="CD141" s="239">
        <v>0</v>
      </c>
      <c r="CE141" s="239">
        <v>0</v>
      </c>
      <c r="CF141" s="239">
        <v>0</v>
      </c>
      <c r="CG141" s="239">
        <v>0</v>
      </c>
      <c r="CH141" s="239">
        <v>0</v>
      </c>
      <c r="CI141" s="239">
        <v>0</v>
      </c>
      <c r="CJ141" s="239">
        <v>0</v>
      </c>
      <c r="CK141" s="239">
        <v>0</v>
      </c>
      <c r="CL141" s="239">
        <v>0</v>
      </c>
      <c r="CM141" s="239">
        <v>-1565.9247933884299</v>
      </c>
      <c r="CN141" s="239">
        <v>-391.48119834710747</v>
      </c>
      <c r="CO141" s="239">
        <v>0</v>
      </c>
      <c r="CP141" s="239">
        <v>3266</v>
      </c>
      <c r="CQ141" s="239">
        <v>817</v>
      </c>
      <c r="CR141" s="239">
        <v>0</v>
      </c>
      <c r="CS141" s="239">
        <v>-4832</v>
      </c>
      <c r="CT141" s="239">
        <v>-1208</v>
      </c>
      <c r="CU141" s="239">
        <v>0</v>
      </c>
      <c r="CV141" s="239">
        <v>331312.27933884301</v>
      </c>
      <c r="CW141" s="239">
        <v>82828.069834710754</v>
      </c>
      <c r="CX141" s="239">
        <v>0</v>
      </c>
      <c r="CY141" s="239">
        <v>334609</v>
      </c>
      <c r="CZ141" s="239">
        <v>83359</v>
      </c>
      <c r="DA141" s="239">
        <v>0</v>
      </c>
      <c r="DB141" s="239">
        <v>-3297</v>
      </c>
      <c r="DC141" s="239">
        <v>-531</v>
      </c>
      <c r="DD141" s="239">
        <v>0</v>
      </c>
      <c r="DE141" s="641">
        <v>0.5</v>
      </c>
      <c r="DF141" s="641">
        <v>0.4</v>
      </c>
      <c r="DG141" s="641">
        <v>0.1</v>
      </c>
      <c r="DH141" s="641">
        <v>0</v>
      </c>
      <c r="DI141" s="214" t="s">
        <v>1190</v>
      </c>
    </row>
    <row r="142" spans="2:113" s="214" customFormat="1" x14ac:dyDescent="0.2">
      <c r="B142" s="609" t="s">
        <v>366</v>
      </c>
      <c r="C142" s="609" t="s">
        <v>365</v>
      </c>
      <c r="D142" s="239">
        <v>-256538</v>
      </c>
      <c r="E142" s="239">
        <v>0</v>
      </c>
      <c r="F142" s="239">
        <v>-256538</v>
      </c>
      <c r="G142" s="239">
        <v>0</v>
      </c>
      <c r="H142" s="239">
        <v>0</v>
      </c>
      <c r="I142" s="239">
        <v>0</v>
      </c>
      <c r="J142" s="239">
        <v>-256538</v>
      </c>
      <c r="K142" s="239">
        <v>0</v>
      </c>
      <c r="L142" s="239">
        <v>-256538</v>
      </c>
      <c r="M142" s="239">
        <v>257322</v>
      </c>
      <c r="N142" s="239">
        <v>257322</v>
      </c>
      <c r="O142" s="239">
        <v>0</v>
      </c>
      <c r="P142" s="239">
        <v>0</v>
      </c>
      <c r="Q142" s="239">
        <v>0</v>
      </c>
      <c r="R142" s="239">
        <v>0</v>
      </c>
      <c r="S142" s="239">
        <v>289194</v>
      </c>
      <c r="T142" s="239">
        <v>0</v>
      </c>
      <c r="U142" s="239">
        <v>117695</v>
      </c>
      <c r="V142" s="239">
        <v>0</v>
      </c>
      <c r="W142" s="239">
        <v>171499</v>
      </c>
      <c r="X142" s="239">
        <v>0</v>
      </c>
      <c r="Y142" s="239">
        <v>0</v>
      </c>
      <c r="Z142" s="239">
        <v>0</v>
      </c>
      <c r="AA142" s="239">
        <v>0</v>
      </c>
      <c r="AB142" s="239">
        <v>0</v>
      </c>
      <c r="AC142" s="239">
        <v>0</v>
      </c>
      <c r="AD142" s="239">
        <v>0</v>
      </c>
      <c r="AE142" s="239">
        <v>0</v>
      </c>
      <c r="AF142" s="239">
        <v>0</v>
      </c>
      <c r="AG142" s="239">
        <v>0</v>
      </c>
      <c r="AH142" s="239">
        <v>0</v>
      </c>
      <c r="AI142" s="239">
        <v>0</v>
      </c>
      <c r="AJ142" s="239">
        <v>0</v>
      </c>
      <c r="AK142" s="239">
        <v>1460167.5526859504</v>
      </c>
      <c r="AL142" s="239">
        <v>0</v>
      </c>
      <c r="AM142" s="239">
        <v>0</v>
      </c>
      <c r="AN142" s="239">
        <v>1296500</v>
      </c>
      <c r="AO142" s="239">
        <v>0</v>
      </c>
      <c r="AP142" s="239">
        <v>0</v>
      </c>
      <c r="AQ142" s="239">
        <v>163668</v>
      </c>
      <c r="AR142" s="239">
        <v>0</v>
      </c>
      <c r="AS142" s="239">
        <v>0</v>
      </c>
      <c r="AT142" s="239">
        <v>8645.7592975206608</v>
      </c>
      <c r="AU142" s="239">
        <v>0</v>
      </c>
      <c r="AV142" s="239">
        <v>0</v>
      </c>
      <c r="AW142" s="239">
        <v>2496</v>
      </c>
      <c r="AX142" s="239">
        <v>0</v>
      </c>
      <c r="AY142" s="239">
        <v>0</v>
      </c>
      <c r="AZ142" s="239">
        <v>6150</v>
      </c>
      <c r="BA142" s="239">
        <v>0</v>
      </c>
      <c r="BB142" s="239">
        <v>0</v>
      </c>
      <c r="BC142" s="239">
        <v>-362.16322314049586</v>
      </c>
      <c r="BD142" s="239">
        <v>0</v>
      </c>
      <c r="BE142" s="239">
        <v>0</v>
      </c>
      <c r="BF142" s="239">
        <v>2536</v>
      </c>
      <c r="BG142" s="239">
        <v>0</v>
      </c>
      <c r="BH142" s="239">
        <v>0</v>
      </c>
      <c r="BI142" s="239">
        <v>-2898</v>
      </c>
      <c r="BJ142" s="239">
        <v>0</v>
      </c>
      <c r="BK142" s="239">
        <v>0</v>
      </c>
      <c r="BL142" s="239">
        <v>4193.7892561983472</v>
      </c>
      <c r="BM142" s="239">
        <v>0</v>
      </c>
      <c r="BN142" s="239">
        <v>0</v>
      </c>
      <c r="BO142" s="239">
        <v>7608</v>
      </c>
      <c r="BP142" s="239">
        <v>0</v>
      </c>
      <c r="BQ142" s="239">
        <v>0</v>
      </c>
      <c r="BR142" s="239">
        <v>-3414</v>
      </c>
      <c r="BS142" s="239">
        <v>0</v>
      </c>
      <c r="BT142" s="239">
        <v>0</v>
      </c>
      <c r="BU142" s="239">
        <v>-4292.1921487603304</v>
      </c>
      <c r="BV142" s="239">
        <v>0</v>
      </c>
      <c r="BW142" s="239">
        <v>0</v>
      </c>
      <c r="BX142" s="239">
        <v>0</v>
      </c>
      <c r="BY142" s="239">
        <v>0</v>
      </c>
      <c r="BZ142" s="239">
        <v>0</v>
      </c>
      <c r="CA142" s="239">
        <v>-4292</v>
      </c>
      <c r="CB142" s="239">
        <v>0</v>
      </c>
      <c r="CC142" s="239">
        <v>0</v>
      </c>
      <c r="CD142" s="239">
        <v>0</v>
      </c>
      <c r="CE142" s="239">
        <v>0</v>
      </c>
      <c r="CF142" s="239">
        <v>0</v>
      </c>
      <c r="CG142" s="239">
        <v>0</v>
      </c>
      <c r="CH142" s="239">
        <v>0</v>
      </c>
      <c r="CI142" s="239">
        <v>0</v>
      </c>
      <c r="CJ142" s="239">
        <v>0</v>
      </c>
      <c r="CK142" s="239">
        <v>0</v>
      </c>
      <c r="CL142" s="239">
        <v>0</v>
      </c>
      <c r="CM142" s="239">
        <v>1952.840909090909</v>
      </c>
      <c r="CN142" s="239">
        <v>0</v>
      </c>
      <c r="CO142" s="239">
        <v>0</v>
      </c>
      <c r="CP142" s="239">
        <v>5072</v>
      </c>
      <c r="CQ142" s="239">
        <v>0</v>
      </c>
      <c r="CR142" s="239">
        <v>0</v>
      </c>
      <c r="CS142" s="239">
        <v>-3119</v>
      </c>
      <c r="CT142" s="239">
        <v>0</v>
      </c>
      <c r="CU142" s="239">
        <v>0</v>
      </c>
      <c r="CV142" s="239">
        <v>255183.87190082646</v>
      </c>
      <c r="CW142" s="239">
        <v>0</v>
      </c>
      <c r="CX142" s="239">
        <v>0</v>
      </c>
      <c r="CY142" s="239">
        <v>259368</v>
      </c>
      <c r="CZ142" s="239">
        <v>0</v>
      </c>
      <c r="DA142" s="239">
        <v>0</v>
      </c>
      <c r="DB142" s="239">
        <v>-4184</v>
      </c>
      <c r="DC142" s="239">
        <v>0</v>
      </c>
      <c r="DD142" s="239">
        <v>0</v>
      </c>
      <c r="DE142" s="641">
        <v>0.5</v>
      </c>
      <c r="DF142" s="641">
        <v>0.5</v>
      </c>
      <c r="DG142" s="641">
        <v>0</v>
      </c>
      <c r="DH142" s="641">
        <v>0</v>
      </c>
      <c r="DI142" s="214" t="s">
        <v>747</v>
      </c>
    </row>
    <row r="143" spans="2:113" s="214" customFormat="1" x14ac:dyDescent="0.2">
      <c r="B143" s="609" t="s">
        <v>368</v>
      </c>
      <c r="C143" s="609" t="s">
        <v>367</v>
      </c>
      <c r="D143" s="239">
        <v>0</v>
      </c>
      <c r="E143" s="239">
        <v>0</v>
      </c>
      <c r="F143" s="239">
        <v>0</v>
      </c>
      <c r="G143" s="239">
        <v>0</v>
      </c>
      <c r="H143" s="239">
        <v>0</v>
      </c>
      <c r="I143" s="239">
        <v>0</v>
      </c>
      <c r="J143" s="239">
        <v>0</v>
      </c>
      <c r="K143" s="239">
        <v>0</v>
      </c>
      <c r="L143" s="239">
        <v>0</v>
      </c>
      <c r="M143" s="239">
        <v>24540</v>
      </c>
      <c r="N143" s="239">
        <v>24540</v>
      </c>
      <c r="O143" s="239">
        <v>0</v>
      </c>
      <c r="P143" s="239">
        <v>0</v>
      </c>
      <c r="Q143" s="239">
        <v>0</v>
      </c>
      <c r="R143" s="239">
        <v>0</v>
      </c>
      <c r="S143" s="239">
        <v>0</v>
      </c>
      <c r="T143" s="239">
        <v>0</v>
      </c>
      <c r="U143" s="239">
        <v>0</v>
      </c>
      <c r="V143" s="239">
        <v>0</v>
      </c>
      <c r="W143" s="239">
        <v>0</v>
      </c>
      <c r="X143" s="239">
        <v>0</v>
      </c>
      <c r="Y143" s="239">
        <v>0</v>
      </c>
      <c r="Z143" s="239">
        <v>0</v>
      </c>
      <c r="AA143" s="239">
        <v>0</v>
      </c>
      <c r="AB143" s="239">
        <v>0</v>
      </c>
      <c r="AC143" s="239">
        <v>0</v>
      </c>
      <c r="AD143" s="239">
        <v>0</v>
      </c>
      <c r="AE143" s="239">
        <v>0</v>
      </c>
      <c r="AF143" s="239">
        <v>0</v>
      </c>
      <c r="AG143" s="239">
        <v>0</v>
      </c>
      <c r="AH143" s="239">
        <v>0</v>
      </c>
      <c r="AI143" s="239">
        <v>0</v>
      </c>
      <c r="AJ143" s="239">
        <v>0</v>
      </c>
      <c r="AK143" s="239">
        <v>93414.77892561983</v>
      </c>
      <c r="AL143" s="239">
        <v>0</v>
      </c>
      <c r="AM143" s="239">
        <v>0</v>
      </c>
      <c r="AN143" s="239">
        <v>85844</v>
      </c>
      <c r="AO143" s="239">
        <v>0</v>
      </c>
      <c r="AP143" s="239">
        <v>0</v>
      </c>
      <c r="AQ143" s="239">
        <v>7571</v>
      </c>
      <c r="AR143" s="239">
        <v>0</v>
      </c>
      <c r="AS143" s="239">
        <v>0</v>
      </c>
      <c r="AT143" s="239">
        <v>0</v>
      </c>
      <c r="AU143" s="239">
        <v>0</v>
      </c>
      <c r="AV143" s="239">
        <v>0</v>
      </c>
      <c r="AW143" s="239">
        <v>0</v>
      </c>
      <c r="AX143" s="239">
        <v>0</v>
      </c>
      <c r="AY143" s="239">
        <v>0</v>
      </c>
      <c r="AZ143" s="239">
        <v>0</v>
      </c>
      <c r="BA143" s="239">
        <v>0</v>
      </c>
      <c r="BB143" s="239">
        <v>0</v>
      </c>
      <c r="BC143" s="239">
        <v>0</v>
      </c>
      <c r="BD143" s="239">
        <v>0</v>
      </c>
      <c r="BE143" s="239">
        <v>0</v>
      </c>
      <c r="BF143" s="239">
        <v>0</v>
      </c>
      <c r="BG143" s="239">
        <v>0</v>
      </c>
      <c r="BH143" s="239">
        <v>0</v>
      </c>
      <c r="BI143" s="239">
        <v>0</v>
      </c>
      <c r="BJ143" s="239">
        <v>0</v>
      </c>
      <c r="BK143" s="239">
        <v>0</v>
      </c>
      <c r="BL143" s="239">
        <v>0</v>
      </c>
      <c r="BM143" s="239">
        <v>0</v>
      </c>
      <c r="BN143" s="239">
        <v>0</v>
      </c>
      <c r="BO143" s="239">
        <v>0</v>
      </c>
      <c r="BP143" s="239">
        <v>0</v>
      </c>
      <c r="BQ143" s="239">
        <v>0</v>
      </c>
      <c r="BR143" s="239">
        <v>0</v>
      </c>
      <c r="BS143" s="239">
        <v>0</v>
      </c>
      <c r="BT143" s="239">
        <v>0</v>
      </c>
      <c r="BU143" s="239">
        <v>0</v>
      </c>
      <c r="BV143" s="239">
        <v>0</v>
      </c>
      <c r="BW143" s="239">
        <v>0</v>
      </c>
      <c r="BX143" s="239">
        <v>0</v>
      </c>
      <c r="BY143" s="239">
        <v>0</v>
      </c>
      <c r="BZ143" s="239">
        <v>0</v>
      </c>
      <c r="CA143" s="239">
        <v>0</v>
      </c>
      <c r="CB143" s="239">
        <v>0</v>
      </c>
      <c r="CC143" s="239">
        <v>0</v>
      </c>
      <c r="CD143" s="239">
        <v>0</v>
      </c>
      <c r="CE143" s="239">
        <v>0</v>
      </c>
      <c r="CF143" s="239">
        <v>0</v>
      </c>
      <c r="CG143" s="239">
        <v>0</v>
      </c>
      <c r="CH143" s="239">
        <v>0</v>
      </c>
      <c r="CI143" s="239">
        <v>0</v>
      </c>
      <c r="CJ143" s="239">
        <v>0</v>
      </c>
      <c r="CK143" s="239">
        <v>0</v>
      </c>
      <c r="CL143" s="239">
        <v>0</v>
      </c>
      <c r="CM143" s="239">
        <v>0</v>
      </c>
      <c r="CN143" s="239">
        <v>0</v>
      </c>
      <c r="CO143" s="239">
        <v>0</v>
      </c>
      <c r="CP143" s="239">
        <v>0</v>
      </c>
      <c r="CQ143" s="239">
        <v>0</v>
      </c>
      <c r="CR143" s="239">
        <v>0</v>
      </c>
      <c r="CS143" s="239">
        <v>0</v>
      </c>
      <c r="CT143" s="239">
        <v>0</v>
      </c>
      <c r="CU143" s="239">
        <v>0</v>
      </c>
      <c r="CV143" s="239">
        <v>10408.247933884297</v>
      </c>
      <c r="CW143" s="239">
        <v>0</v>
      </c>
      <c r="CX143" s="239">
        <v>0</v>
      </c>
      <c r="CY143" s="239">
        <v>12140</v>
      </c>
      <c r="CZ143" s="239">
        <v>0</v>
      </c>
      <c r="DA143" s="239">
        <v>0</v>
      </c>
      <c r="DB143" s="239">
        <v>-1732</v>
      </c>
      <c r="DC143" s="239">
        <v>0</v>
      </c>
      <c r="DD143" s="239">
        <v>0</v>
      </c>
      <c r="DE143" s="641">
        <v>0.5</v>
      </c>
      <c r="DF143" s="641">
        <v>0.5</v>
      </c>
      <c r="DG143" s="641">
        <v>0</v>
      </c>
      <c r="DH143" s="641">
        <v>0</v>
      </c>
      <c r="DI143" s="214" t="s">
        <v>747</v>
      </c>
    </row>
    <row r="144" spans="2:113" s="214" customFormat="1" x14ac:dyDescent="0.2">
      <c r="B144" s="609" t="s">
        <v>370</v>
      </c>
      <c r="C144" s="609" t="s">
        <v>369</v>
      </c>
      <c r="D144" s="239">
        <v>-2365598</v>
      </c>
      <c r="E144" s="239">
        <v>0</v>
      </c>
      <c r="F144" s="239">
        <v>-2365598</v>
      </c>
      <c r="G144" s="239">
        <v>0</v>
      </c>
      <c r="H144" s="239">
        <v>0</v>
      </c>
      <c r="I144" s="239">
        <v>0</v>
      </c>
      <c r="J144" s="239">
        <v>-2365598</v>
      </c>
      <c r="K144" s="239">
        <v>0</v>
      </c>
      <c r="L144" s="239">
        <v>-2365598</v>
      </c>
      <c r="M144" s="239">
        <v>644084</v>
      </c>
      <c r="N144" s="239">
        <v>644084</v>
      </c>
      <c r="O144" s="239">
        <v>0</v>
      </c>
      <c r="P144" s="239">
        <v>0</v>
      </c>
      <c r="Q144" s="239">
        <v>0</v>
      </c>
      <c r="R144" s="239">
        <v>0</v>
      </c>
      <c r="S144" s="239">
        <v>62040</v>
      </c>
      <c r="T144" s="239">
        <v>0</v>
      </c>
      <c r="U144" s="239">
        <v>62040</v>
      </c>
      <c r="V144" s="239">
        <v>0</v>
      </c>
      <c r="W144" s="239">
        <v>0</v>
      </c>
      <c r="X144" s="239">
        <v>0</v>
      </c>
      <c r="Y144" s="239">
        <v>0</v>
      </c>
      <c r="Z144" s="239">
        <v>0</v>
      </c>
      <c r="AA144" s="239">
        <v>0</v>
      </c>
      <c r="AB144" s="239">
        <v>0</v>
      </c>
      <c r="AC144" s="239">
        <v>0</v>
      </c>
      <c r="AD144" s="239">
        <v>0</v>
      </c>
      <c r="AE144" s="239">
        <v>0</v>
      </c>
      <c r="AF144" s="239">
        <v>0</v>
      </c>
      <c r="AG144" s="239">
        <v>0</v>
      </c>
      <c r="AH144" s="239">
        <v>0</v>
      </c>
      <c r="AI144" s="239">
        <v>0</v>
      </c>
      <c r="AJ144" s="239">
        <v>0</v>
      </c>
      <c r="AK144" s="239">
        <v>564227.01973140496</v>
      </c>
      <c r="AL144" s="239">
        <v>376151.34648760332</v>
      </c>
      <c r="AM144" s="239">
        <v>0</v>
      </c>
      <c r="AN144" s="239">
        <v>528769</v>
      </c>
      <c r="AO144" s="239">
        <v>352512</v>
      </c>
      <c r="AP144" s="239">
        <v>0</v>
      </c>
      <c r="AQ144" s="239">
        <v>35458</v>
      </c>
      <c r="AR144" s="239">
        <v>23639</v>
      </c>
      <c r="AS144" s="239">
        <v>0</v>
      </c>
      <c r="AT144" s="239">
        <v>0</v>
      </c>
      <c r="AU144" s="239">
        <v>0</v>
      </c>
      <c r="AV144" s="239">
        <v>0</v>
      </c>
      <c r="AW144" s="239">
        <v>0</v>
      </c>
      <c r="AX144" s="239">
        <v>0</v>
      </c>
      <c r="AY144" s="239">
        <v>0</v>
      </c>
      <c r="AZ144" s="239">
        <v>0</v>
      </c>
      <c r="BA144" s="239">
        <v>0</v>
      </c>
      <c r="BB144" s="239">
        <v>0</v>
      </c>
      <c r="BC144" s="239">
        <v>5782.1336776859498</v>
      </c>
      <c r="BD144" s="239">
        <v>3854.7557851239671</v>
      </c>
      <c r="BE144" s="239">
        <v>0</v>
      </c>
      <c r="BF144" s="239">
        <v>70661</v>
      </c>
      <c r="BG144" s="239">
        <v>47108</v>
      </c>
      <c r="BH144" s="239">
        <v>0</v>
      </c>
      <c r="BI144" s="239">
        <v>-64879</v>
      </c>
      <c r="BJ144" s="239">
        <v>-43253</v>
      </c>
      <c r="BK144" s="239">
        <v>0</v>
      </c>
      <c r="BL144" s="239">
        <v>15439.10950413223</v>
      </c>
      <c r="BM144" s="239">
        <v>10292.739669421488</v>
      </c>
      <c r="BN144" s="239">
        <v>0</v>
      </c>
      <c r="BO144" s="239">
        <v>345</v>
      </c>
      <c r="BP144" s="239">
        <v>230</v>
      </c>
      <c r="BQ144" s="239">
        <v>0</v>
      </c>
      <c r="BR144" s="239">
        <v>15094</v>
      </c>
      <c r="BS144" s="239">
        <v>10063</v>
      </c>
      <c r="BT144" s="239">
        <v>0</v>
      </c>
      <c r="BU144" s="239">
        <v>13315.737396694214</v>
      </c>
      <c r="BV144" s="239">
        <v>8877.1582644628106</v>
      </c>
      <c r="BW144" s="239">
        <v>0</v>
      </c>
      <c r="BX144" s="239">
        <v>0</v>
      </c>
      <c r="BY144" s="239">
        <v>0</v>
      </c>
      <c r="BZ144" s="239">
        <v>0</v>
      </c>
      <c r="CA144" s="239">
        <v>13316</v>
      </c>
      <c r="CB144" s="239">
        <v>8877</v>
      </c>
      <c r="CC144" s="239">
        <v>0</v>
      </c>
      <c r="CD144" s="239">
        <v>0</v>
      </c>
      <c r="CE144" s="239">
        <v>0</v>
      </c>
      <c r="CF144" s="239">
        <v>0</v>
      </c>
      <c r="CG144" s="239">
        <v>0</v>
      </c>
      <c r="CH144" s="239">
        <v>0</v>
      </c>
      <c r="CI144" s="239">
        <v>0</v>
      </c>
      <c r="CJ144" s="239">
        <v>0</v>
      </c>
      <c r="CK144" s="239">
        <v>0</v>
      </c>
      <c r="CL144" s="239">
        <v>0</v>
      </c>
      <c r="CM144" s="239">
        <v>0</v>
      </c>
      <c r="CN144" s="239">
        <v>0</v>
      </c>
      <c r="CO144" s="239">
        <v>0</v>
      </c>
      <c r="CP144" s="239">
        <v>113416</v>
      </c>
      <c r="CQ144" s="239">
        <v>75611</v>
      </c>
      <c r="CR144" s="239">
        <v>0</v>
      </c>
      <c r="CS144" s="239">
        <v>-113416</v>
      </c>
      <c r="CT144" s="239">
        <v>-75611</v>
      </c>
      <c r="CU144" s="239">
        <v>0</v>
      </c>
      <c r="CV144" s="239">
        <v>863892.46363636362</v>
      </c>
      <c r="CW144" s="239">
        <v>575330.12727272732</v>
      </c>
      <c r="CX144" s="239">
        <v>0</v>
      </c>
      <c r="CY144" s="239">
        <v>836272</v>
      </c>
      <c r="CZ144" s="239">
        <v>556917</v>
      </c>
      <c r="DA144" s="239">
        <v>0</v>
      </c>
      <c r="DB144" s="239">
        <v>27620</v>
      </c>
      <c r="DC144" s="239">
        <v>18413</v>
      </c>
      <c r="DD144" s="239">
        <v>0</v>
      </c>
      <c r="DE144" s="641">
        <v>0.5</v>
      </c>
      <c r="DF144" s="641">
        <v>0.3</v>
      </c>
      <c r="DG144" s="641">
        <v>0.2</v>
      </c>
      <c r="DH144" s="641">
        <v>0</v>
      </c>
      <c r="DI144" s="214" t="s">
        <v>1193</v>
      </c>
    </row>
    <row r="145" spans="2:113" s="214" customFormat="1" x14ac:dyDescent="0.2">
      <c r="B145" s="609" t="s">
        <v>372</v>
      </c>
      <c r="C145" s="609" t="s">
        <v>371</v>
      </c>
      <c r="D145" s="239">
        <v>134582</v>
      </c>
      <c r="E145" s="239">
        <v>0</v>
      </c>
      <c r="F145" s="239">
        <v>134582</v>
      </c>
      <c r="G145" s="239">
        <v>0</v>
      </c>
      <c r="H145" s="239">
        <v>0</v>
      </c>
      <c r="I145" s="239">
        <v>0</v>
      </c>
      <c r="J145" s="239">
        <v>134582</v>
      </c>
      <c r="K145" s="239">
        <v>0</v>
      </c>
      <c r="L145" s="239">
        <v>134582</v>
      </c>
      <c r="M145" s="239">
        <v>606852</v>
      </c>
      <c r="N145" s="239">
        <v>606852</v>
      </c>
      <c r="O145" s="239">
        <v>0</v>
      </c>
      <c r="P145" s="239">
        <v>0</v>
      </c>
      <c r="Q145" s="239">
        <v>0</v>
      </c>
      <c r="R145" s="239">
        <v>0</v>
      </c>
      <c r="S145" s="239">
        <v>0</v>
      </c>
      <c r="T145" s="239">
        <v>0</v>
      </c>
      <c r="U145" s="239">
        <v>0</v>
      </c>
      <c r="V145" s="239">
        <v>0</v>
      </c>
      <c r="W145" s="239">
        <v>0</v>
      </c>
      <c r="X145" s="239">
        <v>0</v>
      </c>
      <c r="Y145" s="239">
        <v>0</v>
      </c>
      <c r="Z145" s="239">
        <v>0</v>
      </c>
      <c r="AA145" s="239">
        <v>0</v>
      </c>
      <c r="AB145" s="239">
        <v>0</v>
      </c>
      <c r="AC145" s="239">
        <v>0</v>
      </c>
      <c r="AD145" s="239">
        <v>0</v>
      </c>
      <c r="AE145" s="239">
        <v>0</v>
      </c>
      <c r="AF145" s="239">
        <v>0</v>
      </c>
      <c r="AG145" s="239">
        <v>0</v>
      </c>
      <c r="AH145" s="239">
        <v>0</v>
      </c>
      <c r="AI145" s="239">
        <v>0</v>
      </c>
      <c r="AJ145" s="239">
        <v>0</v>
      </c>
      <c r="AK145" s="239">
        <v>304780.28646694211</v>
      </c>
      <c r="AL145" s="239">
        <v>203186.85764462809</v>
      </c>
      <c r="AM145" s="239">
        <v>0</v>
      </c>
      <c r="AN145" s="239">
        <v>259549</v>
      </c>
      <c r="AO145" s="239">
        <v>173032</v>
      </c>
      <c r="AP145" s="239">
        <v>0</v>
      </c>
      <c r="AQ145" s="239">
        <v>45231</v>
      </c>
      <c r="AR145" s="239">
        <v>30155</v>
      </c>
      <c r="AS145" s="239">
        <v>0</v>
      </c>
      <c r="AT145" s="239">
        <v>467.46446280991734</v>
      </c>
      <c r="AU145" s="239">
        <v>311.6429752066116</v>
      </c>
      <c r="AV145" s="239">
        <v>0</v>
      </c>
      <c r="AW145" s="239">
        <v>472</v>
      </c>
      <c r="AX145" s="239">
        <v>314</v>
      </c>
      <c r="AY145" s="239">
        <v>0</v>
      </c>
      <c r="AZ145" s="239">
        <v>-5</v>
      </c>
      <c r="BA145" s="239">
        <v>-2</v>
      </c>
      <c r="BB145" s="239">
        <v>0</v>
      </c>
      <c r="BC145" s="239">
        <v>0</v>
      </c>
      <c r="BD145" s="239">
        <v>0</v>
      </c>
      <c r="BE145" s="239">
        <v>0</v>
      </c>
      <c r="BF145" s="239">
        <v>0</v>
      </c>
      <c r="BG145" s="239">
        <v>0</v>
      </c>
      <c r="BH145" s="239">
        <v>0</v>
      </c>
      <c r="BI145" s="239">
        <v>0</v>
      </c>
      <c r="BJ145" s="239">
        <v>0</v>
      </c>
      <c r="BK145" s="239">
        <v>0</v>
      </c>
      <c r="BL145" s="239">
        <v>76031.14710743801</v>
      </c>
      <c r="BM145" s="239">
        <v>50687.431404958683</v>
      </c>
      <c r="BN145" s="239">
        <v>0</v>
      </c>
      <c r="BO145" s="239">
        <v>33477</v>
      </c>
      <c r="BP145" s="239">
        <v>22318</v>
      </c>
      <c r="BQ145" s="239">
        <v>0</v>
      </c>
      <c r="BR145" s="239">
        <v>42554</v>
      </c>
      <c r="BS145" s="239">
        <v>28369</v>
      </c>
      <c r="BT145" s="239">
        <v>0</v>
      </c>
      <c r="BU145" s="239">
        <v>923.9727272727273</v>
      </c>
      <c r="BV145" s="239">
        <v>615.9818181818182</v>
      </c>
      <c r="BW145" s="239">
        <v>0</v>
      </c>
      <c r="BX145" s="239">
        <v>0</v>
      </c>
      <c r="BY145" s="239">
        <v>0</v>
      </c>
      <c r="BZ145" s="239">
        <v>0</v>
      </c>
      <c r="CA145" s="239">
        <v>924</v>
      </c>
      <c r="CB145" s="239">
        <v>616</v>
      </c>
      <c r="CC145" s="239">
        <v>0</v>
      </c>
      <c r="CD145" s="239">
        <v>0</v>
      </c>
      <c r="CE145" s="239">
        <v>0</v>
      </c>
      <c r="CF145" s="239">
        <v>0</v>
      </c>
      <c r="CG145" s="239">
        <v>0</v>
      </c>
      <c r="CH145" s="239">
        <v>0</v>
      </c>
      <c r="CI145" s="239">
        <v>0</v>
      </c>
      <c r="CJ145" s="239">
        <v>0</v>
      </c>
      <c r="CK145" s="239">
        <v>0</v>
      </c>
      <c r="CL145" s="239">
        <v>0</v>
      </c>
      <c r="CM145" s="239">
        <v>2335.4962809917351</v>
      </c>
      <c r="CN145" s="239">
        <v>1556.9975206611568</v>
      </c>
      <c r="CO145" s="239">
        <v>0</v>
      </c>
      <c r="CP145" s="239">
        <v>447</v>
      </c>
      <c r="CQ145" s="239">
        <v>297</v>
      </c>
      <c r="CR145" s="239">
        <v>0</v>
      </c>
      <c r="CS145" s="239">
        <v>1888</v>
      </c>
      <c r="CT145" s="239">
        <v>1260</v>
      </c>
      <c r="CU145" s="239">
        <v>0</v>
      </c>
      <c r="CV145" s="239">
        <v>1215780.4475206612</v>
      </c>
      <c r="CW145" s="239">
        <v>810520.29834710748</v>
      </c>
      <c r="CX145" s="239">
        <v>0</v>
      </c>
      <c r="CY145" s="239">
        <v>1188830</v>
      </c>
      <c r="CZ145" s="239">
        <v>792554</v>
      </c>
      <c r="DA145" s="239">
        <v>0</v>
      </c>
      <c r="DB145" s="239">
        <v>26950</v>
      </c>
      <c r="DC145" s="239">
        <v>17966</v>
      </c>
      <c r="DD145" s="239">
        <v>0</v>
      </c>
      <c r="DE145" s="641">
        <v>0.5</v>
      </c>
      <c r="DF145" s="641">
        <v>0.3</v>
      </c>
      <c r="DG145" s="641">
        <v>0.2</v>
      </c>
      <c r="DH145" s="641">
        <v>0</v>
      </c>
      <c r="DI145" s="214" t="s">
        <v>1193</v>
      </c>
    </row>
    <row r="146" spans="2:113" s="214" customFormat="1" x14ac:dyDescent="0.2">
      <c r="B146" s="609" t="s">
        <v>374</v>
      </c>
      <c r="C146" s="609" t="s">
        <v>373</v>
      </c>
      <c r="D146" s="239">
        <v>-82613</v>
      </c>
      <c r="E146" s="239">
        <v>0</v>
      </c>
      <c r="F146" s="239">
        <v>-82613</v>
      </c>
      <c r="G146" s="239">
        <v>0</v>
      </c>
      <c r="H146" s="239">
        <v>0</v>
      </c>
      <c r="I146" s="239">
        <v>0</v>
      </c>
      <c r="J146" s="239">
        <v>-82613</v>
      </c>
      <c r="K146" s="239">
        <v>0</v>
      </c>
      <c r="L146" s="239">
        <v>-82613</v>
      </c>
      <c r="M146" s="239">
        <v>112507</v>
      </c>
      <c r="N146" s="239">
        <v>112507</v>
      </c>
      <c r="O146" s="239">
        <v>0</v>
      </c>
      <c r="P146" s="239">
        <v>0</v>
      </c>
      <c r="Q146" s="239">
        <v>0</v>
      </c>
      <c r="R146" s="239">
        <v>0</v>
      </c>
      <c r="S146" s="239">
        <v>296709</v>
      </c>
      <c r="T146" s="239">
        <v>0</v>
      </c>
      <c r="U146" s="239">
        <v>218000</v>
      </c>
      <c r="V146" s="239">
        <v>0</v>
      </c>
      <c r="W146" s="239">
        <v>78709</v>
      </c>
      <c r="X146" s="239">
        <v>0</v>
      </c>
      <c r="Y146" s="239">
        <v>0</v>
      </c>
      <c r="Z146" s="239">
        <v>0</v>
      </c>
      <c r="AA146" s="239">
        <v>0</v>
      </c>
      <c r="AB146" s="239">
        <v>0</v>
      </c>
      <c r="AC146" s="239">
        <v>0</v>
      </c>
      <c r="AD146" s="239">
        <v>0</v>
      </c>
      <c r="AE146" s="239">
        <v>0</v>
      </c>
      <c r="AF146" s="239">
        <v>0</v>
      </c>
      <c r="AG146" s="239">
        <v>0</v>
      </c>
      <c r="AH146" s="239">
        <v>0</v>
      </c>
      <c r="AI146" s="239">
        <v>0</v>
      </c>
      <c r="AJ146" s="239">
        <v>0</v>
      </c>
      <c r="AK146" s="239">
        <v>358880.28960743803</v>
      </c>
      <c r="AL146" s="239">
        <v>89720.072401859506</v>
      </c>
      <c r="AM146" s="239">
        <v>0</v>
      </c>
      <c r="AN146" s="239">
        <v>348091</v>
      </c>
      <c r="AO146" s="239">
        <v>87023</v>
      </c>
      <c r="AP146" s="239">
        <v>0</v>
      </c>
      <c r="AQ146" s="239">
        <v>10789</v>
      </c>
      <c r="AR146" s="239">
        <v>2697</v>
      </c>
      <c r="AS146" s="239">
        <v>0</v>
      </c>
      <c r="AT146" s="239">
        <v>1816.5579752066117</v>
      </c>
      <c r="AU146" s="239">
        <v>454.13949380165292</v>
      </c>
      <c r="AV146" s="239">
        <v>0</v>
      </c>
      <c r="AW146" s="239">
        <v>4958</v>
      </c>
      <c r="AX146" s="239">
        <v>1239</v>
      </c>
      <c r="AY146" s="239">
        <v>0</v>
      </c>
      <c r="AZ146" s="239">
        <v>-3141</v>
      </c>
      <c r="BA146" s="239">
        <v>-785</v>
      </c>
      <c r="BB146" s="239">
        <v>0</v>
      </c>
      <c r="BC146" s="239">
        <v>6102.6024793388433</v>
      </c>
      <c r="BD146" s="239">
        <v>1525.6506198347108</v>
      </c>
      <c r="BE146" s="239">
        <v>0</v>
      </c>
      <c r="BF146" s="239">
        <v>1014</v>
      </c>
      <c r="BG146" s="239">
        <v>254</v>
      </c>
      <c r="BH146" s="239">
        <v>0</v>
      </c>
      <c r="BI146" s="239">
        <v>5089</v>
      </c>
      <c r="BJ146" s="239">
        <v>1272</v>
      </c>
      <c r="BK146" s="239">
        <v>0</v>
      </c>
      <c r="BL146" s="239">
        <v>2180.2834710743805</v>
      </c>
      <c r="BM146" s="239">
        <v>545.07086776859512</v>
      </c>
      <c r="BN146" s="239">
        <v>0</v>
      </c>
      <c r="BO146" s="239">
        <v>6086</v>
      </c>
      <c r="BP146" s="239">
        <v>1522</v>
      </c>
      <c r="BQ146" s="239">
        <v>0</v>
      </c>
      <c r="BR146" s="239">
        <v>-3906</v>
      </c>
      <c r="BS146" s="239">
        <v>-977</v>
      </c>
      <c r="BT146" s="239">
        <v>0</v>
      </c>
      <c r="BU146" s="239">
        <v>591.63471074380175</v>
      </c>
      <c r="BV146" s="239">
        <v>147.90867768595044</v>
      </c>
      <c r="BW146" s="239">
        <v>0</v>
      </c>
      <c r="BX146" s="239">
        <v>0</v>
      </c>
      <c r="BY146" s="239">
        <v>0</v>
      </c>
      <c r="BZ146" s="239">
        <v>0</v>
      </c>
      <c r="CA146" s="239">
        <v>592</v>
      </c>
      <c r="CB146" s="239">
        <v>148</v>
      </c>
      <c r="CC146" s="239">
        <v>0</v>
      </c>
      <c r="CD146" s="239">
        <v>0</v>
      </c>
      <c r="CE146" s="239">
        <v>0</v>
      </c>
      <c r="CF146" s="239">
        <v>0</v>
      </c>
      <c r="CG146" s="239">
        <v>0</v>
      </c>
      <c r="CH146" s="239">
        <v>0</v>
      </c>
      <c r="CI146" s="239">
        <v>0</v>
      </c>
      <c r="CJ146" s="239">
        <v>0</v>
      </c>
      <c r="CK146" s="239">
        <v>0</v>
      </c>
      <c r="CL146" s="239">
        <v>0</v>
      </c>
      <c r="CM146" s="239">
        <v>0</v>
      </c>
      <c r="CN146" s="239">
        <v>0</v>
      </c>
      <c r="CO146" s="239">
        <v>0</v>
      </c>
      <c r="CP146" s="239">
        <v>0</v>
      </c>
      <c r="CQ146" s="239">
        <v>0</v>
      </c>
      <c r="CR146" s="239">
        <v>0</v>
      </c>
      <c r="CS146" s="239">
        <v>0</v>
      </c>
      <c r="CT146" s="239">
        <v>0</v>
      </c>
      <c r="CU146" s="239">
        <v>0</v>
      </c>
      <c r="CV146" s="239">
        <v>180632.5210743802</v>
      </c>
      <c r="CW146" s="239">
        <v>44085.318801652902</v>
      </c>
      <c r="CX146" s="239">
        <v>0</v>
      </c>
      <c r="CY146" s="239">
        <v>192423</v>
      </c>
      <c r="CZ146" s="239">
        <v>47317</v>
      </c>
      <c r="DA146" s="239">
        <v>0</v>
      </c>
      <c r="DB146" s="239">
        <v>-11790</v>
      </c>
      <c r="DC146" s="239">
        <v>-3232</v>
      </c>
      <c r="DD146" s="239">
        <v>0</v>
      </c>
      <c r="DE146" s="641">
        <v>0.5</v>
      </c>
      <c r="DF146" s="641">
        <v>0.4</v>
      </c>
      <c r="DG146" s="641">
        <v>0.1</v>
      </c>
      <c r="DH146" s="641">
        <v>0</v>
      </c>
      <c r="DI146" s="214" t="s">
        <v>1190</v>
      </c>
    </row>
    <row r="147" spans="2:113" s="214" customFormat="1" x14ac:dyDescent="0.2">
      <c r="B147" s="609" t="s">
        <v>376</v>
      </c>
      <c r="C147" s="609" t="s">
        <v>375</v>
      </c>
      <c r="D147" s="239">
        <v>-1193395</v>
      </c>
      <c r="E147" s="239">
        <v>0</v>
      </c>
      <c r="F147" s="239">
        <v>-1193395</v>
      </c>
      <c r="G147" s="239">
        <v>0</v>
      </c>
      <c r="H147" s="239">
        <v>0</v>
      </c>
      <c r="I147" s="239">
        <v>0</v>
      </c>
      <c r="J147" s="239">
        <v>-1193395</v>
      </c>
      <c r="K147" s="239">
        <v>0</v>
      </c>
      <c r="L147" s="239">
        <v>-1193395</v>
      </c>
      <c r="M147" s="239">
        <v>220920</v>
      </c>
      <c r="N147" s="239">
        <v>220920</v>
      </c>
      <c r="O147" s="239">
        <v>0</v>
      </c>
      <c r="P147" s="239">
        <v>0</v>
      </c>
      <c r="Q147" s="239">
        <v>12100</v>
      </c>
      <c r="R147" s="239">
        <v>-12100</v>
      </c>
      <c r="S147" s="239">
        <v>1170715</v>
      </c>
      <c r="T147" s="239">
        <v>0</v>
      </c>
      <c r="U147" s="239">
        <v>747239</v>
      </c>
      <c r="V147" s="239">
        <v>0</v>
      </c>
      <c r="W147" s="239">
        <v>423476</v>
      </c>
      <c r="X147" s="239">
        <v>0</v>
      </c>
      <c r="Y147" s="239">
        <v>72547.27892561983</v>
      </c>
      <c r="Z147" s="239">
        <v>72547.27892561983</v>
      </c>
      <c r="AA147" s="239">
        <v>0</v>
      </c>
      <c r="AB147" s="239">
        <v>0</v>
      </c>
      <c r="AC147" s="239">
        <v>0</v>
      </c>
      <c r="AD147" s="239">
        <v>0</v>
      </c>
      <c r="AE147" s="239">
        <v>0</v>
      </c>
      <c r="AF147" s="239">
        <v>0</v>
      </c>
      <c r="AG147" s="239">
        <v>72547</v>
      </c>
      <c r="AH147" s="239">
        <v>72547</v>
      </c>
      <c r="AI147" s="239">
        <v>0</v>
      </c>
      <c r="AJ147" s="239">
        <v>0</v>
      </c>
      <c r="AK147" s="239">
        <v>809158.26115702488</v>
      </c>
      <c r="AL147" s="239">
        <v>202035.6959710744</v>
      </c>
      <c r="AM147" s="239">
        <v>0</v>
      </c>
      <c r="AN147" s="239">
        <v>706103</v>
      </c>
      <c r="AO147" s="239">
        <v>176526</v>
      </c>
      <c r="AP147" s="239">
        <v>0</v>
      </c>
      <c r="AQ147" s="239">
        <v>103055</v>
      </c>
      <c r="AR147" s="239">
        <v>25510</v>
      </c>
      <c r="AS147" s="239">
        <v>0</v>
      </c>
      <c r="AT147" s="239">
        <v>10000.574380165288</v>
      </c>
      <c r="AU147" s="239">
        <v>2500.143595041322</v>
      </c>
      <c r="AV147" s="239">
        <v>0</v>
      </c>
      <c r="AW147" s="239">
        <v>584</v>
      </c>
      <c r="AX147" s="239">
        <v>146</v>
      </c>
      <c r="AY147" s="239">
        <v>0</v>
      </c>
      <c r="AZ147" s="239">
        <v>9417</v>
      </c>
      <c r="BA147" s="239">
        <v>2354</v>
      </c>
      <c r="BB147" s="239">
        <v>0</v>
      </c>
      <c r="BC147" s="239">
        <v>12114.714876033058</v>
      </c>
      <c r="BD147" s="239">
        <v>3028.6787190082646</v>
      </c>
      <c r="BE147" s="239">
        <v>0</v>
      </c>
      <c r="BF147" s="239">
        <v>2810</v>
      </c>
      <c r="BG147" s="239">
        <v>703</v>
      </c>
      <c r="BH147" s="239">
        <v>0</v>
      </c>
      <c r="BI147" s="239">
        <v>9305</v>
      </c>
      <c r="BJ147" s="239">
        <v>2326</v>
      </c>
      <c r="BK147" s="239">
        <v>0</v>
      </c>
      <c r="BL147" s="239">
        <v>4030.2578512396699</v>
      </c>
      <c r="BM147" s="239">
        <v>1007.5644628099175</v>
      </c>
      <c r="BN147" s="239">
        <v>0</v>
      </c>
      <c r="BO147" s="239">
        <v>882</v>
      </c>
      <c r="BP147" s="239">
        <v>220</v>
      </c>
      <c r="BQ147" s="239">
        <v>0</v>
      </c>
      <c r="BR147" s="239">
        <v>3148</v>
      </c>
      <c r="BS147" s="239">
        <v>788</v>
      </c>
      <c r="BT147" s="239">
        <v>0</v>
      </c>
      <c r="BU147" s="239">
        <v>-1370.7421487603306</v>
      </c>
      <c r="BV147" s="239">
        <v>-342.68553719008264</v>
      </c>
      <c r="BW147" s="239">
        <v>0</v>
      </c>
      <c r="BX147" s="239">
        <v>0</v>
      </c>
      <c r="BY147" s="239">
        <v>0</v>
      </c>
      <c r="BZ147" s="239">
        <v>0</v>
      </c>
      <c r="CA147" s="239">
        <v>-1371</v>
      </c>
      <c r="CB147" s="239">
        <v>-343</v>
      </c>
      <c r="CC147" s="239">
        <v>0</v>
      </c>
      <c r="CD147" s="239">
        <v>0</v>
      </c>
      <c r="CE147" s="239">
        <v>0</v>
      </c>
      <c r="CF147" s="239">
        <v>0</v>
      </c>
      <c r="CG147" s="239">
        <v>0</v>
      </c>
      <c r="CH147" s="239">
        <v>0</v>
      </c>
      <c r="CI147" s="239">
        <v>0</v>
      </c>
      <c r="CJ147" s="239">
        <v>0</v>
      </c>
      <c r="CK147" s="239">
        <v>0</v>
      </c>
      <c r="CL147" s="239">
        <v>0</v>
      </c>
      <c r="CM147" s="239">
        <v>9220.6553719008261</v>
      </c>
      <c r="CN147" s="239">
        <v>2305.1638429752065</v>
      </c>
      <c r="CO147" s="239">
        <v>0</v>
      </c>
      <c r="CP147" s="239">
        <v>9584</v>
      </c>
      <c r="CQ147" s="239">
        <v>2396</v>
      </c>
      <c r="CR147" s="239">
        <v>0</v>
      </c>
      <c r="CS147" s="239">
        <v>-363</v>
      </c>
      <c r="CT147" s="239">
        <v>-91</v>
      </c>
      <c r="CU147" s="239">
        <v>0</v>
      </c>
      <c r="CV147" s="239">
        <v>283784.38223140495</v>
      </c>
      <c r="CW147" s="239">
        <v>66713.138429752071</v>
      </c>
      <c r="CX147" s="239">
        <v>0</v>
      </c>
      <c r="CY147" s="239">
        <v>259694</v>
      </c>
      <c r="CZ147" s="239">
        <v>62178</v>
      </c>
      <c r="DA147" s="239">
        <v>0</v>
      </c>
      <c r="DB147" s="239">
        <v>24090</v>
      </c>
      <c r="DC147" s="239">
        <v>4535</v>
      </c>
      <c r="DD147" s="239">
        <v>0</v>
      </c>
      <c r="DE147" s="641">
        <v>0.5</v>
      </c>
      <c r="DF147" s="641">
        <v>0.4</v>
      </c>
      <c r="DG147" s="641">
        <v>0.1</v>
      </c>
      <c r="DH147" s="641">
        <v>0</v>
      </c>
      <c r="DI147" s="214" t="s">
        <v>1190</v>
      </c>
    </row>
    <row r="148" spans="2:113" s="214" customFormat="1" x14ac:dyDescent="0.2">
      <c r="B148" s="609" t="s">
        <v>378</v>
      </c>
      <c r="C148" s="609" t="s">
        <v>377</v>
      </c>
      <c r="D148" s="239">
        <v>150936</v>
      </c>
      <c r="E148" s="239">
        <v>0</v>
      </c>
      <c r="F148" s="239">
        <v>150936</v>
      </c>
      <c r="G148" s="239">
        <v>0</v>
      </c>
      <c r="H148" s="239">
        <v>0</v>
      </c>
      <c r="I148" s="239">
        <v>0</v>
      </c>
      <c r="J148" s="239">
        <v>150936</v>
      </c>
      <c r="K148" s="239">
        <v>0</v>
      </c>
      <c r="L148" s="239">
        <v>150936</v>
      </c>
      <c r="M148" s="239">
        <v>371663</v>
      </c>
      <c r="N148" s="239">
        <v>371663</v>
      </c>
      <c r="O148" s="239">
        <v>0</v>
      </c>
      <c r="P148" s="239">
        <v>13514</v>
      </c>
      <c r="Q148" s="239">
        <v>15192</v>
      </c>
      <c r="R148" s="239">
        <v>-1678</v>
      </c>
      <c r="S148" s="239">
        <v>0</v>
      </c>
      <c r="T148" s="239">
        <v>0</v>
      </c>
      <c r="U148" s="239">
        <v>0</v>
      </c>
      <c r="V148" s="239">
        <v>0</v>
      </c>
      <c r="W148" s="239">
        <v>0</v>
      </c>
      <c r="X148" s="239">
        <v>0</v>
      </c>
      <c r="Y148" s="239">
        <v>100070.6694214876</v>
      </c>
      <c r="Z148" s="239">
        <v>100070.6694214876</v>
      </c>
      <c r="AA148" s="239">
        <v>0</v>
      </c>
      <c r="AB148" s="239">
        <v>0</v>
      </c>
      <c r="AC148" s="239">
        <v>0</v>
      </c>
      <c r="AD148" s="239">
        <v>0</v>
      </c>
      <c r="AE148" s="239">
        <v>0</v>
      </c>
      <c r="AF148" s="239">
        <v>0</v>
      </c>
      <c r="AG148" s="239">
        <v>100071</v>
      </c>
      <c r="AH148" s="239">
        <v>100071</v>
      </c>
      <c r="AI148" s="239">
        <v>0</v>
      </c>
      <c r="AJ148" s="239">
        <v>0</v>
      </c>
      <c r="AK148" s="239">
        <v>1534395.7812706612</v>
      </c>
      <c r="AL148" s="239">
        <v>0</v>
      </c>
      <c r="AM148" s="239">
        <v>31314.199617768598</v>
      </c>
      <c r="AN148" s="239">
        <v>1463175</v>
      </c>
      <c r="AO148" s="239">
        <v>0</v>
      </c>
      <c r="AP148" s="239">
        <v>29861</v>
      </c>
      <c r="AQ148" s="239">
        <v>71221</v>
      </c>
      <c r="AR148" s="239">
        <v>0</v>
      </c>
      <c r="AS148" s="239">
        <v>1453</v>
      </c>
      <c r="AT148" s="239">
        <v>0</v>
      </c>
      <c r="AU148" s="239">
        <v>0</v>
      </c>
      <c r="AV148" s="239">
        <v>0</v>
      </c>
      <c r="AW148" s="239">
        <v>994</v>
      </c>
      <c r="AX148" s="239">
        <v>0</v>
      </c>
      <c r="AY148" s="239">
        <v>20</v>
      </c>
      <c r="AZ148" s="239">
        <v>-994</v>
      </c>
      <c r="BA148" s="239">
        <v>0</v>
      </c>
      <c r="BB148" s="239">
        <v>-20</v>
      </c>
      <c r="BC148" s="239">
        <v>0</v>
      </c>
      <c r="BD148" s="239">
        <v>0</v>
      </c>
      <c r="BE148" s="239">
        <v>0</v>
      </c>
      <c r="BF148" s="239">
        <v>44738</v>
      </c>
      <c r="BG148" s="239">
        <v>0</v>
      </c>
      <c r="BH148" s="239">
        <v>913</v>
      </c>
      <c r="BI148" s="239">
        <v>-44738</v>
      </c>
      <c r="BJ148" s="239">
        <v>0</v>
      </c>
      <c r="BK148" s="239">
        <v>-913</v>
      </c>
      <c r="BL148" s="239">
        <v>24072.918429752066</v>
      </c>
      <c r="BM148" s="239">
        <v>0</v>
      </c>
      <c r="BN148" s="239">
        <v>491.28404958677686</v>
      </c>
      <c r="BO148" s="239">
        <v>59651</v>
      </c>
      <c r="BP148" s="239">
        <v>0</v>
      </c>
      <c r="BQ148" s="239">
        <v>1217</v>
      </c>
      <c r="BR148" s="239">
        <v>-35578</v>
      </c>
      <c r="BS148" s="239">
        <v>0</v>
      </c>
      <c r="BT148" s="239">
        <v>-726</v>
      </c>
      <c r="BU148" s="239">
        <v>7217.202913223141</v>
      </c>
      <c r="BV148" s="239">
        <v>0</v>
      </c>
      <c r="BW148" s="239">
        <v>147.28985537190084</v>
      </c>
      <c r="BX148" s="239">
        <v>0</v>
      </c>
      <c r="BY148" s="239">
        <v>0</v>
      </c>
      <c r="BZ148" s="239">
        <v>0</v>
      </c>
      <c r="CA148" s="239">
        <v>7217</v>
      </c>
      <c r="CB148" s="239">
        <v>0</v>
      </c>
      <c r="CC148" s="239">
        <v>147</v>
      </c>
      <c r="CD148" s="239">
        <v>0</v>
      </c>
      <c r="CE148" s="239">
        <v>0</v>
      </c>
      <c r="CF148" s="239">
        <v>0</v>
      </c>
      <c r="CG148" s="239">
        <v>0</v>
      </c>
      <c r="CH148" s="239">
        <v>0</v>
      </c>
      <c r="CI148" s="239">
        <v>0</v>
      </c>
      <c r="CJ148" s="239">
        <v>0</v>
      </c>
      <c r="CK148" s="239">
        <v>0</v>
      </c>
      <c r="CL148" s="239">
        <v>0</v>
      </c>
      <c r="CM148" s="239">
        <v>5744.8318801652895</v>
      </c>
      <c r="CN148" s="239">
        <v>0</v>
      </c>
      <c r="CO148" s="239">
        <v>117.24146694214875</v>
      </c>
      <c r="CP148" s="239">
        <v>5301</v>
      </c>
      <c r="CQ148" s="239">
        <v>0</v>
      </c>
      <c r="CR148" s="239">
        <v>108</v>
      </c>
      <c r="CS148" s="239">
        <v>444</v>
      </c>
      <c r="CT148" s="239">
        <v>0</v>
      </c>
      <c r="CU148" s="239">
        <v>9</v>
      </c>
      <c r="CV148" s="239">
        <v>601117.184731405</v>
      </c>
      <c r="CW148" s="239">
        <v>0</v>
      </c>
      <c r="CX148" s="239">
        <v>12263.708863636364</v>
      </c>
      <c r="CY148" s="239">
        <v>677346</v>
      </c>
      <c r="CZ148" s="239">
        <v>0</v>
      </c>
      <c r="DA148" s="239">
        <v>13819</v>
      </c>
      <c r="DB148" s="239">
        <v>-76229</v>
      </c>
      <c r="DC148" s="239">
        <v>0</v>
      </c>
      <c r="DD148" s="239">
        <v>-1555</v>
      </c>
      <c r="DE148" s="641">
        <v>0.5</v>
      </c>
      <c r="DF148" s="641">
        <v>0.49</v>
      </c>
      <c r="DG148" s="641">
        <v>0</v>
      </c>
      <c r="DH148" s="641">
        <v>0.01</v>
      </c>
      <c r="DI148" s="214" t="s">
        <v>747</v>
      </c>
    </row>
    <row r="149" spans="2:113" s="214" customFormat="1" x14ac:dyDescent="0.2">
      <c r="B149" s="609" t="s">
        <v>380</v>
      </c>
      <c r="C149" s="609" t="s">
        <v>379</v>
      </c>
      <c r="D149" s="239">
        <v>-193987</v>
      </c>
      <c r="E149" s="239">
        <v>0</v>
      </c>
      <c r="F149" s="239">
        <v>-193987</v>
      </c>
      <c r="G149" s="239">
        <v>0</v>
      </c>
      <c r="H149" s="239">
        <v>0</v>
      </c>
      <c r="I149" s="239">
        <v>0</v>
      </c>
      <c r="J149" s="239">
        <v>-193987</v>
      </c>
      <c r="K149" s="239">
        <v>0</v>
      </c>
      <c r="L149" s="239">
        <v>-193987</v>
      </c>
      <c r="M149" s="239">
        <v>251900</v>
      </c>
      <c r="N149" s="239">
        <v>275377</v>
      </c>
      <c r="O149" s="239">
        <v>-23477</v>
      </c>
      <c r="P149" s="239">
        <v>0</v>
      </c>
      <c r="Q149" s="239">
        <v>0</v>
      </c>
      <c r="R149" s="239">
        <v>0</v>
      </c>
      <c r="S149" s="239">
        <v>0</v>
      </c>
      <c r="T149" s="239">
        <v>0</v>
      </c>
      <c r="U149" s="239">
        <v>0</v>
      </c>
      <c r="V149" s="239">
        <v>0</v>
      </c>
      <c r="W149" s="239">
        <v>0</v>
      </c>
      <c r="X149" s="239">
        <v>0</v>
      </c>
      <c r="Y149" s="239">
        <v>0</v>
      </c>
      <c r="Z149" s="239">
        <v>0</v>
      </c>
      <c r="AA149" s="239">
        <v>0</v>
      </c>
      <c r="AB149" s="239">
        <v>0</v>
      </c>
      <c r="AC149" s="239">
        <v>0</v>
      </c>
      <c r="AD149" s="239">
        <v>0</v>
      </c>
      <c r="AE149" s="239">
        <v>0</v>
      </c>
      <c r="AF149" s="239">
        <v>0</v>
      </c>
      <c r="AG149" s="239">
        <v>0</v>
      </c>
      <c r="AH149" s="239">
        <v>0</v>
      </c>
      <c r="AI149" s="239">
        <v>0</v>
      </c>
      <c r="AJ149" s="239">
        <v>0</v>
      </c>
      <c r="AK149" s="239">
        <v>362274.30681818182</v>
      </c>
      <c r="AL149" s="239">
        <v>241516.20454545456</v>
      </c>
      <c r="AM149" s="239">
        <v>0</v>
      </c>
      <c r="AN149" s="239">
        <v>370472</v>
      </c>
      <c r="AO149" s="239">
        <v>246981</v>
      </c>
      <c r="AP149" s="239">
        <v>0</v>
      </c>
      <c r="AQ149" s="239">
        <v>-8198</v>
      </c>
      <c r="AR149" s="239">
        <v>-5465</v>
      </c>
      <c r="AS149" s="239">
        <v>0</v>
      </c>
      <c r="AT149" s="239">
        <v>980.27541322314039</v>
      </c>
      <c r="AU149" s="239">
        <v>653.51694214876034</v>
      </c>
      <c r="AV149" s="239">
        <v>0</v>
      </c>
      <c r="AW149" s="239">
        <v>1522</v>
      </c>
      <c r="AX149" s="239">
        <v>1014</v>
      </c>
      <c r="AY149" s="239">
        <v>0</v>
      </c>
      <c r="AZ149" s="239">
        <v>-542</v>
      </c>
      <c r="BA149" s="239">
        <v>-360</v>
      </c>
      <c r="BB149" s="239">
        <v>0</v>
      </c>
      <c r="BC149" s="239">
        <v>4534.3444214876035</v>
      </c>
      <c r="BD149" s="239">
        <v>3022.8962809917357</v>
      </c>
      <c r="BE149" s="239">
        <v>0</v>
      </c>
      <c r="BF149" s="239">
        <v>0</v>
      </c>
      <c r="BG149" s="239">
        <v>0</v>
      </c>
      <c r="BH149" s="239">
        <v>0</v>
      </c>
      <c r="BI149" s="239">
        <v>4534</v>
      </c>
      <c r="BJ149" s="239">
        <v>3023</v>
      </c>
      <c r="BK149" s="239">
        <v>0</v>
      </c>
      <c r="BL149" s="239">
        <v>0</v>
      </c>
      <c r="BM149" s="239">
        <v>0</v>
      </c>
      <c r="BN149" s="239">
        <v>0</v>
      </c>
      <c r="BO149" s="239">
        <v>0</v>
      </c>
      <c r="BP149" s="239">
        <v>0</v>
      </c>
      <c r="BQ149" s="239">
        <v>0</v>
      </c>
      <c r="BR149" s="239">
        <v>0</v>
      </c>
      <c r="BS149" s="239">
        <v>0</v>
      </c>
      <c r="BT149" s="239">
        <v>0</v>
      </c>
      <c r="BU149" s="239">
        <v>11193.45482231405</v>
      </c>
      <c r="BV149" s="239">
        <v>7462.303214876034</v>
      </c>
      <c r="BW149" s="239">
        <v>0</v>
      </c>
      <c r="BX149" s="239">
        <v>0</v>
      </c>
      <c r="BY149" s="239">
        <v>0</v>
      </c>
      <c r="BZ149" s="239">
        <v>0</v>
      </c>
      <c r="CA149" s="239">
        <v>11193</v>
      </c>
      <c r="CB149" s="239">
        <v>7462</v>
      </c>
      <c r="CC149" s="239">
        <v>0</v>
      </c>
      <c r="CD149" s="239">
        <v>0</v>
      </c>
      <c r="CE149" s="239">
        <v>0</v>
      </c>
      <c r="CF149" s="239">
        <v>0</v>
      </c>
      <c r="CG149" s="239">
        <v>0</v>
      </c>
      <c r="CH149" s="239">
        <v>0</v>
      </c>
      <c r="CI149" s="239">
        <v>0</v>
      </c>
      <c r="CJ149" s="239">
        <v>0</v>
      </c>
      <c r="CK149" s="239">
        <v>0</v>
      </c>
      <c r="CL149" s="239">
        <v>0</v>
      </c>
      <c r="CM149" s="239">
        <v>0</v>
      </c>
      <c r="CN149" s="239">
        <v>0</v>
      </c>
      <c r="CO149" s="239">
        <v>0</v>
      </c>
      <c r="CP149" s="239">
        <v>0</v>
      </c>
      <c r="CQ149" s="239">
        <v>0</v>
      </c>
      <c r="CR149" s="239">
        <v>0</v>
      </c>
      <c r="CS149" s="239">
        <v>0</v>
      </c>
      <c r="CT149" s="239">
        <v>0</v>
      </c>
      <c r="CU149" s="239">
        <v>0</v>
      </c>
      <c r="CV149" s="239">
        <v>359078.39256198349</v>
      </c>
      <c r="CW149" s="239">
        <v>239385.59504132232</v>
      </c>
      <c r="CX149" s="239">
        <v>0</v>
      </c>
      <c r="CY149" s="239">
        <v>361149</v>
      </c>
      <c r="CZ149" s="239">
        <v>240766</v>
      </c>
      <c r="DA149" s="239">
        <v>0</v>
      </c>
      <c r="DB149" s="239">
        <v>-2071</v>
      </c>
      <c r="DC149" s="239">
        <v>-1380</v>
      </c>
      <c r="DD149" s="239">
        <v>0</v>
      </c>
      <c r="DE149" s="641">
        <v>0.5</v>
      </c>
      <c r="DF149" s="641">
        <v>0.3</v>
      </c>
      <c r="DG149" s="641">
        <v>0.2</v>
      </c>
      <c r="DH149" s="641">
        <v>0</v>
      </c>
      <c r="DI149" s="214" t="s">
        <v>1191</v>
      </c>
    </row>
    <row r="150" spans="2:113" s="214" customFormat="1" x14ac:dyDescent="0.2">
      <c r="B150" s="609" t="s">
        <v>382</v>
      </c>
      <c r="C150" s="609" t="s">
        <v>381</v>
      </c>
      <c r="D150" s="239">
        <v>-553000</v>
      </c>
      <c r="E150" s="239">
        <v>0</v>
      </c>
      <c r="F150" s="239">
        <v>-553000</v>
      </c>
      <c r="G150" s="239">
        <v>0</v>
      </c>
      <c r="H150" s="239">
        <v>0</v>
      </c>
      <c r="I150" s="239">
        <v>0</v>
      </c>
      <c r="J150" s="239">
        <v>-553000</v>
      </c>
      <c r="K150" s="239">
        <v>0</v>
      </c>
      <c r="L150" s="239">
        <v>-553000</v>
      </c>
      <c r="M150" s="239">
        <v>612897</v>
      </c>
      <c r="N150" s="239">
        <v>612897</v>
      </c>
      <c r="O150" s="239">
        <v>0</v>
      </c>
      <c r="P150" s="239">
        <v>0</v>
      </c>
      <c r="Q150" s="239">
        <v>0</v>
      </c>
      <c r="R150" s="239">
        <v>0</v>
      </c>
      <c r="S150" s="239">
        <v>0</v>
      </c>
      <c r="T150" s="239">
        <v>0</v>
      </c>
      <c r="U150" s="239">
        <v>0</v>
      </c>
      <c r="V150" s="239">
        <v>0</v>
      </c>
      <c r="W150" s="239">
        <v>0</v>
      </c>
      <c r="X150" s="239">
        <v>0</v>
      </c>
      <c r="Y150" s="239">
        <v>0</v>
      </c>
      <c r="Z150" s="239">
        <v>0</v>
      </c>
      <c r="AA150" s="239">
        <v>0</v>
      </c>
      <c r="AB150" s="239">
        <v>0</v>
      </c>
      <c r="AC150" s="239">
        <v>0</v>
      </c>
      <c r="AD150" s="239">
        <v>0</v>
      </c>
      <c r="AE150" s="239">
        <v>0</v>
      </c>
      <c r="AF150" s="239">
        <v>0</v>
      </c>
      <c r="AG150" s="239">
        <v>0</v>
      </c>
      <c r="AH150" s="239">
        <v>0</v>
      </c>
      <c r="AI150" s="239">
        <v>0</v>
      </c>
      <c r="AJ150" s="239">
        <v>0</v>
      </c>
      <c r="AK150" s="239">
        <v>3304744.24</v>
      </c>
      <c r="AL150" s="239">
        <v>0</v>
      </c>
      <c r="AM150" s="239">
        <v>67443.760000000009</v>
      </c>
      <c r="AN150" s="239">
        <v>3407606</v>
      </c>
      <c r="AO150" s="239">
        <v>0</v>
      </c>
      <c r="AP150" s="239">
        <v>69543</v>
      </c>
      <c r="AQ150" s="239">
        <v>-102862</v>
      </c>
      <c r="AR150" s="239">
        <v>0</v>
      </c>
      <c r="AS150" s="239">
        <v>-2099</v>
      </c>
      <c r="AT150" s="239">
        <v>31787.705206611572</v>
      </c>
      <c r="AU150" s="239">
        <v>0</v>
      </c>
      <c r="AV150" s="239">
        <v>648.72867768595052</v>
      </c>
      <c r="AW150" s="239">
        <v>27210</v>
      </c>
      <c r="AX150" s="239">
        <v>0</v>
      </c>
      <c r="AY150" s="239">
        <v>555</v>
      </c>
      <c r="AZ150" s="239">
        <v>4578</v>
      </c>
      <c r="BA150" s="239">
        <v>0</v>
      </c>
      <c r="BB150" s="239">
        <v>94</v>
      </c>
      <c r="BC150" s="239">
        <v>0</v>
      </c>
      <c r="BD150" s="239">
        <v>0</v>
      </c>
      <c r="BE150" s="239">
        <v>0</v>
      </c>
      <c r="BF150" s="239">
        <v>0</v>
      </c>
      <c r="BG150" s="239">
        <v>0</v>
      </c>
      <c r="BH150" s="239">
        <v>0</v>
      </c>
      <c r="BI150" s="239">
        <v>0</v>
      </c>
      <c r="BJ150" s="239">
        <v>0</v>
      </c>
      <c r="BK150" s="239">
        <v>0</v>
      </c>
      <c r="BL150" s="239">
        <v>29408.647892561985</v>
      </c>
      <c r="BM150" s="239">
        <v>0</v>
      </c>
      <c r="BN150" s="239">
        <v>600.17648760330576</v>
      </c>
      <c r="BO150" s="239">
        <v>79000</v>
      </c>
      <c r="BP150" s="239">
        <v>0</v>
      </c>
      <c r="BQ150" s="239">
        <v>1612</v>
      </c>
      <c r="BR150" s="239">
        <v>-49591</v>
      </c>
      <c r="BS150" s="239">
        <v>0</v>
      </c>
      <c r="BT150" s="239">
        <v>-1012</v>
      </c>
      <c r="BU150" s="239">
        <v>34978.505227272726</v>
      </c>
      <c r="BV150" s="239">
        <v>0</v>
      </c>
      <c r="BW150" s="239">
        <v>713.84704545454542</v>
      </c>
      <c r="BX150" s="239">
        <v>0</v>
      </c>
      <c r="BY150" s="239">
        <v>0</v>
      </c>
      <c r="BZ150" s="239">
        <v>0</v>
      </c>
      <c r="CA150" s="239">
        <v>34979</v>
      </c>
      <c r="CB150" s="239">
        <v>0</v>
      </c>
      <c r="CC150" s="239">
        <v>714</v>
      </c>
      <c r="CD150" s="239">
        <v>495.09842975206612</v>
      </c>
      <c r="CE150" s="239">
        <v>0</v>
      </c>
      <c r="CF150" s="239">
        <v>10.10404958677686</v>
      </c>
      <c r="CG150" s="239">
        <v>0</v>
      </c>
      <c r="CH150" s="239">
        <v>0</v>
      </c>
      <c r="CI150" s="239">
        <v>0</v>
      </c>
      <c r="CJ150" s="239">
        <v>495</v>
      </c>
      <c r="CK150" s="239">
        <v>0</v>
      </c>
      <c r="CL150" s="239">
        <v>10</v>
      </c>
      <c r="CM150" s="239">
        <v>5637.4611363636359</v>
      </c>
      <c r="CN150" s="239">
        <v>0</v>
      </c>
      <c r="CO150" s="239">
        <v>115.05022727272728</v>
      </c>
      <c r="CP150" s="239">
        <v>0</v>
      </c>
      <c r="CQ150" s="239">
        <v>0</v>
      </c>
      <c r="CR150" s="239">
        <v>0</v>
      </c>
      <c r="CS150" s="239">
        <v>5637</v>
      </c>
      <c r="CT150" s="239">
        <v>0</v>
      </c>
      <c r="CU150" s="239">
        <v>115</v>
      </c>
      <c r="CV150" s="239">
        <v>736855.62493801664</v>
      </c>
      <c r="CW150" s="239">
        <v>0</v>
      </c>
      <c r="CX150" s="239">
        <v>15037.869896694216</v>
      </c>
      <c r="CY150" s="239">
        <v>743985</v>
      </c>
      <c r="CZ150" s="239">
        <v>0</v>
      </c>
      <c r="DA150" s="239">
        <v>15183</v>
      </c>
      <c r="DB150" s="239">
        <v>-7129</v>
      </c>
      <c r="DC150" s="239">
        <v>0</v>
      </c>
      <c r="DD150" s="239">
        <v>-145</v>
      </c>
      <c r="DE150" s="641">
        <v>0.5</v>
      </c>
      <c r="DF150" s="641">
        <v>0.49</v>
      </c>
      <c r="DG150" s="641">
        <v>0</v>
      </c>
      <c r="DH150" s="641">
        <v>0.01</v>
      </c>
      <c r="DI150" s="214" t="s">
        <v>1192</v>
      </c>
    </row>
    <row r="151" spans="2:113" s="214" customFormat="1" x14ac:dyDescent="0.2">
      <c r="B151" s="609" t="s">
        <v>384</v>
      </c>
      <c r="C151" s="609" t="s">
        <v>383</v>
      </c>
      <c r="D151" s="239">
        <v>-54568</v>
      </c>
      <c r="E151" s="239">
        <v>0</v>
      </c>
      <c r="F151" s="239">
        <v>-54568</v>
      </c>
      <c r="G151" s="239">
        <v>0</v>
      </c>
      <c r="H151" s="239">
        <v>0</v>
      </c>
      <c r="I151" s="239">
        <v>0</v>
      </c>
      <c r="J151" s="239">
        <v>-54568</v>
      </c>
      <c r="K151" s="239">
        <v>0</v>
      </c>
      <c r="L151" s="239">
        <v>-54568</v>
      </c>
      <c r="M151" s="239">
        <v>142849</v>
      </c>
      <c r="N151" s="239">
        <v>142849</v>
      </c>
      <c r="O151" s="239">
        <v>0</v>
      </c>
      <c r="P151" s="239">
        <v>0</v>
      </c>
      <c r="Q151" s="239">
        <v>0</v>
      </c>
      <c r="R151" s="239">
        <v>0</v>
      </c>
      <c r="S151" s="239">
        <v>0</v>
      </c>
      <c r="T151" s="239">
        <v>0</v>
      </c>
      <c r="U151" s="239">
        <v>0</v>
      </c>
      <c r="V151" s="239">
        <v>0</v>
      </c>
      <c r="W151" s="239">
        <v>0</v>
      </c>
      <c r="X151" s="239">
        <v>0</v>
      </c>
      <c r="Y151" s="239">
        <v>0</v>
      </c>
      <c r="Z151" s="239">
        <v>0</v>
      </c>
      <c r="AA151" s="239">
        <v>0</v>
      </c>
      <c r="AB151" s="239">
        <v>0</v>
      </c>
      <c r="AC151" s="239">
        <v>0</v>
      </c>
      <c r="AD151" s="239">
        <v>0</v>
      </c>
      <c r="AE151" s="239">
        <v>0</v>
      </c>
      <c r="AF151" s="239">
        <v>0</v>
      </c>
      <c r="AG151" s="239">
        <v>0</v>
      </c>
      <c r="AH151" s="239">
        <v>0</v>
      </c>
      <c r="AI151" s="239">
        <v>0</v>
      </c>
      <c r="AJ151" s="239">
        <v>0</v>
      </c>
      <c r="AK151" s="239">
        <v>510560.81103305786</v>
      </c>
      <c r="AL151" s="239">
        <v>0</v>
      </c>
      <c r="AM151" s="239">
        <v>10419.608388429753</v>
      </c>
      <c r="AN151" s="239">
        <v>484112</v>
      </c>
      <c r="AO151" s="239">
        <v>0</v>
      </c>
      <c r="AP151" s="239">
        <v>9880</v>
      </c>
      <c r="AQ151" s="239">
        <v>26449</v>
      </c>
      <c r="AR151" s="239">
        <v>0</v>
      </c>
      <c r="AS151" s="239">
        <v>540</v>
      </c>
      <c r="AT151" s="239">
        <v>5046.9220454545457</v>
      </c>
      <c r="AU151" s="239">
        <v>0</v>
      </c>
      <c r="AV151" s="239">
        <v>102.99840909090909</v>
      </c>
      <c r="AW151" s="239">
        <v>6075</v>
      </c>
      <c r="AX151" s="239">
        <v>0</v>
      </c>
      <c r="AY151" s="239">
        <v>124</v>
      </c>
      <c r="AZ151" s="239">
        <v>-1028</v>
      </c>
      <c r="BA151" s="239">
        <v>0</v>
      </c>
      <c r="BB151" s="239">
        <v>-21</v>
      </c>
      <c r="BC151" s="239">
        <v>3455.7472727272725</v>
      </c>
      <c r="BD151" s="239">
        <v>0</v>
      </c>
      <c r="BE151" s="239">
        <v>70.525454545454551</v>
      </c>
      <c r="BF151" s="239">
        <v>32311</v>
      </c>
      <c r="BG151" s="239">
        <v>0</v>
      </c>
      <c r="BH151" s="239">
        <v>659</v>
      </c>
      <c r="BI151" s="239">
        <v>-28855</v>
      </c>
      <c r="BJ151" s="239">
        <v>0</v>
      </c>
      <c r="BK151" s="239">
        <v>-588</v>
      </c>
      <c r="BL151" s="239">
        <v>20785.186487603303</v>
      </c>
      <c r="BM151" s="239">
        <v>0</v>
      </c>
      <c r="BN151" s="239">
        <v>424.18747933884299</v>
      </c>
      <c r="BO151" s="239">
        <v>15410</v>
      </c>
      <c r="BP151" s="239">
        <v>0</v>
      </c>
      <c r="BQ151" s="239">
        <v>314</v>
      </c>
      <c r="BR151" s="239">
        <v>5375</v>
      </c>
      <c r="BS151" s="239">
        <v>0</v>
      </c>
      <c r="BT151" s="239">
        <v>110</v>
      </c>
      <c r="BU151" s="239">
        <v>7012.9002479338842</v>
      </c>
      <c r="BV151" s="239">
        <v>0</v>
      </c>
      <c r="BW151" s="239">
        <v>143.1204132231405</v>
      </c>
      <c r="BX151" s="239">
        <v>0</v>
      </c>
      <c r="BY151" s="239">
        <v>0</v>
      </c>
      <c r="BZ151" s="239">
        <v>0</v>
      </c>
      <c r="CA151" s="239">
        <v>7013</v>
      </c>
      <c r="CB151" s="239">
        <v>0</v>
      </c>
      <c r="CC151" s="239">
        <v>143</v>
      </c>
      <c r="CD151" s="239">
        <v>0</v>
      </c>
      <c r="CE151" s="239">
        <v>0</v>
      </c>
      <c r="CF151" s="239">
        <v>0</v>
      </c>
      <c r="CG151" s="239">
        <v>0</v>
      </c>
      <c r="CH151" s="239">
        <v>0</v>
      </c>
      <c r="CI151" s="239">
        <v>0</v>
      </c>
      <c r="CJ151" s="239">
        <v>0</v>
      </c>
      <c r="CK151" s="239">
        <v>0</v>
      </c>
      <c r="CL151" s="239">
        <v>0</v>
      </c>
      <c r="CM151" s="239">
        <v>0</v>
      </c>
      <c r="CN151" s="239">
        <v>0</v>
      </c>
      <c r="CO151" s="239">
        <v>0</v>
      </c>
      <c r="CP151" s="239">
        <v>646</v>
      </c>
      <c r="CQ151" s="239">
        <v>0</v>
      </c>
      <c r="CR151" s="239">
        <v>13</v>
      </c>
      <c r="CS151" s="239">
        <v>-646</v>
      </c>
      <c r="CT151" s="239">
        <v>0</v>
      </c>
      <c r="CU151" s="239">
        <v>-13</v>
      </c>
      <c r="CV151" s="239">
        <v>302086.71904958674</v>
      </c>
      <c r="CW151" s="239">
        <v>0</v>
      </c>
      <c r="CX151" s="239">
        <v>6165.0350826446283</v>
      </c>
      <c r="CY151" s="239">
        <v>292466</v>
      </c>
      <c r="CZ151" s="239">
        <v>0</v>
      </c>
      <c r="DA151" s="239">
        <v>5969</v>
      </c>
      <c r="DB151" s="239">
        <v>9621</v>
      </c>
      <c r="DC151" s="239">
        <v>0</v>
      </c>
      <c r="DD151" s="239">
        <v>196</v>
      </c>
      <c r="DE151" s="641">
        <v>0.5</v>
      </c>
      <c r="DF151" s="641">
        <v>0.49</v>
      </c>
      <c r="DG151" s="641">
        <v>0</v>
      </c>
      <c r="DH151" s="641">
        <v>0.01</v>
      </c>
      <c r="DI151" s="214" t="s">
        <v>1192</v>
      </c>
    </row>
    <row r="152" spans="2:113" s="214" customFormat="1" x14ac:dyDescent="0.2">
      <c r="B152" s="609" t="s">
        <v>386</v>
      </c>
      <c r="C152" s="609" t="s">
        <v>385</v>
      </c>
      <c r="D152" s="239">
        <v>-2020319</v>
      </c>
      <c r="E152" s="239">
        <v>0</v>
      </c>
      <c r="F152" s="239">
        <v>-2020319</v>
      </c>
      <c r="G152" s="239">
        <v>0</v>
      </c>
      <c r="H152" s="239">
        <v>0</v>
      </c>
      <c r="I152" s="239">
        <v>0</v>
      </c>
      <c r="J152" s="239">
        <v>-2020319</v>
      </c>
      <c r="K152" s="239">
        <v>0</v>
      </c>
      <c r="L152" s="239">
        <v>-2020319</v>
      </c>
      <c r="M152" s="239">
        <v>486528</v>
      </c>
      <c r="N152" s="239">
        <v>486528</v>
      </c>
      <c r="O152" s="239">
        <v>0</v>
      </c>
      <c r="P152" s="239">
        <v>520546</v>
      </c>
      <c r="Q152" s="239">
        <v>0</v>
      </c>
      <c r="R152" s="239">
        <v>520546</v>
      </c>
      <c r="S152" s="239">
        <v>0</v>
      </c>
      <c r="T152" s="239">
        <v>0</v>
      </c>
      <c r="U152" s="239">
        <v>0</v>
      </c>
      <c r="V152" s="239">
        <v>0</v>
      </c>
      <c r="W152" s="239">
        <v>0</v>
      </c>
      <c r="X152" s="239">
        <v>0</v>
      </c>
      <c r="Y152" s="239">
        <v>0</v>
      </c>
      <c r="Z152" s="239">
        <v>0</v>
      </c>
      <c r="AA152" s="239">
        <v>0</v>
      </c>
      <c r="AB152" s="239">
        <v>0</v>
      </c>
      <c r="AC152" s="239">
        <v>0</v>
      </c>
      <c r="AD152" s="239">
        <v>0</v>
      </c>
      <c r="AE152" s="239">
        <v>0</v>
      </c>
      <c r="AF152" s="239">
        <v>0</v>
      </c>
      <c r="AG152" s="239">
        <v>0</v>
      </c>
      <c r="AH152" s="239">
        <v>0</v>
      </c>
      <c r="AI152" s="239">
        <v>0</v>
      </c>
      <c r="AJ152" s="239">
        <v>0</v>
      </c>
      <c r="AK152" s="239">
        <v>923548.93543388438</v>
      </c>
      <c r="AL152" s="239">
        <v>615699.29028925626</v>
      </c>
      <c r="AM152" s="239">
        <v>0</v>
      </c>
      <c r="AN152" s="239">
        <v>876466</v>
      </c>
      <c r="AO152" s="239">
        <v>584310</v>
      </c>
      <c r="AP152" s="239">
        <v>0</v>
      </c>
      <c r="AQ152" s="239">
        <v>47083</v>
      </c>
      <c r="AR152" s="239">
        <v>31389</v>
      </c>
      <c r="AS152" s="239">
        <v>0</v>
      </c>
      <c r="AT152" s="239">
        <v>0</v>
      </c>
      <c r="AU152" s="239">
        <v>0</v>
      </c>
      <c r="AV152" s="239">
        <v>0</v>
      </c>
      <c r="AW152" s="239">
        <v>0</v>
      </c>
      <c r="AX152" s="239">
        <v>0</v>
      </c>
      <c r="AY152" s="239">
        <v>0</v>
      </c>
      <c r="AZ152" s="239">
        <v>0</v>
      </c>
      <c r="BA152" s="239">
        <v>0</v>
      </c>
      <c r="BB152" s="239">
        <v>0</v>
      </c>
      <c r="BC152" s="239">
        <v>2797.1783057851239</v>
      </c>
      <c r="BD152" s="239">
        <v>1864.7855371900828</v>
      </c>
      <c r="BE152" s="239">
        <v>0</v>
      </c>
      <c r="BF152" s="239">
        <v>7676</v>
      </c>
      <c r="BG152" s="239">
        <v>5118</v>
      </c>
      <c r="BH152" s="239">
        <v>0</v>
      </c>
      <c r="BI152" s="239">
        <v>-4879</v>
      </c>
      <c r="BJ152" s="239">
        <v>-3253</v>
      </c>
      <c r="BK152" s="239">
        <v>0</v>
      </c>
      <c r="BL152" s="239">
        <v>5727.3526859504127</v>
      </c>
      <c r="BM152" s="239">
        <v>3818.2351239669424</v>
      </c>
      <c r="BN152" s="239">
        <v>0</v>
      </c>
      <c r="BO152" s="239">
        <v>920</v>
      </c>
      <c r="BP152" s="239">
        <v>614</v>
      </c>
      <c r="BQ152" s="239">
        <v>0</v>
      </c>
      <c r="BR152" s="239">
        <v>4807</v>
      </c>
      <c r="BS152" s="239">
        <v>3204</v>
      </c>
      <c r="BT152" s="239">
        <v>0</v>
      </c>
      <c r="BU152" s="239">
        <v>-4401.0440082644627</v>
      </c>
      <c r="BV152" s="239">
        <v>-2934.0293388429754</v>
      </c>
      <c r="BW152" s="239">
        <v>0</v>
      </c>
      <c r="BX152" s="239">
        <v>0</v>
      </c>
      <c r="BY152" s="239">
        <v>0</v>
      </c>
      <c r="BZ152" s="239">
        <v>0</v>
      </c>
      <c r="CA152" s="239">
        <v>-4401</v>
      </c>
      <c r="CB152" s="239">
        <v>-2934</v>
      </c>
      <c r="CC152" s="239">
        <v>0</v>
      </c>
      <c r="CD152" s="239">
        <v>0</v>
      </c>
      <c r="CE152" s="239">
        <v>0</v>
      </c>
      <c r="CF152" s="239">
        <v>0</v>
      </c>
      <c r="CG152" s="239">
        <v>0</v>
      </c>
      <c r="CH152" s="239">
        <v>0</v>
      </c>
      <c r="CI152" s="239">
        <v>0</v>
      </c>
      <c r="CJ152" s="239">
        <v>0</v>
      </c>
      <c r="CK152" s="239">
        <v>0</v>
      </c>
      <c r="CL152" s="239">
        <v>0</v>
      </c>
      <c r="CM152" s="239">
        <v>7796.5524793388431</v>
      </c>
      <c r="CN152" s="239">
        <v>5197.7016528925624</v>
      </c>
      <c r="CO152" s="239">
        <v>0</v>
      </c>
      <c r="CP152" s="239">
        <v>0</v>
      </c>
      <c r="CQ152" s="239">
        <v>0</v>
      </c>
      <c r="CR152" s="239">
        <v>0</v>
      </c>
      <c r="CS152" s="239">
        <v>7797</v>
      </c>
      <c r="CT152" s="239">
        <v>5198</v>
      </c>
      <c r="CU152" s="239">
        <v>0</v>
      </c>
      <c r="CV152" s="239">
        <v>508161.37272727268</v>
      </c>
      <c r="CW152" s="239">
        <v>333755.20991735539</v>
      </c>
      <c r="CX152" s="239">
        <v>0</v>
      </c>
      <c r="CY152" s="239">
        <v>534317</v>
      </c>
      <c r="CZ152" s="239">
        <v>356211</v>
      </c>
      <c r="DA152" s="239">
        <v>0</v>
      </c>
      <c r="DB152" s="239">
        <v>-26156</v>
      </c>
      <c r="DC152" s="239">
        <v>-22456</v>
      </c>
      <c r="DD152" s="239">
        <v>0</v>
      </c>
      <c r="DE152" s="641">
        <v>0.5</v>
      </c>
      <c r="DF152" s="641">
        <v>0.3</v>
      </c>
      <c r="DG152" s="641">
        <v>0.2</v>
      </c>
      <c r="DH152" s="641">
        <v>0</v>
      </c>
      <c r="DI152" s="214" t="s">
        <v>1193</v>
      </c>
    </row>
    <row r="153" spans="2:113" s="214" customFormat="1" x14ac:dyDescent="0.2">
      <c r="B153" s="609" t="s">
        <v>388</v>
      </c>
      <c r="C153" s="609" t="s">
        <v>387</v>
      </c>
      <c r="D153" s="239">
        <v>-4032387</v>
      </c>
      <c r="E153" s="239">
        <v>0</v>
      </c>
      <c r="F153" s="239">
        <v>-4032387</v>
      </c>
      <c r="G153" s="239">
        <v>0</v>
      </c>
      <c r="H153" s="239">
        <v>0</v>
      </c>
      <c r="I153" s="239">
        <v>0</v>
      </c>
      <c r="J153" s="239">
        <v>-4032387</v>
      </c>
      <c r="K153" s="239">
        <v>0</v>
      </c>
      <c r="L153" s="239">
        <v>-4032387</v>
      </c>
      <c r="M153" s="239">
        <v>222663</v>
      </c>
      <c r="N153" s="239">
        <v>222663</v>
      </c>
      <c r="O153" s="239">
        <v>0</v>
      </c>
      <c r="P153" s="239">
        <v>0</v>
      </c>
      <c r="Q153" s="239">
        <v>0</v>
      </c>
      <c r="R153" s="239">
        <v>0</v>
      </c>
      <c r="S153" s="239">
        <v>958456</v>
      </c>
      <c r="T153" s="239">
        <v>0</v>
      </c>
      <c r="U153" s="239">
        <v>930045</v>
      </c>
      <c r="V153" s="239">
        <v>0</v>
      </c>
      <c r="W153" s="239">
        <v>28411</v>
      </c>
      <c r="X153" s="239">
        <v>0</v>
      </c>
      <c r="Y153" s="239">
        <v>0</v>
      </c>
      <c r="Z153" s="239">
        <v>0</v>
      </c>
      <c r="AA153" s="239">
        <v>0</v>
      </c>
      <c r="AB153" s="239">
        <v>0</v>
      </c>
      <c r="AC153" s="239">
        <v>0</v>
      </c>
      <c r="AD153" s="239">
        <v>0</v>
      </c>
      <c r="AE153" s="239">
        <v>0</v>
      </c>
      <c r="AF153" s="239">
        <v>0</v>
      </c>
      <c r="AG153" s="239">
        <v>0</v>
      </c>
      <c r="AH153" s="239">
        <v>0</v>
      </c>
      <c r="AI153" s="239">
        <v>0</v>
      </c>
      <c r="AJ153" s="239">
        <v>0</v>
      </c>
      <c r="AK153" s="239">
        <v>701707.37479338853</v>
      </c>
      <c r="AL153" s="239">
        <v>157884.15932851241</v>
      </c>
      <c r="AM153" s="239">
        <v>17542.684369834711</v>
      </c>
      <c r="AN153" s="239">
        <v>682798</v>
      </c>
      <c r="AO153" s="239">
        <v>153630</v>
      </c>
      <c r="AP153" s="239">
        <v>17070</v>
      </c>
      <c r="AQ153" s="239">
        <v>18909</v>
      </c>
      <c r="AR153" s="239">
        <v>4254</v>
      </c>
      <c r="AS153" s="239">
        <v>473</v>
      </c>
      <c r="AT153" s="239">
        <v>31416.290082644628</v>
      </c>
      <c r="AU153" s="239">
        <v>7068.6652685950412</v>
      </c>
      <c r="AV153" s="239">
        <v>785.40725206611569</v>
      </c>
      <c r="AW153" s="239">
        <v>5151</v>
      </c>
      <c r="AX153" s="239">
        <v>1159</v>
      </c>
      <c r="AY153" s="239">
        <v>129</v>
      </c>
      <c r="AZ153" s="239">
        <v>26265</v>
      </c>
      <c r="BA153" s="239">
        <v>5910</v>
      </c>
      <c r="BB153" s="239">
        <v>656</v>
      </c>
      <c r="BC153" s="239">
        <v>792.09256198347111</v>
      </c>
      <c r="BD153" s="239">
        <v>178.220826446281</v>
      </c>
      <c r="BE153" s="239">
        <v>19.80231404958678</v>
      </c>
      <c r="BF153" s="239">
        <v>6151</v>
      </c>
      <c r="BG153" s="239">
        <v>1384</v>
      </c>
      <c r="BH153" s="239">
        <v>154</v>
      </c>
      <c r="BI153" s="239">
        <v>-5359</v>
      </c>
      <c r="BJ153" s="239">
        <v>-1206</v>
      </c>
      <c r="BK153" s="239">
        <v>-134</v>
      </c>
      <c r="BL153" s="239">
        <v>1929.5082644628101</v>
      </c>
      <c r="BM153" s="239">
        <v>434.13935950413224</v>
      </c>
      <c r="BN153" s="239">
        <v>48.237706611570246</v>
      </c>
      <c r="BO153" s="239">
        <v>7780</v>
      </c>
      <c r="BP153" s="239">
        <v>1750</v>
      </c>
      <c r="BQ153" s="239">
        <v>194</v>
      </c>
      <c r="BR153" s="239">
        <v>-5850</v>
      </c>
      <c r="BS153" s="239">
        <v>-1316</v>
      </c>
      <c r="BT153" s="239">
        <v>-146</v>
      </c>
      <c r="BU153" s="239">
        <v>-3854.9586776859505</v>
      </c>
      <c r="BV153" s="239">
        <v>-867.36570247933889</v>
      </c>
      <c r="BW153" s="239">
        <v>-96.373966942148769</v>
      </c>
      <c r="BX153" s="239">
        <v>0</v>
      </c>
      <c r="BY153" s="239">
        <v>0</v>
      </c>
      <c r="BZ153" s="239">
        <v>0</v>
      </c>
      <c r="CA153" s="239">
        <v>-3855</v>
      </c>
      <c r="CB153" s="239">
        <v>-867</v>
      </c>
      <c r="CC153" s="239">
        <v>-96</v>
      </c>
      <c r="CD153" s="239">
        <v>173768.14628099173</v>
      </c>
      <c r="CE153" s="239">
        <v>39097.832913223145</v>
      </c>
      <c r="CF153" s="239">
        <v>4344.2036570247938</v>
      </c>
      <c r="CG153" s="239">
        <v>0</v>
      </c>
      <c r="CH153" s="239">
        <v>0</v>
      </c>
      <c r="CI153" s="239">
        <v>0</v>
      </c>
      <c r="CJ153" s="239">
        <v>173768</v>
      </c>
      <c r="CK153" s="239">
        <v>39098</v>
      </c>
      <c r="CL153" s="239">
        <v>4344</v>
      </c>
      <c r="CM153" s="239">
        <v>6624.0363636363645</v>
      </c>
      <c r="CN153" s="239">
        <v>1490.4081818181819</v>
      </c>
      <c r="CO153" s="239">
        <v>165.60090909090911</v>
      </c>
      <c r="CP153" s="239">
        <v>8134</v>
      </c>
      <c r="CQ153" s="239">
        <v>1830</v>
      </c>
      <c r="CR153" s="239">
        <v>203</v>
      </c>
      <c r="CS153" s="239">
        <v>-1510</v>
      </c>
      <c r="CT153" s="239">
        <v>-340</v>
      </c>
      <c r="CU153" s="239">
        <v>-37</v>
      </c>
      <c r="CV153" s="239">
        <v>500397.56859504135</v>
      </c>
      <c r="CW153" s="239">
        <v>109470.51037190082</v>
      </c>
      <c r="CX153" s="239">
        <v>12163.390041322315</v>
      </c>
      <c r="CY153" s="239">
        <v>361625</v>
      </c>
      <c r="CZ153" s="239">
        <v>78339</v>
      </c>
      <c r="DA153" s="239">
        <v>8704</v>
      </c>
      <c r="DB153" s="239">
        <v>138773</v>
      </c>
      <c r="DC153" s="239">
        <v>31132</v>
      </c>
      <c r="DD153" s="239">
        <v>3459</v>
      </c>
      <c r="DE153" s="641">
        <v>0.5</v>
      </c>
      <c r="DF153" s="641">
        <v>0.4</v>
      </c>
      <c r="DG153" s="641">
        <v>0.09</v>
      </c>
      <c r="DH153" s="641">
        <v>0.01</v>
      </c>
      <c r="DI153" s="214" t="s">
        <v>1190</v>
      </c>
    </row>
    <row r="154" spans="2:113" s="214" customFormat="1" x14ac:dyDescent="0.2">
      <c r="B154" s="609" t="s">
        <v>390</v>
      </c>
      <c r="C154" s="609" t="s">
        <v>389</v>
      </c>
      <c r="D154" s="239">
        <v>-2230918</v>
      </c>
      <c r="E154" s="239">
        <v>0</v>
      </c>
      <c r="F154" s="239">
        <v>-2230918</v>
      </c>
      <c r="G154" s="239">
        <v>0</v>
      </c>
      <c r="H154" s="239">
        <v>0</v>
      </c>
      <c r="I154" s="239">
        <v>0</v>
      </c>
      <c r="J154" s="239">
        <v>-2230918</v>
      </c>
      <c r="K154" s="239">
        <v>0</v>
      </c>
      <c r="L154" s="239">
        <v>-2230918</v>
      </c>
      <c r="M154" s="239">
        <v>1231515</v>
      </c>
      <c r="N154" s="239">
        <v>1231515</v>
      </c>
      <c r="O154" s="239">
        <v>0</v>
      </c>
      <c r="P154" s="239">
        <v>726336</v>
      </c>
      <c r="Q154" s="239">
        <v>544202</v>
      </c>
      <c r="R154" s="239">
        <v>182134</v>
      </c>
      <c r="S154" s="239">
        <v>152118</v>
      </c>
      <c r="T154" s="239">
        <v>0</v>
      </c>
      <c r="U154" s="239">
        <v>0</v>
      </c>
      <c r="V154" s="239">
        <v>0</v>
      </c>
      <c r="W154" s="239">
        <v>152118</v>
      </c>
      <c r="X154" s="239">
        <v>0</v>
      </c>
      <c r="Y154" s="239">
        <v>584666.36570247938</v>
      </c>
      <c r="Z154" s="239">
        <v>584666.36570247938</v>
      </c>
      <c r="AA154" s="239">
        <v>0</v>
      </c>
      <c r="AB154" s="239">
        <v>0</v>
      </c>
      <c r="AC154" s="239">
        <v>370000</v>
      </c>
      <c r="AD154" s="239">
        <v>370000</v>
      </c>
      <c r="AE154" s="239">
        <v>0</v>
      </c>
      <c r="AF154" s="239">
        <v>0</v>
      </c>
      <c r="AG154" s="239">
        <v>214666</v>
      </c>
      <c r="AH154" s="239">
        <v>214666</v>
      </c>
      <c r="AI154" s="239">
        <v>0</v>
      </c>
      <c r="AJ154" s="239">
        <v>0</v>
      </c>
      <c r="AK154" s="239">
        <v>4402472.6508780988</v>
      </c>
      <c r="AL154" s="239">
        <v>0</v>
      </c>
      <c r="AM154" s="239">
        <v>89846.38063016528</v>
      </c>
      <c r="AN154" s="239">
        <v>4165786</v>
      </c>
      <c r="AO154" s="239">
        <v>0</v>
      </c>
      <c r="AP154" s="239">
        <v>85016</v>
      </c>
      <c r="AQ154" s="239">
        <v>236687</v>
      </c>
      <c r="AR154" s="239">
        <v>0</v>
      </c>
      <c r="AS154" s="239">
        <v>4830</v>
      </c>
      <c r="AT154" s="239">
        <v>2434.7310330578512</v>
      </c>
      <c r="AU154" s="239">
        <v>0</v>
      </c>
      <c r="AV154" s="239">
        <v>49.688388429752067</v>
      </c>
      <c r="AW154" s="239">
        <v>9942</v>
      </c>
      <c r="AX154" s="239">
        <v>0</v>
      </c>
      <c r="AY154" s="239">
        <v>203</v>
      </c>
      <c r="AZ154" s="239">
        <v>-7507</v>
      </c>
      <c r="BA154" s="239">
        <v>0</v>
      </c>
      <c r="BB154" s="239">
        <v>-153</v>
      </c>
      <c r="BC154" s="239">
        <v>48175.164979338842</v>
      </c>
      <c r="BD154" s="239">
        <v>0</v>
      </c>
      <c r="BE154" s="239">
        <v>983.16663223140495</v>
      </c>
      <c r="BF154" s="239">
        <v>24855</v>
      </c>
      <c r="BG154" s="239">
        <v>0</v>
      </c>
      <c r="BH154" s="239">
        <v>507</v>
      </c>
      <c r="BI154" s="239">
        <v>23320</v>
      </c>
      <c r="BJ154" s="239">
        <v>0</v>
      </c>
      <c r="BK154" s="239">
        <v>476</v>
      </c>
      <c r="BL154" s="239">
        <v>124612.1986570248</v>
      </c>
      <c r="BM154" s="239">
        <v>0</v>
      </c>
      <c r="BN154" s="239">
        <v>2543.1060950413221</v>
      </c>
      <c r="BO154" s="239">
        <v>100485</v>
      </c>
      <c r="BP154" s="239">
        <v>0</v>
      </c>
      <c r="BQ154" s="239">
        <v>2051</v>
      </c>
      <c r="BR154" s="239">
        <v>24127</v>
      </c>
      <c r="BS154" s="239">
        <v>0</v>
      </c>
      <c r="BT154" s="239">
        <v>492</v>
      </c>
      <c r="BU154" s="239">
        <v>-81.522231404958674</v>
      </c>
      <c r="BV154" s="239">
        <v>0</v>
      </c>
      <c r="BW154" s="239">
        <v>-1.6637190082644628</v>
      </c>
      <c r="BX154" s="239">
        <v>0</v>
      </c>
      <c r="BY154" s="239">
        <v>0</v>
      </c>
      <c r="BZ154" s="239">
        <v>0</v>
      </c>
      <c r="CA154" s="239">
        <v>-82</v>
      </c>
      <c r="CB154" s="239">
        <v>0</v>
      </c>
      <c r="CC154" s="239">
        <v>-2</v>
      </c>
      <c r="CD154" s="239">
        <v>96533.257892561989</v>
      </c>
      <c r="CE154" s="239">
        <v>0</v>
      </c>
      <c r="CF154" s="239">
        <v>1970.0664876033061</v>
      </c>
      <c r="CG154" s="239">
        <v>0</v>
      </c>
      <c r="CH154" s="239">
        <v>0</v>
      </c>
      <c r="CI154" s="239">
        <v>0</v>
      </c>
      <c r="CJ154" s="239">
        <v>96533</v>
      </c>
      <c r="CK154" s="239">
        <v>0</v>
      </c>
      <c r="CL154" s="239">
        <v>1970</v>
      </c>
      <c r="CM154" s="239">
        <v>18815.728677685947</v>
      </c>
      <c r="CN154" s="239">
        <v>0</v>
      </c>
      <c r="CO154" s="239">
        <v>383.99446280991731</v>
      </c>
      <c r="CP154" s="239">
        <v>24855</v>
      </c>
      <c r="CQ154" s="239">
        <v>0</v>
      </c>
      <c r="CR154" s="239">
        <v>507</v>
      </c>
      <c r="CS154" s="239">
        <v>-6039</v>
      </c>
      <c r="CT154" s="239">
        <v>0</v>
      </c>
      <c r="CU154" s="239">
        <v>-123</v>
      </c>
      <c r="CV154" s="239">
        <v>2606183.5160743799</v>
      </c>
      <c r="CW154" s="239">
        <v>0</v>
      </c>
      <c r="CX154" s="239">
        <v>52928.134752066115</v>
      </c>
      <c r="CY154" s="239">
        <v>2795717</v>
      </c>
      <c r="CZ154" s="239">
        <v>0</v>
      </c>
      <c r="DA154" s="239">
        <v>56786</v>
      </c>
      <c r="DB154" s="239">
        <v>-189533</v>
      </c>
      <c r="DC154" s="239">
        <v>0</v>
      </c>
      <c r="DD154" s="239">
        <v>-3858</v>
      </c>
      <c r="DE154" s="641">
        <v>0.5</v>
      </c>
      <c r="DF154" s="641">
        <v>0.49</v>
      </c>
      <c r="DG154" s="641">
        <v>0</v>
      </c>
      <c r="DH154" s="641">
        <v>0.01</v>
      </c>
      <c r="DI154" s="214" t="s">
        <v>1192</v>
      </c>
    </row>
    <row r="155" spans="2:113" s="214" customFormat="1" x14ac:dyDescent="0.2">
      <c r="B155" s="609" t="s">
        <v>392</v>
      </c>
      <c r="C155" s="609" t="s">
        <v>391</v>
      </c>
      <c r="D155" s="239">
        <v>-311180</v>
      </c>
      <c r="E155" s="239">
        <v>0</v>
      </c>
      <c r="F155" s="239">
        <v>-311180</v>
      </c>
      <c r="G155" s="239">
        <v>0</v>
      </c>
      <c r="H155" s="239">
        <v>0</v>
      </c>
      <c r="I155" s="239">
        <v>0</v>
      </c>
      <c r="J155" s="239">
        <v>-311180</v>
      </c>
      <c r="K155" s="239">
        <v>0</v>
      </c>
      <c r="L155" s="239">
        <v>-311180</v>
      </c>
      <c r="M155" s="239">
        <v>491654</v>
      </c>
      <c r="N155" s="239">
        <v>491654</v>
      </c>
      <c r="O155" s="239">
        <v>0</v>
      </c>
      <c r="P155" s="239">
        <v>0</v>
      </c>
      <c r="Q155" s="239">
        <v>0</v>
      </c>
      <c r="R155" s="239">
        <v>0</v>
      </c>
      <c r="S155" s="239">
        <v>0</v>
      </c>
      <c r="T155" s="239">
        <v>0</v>
      </c>
      <c r="U155" s="239">
        <v>0</v>
      </c>
      <c r="V155" s="239">
        <v>0</v>
      </c>
      <c r="W155" s="239">
        <v>0</v>
      </c>
      <c r="X155" s="239">
        <v>0</v>
      </c>
      <c r="Y155" s="239">
        <v>0</v>
      </c>
      <c r="Z155" s="239">
        <v>0</v>
      </c>
      <c r="AA155" s="239">
        <v>0</v>
      </c>
      <c r="AB155" s="239">
        <v>0</v>
      </c>
      <c r="AC155" s="239">
        <v>0</v>
      </c>
      <c r="AD155" s="239">
        <v>0</v>
      </c>
      <c r="AE155" s="239">
        <v>0</v>
      </c>
      <c r="AF155" s="239">
        <v>0</v>
      </c>
      <c r="AG155" s="239">
        <v>0</v>
      </c>
      <c r="AH155" s="239">
        <v>0</v>
      </c>
      <c r="AI155" s="239">
        <v>0</v>
      </c>
      <c r="AJ155" s="239">
        <v>0</v>
      </c>
      <c r="AK155" s="239">
        <v>2339494.6745661157</v>
      </c>
      <c r="AL155" s="239">
        <v>0</v>
      </c>
      <c r="AM155" s="239">
        <v>47744.789276859505</v>
      </c>
      <c r="AN155" s="239">
        <v>2151500</v>
      </c>
      <c r="AO155" s="239">
        <v>0</v>
      </c>
      <c r="AP155" s="239">
        <v>43908</v>
      </c>
      <c r="AQ155" s="239">
        <v>187995</v>
      </c>
      <c r="AR155" s="239">
        <v>0</v>
      </c>
      <c r="AS155" s="239">
        <v>3837</v>
      </c>
      <c r="AT155" s="239">
        <v>22321.18462809917</v>
      </c>
      <c r="AU155" s="239">
        <v>0</v>
      </c>
      <c r="AV155" s="239">
        <v>455.53438016528924</v>
      </c>
      <c r="AW155" s="239">
        <v>17398</v>
      </c>
      <c r="AX155" s="239">
        <v>0</v>
      </c>
      <c r="AY155" s="239">
        <v>355</v>
      </c>
      <c r="AZ155" s="239">
        <v>4923</v>
      </c>
      <c r="BA155" s="239">
        <v>0</v>
      </c>
      <c r="BB155" s="239">
        <v>101</v>
      </c>
      <c r="BC155" s="239">
        <v>359.89082644628098</v>
      </c>
      <c r="BD155" s="239">
        <v>0</v>
      </c>
      <c r="BE155" s="239">
        <v>7.3447107438016532</v>
      </c>
      <c r="BF155" s="239">
        <v>34796</v>
      </c>
      <c r="BG155" s="239">
        <v>0</v>
      </c>
      <c r="BH155" s="239">
        <v>710</v>
      </c>
      <c r="BI155" s="239">
        <v>-34436</v>
      </c>
      <c r="BJ155" s="239">
        <v>0</v>
      </c>
      <c r="BK155" s="239">
        <v>-703</v>
      </c>
      <c r="BL155" s="239">
        <v>24130.580495867765</v>
      </c>
      <c r="BM155" s="239">
        <v>0</v>
      </c>
      <c r="BN155" s="239">
        <v>492.46082644628098</v>
      </c>
      <c r="BO155" s="239">
        <v>54429</v>
      </c>
      <c r="BP155" s="239">
        <v>0</v>
      </c>
      <c r="BQ155" s="239">
        <v>1111</v>
      </c>
      <c r="BR155" s="239">
        <v>-30298</v>
      </c>
      <c r="BS155" s="239">
        <v>0</v>
      </c>
      <c r="BT155" s="239">
        <v>-619</v>
      </c>
      <c r="BU155" s="239">
        <v>-37237.764628099168</v>
      </c>
      <c r="BV155" s="239">
        <v>0</v>
      </c>
      <c r="BW155" s="239">
        <v>-759.95438016528919</v>
      </c>
      <c r="BX155" s="239">
        <v>0</v>
      </c>
      <c r="BY155" s="239">
        <v>0</v>
      </c>
      <c r="BZ155" s="239">
        <v>0</v>
      </c>
      <c r="CA155" s="239">
        <v>-37238</v>
      </c>
      <c r="CB155" s="239">
        <v>0</v>
      </c>
      <c r="CC155" s="239">
        <v>-760</v>
      </c>
      <c r="CD155" s="239">
        <v>0</v>
      </c>
      <c r="CE155" s="239">
        <v>0</v>
      </c>
      <c r="CF155" s="239">
        <v>0</v>
      </c>
      <c r="CG155" s="239">
        <v>0</v>
      </c>
      <c r="CH155" s="239">
        <v>0</v>
      </c>
      <c r="CI155" s="239">
        <v>0</v>
      </c>
      <c r="CJ155" s="239">
        <v>0</v>
      </c>
      <c r="CK155" s="239">
        <v>0</v>
      </c>
      <c r="CL155" s="239">
        <v>0</v>
      </c>
      <c r="CM155" s="239">
        <v>1709.4814256198347</v>
      </c>
      <c r="CN155" s="239">
        <v>0</v>
      </c>
      <c r="CO155" s="239">
        <v>34.887376033057855</v>
      </c>
      <c r="CP155" s="239">
        <v>185</v>
      </c>
      <c r="CQ155" s="239">
        <v>0</v>
      </c>
      <c r="CR155" s="239">
        <v>4</v>
      </c>
      <c r="CS155" s="239">
        <v>1524</v>
      </c>
      <c r="CT155" s="239">
        <v>0</v>
      </c>
      <c r="CU155" s="239">
        <v>31</v>
      </c>
      <c r="CV155" s="239">
        <v>748965.48797520658</v>
      </c>
      <c r="CW155" s="239">
        <v>0</v>
      </c>
      <c r="CX155" s="239">
        <v>15285.009958677687</v>
      </c>
      <c r="CY155" s="239">
        <v>738452</v>
      </c>
      <c r="CZ155" s="239">
        <v>0</v>
      </c>
      <c r="DA155" s="239">
        <v>15070</v>
      </c>
      <c r="DB155" s="239">
        <v>10513</v>
      </c>
      <c r="DC155" s="239">
        <v>0</v>
      </c>
      <c r="DD155" s="239">
        <v>215</v>
      </c>
      <c r="DE155" s="641">
        <v>0.5</v>
      </c>
      <c r="DF155" s="641">
        <v>0.49</v>
      </c>
      <c r="DG155" s="641">
        <v>0</v>
      </c>
      <c r="DH155" s="641">
        <v>0.01</v>
      </c>
      <c r="DI155" s="214" t="s">
        <v>747</v>
      </c>
    </row>
    <row r="156" spans="2:113" s="214" customFormat="1" x14ac:dyDescent="0.2">
      <c r="B156" s="609" t="s">
        <v>394</v>
      </c>
      <c r="C156" s="609" t="s">
        <v>393</v>
      </c>
      <c r="D156" s="239">
        <v>12255</v>
      </c>
      <c r="E156" s="239">
        <v>0</v>
      </c>
      <c r="F156" s="239">
        <v>12255</v>
      </c>
      <c r="G156" s="239">
        <v>0</v>
      </c>
      <c r="H156" s="239">
        <v>0</v>
      </c>
      <c r="I156" s="239">
        <v>0</v>
      </c>
      <c r="J156" s="239">
        <v>12255</v>
      </c>
      <c r="K156" s="239">
        <v>0</v>
      </c>
      <c r="L156" s="239">
        <v>12255</v>
      </c>
      <c r="M156" s="239">
        <v>131056</v>
      </c>
      <c r="N156" s="239">
        <v>131056</v>
      </c>
      <c r="O156" s="239">
        <v>0</v>
      </c>
      <c r="P156" s="239">
        <v>0</v>
      </c>
      <c r="Q156" s="239">
        <v>0</v>
      </c>
      <c r="R156" s="239">
        <v>0</v>
      </c>
      <c r="S156" s="239">
        <v>0</v>
      </c>
      <c r="T156" s="239">
        <v>0</v>
      </c>
      <c r="U156" s="239">
        <v>0</v>
      </c>
      <c r="V156" s="239">
        <v>0</v>
      </c>
      <c r="W156" s="239">
        <v>0</v>
      </c>
      <c r="X156" s="239">
        <v>0</v>
      </c>
      <c r="Y156" s="239">
        <v>0</v>
      </c>
      <c r="Z156" s="239">
        <v>0</v>
      </c>
      <c r="AA156" s="239">
        <v>0</v>
      </c>
      <c r="AB156" s="239">
        <v>0</v>
      </c>
      <c r="AC156" s="239">
        <v>0</v>
      </c>
      <c r="AD156" s="239">
        <v>0</v>
      </c>
      <c r="AE156" s="239">
        <v>0</v>
      </c>
      <c r="AF156" s="239">
        <v>0</v>
      </c>
      <c r="AG156" s="239">
        <v>0</v>
      </c>
      <c r="AH156" s="239">
        <v>0</v>
      </c>
      <c r="AI156" s="239">
        <v>0</v>
      </c>
      <c r="AJ156" s="239">
        <v>0</v>
      </c>
      <c r="AK156" s="239">
        <v>531698.01611570257</v>
      </c>
      <c r="AL156" s="239">
        <v>119632.05362603306</v>
      </c>
      <c r="AM156" s="239">
        <v>13292.450402892562</v>
      </c>
      <c r="AN156" s="239">
        <v>501295</v>
      </c>
      <c r="AO156" s="239">
        <v>112791</v>
      </c>
      <c r="AP156" s="239">
        <v>12532</v>
      </c>
      <c r="AQ156" s="239">
        <v>30403</v>
      </c>
      <c r="AR156" s="239">
        <v>6841</v>
      </c>
      <c r="AS156" s="239">
        <v>760</v>
      </c>
      <c r="AT156" s="239">
        <v>0</v>
      </c>
      <c r="AU156" s="239">
        <v>0</v>
      </c>
      <c r="AV156" s="239">
        <v>0</v>
      </c>
      <c r="AW156" s="239">
        <v>0</v>
      </c>
      <c r="AX156" s="239">
        <v>0</v>
      </c>
      <c r="AY156" s="239">
        <v>0</v>
      </c>
      <c r="AZ156" s="239">
        <v>0</v>
      </c>
      <c r="BA156" s="239">
        <v>0</v>
      </c>
      <c r="BB156" s="239">
        <v>0</v>
      </c>
      <c r="BC156" s="239">
        <v>0</v>
      </c>
      <c r="BD156" s="239">
        <v>0</v>
      </c>
      <c r="BE156" s="239">
        <v>0</v>
      </c>
      <c r="BF156" s="239">
        <v>0</v>
      </c>
      <c r="BG156" s="239">
        <v>0</v>
      </c>
      <c r="BH156" s="239">
        <v>0</v>
      </c>
      <c r="BI156" s="239">
        <v>0</v>
      </c>
      <c r="BJ156" s="239">
        <v>0</v>
      </c>
      <c r="BK156" s="239">
        <v>0</v>
      </c>
      <c r="BL156" s="239">
        <v>3937.33305785124</v>
      </c>
      <c r="BM156" s="239">
        <v>885.89993801652895</v>
      </c>
      <c r="BN156" s="239">
        <v>98.433326446281001</v>
      </c>
      <c r="BO156" s="239">
        <v>0</v>
      </c>
      <c r="BP156" s="239">
        <v>0</v>
      </c>
      <c r="BQ156" s="239">
        <v>0</v>
      </c>
      <c r="BR156" s="239">
        <v>3937</v>
      </c>
      <c r="BS156" s="239">
        <v>886</v>
      </c>
      <c r="BT156" s="239">
        <v>98</v>
      </c>
      <c r="BU156" s="239">
        <v>-2071.9388429752066</v>
      </c>
      <c r="BV156" s="239">
        <v>-466.18623966942147</v>
      </c>
      <c r="BW156" s="239">
        <v>-51.798471074380167</v>
      </c>
      <c r="BX156" s="239">
        <v>0</v>
      </c>
      <c r="BY156" s="239">
        <v>0</v>
      </c>
      <c r="BZ156" s="239">
        <v>0</v>
      </c>
      <c r="CA156" s="239">
        <v>-2072</v>
      </c>
      <c r="CB156" s="239">
        <v>-466</v>
      </c>
      <c r="CC156" s="239">
        <v>-52</v>
      </c>
      <c r="CD156" s="239">
        <v>0</v>
      </c>
      <c r="CE156" s="239">
        <v>0</v>
      </c>
      <c r="CF156" s="239">
        <v>0</v>
      </c>
      <c r="CG156" s="239">
        <v>0</v>
      </c>
      <c r="CH156" s="239">
        <v>0</v>
      </c>
      <c r="CI156" s="239">
        <v>0</v>
      </c>
      <c r="CJ156" s="239">
        <v>0</v>
      </c>
      <c r="CK156" s="239">
        <v>0</v>
      </c>
      <c r="CL156" s="239">
        <v>0</v>
      </c>
      <c r="CM156" s="239">
        <v>11956.458677685952</v>
      </c>
      <c r="CN156" s="239">
        <v>2690.2032024793389</v>
      </c>
      <c r="CO156" s="239">
        <v>298.91146694214882</v>
      </c>
      <c r="CP156" s="239">
        <v>0</v>
      </c>
      <c r="CQ156" s="239">
        <v>0</v>
      </c>
      <c r="CR156" s="239">
        <v>0</v>
      </c>
      <c r="CS156" s="239">
        <v>11956</v>
      </c>
      <c r="CT156" s="239">
        <v>2690</v>
      </c>
      <c r="CU156" s="239">
        <v>299</v>
      </c>
      <c r="CV156" s="239">
        <v>142581.64049586776</v>
      </c>
      <c r="CW156" s="239">
        <v>32080.869111570246</v>
      </c>
      <c r="CX156" s="239">
        <v>3564.5410123966944</v>
      </c>
      <c r="CY156" s="239">
        <v>149454</v>
      </c>
      <c r="CZ156" s="239">
        <v>33627</v>
      </c>
      <c r="DA156" s="239">
        <v>3736</v>
      </c>
      <c r="DB156" s="239">
        <v>-6872</v>
      </c>
      <c r="DC156" s="239">
        <v>-1546</v>
      </c>
      <c r="DD156" s="239">
        <v>-171</v>
      </c>
      <c r="DE156" s="641">
        <v>0.5</v>
      </c>
      <c r="DF156" s="641">
        <v>0.4</v>
      </c>
      <c r="DG156" s="641">
        <v>0.09</v>
      </c>
      <c r="DH156" s="641">
        <v>0.01</v>
      </c>
      <c r="DI156" s="214" t="s">
        <v>1190</v>
      </c>
    </row>
    <row r="157" spans="2:113" s="214" customFormat="1" x14ac:dyDescent="0.2">
      <c r="B157" s="609" t="s">
        <v>396</v>
      </c>
      <c r="C157" s="609" t="s">
        <v>395</v>
      </c>
      <c r="D157" s="239">
        <v>-754534</v>
      </c>
      <c r="E157" s="239">
        <v>0</v>
      </c>
      <c r="F157" s="239">
        <v>-754534</v>
      </c>
      <c r="G157" s="239">
        <v>0</v>
      </c>
      <c r="H157" s="239">
        <v>0</v>
      </c>
      <c r="I157" s="239">
        <v>0</v>
      </c>
      <c r="J157" s="239">
        <v>-754534</v>
      </c>
      <c r="K157" s="239">
        <v>0</v>
      </c>
      <c r="L157" s="239">
        <v>-754534</v>
      </c>
      <c r="M157" s="239">
        <v>303330</v>
      </c>
      <c r="N157" s="239">
        <v>303330</v>
      </c>
      <c r="O157" s="239">
        <v>0</v>
      </c>
      <c r="P157" s="239">
        <v>0</v>
      </c>
      <c r="Q157" s="239">
        <v>0</v>
      </c>
      <c r="R157" s="239">
        <v>0</v>
      </c>
      <c r="S157" s="239">
        <v>0</v>
      </c>
      <c r="T157" s="239">
        <v>0</v>
      </c>
      <c r="U157" s="239">
        <v>0</v>
      </c>
      <c r="V157" s="239">
        <v>0</v>
      </c>
      <c r="W157" s="239">
        <v>0</v>
      </c>
      <c r="X157" s="239">
        <v>0</v>
      </c>
      <c r="Y157" s="239">
        <v>0</v>
      </c>
      <c r="Z157" s="239">
        <v>0</v>
      </c>
      <c r="AA157" s="239">
        <v>0</v>
      </c>
      <c r="AB157" s="239">
        <v>0</v>
      </c>
      <c r="AC157" s="239">
        <v>0</v>
      </c>
      <c r="AD157" s="239">
        <v>0</v>
      </c>
      <c r="AE157" s="239">
        <v>0</v>
      </c>
      <c r="AF157" s="239">
        <v>0</v>
      </c>
      <c r="AG157" s="239">
        <v>0</v>
      </c>
      <c r="AH157" s="239">
        <v>0</v>
      </c>
      <c r="AI157" s="239">
        <v>0</v>
      </c>
      <c r="AJ157" s="239">
        <v>0</v>
      </c>
      <c r="AK157" s="239">
        <v>786983.57510330575</v>
      </c>
      <c r="AL157" s="239">
        <v>524655.71673553716</v>
      </c>
      <c r="AM157" s="239">
        <v>0</v>
      </c>
      <c r="AN157" s="239">
        <v>724530</v>
      </c>
      <c r="AO157" s="239">
        <v>483021</v>
      </c>
      <c r="AP157" s="239">
        <v>0</v>
      </c>
      <c r="AQ157" s="239">
        <v>62454</v>
      </c>
      <c r="AR157" s="239">
        <v>41635</v>
      </c>
      <c r="AS157" s="239">
        <v>0</v>
      </c>
      <c r="AT157" s="239">
        <v>0</v>
      </c>
      <c r="AU157" s="239">
        <v>0</v>
      </c>
      <c r="AV157" s="239">
        <v>0</v>
      </c>
      <c r="AW157" s="239">
        <v>0</v>
      </c>
      <c r="AX157" s="239">
        <v>0</v>
      </c>
      <c r="AY157" s="239">
        <v>0</v>
      </c>
      <c r="AZ157" s="239">
        <v>0</v>
      </c>
      <c r="BA157" s="239">
        <v>0</v>
      </c>
      <c r="BB157" s="239">
        <v>0</v>
      </c>
      <c r="BC157" s="239">
        <v>22329.036570247936</v>
      </c>
      <c r="BD157" s="239">
        <v>14886.02438016529</v>
      </c>
      <c r="BE157" s="239">
        <v>0</v>
      </c>
      <c r="BF157" s="239">
        <v>0</v>
      </c>
      <c r="BG157" s="239">
        <v>0</v>
      </c>
      <c r="BH157" s="239">
        <v>0</v>
      </c>
      <c r="BI157" s="239">
        <v>22329</v>
      </c>
      <c r="BJ157" s="239">
        <v>14886</v>
      </c>
      <c r="BK157" s="239">
        <v>0</v>
      </c>
      <c r="BL157" s="239">
        <v>3039.4320247933883</v>
      </c>
      <c r="BM157" s="239">
        <v>2026.2880165289259</v>
      </c>
      <c r="BN157" s="239">
        <v>0</v>
      </c>
      <c r="BO157" s="239">
        <v>3228</v>
      </c>
      <c r="BP157" s="239">
        <v>2152</v>
      </c>
      <c r="BQ157" s="239">
        <v>0</v>
      </c>
      <c r="BR157" s="239">
        <v>-189</v>
      </c>
      <c r="BS157" s="239">
        <v>-126</v>
      </c>
      <c r="BT157" s="239">
        <v>0</v>
      </c>
      <c r="BU157" s="239">
        <v>1666.8638429752066</v>
      </c>
      <c r="BV157" s="239">
        <v>1111.242561983471</v>
      </c>
      <c r="BW157" s="239">
        <v>0</v>
      </c>
      <c r="BX157" s="239">
        <v>0</v>
      </c>
      <c r="BY157" s="239">
        <v>0</v>
      </c>
      <c r="BZ157" s="239">
        <v>0</v>
      </c>
      <c r="CA157" s="239">
        <v>1667</v>
      </c>
      <c r="CB157" s="239">
        <v>1111</v>
      </c>
      <c r="CC157" s="239">
        <v>0</v>
      </c>
      <c r="CD157" s="239">
        <v>0</v>
      </c>
      <c r="CE157" s="239">
        <v>0</v>
      </c>
      <c r="CF157" s="239">
        <v>0</v>
      </c>
      <c r="CG157" s="239">
        <v>0</v>
      </c>
      <c r="CH157" s="239">
        <v>0</v>
      </c>
      <c r="CI157" s="239">
        <v>0</v>
      </c>
      <c r="CJ157" s="239">
        <v>0</v>
      </c>
      <c r="CK157" s="239">
        <v>0</v>
      </c>
      <c r="CL157" s="239">
        <v>0</v>
      </c>
      <c r="CM157" s="239">
        <v>0</v>
      </c>
      <c r="CN157" s="239">
        <v>0</v>
      </c>
      <c r="CO157" s="239">
        <v>0</v>
      </c>
      <c r="CP157" s="239">
        <v>0</v>
      </c>
      <c r="CQ157" s="239">
        <v>0</v>
      </c>
      <c r="CR157" s="239">
        <v>0</v>
      </c>
      <c r="CS157" s="239">
        <v>0</v>
      </c>
      <c r="CT157" s="239">
        <v>0</v>
      </c>
      <c r="CU157" s="239">
        <v>0</v>
      </c>
      <c r="CV157" s="239">
        <v>226417.62644628101</v>
      </c>
      <c r="CW157" s="239">
        <v>150945.08429752066</v>
      </c>
      <c r="CX157" s="239">
        <v>0</v>
      </c>
      <c r="CY157" s="239">
        <v>245614</v>
      </c>
      <c r="CZ157" s="239">
        <v>163743</v>
      </c>
      <c r="DA157" s="239">
        <v>0</v>
      </c>
      <c r="DB157" s="239">
        <v>-19196</v>
      </c>
      <c r="DC157" s="239">
        <v>-12798</v>
      </c>
      <c r="DD157" s="239">
        <v>0</v>
      </c>
      <c r="DE157" s="641">
        <v>0.5</v>
      </c>
      <c r="DF157" s="641">
        <v>0.3</v>
      </c>
      <c r="DG157" s="641">
        <v>0.2</v>
      </c>
      <c r="DH157" s="641">
        <v>0</v>
      </c>
      <c r="DI157" s="214" t="s">
        <v>1193</v>
      </c>
    </row>
    <row r="158" spans="2:113" s="214" customFormat="1" x14ac:dyDescent="0.2">
      <c r="B158" s="609" t="s">
        <v>398</v>
      </c>
      <c r="C158" s="609" t="s">
        <v>397</v>
      </c>
      <c r="D158" s="239">
        <v>-47807</v>
      </c>
      <c r="E158" s="239">
        <v>0</v>
      </c>
      <c r="F158" s="239">
        <v>-47807</v>
      </c>
      <c r="G158" s="239">
        <v>0</v>
      </c>
      <c r="H158" s="239">
        <v>0</v>
      </c>
      <c r="I158" s="239">
        <v>0</v>
      </c>
      <c r="J158" s="239">
        <v>-47807</v>
      </c>
      <c r="K158" s="239">
        <v>0</v>
      </c>
      <c r="L158" s="239">
        <v>-47807</v>
      </c>
      <c r="M158" s="239">
        <v>123642</v>
      </c>
      <c r="N158" s="239">
        <v>123642</v>
      </c>
      <c r="O158" s="239">
        <v>0</v>
      </c>
      <c r="P158" s="239">
        <v>0</v>
      </c>
      <c r="Q158" s="239">
        <v>0</v>
      </c>
      <c r="R158" s="239">
        <v>0</v>
      </c>
      <c r="S158" s="239">
        <v>0</v>
      </c>
      <c r="T158" s="239">
        <v>0</v>
      </c>
      <c r="U158" s="239">
        <v>0</v>
      </c>
      <c r="V158" s="239">
        <v>0</v>
      </c>
      <c r="W158" s="239">
        <v>0</v>
      </c>
      <c r="X158" s="239">
        <v>0</v>
      </c>
      <c r="Y158" s="239">
        <v>0</v>
      </c>
      <c r="Z158" s="239">
        <v>0</v>
      </c>
      <c r="AA158" s="239">
        <v>0</v>
      </c>
      <c r="AB158" s="239">
        <v>0</v>
      </c>
      <c r="AC158" s="239">
        <v>0</v>
      </c>
      <c r="AD158" s="239">
        <v>0</v>
      </c>
      <c r="AE158" s="239">
        <v>0</v>
      </c>
      <c r="AF158" s="239">
        <v>0</v>
      </c>
      <c r="AG158" s="239">
        <v>0</v>
      </c>
      <c r="AH158" s="239">
        <v>0</v>
      </c>
      <c r="AI158" s="239">
        <v>0</v>
      </c>
      <c r="AJ158" s="239">
        <v>0</v>
      </c>
      <c r="AK158" s="239">
        <v>391134.65785123967</v>
      </c>
      <c r="AL158" s="239">
        <v>88005.298016528919</v>
      </c>
      <c r="AM158" s="239">
        <v>9778.366446280992</v>
      </c>
      <c r="AN158" s="239">
        <v>358776</v>
      </c>
      <c r="AO158" s="239">
        <v>80724</v>
      </c>
      <c r="AP158" s="239">
        <v>8969</v>
      </c>
      <c r="AQ158" s="239">
        <v>32359</v>
      </c>
      <c r="AR158" s="239">
        <v>7281</v>
      </c>
      <c r="AS158" s="239">
        <v>809</v>
      </c>
      <c r="AT158" s="239">
        <v>1191.7909090909091</v>
      </c>
      <c r="AU158" s="239">
        <v>268.15295454545452</v>
      </c>
      <c r="AV158" s="239">
        <v>29.794772727272726</v>
      </c>
      <c r="AW158" s="239">
        <v>13834</v>
      </c>
      <c r="AX158" s="239">
        <v>3113</v>
      </c>
      <c r="AY158" s="239">
        <v>346</v>
      </c>
      <c r="AZ158" s="239">
        <v>-12642</v>
      </c>
      <c r="BA158" s="239">
        <v>-2845</v>
      </c>
      <c r="BB158" s="239">
        <v>-316</v>
      </c>
      <c r="BC158" s="239">
        <v>0</v>
      </c>
      <c r="BD158" s="239">
        <v>0</v>
      </c>
      <c r="BE158" s="239">
        <v>0</v>
      </c>
      <c r="BF158" s="239">
        <v>0</v>
      </c>
      <c r="BG158" s="239">
        <v>0</v>
      </c>
      <c r="BH158" s="239">
        <v>0</v>
      </c>
      <c r="BI158" s="239">
        <v>0</v>
      </c>
      <c r="BJ158" s="239">
        <v>0</v>
      </c>
      <c r="BK158" s="239">
        <v>0</v>
      </c>
      <c r="BL158" s="239">
        <v>1468.1305785123968</v>
      </c>
      <c r="BM158" s="239">
        <v>330.32938016528925</v>
      </c>
      <c r="BN158" s="239">
        <v>36.703264462809919</v>
      </c>
      <c r="BO158" s="239">
        <v>0</v>
      </c>
      <c r="BP158" s="239">
        <v>0</v>
      </c>
      <c r="BQ158" s="239">
        <v>0</v>
      </c>
      <c r="BR158" s="239">
        <v>1468</v>
      </c>
      <c r="BS158" s="239">
        <v>330</v>
      </c>
      <c r="BT158" s="239">
        <v>37</v>
      </c>
      <c r="BU158" s="239">
        <v>-4104.9223140495869</v>
      </c>
      <c r="BV158" s="239">
        <v>-923.60752066115697</v>
      </c>
      <c r="BW158" s="239">
        <v>-102.62305785123966</v>
      </c>
      <c r="BX158" s="239">
        <v>0</v>
      </c>
      <c r="BY158" s="239">
        <v>0</v>
      </c>
      <c r="BZ158" s="239">
        <v>0</v>
      </c>
      <c r="CA158" s="239">
        <v>-4105</v>
      </c>
      <c r="CB158" s="239">
        <v>-924</v>
      </c>
      <c r="CC158" s="239">
        <v>-103</v>
      </c>
      <c r="CD158" s="239">
        <v>0</v>
      </c>
      <c r="CE158" s="239">
        <v>0</v>
      </c>
      <c r="CF158" s="239">
        <v>0</v>
      </c>
      <c r="CG158" s="239">
        <v>0</v>
      </c>
      <c r="CH158" s="239">
        <v>0</v>
      </c>
      <c r="CI158" s="239">
        <v>0</v>
      </c>
      <c r="CJ158" s="239">
        <v>0</v>
      </c>
      <c r="CK158" s="239">
        <v>0</v>
      </c>
      <c r="CL158" s="239">
        <v>0</v>
      </c>
      <c r="CM158" s="239">
        <v>4785.0181818181818</v>
      </c>
      <c r="CN158" s="239">
        <v>1076.6290909090908</v>
      </c>
      <c r="CO158" s="239">
        <v>119.62545454545455</v>
      </c>
      <c r="CP158" s="239">
        <v>5686</v>
      </c>
      <c r="CQ158" s="239">
        <v>1279</v>
      </c>
      <c r="CR158" s="239">
        <v>142</v>
      </c>
      <c r="CS158" s="239">
        <v>-901</v>
      </c>
      <c r="CT158" s="239">
        <v>-202</v>
      </c>
      <c r="CU158" s="239">
        <v>-22</v>
      </c>
      <c r="CV158" s="239">
        <v>204004.85867768596</v>
      </c>
      <c r="CW158" s="239">
        <v>45901.093202479336</v>
      </c>
      <c r="CX158" s="239">
        <v>5100.1214669421488</v>
      </c>
      <c r="CY158" s="239">
        <v>195354</v>
      </c>
      <c r="CZ158" s="239">
        <v>43955</v>
      </c>
      <c r="DA158" s="239">
        <v>4884</v>
      </c>
      <c r="DB158" s="239">
        <v>8651</v>
      </c>
      <c r="DC158" s="239">
        <v>1946</v>
      </c>
      <c r="DD158" s="239">
        <v>216</v>
      </c>
      <c r="DE158" s="641">
        <v>0.5</v>
      </c>
      <c r="DF158" s="641">
        <v>0.4</v>
      </c>
      <c r="DG158" s="641">
        <v>0.09</v>
      </c>
      <c r="DH158" s="641">
        <v>0.01</v>
      </c>
      <c r="DI158" s="214" t="s">
        <v>1190</v>
      </c>
    </row>
    <row r="159" spans="2:113" s="214" customFormat="1" x14ac:dyDescent="0.2">
      <c r="B159" s="609" t="s">
        <v>400</v>
      </c>
      <c r="C159" s="609" t="s">
        <v>399</v>
      </c>
      <c r="D159" s="239">
        <v>-97784</v>
      </c>
      <c r="E159" s="239">
        <v>0</v>
      </c>
      <c r="F159" s="239">
        <v>-97784</v>
      </c>
      <c r="G159" s="239">
        <v>0</v>
      </c>
      <c r="H159" s="239">
        <v>0</v>
      </c>
      <c r="I159" s="239">
        <v>0</v>
      </c>
      <c r="J159" s="239">
        <v>-97784</v>
      </c>
      <c r="K159" s="239">
        <v>0</v>
      </c>
      <c r="L159" s="239">
        <v>-97784</v>
      </c>
      <c r="M159" s="239">
        <v>148207</v>
      </c>
      <c r="N159" s="239">
        <v>148207</v>
      </c>
      <c r="O159" s="239">
        <v>0</v>
      </c>
      <c r="P159" s="239">
        <v>0</v>
      </c>
      <c r="Q159" s="239">
        <v>0</v>
      </c>
      <c r="R159" s="239">
        <v>0</v>
      </c>
      <c r="S159" s="239">
        <v>0</v>
      </c>
      <c r="T159" s="239">
        <v>0</v>
      </c>
      <c r="U159" s="239">
        <v>0</v>
      </c>
      <c r="V159" s="239">
        <v>0</v>
      </c>
      <c r="W159" s="239">
        <v>0</v>
      </c>
      <c r="X159" s="239">
        <v>0</v>
      </c>
      <c r="Y159" s="239">
        <v>0</v>
      </c>
      <c r="Z159" s="239">
        <v>0</v>
      </c>
      <c r="AA159" s="239">
        <v>0</v>
      </c>
      <c r="AB159" s="239">
        <v>0</v>
      </c>
      <c r="AC159" s="239">
        <v>0</v>
      </c>
      <c r="AD159" s="239">
        <v>0</v>
      </c>
      <c r="AE159" s="239">
        <v>0</v>
      </c>
      <c r="AF159" s="239">
        <v>0</v>
      </c>
      <c r="AG159" s="239">
        <v>0</v>
      </c>
      <c r="AH159" s="239">
        <v>0</v>
      </c>
      <c r="AI159" s="239">
        <v>0</v>
      </c>
      <c r="AJ159" s="239">
        <v>0</v>
      </c>
      <c r="AK159" s="239">
        <v>415953.69338842976</v>
      </c>
      <c r="AL159" s="239">
        <v>103988.42334710744</v>
      </c>
      <c r="AM159" s="239">
        <v>0</v>
      </c>
      <c r="AN159" s="239">
        <v>390770</v>
      </c>
      <c r="AO159" s="239">
        <v>97692</v>
      </c>
      <c r="AP159" s="239">
        <v>0</v>
      </c>
      <c r="AQ159" s="239">
        <v>25184</v>
      </c>
      <c r="AR159" s="239">
        <v>6296</v>
      </c>
      <c r="AS159" s="239">
        <v>0</v>
      </c>
      <c r="AT159" s="239">
        <v>5090.1685950413221</v>
      </c>
      <c r="AU159" s="239">
        <v>1272.5421487603305</v>
      </c>
      <c r="AV159" s="239">
        <v>0</v>
      </c>
      <c r="AW159" s="239">
        <v>1637</v>
      </c>
      <c r="AX159" s="239">
        <v>409</v>
      </c>
      <c r="AY159" s="239">
        <v>0</v>
      </c>
      <c r="AZ159" s="239">
        <v>3453</v>
      </c>
      <c r="BA159" s="239">
        <v>864</v>
      </c>
      <c r="BB159" s="239">
        <v>0</v>
      </c>
      <c r="BC159" s="239">
        <v>11499.950413223141</v>
      </c>
      <c r="BD159" s="239">
        <v>2874.9876033057853</v>
      </c>
      <c r="BE159" s="239">
        <v>0</v>
      </c>
      <c r="BF159" s="239">
        <v>71758</v>
      </c>
      <c r="BG159" s="239">
        <v>17940</v>
      </c>
      <c r="BH159" s="239">
        <v>0</v>
      </c>
      <c r="BI159" s="239">
        <v>-60258</v>
      </c>
      <c r="BJ159" s="239">
        <v>-15065</v>
      </c>
      <c r="BK159" s="239">
        <v>0</v>
      </c>
      <c r="BL159" s="239">
        <v>29755.411570247932</v>
      </c>
      <c r="BM159" s="239">
        <v>7438.852892561983</v>
      </c>
      <c r="BN159" s="239">
        <v>0</v>
      </c>
      <c r="BO159" s="239">
        <v>53734</v>
      </c>
      <c r="BP159" s="239">
        <v>13434</v>
      </c>
      <c r="BQ159" s="239">
        <v>0</v>
      </c>
      <c r="BR159" s="239">
        <v>-23979</v>
      </c>
      <c r="BS159" s="239">
        <v>-5995</v>
      </c>
      <c r="BT159" s="239">
        <v>0</v>
      </c>
      <c r="BU159" s="239">
        <v>1829.2793388429754</v>
      </c>
      <c r="BV159" s="239">
        <v>457.31983471074386</v>
      </c>
      <c r="BW159" s="239">
        <v>0</v>
      </c>
      <c r="BX159" s="239">
        <v>0</v>
      </c>
      <c r="BY159" s="239">
        <v>0</v>
      </c>
      <c r="BZ159" s="239">
        <v>0</v>
      </c>
      <c r="CA159" s="239">
        <v>1829</v>
      </c>
      <c r="CB159" s="239">
        <v>457</v>
      </c>
      <c r="CC159" s="239">
        <v>0</v>
      </c>
      <c r="CD159" s="239">
        <v>0</v>
      </c>
      <c r="CE159" s="239">
        <v>0</v>
      </c>
      <c r="CF159" s="239">
        <v>0</v>
      </c>
      <c r="CG159" s="239">
        <v>0</v>
      </c>
      <c r="CH159" s="239">
        <v>0</v>
      </c>
      <c r="CI159" s="239">
        <v>0</v>
      </c>
      <c r="CJ159" s="239">
        <v>0</v>
      </c>
      <c r="CK159" s="239">
        <v>0</v>
      </c>
      <c r="CL159" s="239">
        <v>0</v>
      </c>
      <c r="CM159" s="239">
        <v>0</v>
      </c>
      <c r="CN159" s="239">
        <v>0</v>
      </c>
      <c r="CO159" s="239">
        <v>0</v>
      </c>
      <c r="CP159" s="239">
        <v>0</v>
      </c>
      <c r="CQ159" s="239">
        <v>0</v>
      </c>
      <c r="CR159" s="239">
        <v>0</v>
      </c>
      <c r="CS159" s="239">
        <v>0</v>
      </c>
      <c r="CT159" s="239">
        <v>0</v>
      </c>
      <c r="CU159" s="239">
        <v>0</v>
      </c>
      <c r="CV159" s="239">
        <v>238090.91900826446</v>
      </c>
      <c r="CW159" s="239">
        <v>59522.729752066116</v>
      </c>
      <c r="CX159" s="239">
        <v>0</v>
      </c>
      <c r="CY159" s="239">
        <v>249985</v>
      </c>
      <c r="CZ159" s="239">
        <v>62496</v>
      </c>
      <c r="DA159" s="239">
        <v>0</v>
      </c>
      <c r="DB159" s="239">
        <v>-11894</v>
      </c>
      <c r="DC159" s="239">
        <v>-2973</v>
      </c>
      <c r="DD159" s="239">
        <v>0</v>
      </c>
      <c r="DE159" s="641">
        <v>0.5</v>
      </c>
      <c r="DF159" s="641">
        <v>0.4</v>
      </c>
      <c r="DG159" s="641">
        <v>0.1</v>
      </c>
      <c r="DH159" s="641">
        <v>0</v>
      </c>
      <c r="DI159" s="214" t="s">
        <v>1190</v>
      </c>
    </row>
    <row r="160" spans="2:113" s="214" customFormat="1" x14ac:dyDescent="0.2">
      <c r="B160" s="609" t="s">
        <v>402</v>
      </c>
      <c r="C160" s="609" t="s">
        <v>401</v>
      </c>
      <c r="D160" s="239">
        <v>-620788</v>
      </c>
      <c r="E160" s="239">
        <v>-200136</v>
      </c>
      <c r="F160" s="239">
        <v>-820924</v>
      </c>
      <c r="G160" s="239">
        <v>0</v>
      </c>
      <c r="H160" s="239">
        <v>0</v>
      </c>
      <c r="I160" s="239">
        <v>0</v>
      </c>
      <c r="J160" s="239">
        <v>-620788</v>
      </c>
      <c r="K160" s="239">
        <v>-200136</v>
      </c>
      <c r="L160" s="239">
        <v>-820924</v>
      </c>
      <c r="M160" s="239">
        <v>779426</v>
      </c>
      <c r="N160" s="239">
        <v>779426</v>
      </c>
      <c r="O160" s="239">
        <v>0</v>
      </c>
      <c r="P160" s="239">
        <v>0</v>
      </c>
      <c r="Q160" s="239">
        <v>0</v>
      </c>
      <c r="R160" s="239">
        <v>0</v>
      </c>
      <c r="S160" s="239">
        <v>0</v>
      </c>
      <c r="T160" s="239">
        <v>0</v>
      </c>
      <c r="U160" s="239">
        <v>0</v>
      </c>
      <c r="V160" s="239">
        <v>0</v>
      </c>
      <c r="W160" s="239">
        <v>0</v>
      </c>
      <c r="X160" s="239">
        <v>0</v>
      </c>
      <c r="Y160" s="239">
        <v>257366.17148760331</v>
      </c>
      <c r="Z160" s="239">
        <v>257366.17148760331</v>
      </c>
      <c r="AA160" s="239">
        <v>0</v>
      </c>
      <c r="AB160" s="239">
        <v>0</v>
      </c>
      <c r="AC160" s="239">
        <v>236576</v>
      </c>
      <c r="AD160" s="239">
        <v>236576</v>
      </c>
      <c r="AE160" s="239">
        <v>0</v>
      </c>
      <c r="AF160" s="239">
        <v>0</v>
      </c>
      <c r="AG160" s="239">
        <v>20790</v>
      </c>
      <c r="AH160" s="239">
        <v>20790</v>
      </c>
      <c r="AI160" s="239">
        <v>0</v>
      </c>
      <c r="AJ160" s="239">
        <v>0</v>
      </c>
      <c r="AK160" s="239">
        <v>2661904.3008161159</v>
      </c>
      <c r="AL160" s="239">
        <v>0</v>
      </c>
      <c r="AM160" s="239">
        <v>47024.617055785129</v>
      </c>
      <c r="AN160" s="239">
        <v>2459769</v>
      </c>
      <c r="AO160" s="239">
        <v>0</v>
      </c>
      <c r="AP160" s="239">
        <v>44409</v>
      </c>
      <c r="AQ160" s="239">
        <v>202135</v>
      </c>
      <c r="AR160" s="239">
        <v>0</v>
      </c>
      <c r="AS160" s="239">
        <v>2616</v>
      </c>
      <c r="AT160" s="239">
        <v>24347.67553719008</v>
      </c>
      <c r="AU160" s="239">
        <v>0</v>
      </c>
      <c r="AV160" s="239">
        <v>410.28933884297521</v>
      </c>
      <c r="AW160" s="239">
        <v>49693</v>
      </c>
      <c r="AX160" s="239">
        <v>0</v>
      </c>
      <c r="AY160" s="239">
        <v>897</v>
      </c>
      <c r="AZ160" s="239">
        <v>-25345</v>
      </c>
      <c r="BA160" s="239">
        <v>0</v>
      </c>
      <c r="BB160" s="239">
        <v>-487</v>
      </c>
      <c r="BC160" s="239">
        <v>0</v>
      </c>
      <c r="BD160" s="239">
        <v>0</v>
      </c>
      <c r="BE160" s="239">
        <v>0</v>
      </c>
      <c r="BF160" s="239">
        <v>24855</v>
      </c>
      <c r="BG160" s="239">
        <v>0</v>
      </c>
      <c r="BH160" s="239">
        <v>507</v>
      </c>
      <c r="BI160" s="239">
        <v>-24855</v>
      </c>
      <c r="BJ160" s="239">
        <v>0</v>
      </c>
      <c r="BK160" s="239">
        <v>-507</v>
      </c>
      <c r="BL160" s="239">
        <v>70982.470041322318</v>
      </c>
      <c r="BM160" s="239">
        <v>0</v>
      </c>
      <c r="BN160" s="239">
        <v>1369.0175619834711</v>
      </c>
      <c r="BO160" s="239">
        <v>108085</v>
      </c>
      <c r="BP160" s="239">
        <v>0</v>
      </c>
      <c r="BQ160" s="239">
        <v>945</v>
      </c>
      <c r="BR160" s="239">
        <v>-37103</v>
      </c>
      <c r="BS160" s="239">
        <v>0</v>
      </c>
      <c r="BT160" s="239">
        <v>424</v>
      </c>
      <c r="BU160" s="239">
        <v>-15548.945392561982</v>
      </c>
      <c r="BV160" s="239">
        <v>0</v>
      </c>
      <c r="BW160" s="239">
        <v>-378.62795454545454</v>
      </c>
      <c r="BX160" s="239">
        <v>0</v>
      </c>
      <c r="BY160" s="239">
        <v>0</v>
      </c>
      <c r="BZ160" s="239">
        <v>0</v>
      </c>
      <c r="CA160" s="239">
        <v>-15549</v>
      </c>
      <c r="CB160" s="239">
        <v>0</v>
      </c>
      <c r="CC160" s="239">
        <v>-379</v>
      </c>
      <c r="CD160" s="239">
        <v>0</v>
      </c>
      <c r="CE160" s="239">
        <v>0</v>
      </c>
      <c r="CF160" s="239">
        <v>0</v>
      </c>
      <c r="CG160" s="239">
        <v>0</v>
      </c>
      <c r="CH160" s="239">
        <v>0</v>
      </c>
      <c r="CI160" s="239">
        <v>0</v>
      </c>
      <c r="CJ160" s="239">
        <v>0</v>
      </c>
      <c r="CK160" s="239">
        <v>0</v>
      </c>
      <c r="CL160" s="239">
        <v>0</v>
      </c>
      <c r="CM160" s="239">
        <v>10247.403326446283</v>
      </c>
      <c r="CN160" s="239">
        <v>0</v>
      </c>
      <c r="CO160" s="239">
        <v>268.01092975206609</v>
      </c>
      <c r="CP160" s="239">
        <v>23701</v>
      </c>
      <c r="CQ160" s="239">
        <v>0</v>
      </c>
      <c r="CR160" s="239">
        <v>484</v>
      </c>
      <c r="CS160" s="239">
        <v>-13454</v>
      </c>
      <c r="CT160" s="239">
        <v>0</v>
      </c>
      <c r="CU160" s="239">
        <v>-216</v>
      </c>
      <c r="CV160" s="239">
        <v>1258086.6952066117</v>
      </c>
      <c r="CW160" s="239">
        <v>0</v>
      </c>
      <c r="CX160" s="239">
        <v>25675.238677685953</v>
      </c>
      <c r="CY160" s="239">
        <v>1381117</v>
      </c>
      <c r="CZ160" s="239">
        <v>0</v>
      </c>
      <c r="DA160" s="239">
        <v>28116</v>
      </c>
      <c r="DB160" s="239">
        <v>-123030</v>
      </c>
      <c r="DC160" s="239">
        <v>0</v>
      </c>
      <c r="DD160" s="239">
        <v>-2441</v>
      </c>
      <c r="DE160" s="641">
        <v>0.5</v>
      </c>
      <c r="DF160" s="641">
        <v>0.49</v>
      </c>
      <c r="DG160" s="641">
        <v>0</v>
      </c>
      <c r="DH160" s="641">
        <v>0.01</v>
      </c>
      <c r="DI160" s="214" t="s">
        <v>1192</v>
      </c>
    </row>
    <row r="161" spans="1:113" s="214" customFormat="1" x14ac:dyDescent="0.2">
      <c r="B161" s="609" t="s">
        <v>404</v>
      </c>
      <c r="C161" s="609" t="s">
        <v>403</v>
      </c>
      <c r="D161" s="239">
        <v>252290</v>
      </c>
      <c r="E161" s="239">
        <v>0</v>
      </c>
      <c r="F161" s="239">
        <v>252290</v>
      </c>
      <c r="G161" s="239">
        <v>0</v>
      </c>
      <c r="H161" s="239">
        <v>0</v>
      </c>
      <c r="I161" s="239">
        <v>0</v>
      </c>
      <c r="J161" s="239">
        <v>252290</v>
      </c>
      <c r="K161" s="239">
        <v>0</v>
      </c>
      <c r="L161" s="239">
        <v>252290</v>
      </c>
      <c r="M161" s="239">
        <v>255038</v>
      </c>
      <c r="N161" s="239">
        <v>255038</v>
      </c>
      <c r="O161" s="239">
        <v>0</v>
      </c>
      <c r="P161" s="239">
        <v>0</v>
      </c>
      <c r="Q161" s="239">
        <v>0</v>
      </c>
      <c r="R161" s="239">
        <v>0</v>
      </c>
      <c r="S161" s="239">
        <v>0</v>
      </c>
      <c r="T161" s="239">
        <v>0</v>
      </c>
      <c r="U161" s="239">
        <v>0</v>
      </c>
      <c r="V161" s="239">
        <v>0</v>
      </c>
      <c r="W161" s="239">
        <v>0</v>
      </c>
      <c r="X161" s="239">
        <v>0</v>
      </c>
      <c r="Y161" s="239">
        <v>0</v>
      </c>
      <c r="Z161" s="239">
        <v>0</v>
      </c>
      <c r="AA161" s="239">
        <v>0</v>
      </c>
      <c r="AB161" s="239">
        <v>0</v>
      </c>
      <c r="AC161" s="239">
        <v>0</v>
      </c>
      <c r="AD161" s="239">
        <v>0</v>
      </c>
      <c r="AE161" s="239">
        <v>0</v>
      </c>
      <c r="AF161" s="239">
        <v>0</v>
      </c>
      <c r="AG161" s="239">
        <v>0</v>
      </c>
      <c r="AH161" s="239">
        <v>0</v>
      </c>
      <c r="AI161" s="239">
        <v>0</v>
      </c>
      <c r="AJ161" s="239">
        <v>0</v>
      </c>
      <c r="AK161" s="239">
        <v>788795.44118801644</v>
      </c>
      <c r="AL161" s="239">
        <v>0</v>
      </c>
      <c r="AM161" s="239">
        <v>16097.866146694216</v>
      </c>
      <c r="AN161" s="239">
        <v>789207</v>
      </c>
      <c r="AO161" s="239">
        <v>0</v>
      </c>
      <c r="AP161" s="239">
        <v>15634</v>
      </c>
      <c r="AQ161" s="239">
        <v>-412</v>
      </c>
      <c r="AR161" s="239">
        <v>0</v>
      </c>
      <c r="AS161" s="239">
        <v>464</v>
      </c>
      <c r="AT161" s="239">
        <v>0</v>
      </c>
      <c r="AU161" s="239">
        <v>0</v>
      </c>
      <c r="AV161" s="239">
        <v>0</v>
      </c>
      <c r="AW161" s="239">
        <v>2753</v>
      </c>
      <c r="AX161" s="239">
        <v>0</v>
      </c>
      <c r="AY161" s="239">
        <v>56</v>
      </c>
      <c r="AZ161" s="239">
        <v>-2753</v>
      </c>
      <c r="BA161" s="239">
        <v>0</v>
      </c>
      <c r="BB161" s="239">
        <v>-56</v>
      </c>
      <c r="BC161" s="239">
        <v>-108.3649173553719</v>
      </c>
      <c r="BD161" s="239">
        <v>0</v>
      </c>
      <c r="BE161" s="239">
        <v>-2.2115289256198345</v>
      </c>
      <c r="BF161" s="239">
        <v>1730</v>
      </c>
      <c r="BG161" s="239">
        <v>0</v>
      </c>
      <c r="BH161" s="239">
        <v>0</v>
      </c>
      <c r="BI161" s="239">
        <v>-1838</v>
      </c>
      <c r="BJ161" s="239">
        <v>0</v>
      </c>
      <c r="BK161" s="239">
        <v>-2</v>
      </c>
      <c r="BL161" s="239">
        <v>56420.840433884296</v>
      </c>
      <c r="BM161" s="239">
        <v>0</v>
      </c>
      <c r="BN161" s="239">
        <v>1151.4457231404958</v>
      </c>
      <c r="BO161" s="239">
        <v>3150</v>
      </c>
      <c r="BP161" s="239">
        <v>0</v>
      </c>
      <c r="BQ161" s="239">
        <v>64</v>
      </c>
      <c r="BR161" s="239">
        <v>53271</v>
      </c>
      <c r="BS161" s="239">
        <v>0</v>
      </c>
      <c r="BT161" s="239">
        <v>1087</v>
      </c>
      <c r="BU161" s="239">
        <v>20138.97367768595</v>
      </c>
      <c r="BV161" s="239">
        <v>0</v>
      </c>
      <c r="BW161" s="239">
        <v>410.99946280991742</v>
      </c>
      <c r="BX161" s="239">
        <v>0</v>
      </c>
      <c r="BY161" s="239">
        <v>0</v>
      </c>
      <c r="BZ161" s="239">
        <v>0</v>
      </c>
      <c r="CA161" s="239">
        <v>20139</v>
      </c>
      <c r="CB161" s="239">
        <v>0</v>
      </c>
      <c r="CC161" s="239">
        <v>411</v>
      </c>
      <c r="CD161" s="239">
        <v>0</v>
      </c>
      <c r="CE161" s="239">
        <v>0</v>
      </c>
      <c r="CF161" s="239">
        <v>0</v>
      </c>
      <c r="CG161" s="239">
        <v>0</v>
      </c>
      <c r="CH161" s="239">
        <v>0</v>
      </c>
      <c r="CI161" s="239">
        <v>0</v>
      </c>
      <c r="CJ161" s="239">
        <v>0</v>
      </c>
      <c r="CK161" s="239">
        <v>0</v>
      </c>
      <c r="CL161" s="239">
        <v>0</v>
      </c>
      <c r="CM161" s="239">
        <v>0</v>
      </c>
      <c r="CN161" s="239">
        <v>0</v>
      </c>
      <c r="CO161" s="239">
        <v>0</v>
      </c>
      <c r="CP161" s="239">
        <v>529667</v>
      </c>
      <c r="CQ161" s="239">
        <v>0</v>
      </c>
      <c r="CR161" s="239">
        <v>10810</v>
      </c>
      <c r="CS161" s="239">
        <v>-529667</v>
      </c>
      <c r="CT161" s="239">
        <v>0</v>
      </c>
      <c r="CU161" s="239">
        <v>-10810</v>
      </c>
      <c r="CV161" s="239">
        <v>518122.1933884297</v>
      </c>
      <c r="CW161" s="239">
        <v>0</v>
      </c>
      <c r="CX161" s="239">
        <v>10573.922314049587</v>
      </c>
      <c r="CY161" s="239">
        <v>481378</v>
      </c>
      <c r="CZ161" s="239">
        <v>0</v>
      </c>
      <c r="DA161" s="239">
        <v>9824</v>
      </c>
      <c r="DB161" s="239">
        <v>36744</v>
      </c>
      <c r="DC161" s="239">
        <v>0</v>
      </c>
      <c r="DD161" s="239">
        <v>750</v>
      </c>
      <c r="DE161" s="641">
        <v>0.5</v>
      </c>
      <c r="DF161" s="641">
        <v>0.49</v>
      </c>
      <c r="DG161" s="641">
        <v>0</v>
      </c>
      <c r="DH161" s="641">
        <v>0.01</v>
      </c>
      <c r="DI161" s="214" t="s">
        <v>747</v>
      </c>
    </row>
    <row r="162" spans="1:113" s="214" customFormat="1" x14ac:dyDescent="0.2">
      <c r="B162" s="609" t="s">
        <v>406</v>
      </c>
      <c r="C162" s="609" t="s">
        <v>405</v>
      </c>
      <c r="D162" s="239">
        <v>-93599</v>
      </c>
      <c r="E162" s="239">
        <v>0</v>
      </c>
      <c r="F162" s="239">
        <v>-93599</v>
      </c>
      <c r="G162" s="239">
        <v>0</v>
      </c>
      <c r="H162" s="239">
        <v>0</v>
      </c>
      <c r="I162" s="239">
        <v>0</v>
      </c>
      <c r="J162" s="239">
        <v>-93599</v>
      </c>
      <c r="K162" s="239">
        <v>0</v>
      </c>
      <c r="L162" s="239">
        <v>-93599</v>
      </c>
      <c r="M162" s="239">
        <v>206494</v>
      </c>
      <c r="N162" s="239">
        <v>206494</v>
      </c>
      <c r="O162" s="239">
        <v>0</v>
      </c>
      <c r="P162" s="239">
        <v>0</v>
      </c>
      <c r="Q162" s="239">
        <v>0</v>
      </c>
      <c r="R162" s="239">
        <v>0</v>
      </c>
      <c r="S162" s="239">
        <v>0</v>
      </c>
      <c r="T162" s="239">
        <v>0</v>
      </c>
      <c r="U162" s="239">
        <v>0</v>
      </c>
      <c r="V162" s="239">
        <v>0</v>
      </c>
      <c r="W162" s="239">
        <v>0</v>
      </c>
      <c r="X162" s="239">
        <v>0</v>
      </c>
      <c r="Y162" s="239">
        <v>0</v>
      </c>
      <c r="Z162" s="239">
        <v>0</v>
      </c>
      <c r="AA162" s="239">
        <v>0</v>
      </c>
      <c r="AB162" s="239">
        <v>0</v>
      </c>
      <c r="AC162" s="239">
        <v>0</v>
      </c>
      <c r="AD162" s="239">
        <v>0</v>
      </c>
      <c r="AE162" s="239">
        <v>0</v>
      </c>
      <c r="AF162" s="239">
        <v>0</v>
      </c>
      <c r="AG162" s="239">
        <v>0</v>
      </c>
      <c r="AH162" s="239">
        <v>0</v>
      </c>
      <c r="AI162" s="239">
        <v>0</v>
      </c>
      <c r="AJ162" s="239">
        <v>0</v>
      </c>
      <c r="AK162" s="239">
        <v>481502.39628099173</v>
      </c>
      <c r="AL162" s="239">
        <v>108338.03916322315</v>
      </c>
      <c r="AM162" s="239">
        <v>12037.559907024794</v>
      </c>
      <c r="AN162" s="239">
        <v>500809</v>
      </c>
      <c r="AO162" s="239">
        <v>112682</v>
      </c>
      <c r="AP162" s="239">
        <v>12520</v>
      </c>
      <c r="AQ162" s="239">
        <v>-19307</v>
      </c>
      <c r="AR162" s="239">
        <v>-4344</v>
      </c>
      <c r="AS162" s="239">
        <v>-482</v>
      </c>
      <c r="AT162" s="239">
        <v>798.9909090909091</v>
      </c>
      <c r="AU162" s="239">
        <v>179.77295454545452</v>
      </c>
      <c r="AV162" s="239">
        <v>19.974772727272729</v>
      </c>
      <c r="AW162" s="239">
        <v>3371</v>
      </c>
      <c r="AX162" s="239">
        <v>758</v>
      </c>
      <c r="AY162" s="239">
        <v>84</v>
      </c>
      <c r="AZ162" s="239">
        <v>-2572</v>
      </c>
      <c r="BA162" s="239">
        <v>-578</v>
      </c>
      <c r="BB162" s="239">
        <v>-64</v>
      </c>
      <c r="BC162" s="239">
        <v>0</v>
      </c>
      <c r="BD162" s="239">
        <v>0</v>
      </c>
      <c r="BE162" s="239">
        <v>0</v>
      </c>
      <c r="BF162" s="239">
        <v>0</v>
      </c>
      <c r="BG162" s="239">
        <v>0</v>
      </c>
      <c r="BH162" s="239">
        <v>0</v>
      </c>
      <c r="BI162" s="239">
        <v>0</v>
      </c>
      <c r="BJ162" s="239">
        <v>0</v>
      </c>
      <c r="BK162" s="239">
        <v>0</v>
      </c>
      <c r="BL162" s="239">
        <v>17507.19338842975</v>
      </c>
      <c r="BM162" s="239">
        <v>3939.1185123966943</v>
      </c>
      <c r="BN162" s="239">
        <v>437.67983471074382</v>
      </c>
      <c r="BO162" s="239">
        <v>14558</v>
      </c>
      <c r="BP162" s="239">
        <v>3275</v>
      </c>
      <c r="BQ162" s="239">
        <v>364</v>
      </c>
      <c r="BR162" s="239">
        <v>2949</v>
      </c>
      <c r="BS162" s="239">
        <v>664</v>
      </c>
      <c r="BT162" s="239">
        <v>74</v>
      </c>
      <c r="BU162" s="239">
        <v>883.80000000000007</v>
      </c>
      <c r="BV162" s="239">
        <v>198.85499999999999</v>
      </c>
      <c r="BW162" s="239">
        <v>22.094999999999999</v>
      </c>
      <c r="BX162" s="239">
        <v>0</v>
      </c>
      <c r="BY162" s="239">
        <v>0</v>
      </c>
      <c r="BZ162" s="239">
        <v>0</v>
      </c>
      <c r="CA162" s="239">
        <v>884</v>
      </c>
      <c r="CB162" s="239">
        <v>199</v>
      </c>
      <c r="CC162" s="239">
        <v>22</v>
      </c>
      <c r="CD162" s="239">
        <v>0</v>
      </c>
      <c r="CE162" s="239">
        <v>0</v>
      </c>
      <c r="CF162" s="239">
        <v>0</v>
      </c>
      <c r="CG162" s="239">
        <v>0</v>
      </c>
      <c r="CH162" s="239">
        <v>0</v>
      </c>
      <c r="CI162" s="239">
        <v>0</v>
      </c>
      <c r="CJ162" s="239">
        <v>0</v>
      </c>
      <c r="CK162" s="239">
        <v>0</v>
      </c>
      <c r="CL162" s="239">
        <v>0</v>
      </c>
      <c r="CM162" s="239">
        <v>78.722314049586785</v>
      </c>
      <c r="CN162" s="239">
        <v>17.712520661157026</v>
      </c>
      <c r="CO162" s="239">
        <v>1.9680578512396696</v>
      </c>
      <c r="CP162" s="239">
        <v>4820</v>
      </c>
      <c r="CQ162" s="239">
        <v>1084</v>
      </c>
      <c r="CR162" s="239">
        <v>120</v>
      </c>
      <c r="CS162" s="239">
        <v>-4741</v>
      </c>
      <c r="CT162" s="239">
        <v>-1066</v>
      </c>
      <c r="CU162" s="239">
        <v>-118</v>
      </c>
      <c r="CV162" s="239">
        <v>329303.4760330579</v>
      </c>
      <c r="CW162" s="239">
        <v>74093.282107438019</v>
      </c>
      <c r="CX162" s="239">
        <v>8232.5869008264453</v>
      </c>
      <c r="CY162" s="239">
        <v>347958</v>
      </c>
      <c r="CZ162" s="239">
        <v>78290</v>
      </c>
      <c r="DA162" s="239">
        <v>8699</v>
      </c>
      <c r="DB162" s="239">
        <v>-18655</v>
      </c>
      <c r="DC162" s="239">
        <v>-4197</v>
      </c>
      <c r="DD162" s="239">
        <v>-466</v>
      </c>
      <c r="DE162" s="641">
        <v>0.5</v>
      </c>
      <c r="DF162" s="641">
        <v>0.4</v>
      </c>
      <c r="DG162" s="641">
        <v>0.09</v>
      </c>
      <c r="DH162" s="641">
        <v>0.01</v>
      </c>
      <c r="DI162" s="214" t="s">
        <v>1190</v>
      </c>
    </row>
    <row r="163" spans="1:113" s="214" customFormat="1" x14ac:dyDescent="0.2">
      <c r="A163" s="215" t="s">
        <v>1211</v>
      </c>
      <c r="B163" s="609" t="s">
        <v>408</v>
      </c>
      <c r="C163" s="609" t="s">
        <v>407</v>
      </c>
      <c r="D163" s="239">
        <v>-32495</v>
      </c>
      <c r="E163" s="239">
        <v>0</v>
      </c>
      <c r="F163" s="239">
        <v>-32495</v>
      </c>
      <c r="G163" s="239">
        <v>0</v>
      </c>
      <c r="H163" s="239">
        <v>0</v>
      </c>
      <c r="I163" s="239">
        <v>0</v>
      </c>
      <c r="J163" s="239">
        <v>-32495</v>
      </c>
      <c r="K163" s="239">
        <v>0</v>
      </c>
      <c r="L163" s="239">
        <v>-32495</v>
      </c>
      <c r="M163" s="239">
        <v>93784</v>
      </c>
      <c r="N163" s="239">
        <v>93784</v>
      </c>
      <c r="O163" s="239">
        <v>0</v>
      </c>
      <c r="P163" s="239">
        <v>0</v>
      </c>
      <c r="Q163" s="239">
        <v>0</v>
      </c>
      <c r="R163" s="239">
        <v>0</v>
      </c>
      <c r="S163" s="239">
        <v>538251</v>
      </c>
      <c r="T163" s="239">
        <v>0</v>
      </c>
      <c r="U163" s="239">
        <v>484575</v>
      </c>
      <c r="V163" s="239">
        <v>0</v>
      </c>
      <c r="W163" s="239">
        <v>53676</v>
      </c>
      <c r="X163" s="239">
        <v>0</v>
      </c>
      <c r="Y163" s="239">
        <v>0</v>
      </c>
      <c r="Z163" s="239">
        <v>0</v>
      </c>
      <c r="AA163" s="239">
        <v>0</v>
      </c>
      <c r="AB163" s="239">
        <v>0</v>
      </c>
      <c r="AC163" s="239">
        <v>0</v>
      </c>
      <c r="AD163" s="239">
        <v>0</v>
      </c>
      <c r="AE163" s="239">
        <v>0</v>
      </c>
      <c r="AF163" s="239">
        <v>0</v>
      </c>
      <c r="AG163" s="239">
        <v>0</v>
      </c>
      <c r="AH163" s="239">
        <v>0</v>
      </c>
      <c r="AI163" s="239">
        <v>0</v>
      </c>
      <c r="AJ163" s="239">
        <v>0</v>
      </c>
      <c r="AK163" s="239">
        <v>401850.63140495872</v>
      </c>
      <c r="AL163" s="239">
        <v>90416.392066115688</v>
      </c>
      <c r="AM163" s="239">
        <v>10046.265785123966</v>
      </c>
      <c r="AN163" s="239">
        <v>387392</v>
      </c>
      <c r="AO163" s="239">
        <v>87163</v>
      </c>
      <c r="AP163" s="239">
        <v>9685</v>
      </c>
      <c r="AQ163" s="239">
        <v>14459</v>
      </c>
      <c r="AR163" s="239">
        <v>3253</v>
      </c>
      <c r="AS163" s="239">
        <v>361</v>
      </c>
      <c r="AT163" s="239">
        <v>2402.2479338842977</v>
      </c>
      <c r="AU163" s="239">
        <v>540.50578512396692</v>
      </c>
      <c r="AV163" s="239">
        <v>60.05619834710744</v>
      </c>
      <c r="AW163" s="239">
        <v>795</v>
      </c>
      <c r="AX163" s="239">
        <v>179</v>
      </c>
      <c r="AY163" s="239">
        <v>20</v>
      </c>
      <c r="AZ163" s="239">
        <v>1607</v>
      </c>
      <c r="BA163" s="239">
        <v>362</v>
      </c>
      <c r="BB163" s="239">
        <v>40</v>
      </c>
      <c r="BC163" s="239">
        <v>0</v>
      </c>
      <c r="BD163" s="239">
        <v>0</v>
      </c>
      <c r="BE163" s="239">
        <v>0</v>
      </c>
      <c r="BF163" s="239">
        <v>0</v>
      </c>
      <c r="BG163" s="239">
        <v>0</v>
      </c>
      <c r="BH163" s="239">
        <v>0</v>
      </c>
      <c r="BI163" s="239">
        <v>0</v>
      </c>
      <c r="BJ163" s="239">
        <v>0</v>
      </c>
      <c r="BK163" s="239">
        <v>0</v>
      </c>
      <c r="BL163" s="239">
        <v>0</v>
      </c>
      <c r="BM163" s="239">
        <v>0</v>
      </c>
      <c r="BN163" s="239">
        <v>0</v>
      </c>
      <c r="BO163" s="239">
        <v>0</v>
      </c>
      <c r="BP163" s="239">
        <v>0</v>
      </c>
      <c r="BQ163" s="239">
        <v>0</v>
      </c>
      <c r="BR163" s="239">
        <v>0</v>
      </c>
      <c r="BS163" s="239">
        <v>0</v>
      </c>
      <c r="BT163" s="239">
        <v>0</v>
      </c>
      <c r="BU163" s="239">
        <v>-357.09090909090912</v>
      </c>
      <c r="BV163" s="239">
        <v>-80.345454545454544</v>
      </c>
      <c r="BW163" s="239">
        <v>-8.9272727272727277</v>
      </c>
      <c r="BX163" s="239">
        <v>0</v>
      </c>
      <c r="BY163" s="239">
        <v>0</v>
      </c>
      <c r="BZ163" s="239">
        <v>0</v>
      </c>
      <c r="CA163" s="239">
        <v>-357</v>
      </c>
      <c r="CB163" s="239">
        <v>-80</v>
      </c>
      <c r="CC163" s="239">
        <v>-9</v>
      </c>
      <c r="CD163" s="239">
        <v>0</v>
      </c>
      <c r="CE163" s="239">
        <v>0</v>
      </c>
      <c r="CF163" s="239">
        <v>0</v>
      </c>
      <c r="CG163" s="239">
        <v>0</v>
      </c>
      <c r="CH163" s="239">
        <v>0</v>
      </c>
      <c r="CI163" s="239">
        <v>0</v>
      </c>
      <c r="CJ163" s="239">
        <v>0</v>
      </c>
      <c r="CK163" s="239">
        <v>0</v>
      </c>
      <c r="CL163" s="239">
        <v>0</v>
      </c>
      <c r="CM163" s="239">
        <v>2319.0619834710742</v>
      </c>
      <c r="CN163" s="239">
        <v>521.78894628099169</v>
      </c>
      <c r="CO163" s="239">
        <v>57.976549586776855</v>
      </c>
      <c r="CP163" s="239">
        <v>3293</v>
      </c>
      <c r="CQ163" s="239">
        <v>741</v>
      </c>
      <c r="CR163" s="239">
        <v>82</v>
      </c>
      <c r="CS163" s="239">
        <v>-974</v>
      </c>
      <c r="CT163" s="239">
        <v>-219</v>
      </c>
      <c r="CU163" s="239">
        <v>-24</v>
      </c>
      <c r="CV163" s="239">
        <v>89640.348347107458</v>
      </c>
      <c r="CW163" s="239">
        <v>18417.538450413223</v>
      </c>
      <c r="CX163" s="239">
        <v>2046.3931611570249</v>
      </c>
      <c r="CY163" s="239">
        <v>86719</v>
      </c>
      <c r="CZ163" s="239">
        <v>17935</v>
      </c>
      <c r="DA163" s="239">
        <v>1993</v>
      </c>
      <c r="DB163" s="239">
        <v>2921</v>
      </c>
      <c r="DC163" s="239">
        <v>483</v>
      </c>
      <c r="DD163" s="239">
        <v>53</v>
      </c>
      <c r="DE163" s="641">
        <v>0.5</v>
      </c>
      <c r="DF163" s="641">
        <v>0.4</v>
      </c>
      <c r="DG163" s="641">
        <v>0.09</v>
      </c>
      <c r="DH163" s="641">
        <v>0.01</v>
      </c>
      <c r="DI163" s="214" t="s">
        <v>1190</v>
      </c>
    </row>
    <row r="164" spans="1:113" s="214" customFormat="1" x14ac:dyDescent="0.2">
      <c r="B164" s="609" t="s">
        <v>410</v>
      </c>
      <c r="C164" s="609" t="s">
        <v>409</v>
      </c>
      <c r="D164" s="239">
        <v>22412</v>
      </c>
      <c r="E164" s="239">
        <v>0</v>
      </c>
      <c r="F164" s="239">
        <v>22412</v>
      </c>
      <c r="G164" s="239">
        <v>0</v>
      </c>
      <c r="H164" s="239">
        <v>0</v>
      </c>
      <c r="I164" s="239">
        <v>0</v>
      </c>
      <c r="J164" s="239">
        <v>22412</v>
      </c>
      <c r="K164" s="239">
        <v>0</v>
      </c>
      <c r="L164" s="239">
        <v>22412</v>
      </c>
      <c r="M164" s="239">
        <v>107540</v>
      </c>
      <c r="N164" s="239">
        <v>107540</v>
      </c>
      <c r="O164" s="239">
        <v>0</v>
      </c>
      <c r="P164" s="239">
        <v>0</v>
      </c>
      <c r="Q164" s="239">
        <v>0</v>
      </c>
      <c r="R164" s="239">
        <v>0</v>
      </c>
      <c r="S164" s="239">
        <v>0</v>
      </c>
      <c r="T164" s="239">
        <v>0</v>
      </c>
      <c r="U164" s="239">
        <v>0</v>
      </c>
      <c r="V164" s="239">
        <v>0</v>
      </c>
      <c r="W164" s="239">
        <v>0</v>
      </c>
      <c r="X164" s="239">
        <v>0</v>
      </c>
      <c r="Y164" s="239">
        <v>0</v>
      </c>
      <c r="Z164" s="239">
        <v>0</v>
      </c>
      <c r="AA164" s="239">
        <v>0</v>
      </c>
      <c r="AB164" s="239">
        <v>0</v>
      </c>
      <c r="AC164" s="239">
        <v>0</v>
      </c>
      <c r="AD164" s="239">
        <v>0</v>
      </c>
      <c r="AE164" s="239">
        <v>0</v>
      </c>
      <c r="AF164" s="239">
        <v>0</v>
      </c>
      <c r="AG164" s="239">
        <v>0</v>
      </c>
      <c r="AH164" s="239">
        <v>0</v>
      </c>
      <c r="AI164" s="239">
        <v>0</v>
      </c>
      <c r="AJ164" s="239">
        <v>0</v>
      </c>
      <c r="AK164" s="239">
        <v>480510.04876033065</v>
      </c>
      <c r="AL164" s="239">
        <v>108114.76097107439</v>
      </c>
      <c r="AM164" s="239">
        <v>12012.751219008265</v>
      </c>
      <c r="AN164" s="239">
        <v>434527</v>
      </c>
      <c r="AO164" s="239">
        <v>97769</v>
      </c>
      <c r="AP164" s="239">
        <v>10863</v>
      </c>
      <c r="AQ164" s="239">
        <v>45983</v>
      </c>
      <c r="AR164" s="239">
        <v>10346</v>
      </c>
      <c r="AS164" s="239">
        <v>1150</v>
      </c>
      <c r="AT164" s="239">
        <v>3346.9157024793394</v>
      </c>
      <c r="AU164" s="239">
        <v>753.05603305785121</v>
      </c>
      <c r="AV164" s="239">
        <v>83.672892561983474</v>
      </c>
      <c r="AW164" s="239">
        <v>2881</v>
      </c>
      <c r="AX164" s="239">
        <v>648</v>
      </c>
      <c r="AY164" s="239">
        <v>72</v>
      </c>
      <c r="AZ164" s="239">
        <v>466</v>
      </c>
      <c r="BA164" s="239">
        <v>105</v>
      </c>
      <c r="BB164" s="239">
        <v>12</v>
      </c>
      <c r="BC164" s="239">
        <v>3905.6818181818185</v>
      </c>
      <c r="BD164" s="239">
        <v>878.77840909090912</v>
      </c>
      <c r="BE164" s="239">
        <v>97.642045454545467</v>
      </c>
      <c r="BF164" s="239">
        <v>0</v>
      </c>
      <c r="BG164" s="239">
        <v>0</v>
      </c>
      <c r="BH164" s="239">
        <v>0</v>
      </c>
      <c r="BI164" s="239">
        <v>3906</v>
      </c>
      <c r="BJ164" s="239">
        <v>879</v>
      </c>
      <c r="BK164" s="239">
        <v>98</v>
      </c>
      <c r="BL164" s="239">
        <v>666.29917355371902</v>
      </c>
      <c r="BM164" s="239">
        <v>149.91731404958676</v>
      </c>
      <c r="BN164" s="239">
        <v>16.657479338842975</v>
      </c>
      <c r="BO164" s="239">
        <v>1689</v>
      </c>
      <c r="BP164" s="239">
        <v>380</v>
      </c>
      <c r="BQ164" s="239">
        <v>42</v>
      </c>
      <c r="BR164" s="239">
        <v>-1023</v>
      </c>
      <c r="BS164" s="239">
        <v>-230</v>
      </c>
      <c r="BT164" s="239">
        <v>-25</v>
      </c>
      <c r="BU164" s="239">
        <v>-7693.6859504132226</v>
      </c>
      <c r="BV164" s="239">
        <v>-1731.0793388429749</v>
      </c>
      <c r="BW164" s="239">
        <v>-192.34214876033056</v>
      </c>
      <c r="BX164" s="239">
        <v>0</v>
      </c>
      <c r="BY164" s="239">
        <v>0</v>
      </c>
      <c r="BZ164" s="239">
        <v>0</v>
      </c>
      <c r="CA164" s="239">
        <v>-7694</v>
      </c>
      <c r="CB164" s="239">
        <v>-1731</v>
      </c>
      <c r="CC164" s="239">
        <v>-192</v>
      </c>
      <c r="CD164" s="239">
        <v>0</v>
      </c>
      <c r="CE164" s="239">
        <v>0</v>
      </c>
      <c r="CF164" s="239">
        <v>0</v>
      </c>
      <c r="CG164" s="239">
        <v>0</v>
      </c>
      <c r="CH164" s="239">
        <v>0</v>
      </c>
      <c r="CI164" s="239">
        <v>0</v>
      </c>
      <c r="CJ164" s="239">
        <v>0</v>
      </c>
      <c r="CK164" s="239">
        <v>0</v>
      </c>
      <c r="CL164" s="239">
        <v>0</v>
      </c>
      <c r="CM164" s="239">
        <v>475.98595041322318</v>
      </c>
      <c r="CN164" s="239">
        <v>107.0968388429752</v>
      </c>
      <c r="CO164" s="239">
        <v>11.899648760330578</v>
      </c>
      <c r="CP164" s="239">
        <v>1648</v>
      </c>
      <c r="CQ164" s="239">
        <v>371</v>
      </c>
      <c r="CR164" s="239">
        <v>41</v>
      </c>
      <c r="CS164" s="239">
        <v>-1172</v>
      </c>
      <c r="CT164" s="239">
        <v>-264</v>
      </c>
      <c r="CU164" s="239">
        <v>-29</v>
      </c>
      <c r="CV164" s="239">
        <v>89787.571074380161</v>
      </c>
      <c r="CW164" s="239">
        <v>20202.203491735534</v>
      </c>
      <c r="CX164" s="239">
        <v>2244.6892768595044</v>
      </c>
      <c r="CY164" s="239">
        <v>88330</v>
      </c>
      <c r="CZ164" s="239">
        <v>19874</v>
      </c>
      <c r="DA164" s="239">
        <v>2208</v>
      </c>
      <c r="DB164" s="239">
        <v>1458</v>
      </c>
      <c r="DC164" s="239">
        <v>328</v>
      </c>
      <c r="DD164" s="239">
        <v>37</v>
      </c>
      <c r="DE164" s="641">
        <v>0.5</v>
      </c>
      <c r="DF164" s="641">
        <v>0.4</v>
      </c>
      <c r="DG164" s="641">
        <v>0.09</v>
      </c>
      <c r="DH164" s="641">
        <v>0.01</v>
      </c>
      <c r="DI164" s="214" t="s">
        <v>1190</v>
      </c>
    </row>
    <row r="165" spans="1:113" s="214" customFormat="1" x14ac:dyDescent="0.2">
      <c r="B165" s="609" t="s">
        <v>412</v>
      </c>
      <c r="C165" s="609" t="s">
        <v>411</v>
      </c>
      <c r="D165" s="239">
        <v>-1646973</v>
      </c>
      <c r="E165" s="239">
        <v>-334799</v>
      </c>
      <c r="F165" s="239">
        <v>-1981772</v>
      </c>
      <c r="G165" s="239">
        <v>0</v>
      </c>
      <c r="H165" s="239">
        <v>0</v>
      </c>
      <c r="I165" s="239">
        <v>0</v>
      </c>
      <c r="J165" s="239">
        <v>-1646973</v>
      </c>
      <c r="K165" s="239">
        <v>-334799</v>
      </c>
      <c r="L165" s="239">
        <v>-1981772</v>
      </c>
      <c r="M165" s="239">
        <v>1129905</v>
      </c>
      <c r="N165" s="239">
        <v>1129905</v>
      </c>
      <c r="O165" s="239">
        <v>0</v>
      </c>
      <c r="P165" s="239">
        <v>0</v>
      </c>
      <c r="Q165" s="239">
        <v>0</v>
      </c>
      <c r="R165" s="239">
        <v>0</v>
      </c>
      <c r="S165" s="239">
        <v>0</v>
      </c>
      <c r="T165" s="239">
        <v>0</v>
      </c>
      <c r="U165" s="239">
        <v>0</v>
      </c>
      <c r="V165" s="239">
        <v>0</v>
      </c>
      <c r="W165" s="239">
        <v>0</v>
      </c>
      <c r="X165" s="239">
        <v>0</v>
      </c>
      <c r="Y165" s="239">
        <v>1217498.4111570248</v>
      </c>
      <c r="Z165" s="239">
        <v>1217498.4111570248</v>
      </c>
      <c r="AA165" s="239">
        <v>0</v>
      </c>
      <c r="AB165" s="239">
        <v>0</v>
      </c>
      <c r="AC165" s="239">
        <v>1533306</v>
      </c>
      <c r="AD165" s="239">
        <v>1533306</v>
      </c>
      <c r="AE165" s="239">
        <v>0</v>
      </c>
      <c r="AF165" s="239">
        <v>0</v>
      </c>
      <c r="AG165" s="239">
        <v>-315808</v>
      </c>
      <c r="AH165" s="239">
        <v>-315808</v>
      </c>
      <c r="AI165" s="239">
        <v>0</v>
      </c>
      <c r="AJ165" s="239">
        <v>0</v>
      </c>
      <c r="AK165" s="239">
        <v>3059979.7255371897</v>
      </c>
      <c r="AL165" s="239">
        <v>0</v>
      </c>
      <c r="AM165" s="239">
        <v>61086.121570247939</v>
      </c>
      <c r="AN165" s="239">
        <v>2776702</v>
      </c>
      <c r="AO165" s="239">
        <v>0</v>
      </c>
      <c r="AP165" s="239">
        <v>55619</v>
      </c>
      <c r="AQ165" s="239">
        <v>283278</v>
      </c>
      <c r="AR165" s="239">
        <v>0</v>
      </c>
      <c r="AS165" s="239">
        <v>5467</v>
      </c>
      <c r="AT165" s="239">
        <v>0</v>
      </c>
      <c r="AU165" s="239">
        <v>0</v>
      </c>
      <c r="AV165" s="239">
        <v>0</v>
      </c>
      <c r="AW165" s="239">
        <v>0</v>
      </c>
      <c r="AX165" s="239">
        <v>0</v>
      </c>
      <c r="AY165" s="239">
        <v>0</v>
      </c>
      <c r="AZ165" s="239">
        <v>0</v>
      </c>
      <c r="BA165" s="239">
        <v>0</v>
      </c>
      <c r="BB165" s="239">
        <v>0</v>
      </c>
      <c r="BC165" s="239">
        <v>35352.314483471077</v>
      </c>
      <c r="BD165" s="239">
        <v>0</v>
      </c>
      <c r="BE165" s="239">
        <v>721.47580578512395</v>
      </c>
      <c r="BF165" s="239">
        <v>0</v>
      </c>
      <c r="BG165" s="239">
        <v>0</v>
      </c>
      <c r="BH165" s="239">
        <v>0</v>
      </c>
      <c r="BI165" s="239">
        <v>35352</v>
      </c>
      <c r="BJ165" s="239">
        <v>0</v>
      </c>
      <c r="BK165" s="239">
        <v>721</v>
      </c>
      <c r="BL165" s="239">
        <v>169797.88376033059</v>
      </c>
      <c r="BM165" s="239">
        <v>0</v>
      </c>
      <c r="BN165" s="239">
        <v>3465.262933884298</v>
      </c>
      <c r="BO165" s="239">
        <v>87036</v>
      </c>
      <c r="BP165" s="239">
        <v>0</v>
      </c>
      <c r="BQ165" s="239">
        <v>1776</v>
      </c>
      <c r="BR165" s="239">
        <v>82762</v>
      </c>
      <c r="BS165" s="239">
        <v>0</v>
      </c>
      <c r="BT165" s="239">
        <v>1689</v>
      </c>
      <c r="BU165" s="239">
        <v>96266.322293388424</v>
      </c>
      <c r="BV165" s="239">
        <v>0</v>
      </c>
      <c r="BW165" s="239">
        <v>1964.6188223140496</v>
      </c>
      <c r="BX165" s="239">
        <v>0</v>
      </c>
      <c r="BY165" s="239">
        <v>0</v>
      </c>
      <c r="BZ165" s="239">
        <v>0</v>
      </c>
      <c r="CA165" s="239">
        <v>96266</v>
      </c>
      <c r="CB165" s="239">
        <v>0</v>
      </c>
      <c r="CC165" s="239">
        <v>1965</v>
      </c>
      <c r="CD165" s="239">
        <v>0</v>
      </c>
      <c r="CE165" s="239">
        <v>0</v>
      </c>
      <c r="CF165" s="239">
        <v>0</v>
      </c>
      <c r="CG165" s="239">
        <v>0</v>
      </c>
      <c r="CH165" s="239">
        <v>0</v>
      </c>
      <c r="CI165" s="239">
        <v>0</v>
      </c>
      <c r="CJ165" s="239">
        <v>0</v>
      </c>
      <c r="CK165" s="239">
        <v>0</v>
      </c>
      <c r="CL165" s="239">
        <v>0</v>
      </c>
      <c r="CM165" s="239">
        <v>10324.989442148759</v>
      </c>
      <c r="CN165" s="239">
        <v>0</v>
      </c>
      <c r="CO165" s="239">
        <v>210.71407024793385</v>
      </c>
      <c r="CP165" s="239">
        <v>0</v>
      </c>
      <c r="CQ165" s="239">
        <v>0</v>
      </c>
      <c r="CR165" s="239">
        <v>0</v>
      </c>
      <c r="CS165" s="239">
        <v>10325</v>
      </c>
      <c r="CT165" s="239">
        <v>0</v>
      </c>
      <c r="CU165" s="239">
        <v>211</v>
      </c>
      <c r="CV165" s="239">
        <v>2410973.3132024799</v>
      </c>
      <c r="CW165" s="239">
        <v>0</v>
      </c>
      <c r="CX165" s="239">
        <v>49203.537004132231</v>
      </c>
      <c r="CY165" s="239">
        <v>2212111</v>
      </c>
      <c r="CZ165" s="239">
        <v>0</v>
      </c>
      <c r="DA165" s="239">
        <v>44693</v>
      </c>
      <c r="DB165" s="239">
        <v>198862</v>
      </c>
      <c r="DC165" s="239">
        <v>0</v>
      </c>
      <c r="DD165" s="239">
        <v>4511</v>
      </c>
      <c r="DE165" s="641">
        <v>0.5</v>
      </c>
      <c r="DF165" s="641">
        <v>0.49</v>
      </c>
      <c r="DG165" s="641">
        <v>0</v>
      </c>
      <c r="DH165" s="641">
        <v>0.01</v>
      </c>
      <c r="DI165" s="214" t="s">
        <v>1192</v>
      </c>
    </row>
    <row r="166" spans="1:113" s="214" customFormat="1" x14ac:dyDescent="0.2">
      <c r="B166" s="609" t="s">
        <v>414</v>
      </c>
      <c r="C166" s="609" t="s">
        <v>413</v>
      </c>
      <c r="D166" s="239">
        <v>-15460</v>
      </c>
      <c r="E166" s="239">
        <v>0</v>
      </c>
      <c r="F166" s="239">
        <v>-15460</v>
      </c>
      <c r="G166" s="239">
        <v>0</v>
      </c>
      <c r="H166" s="239">
        <v>0</v>
      </c>
      <c r="I166" s="239">
        <v>0</v>
      </c>
      <c r="J166" s="239">
        <v>-15460</v>
      </c>
      <c r="K166" s="239">
        <v>0</v>
      </c>
      <c r="L166" s="239">
        <v>-15460</v>
      </c>
      <c r="M166" s="239">
        <v>128223</v>
      </c>
      <c r="N166" s="239">
        <v>128223</v>
      </c>
      <c r="O166" s="239">
        <v>0</v>
      </c>
      <c r="P166" s="239">
        <v>0</v>
      </c>
      <c r="Q166" s="239">
        <v>0</v>
      </c>
      <c r="R166" s="239">
        <v>0</v>
      </c>
      <c r="S166" s="239">
        <v>35743</v>
      </c>
      <c r="T166" s="239">
        <v>0</v>
      </c>
      <c r="U166" s="239">
        <v>0</v>
      </c>
      <c r="V166" s="239">
        <v>0</v>
      </c>
      <c r="W166" s="239">
        <v>35743</v>
      </c>
      <c r="X166" s="239">
        <v>0</v>
      </c>
      <c r="Y166" s="239">
        <v>0</v>
      </c>
      <c r="Z166" s="239">
        <v>0</v>
      </c>
      <c r="AA166" s="239">
        <v>0</v>
      </c>
      <c r="AB166" s="239">
        <v>0</v>
      </c>
      <c r="AC166" s="239">
        <v>0</v>
      </c>
      <c r="AD166" s="239">
        <v>0</v>
      </c>
      <c r="AE166" s="239">
        <v>0</v>
      </c>
      <c r="AF166" s="239">
        <v>0</v>
      </c>
      <c r="AG166" s="239">
        <v>0</v>
      </c>
      <c r="AH166" s="239">
        <v>0</v>
      </c>
      <c r="AI166" s="239">
        <v>0</v>
      </c>
      <c r="AJ166" s="239">
        <v>0</v>
      </c>
      <c r="AK166" s="239">
        <v>411643.24090909096</v>
      </c>
      <c r="AL166" s="239">
        <v>92619.729204545452</v>
      </c>
      <c r="AM166" s="239">
        <v>10291.081022727274</v>
      </c>
      <c r="AN166" s="239">
        <v>378451</v>
      </c>
      <c r="AO166" s="239">
        <v>85151</v>
      </c>
      <c r="AP166" s="239">
        <v>9461</v>
      </c>
      <c r="AQ166" s="239">
        <v>33192</v>
      </c>
      <c r="AR166" s="239">
        <v>7469</v>
      </c>
      <c r="AS166" s="239">
        <v>830</v>
      </c>
      <c r="AT166" s="239">
        <v>5428.1876033057852</v>
      </c>
      <c r="AU166" s="239">
        <v>1221.3422107438016</v>
      </c>
      <c r="AV166" s="239">
        <v>135.70469008264465</v>
      </c>
      <c r="AW166" s="239">
        <v>1163</v>
      </c>
      <c r="AX166" s="239">
        <v>261</v>
      </c>
      <c r="AY166" s="239">
        <v>29</v>
      </c>
      <c r="AZ166" s="239">
        <v>4265</v>
      </c>
      <c r="BA166" s="239">
        <v>960</v>
      </c>
      <c r="BB166" s="239">
        <v>107</v>
      </c>
      <c r="BC166" s="239">
        <v>12873.53305785124</v>
      </c>
      <c r="BD166" s="239">
        <v>2896.5449380165287</v>
      </c>
      <c r="BE166" s="239">
        <v>321.83832644628097</v>
      </c>
      <c r="BF166" s="239">
        <v>0</v>
      </c>
      <c r="BG166" s="239">
        <v>0</v>
      </c>
      <c r="BH166" s="239">
        <v>0</v>
      </c>
      <c r="BI166" s="239">
        <v>12874</v>
      </c>
      <c r="BJ166" s="239">
        <v>2897</v>
      </c>
      <c r="BK166" s="239">
        <v>322</v>
      </c>
      <c r="BL166" s="239">
        <v>7946.4900826446292</v>
      </c>
      <c r="BM166" s="239">
        <v>1787.9602685950415</v>
      </c>
      <c r="BN166" s="239">
        <v>198.66225206611574</v>
      </c>
      <c r="BO166" s="239">
        <v>2118</v>
      </c>
      <c r="BP166" s="239">
        <v>476</v>
      </c>
      <c r="BQ166" s="239">
        <v>53</v>
      </c>
      <c r="BR166" s="239">
        <v>5828</v>
      </c>
      <c r="BS166" s="239">
        <v>1312</v>
      </c>
      <c r="BT166" s="239">
        <v>146</v>
      </c>
      <c r="BU166" s="239">
        <v>-1175.9652892561985</v>
      </c>
      <c r="BV166" s="239">
        <v>-264.59219008264461</v>
      </c>
      <c r="BW166" s="239">
        <v>-29.399132231404963</v>
      </c>
      <c r="BX166" s="239">
        <v>0</v>
      </c>
      <c r="BY166" s="239">
        <v>0</v>
      </c>
      <c r="BZ166" s="239">
        <v>0</v>
      </c>
      <c r="CA166" s="239">
        <v>-1176</v>
      </c>
      <c r="CB166" s="239">
        <v>-265</v>
      </c>
      <c r="CC166" s="239">
        <v>-29</v>
      </c>
      <c r="CD166" s="239">
        <v>0</v>
      </c>
      <c r="CE166" s="239">
        <v>0</v>
      </c>
      <c r="CF166" s="239">
        <v>0</v>
      </c>
      <c r="CG166" s="239">
        <v>0</v>
      </c>
      <c r="CH166" s="239">
        <v>0</v>
      </c>
      <c r="CI166" s="239">
        <v>0</v>
      </c>
      <c r="CJ166" s="239">
        <v>0</v>
      </c>
      <c r="CK166" s="239">
        <v>0</v>
      </c>
      <c r="CL166" s="239">
        <v>0</v>
      </c>
      <c r="CM166" s="239">
        <v>0</v>
      </c>
      <c r="CN166" s="239">
        <v>0</v>
      </c>
      <c r="CO166" s="239">
        <v>0</v>
      </c>
      <c r="CP166" s="239">
        <v>0</v>
      </c>
      <c r="CQ166" s="239">
        <v>0</v>
      </c>
      <c r="CR166" s="239">
        <v>0</v>
      </c>
      <c r="CS166" s="239">
        <v>0</v>
      </c>
      <c r="CT166" s="239">
        <v>0</v>
      </c>
      <c r="CU166" s="239">
        <v>0</v>
      </c>
      <c r="CV166" s="239">
        <v>182799.20619834709</v>
      </c>
      <c r="CW166" s="239">
        <v>41013.508946280985</v>
      </c>
      <c r="CX166" s="239">
        <v>4557.0565495867768</v>
      </c>
      <c r="CY166" s="239">
        <v>159790</v>
      </c>
      <c r="CZ166" s="239">
        <v>35953</v>
      </c>
      <c r="DA166" s="239">
        <v>3995</v>
      </c>
      <c r="DB166" s="239">
        <v>23009</v>
      </c>
      <c r="DC166" s="239">
        <v>5061</v>
      </c>
      <c r="DD166" s="239">
        <v>562</v>
      </c>
      <c r="DE166" s="641">
        <v>0.5</v>
      </c>
      <c r="DF166" s="641">
        <v>0.4</v>
      </c>
      <c r="DG166" s="641">
        <v>0.09</v>
      </c>
      <c r="DH166" s="641">
        <v>0.01</v>
      </c>
      <c r="DI166" s="214" t="s">
        <v>1190</v>
      </c>
    </row>
    <row r="167" spans="1:113" s="214" customFormat="1" x14ac:dyDescent="0.2">
      <c r="B167" s="609" t="s">
        <v>416</v>
      </c>
      <c r="C167" s="609" t="s">
        <v>415</v>
      </c>
      <c r="D167" s="239">
        <v>-822577</v>
      </c>
      <c r="E167" s="239">
        <v>0</v>
      </c>
      <c r="F167" s="239">
        <v>-822577</v>
      </c>
      <c r="G167" s="239">
        <v>0</v>
      </c>
      <c r="H167" s="239">
        <v>0</v>
      </c>
      <c r="I167" s="239">
        <v>0</v>
      </c>
      <c r="J167" s="239">
        <v>-822577</v>
      </c>
      <c r="K167" s="239">
        <v>0</v>
      </c>
      <c r="L167" s="239">
        <v>-822577</v>
      </c>
      <c r="M167" s="239">
        <v>283640</v>
      </c>
      <c r="N167" s="239">
        <v>283640</v>
      </c>
      <c r="O167" s="239">
        <v>0</v>
      </c>
      <c r="P167" s="239">
        <v>0</v>
      </c>
      <c r="Q167" s="239">
        <v>0</v>
      </c>
      <c r="R167" s="239">
        <v>0</v>
      </c>
      <c r="S167" s="239">
        <v>0</v>
      </c>
      <c r="T167" s="239">
        <v>0</v>
      </c>
      <c r="U167" s="239">
        <v>0</v>
      </c>
      <c r="V167" s="239">
        <v>0</v>
      </c>
      <c r="W167" s="239">
        <v>0</v>
      </c>
      <c r="X167" s="239">
        <v>0</v>
      </c>
      <c r="Y167" s="239">
        <v>0</v>
      </c>
      <c r="Z167" s="239">
        <v>0</v>
      </c>
      <c r="AA167" s="239">
        <v>0</v>
      </c>
      <c r="AB167" s="239">
        <v>0</v>
      </c>
      <c r="AC167" s="239">
        <v>0</v>
      </c>
      <c r="AD167" s="239">
        <v>0</v>
      </c>
      <c r="AE167" s="239">
        <v>0</v>
      </c>
      <c r="AF167" s="239">
        <v>0</v>
      </c>
      <c r="AG167" s="239">
        <v>0</v>
      </c>
      <c r="AH167" s="239">
        <v>0</v>
      </c>
      <c r="AI167" s="239">
        <v>0</v>
      </c>
      <c r="AJ167" s="239">
        <v>0</v>
      </c>
      <c r="AK167" s="239">
        <v>1078911.6880268594</v>
      </c>
      <c r="AL167" s="239">
        <v>0</v>
      </c>
      <c r="AM167" s="239">
        <v>22018.605878099173</v>
      </c>
      <c r="AN167" s="239">
        <v>1033224</v>
      </c>
      <c r="AO167" s="239">
        <v>0</v>
      </c>
      <c r="AP167" s="239">
        <v>21086</v>
      </c>
      <c r="AQ167" s="239">
        <v>45688</v>
      </c>
      <c r="AR167" s="239">
        <v>0</v>
      </c>
      <c r="AS167" s="239">
        <v>933</v>
      </c>
      <c r="AT167" s="239">
        <v>15330.653285123966</v>
      </c>
      <c r="AU167" s="239">
        <v>0</v>
      </c>
      <c r="AV167" s="239">
        <v>312.87047520661162</v>
      </c>
      <c r="AW167" s="239">
        <v>7130</v>
      </c>
      <c r="AX167" s="239">
        <v>0</v>
      </c>
      <c r="AY167" s="239">
        <v>146</v>
      </c>
      <c r="AZ167" s="239">
        <v>8201</v>
      </c>
      <c r="BA167" s="239">
        <v>0</v>
      </c>
      <c r="BB167" s="239">
        <v>167</v>
      </c>
      <c r="BC167" s="239">
        <v>-30843.737417355376</v>
      </c>
      <c r="BD167" s="239">
        <v>0</v>
      </c>
      <c r="BE167" s="239">
        <v>-629.46402892561991</v>
      </c>
      <c r="BF167" s="239">
        <v>92534</v>
      </c>
      <c r="BG167" s="239">
        <v>0</v>
      </c>
      <c r="BH167" s="239">
        <v>1888</v>
      </c>
      <c r="BI167" s="239">
        <v>-123378</v>
      </c>
      <c r="BJ167" s="239">
        <v>0</v>
      </c>
      <c r="BK167" s="239">
        <v>-2517</v>
      </c>
      <c r="BL167" s="239">
        <v>9477.9535743801662</v>
      </c>
      <c r="BM167" s="239">
        <v>0</v>
      </c>
      <c r="BN167" s="239">
        <v>193.42762396694215</v>
      </c>
      <c r="BO167" s="239">
        <v>14885</v>
      </c>
      <c r="BP167" s="239">
        <v>0</v>
      </c>
      <c r="BQ167" s="239">
        <v>304</v>
      </c>
      <c r="BR167" s="239">
        <v>-5407</v>
      </c>
      <c r="BS167" s="239">
        <v>0</v>
      </c>
      <c r="BT167" s="239">
        <v>-111</v>
      </c>
      <c r="BU167" s="239">
        <v>31968.64479338843</v>
      </c>
      <c r="BV167" s="239">
        <v>0</v>
      </c>
      <c r="BW167" s="239">
        <v>652.42132231404958</v>
      </c>
      <c r="BX167" s="239">
        <v>0</v>
      </c>
      <c r="BY167" s="239">
        <v>0</v>
      </c>
      <c r="BZ167" s="239">
        <v>0</v>
      </c>
      <c r="CA167" s="239">
        <v>31969</v>
      </c>
      <c r="CB167" s="239">
        <v>0</v>
      </c>
      <c r="CC167" s="239">
        <v>652</v>
      </c>
      <c r="CD167" s="239">
        <v>0</v>
      </c>
      <c r="CE167" s="239">
        <v>0</v>
      </c>
      <c r="CF167" s="239">
        <v>0</v>
      </c>
      <c r="CG167" s="239">
        <v>0</v>
      </c>
      <c r="CH167" s="239">
        <v>0</v>
      </c>
      <c r="CI167" s="239">
        <v>0</v>
      </c>
      <c r="CJ167" s="239">
        <v>0</v>
      </c>
      <c r="CK167" s="239">
        <v>0</v>
      </c>
      <c r="CL167" s="239">
        <v>0</v>
      </c>
      <c r="CM167" s="239">
        <v>0</v>
      </c>
      <c r="CN167" s="239">
        <v>0</v>
      </c>
      <c r="CO167" s="239">
        <v>0</v>
      </c>
      <c r="CP167" s="239">
        <v>9088</v>
      </c>
      <c r="CQ167" s="239">
        <v>0</v>
      </c>
      <c r="CR167" s="239">
        <v>185</v>
      </c>
      <c r="CS167" s="239">
        <v>-9088</v>
      </c>
      <c r="CT167" s="239">
        <v>0</v>
      </c>
      <c r="CU167" s="239">
        <v>-185</v>
      </c>
      <c r="CV167" s="239">
        <v>641476.40309917345</v>
      </c>
      <c r="CW167" s="239">
        <v>0</v>
      </c>
      <c r="CX167" s="239">
        <v>13091.355165289257</v>
      </c>
      <c r="CY167" s="239">
        <v>647962</v>
      </c>
      <c r="CZ167" s="239">
        <v>0</v>
      </c>
      <c r="DA167" s="239">
        <v>13224</v>
      </c>
      <c r="DB167" s="239">
        <v>-6486</v>
      </c>
      <c r="DC167" s="239">
        <v>0</v>
      </c>
      <c r="DD167" s="239">
        <v>-133</v>
      </c>
      <c r="DE167" s="641">
        <v>0.5</v>
      </c>
      <c r="DF167" s="641">
        <v>0.49</v>
      </c>
      <c r="DG167" s="641">
        <v>0</v>
      </c>
      <c r="DH167" s="641">
        <v>0.01</v>
      </c>
      <c r="DI167" s="214" t="s">
        <v>747</v>
      </c>
    </row>
    <row r="168" spans="1:113" s="214" customFormat="1" x14ac:dyDescent="0.2">
      <c r="B168" s="609" t="s">
        <v>418</v>
      </c>
      <c r="C168" s="609" t="s">
        <v>417</v>
      </c>
      <c r="D168" s="239">
        <v>-14395</v>
      </c>
      <c r="E168" s="239">
        <v>0</v>
      </c>
      <c r="F168" s="239">
        <v>-14395</v>
      </c>
      <c r="G168" s="239">
        <v>0</v>
      </c>
      <c r="H168" s="239">
        <v>0</v>
      </c>
      <c r="I168" s="239">
        <v>0</v>
      </c>
      <c r="J168" s="239">
        <v>-14395</v>
      </c>
      <c r="K168" s="239">
        <v>0</v>
      </c>
      <c r="L168" s="239">
        <v>-14395</v>
      </c>
      <c r="M168" s="239">
        <v>63199</v>
      </c>
      <c r="N168" s="239">
        <v>63199</v>
      </c>
      <c r="O168" s="239">
        <v>0</v>
      </c>
      <c r="P168" s="239">
        <v>0</v>
      </c>
      <c r="Q168" s="239">
        <v>0</v>
      </c>
      <c r="R168" s="239">
        <v>0</v>
      </c>
      <c r="S168" s="239">
        <v>153858</v>
      </c>
      <c r="T168" s="239">
        <v>0</v>
      </c>
      <c r="U168" s="239">
        <v>90000</v>
      </c>
      <c r="V168" s="239">
        <v>0</v>
      </c>
      <c r="W168" s="239">
        <v>63858</v>
      </c>
      <c r="X168" s="239">
        <v>0</v>
      </c>
      <c r="Y168" s="239">
        <v>0</v>
      </c>
      <c r="Z168" s="239">
        <v>0</v>
      </c>
      <c r="AA168" s="239">
        <v>0</v>
      </c>
      <c r="AB168" s="239">
        <v>0</v>
      </c>
      <c r="AC168" s="239">
        <v>0</v>
      </c>
      <c r="AD168" s="239">
        <v>0</v>
      </c>
      <c r="AE168" s="239">
        <v>0</v>
      </c>
      <c r="AF168" s="239">
        <v>0</v>
      </c>
      <c r="AG168" s="239">
        <v>0</v>
      </c>
      <c r="AH168" s="239">
        <v>0</v>
      </c>
      <c r="AI168" s="239">
        <v>0</v>
      </c>
      <c r="AJ168" s="239">
        <v>0</v>
      </c>
      <c r="AK168" s="239">
        <v>247462.37685950415</v>
      </c>
      <c r="AL168" s="239">
        <v>55679.034793388433</v>
      </c>
      <c r="AM168" s="239">
        <v>6186.5594214876046</v>
      </c>
      <c r="AN168" s="239">
        <v>274036</v>
      </c>
      <c r="AO168" s="239">
        <v>61658</v>
      </c>
      <c r="AP168" s="239">
        <v>6851</v>
      </c>
      <c r="AQ168" s="239">
        <v>-26574</v>
      </c>
      <c r="AR168" s="239">
        <v>-5979</v>
      </c>
      <c r="AS168" s="239">
        <v>-664</v>
      </c>
      <c r="AT168" s="239">
        <v>3807.4818181818187</v>
      </c>
      <c r="AU168" s="239">
        <v>856.68340909090909</v>
      </c>
      <c r="AV168" s="239">
        <v>95.187045454545455</v>
      </c>
      <c r="AW168" s="239">
        <v>713</v>
      </c>
      <c r="AX168" s="239">
        <v>160</v>
      </c>
      <c r="AY168" s="239">
        <v>18</v>
      </c>
      <c r="AZ168" s="239">
        <v>3094</v>
      </c>
      <c r="BA168" s="239">
        <v>697</v>
      </c>
      <c r="BB168" s="239">
        <v>77</v>
      </c>
      <c r="BC168" s="239">
        <v>0</v>
      </c>
      <c r="BD168" s="239">
        <v>0</v>
      </c>
      <c r="BE168" s="239">
        <v>0</v>
      </c>
      <c r="BF168" s="239">
        <v>0</v>
      </c>
      <c r="BG168" s="239">
        <v>0</v>
      </c>
      <c r="BH168" s="239">
        <v>0</v>
      </c>
      <c r="BI168" s="239">
        <v>0</v>
      </c>
      <c r="BJ168" s="239">
        <v>0</v>
      </c>
      <c r="BK168" s="239">
        <v>0</v>
      </c>
      <c r="BL168" s="239">
        <v>5325.1181818181822</v>
      </c>
      <c r="BM168" s="239">
        <v>1198.1515909090908</v>
      </c>
      <c r="BN168" s="239">
        <v>133.12795454545454</v>
      </c>
      <c r="BO168" s="239">
        <v>0</v>
      </c>
      <c r="BP168" s="239">
        <v>0</v>
      </c>
      <c r="BQ168" s="239">
        <v>0</v>
      </c>
      <c r="BR168" s="239">
        <v>5325</v>
      </c>
      <c r="BS168" s="239">
        <v>1198</v>
      </c>
      <c r="BT168" s="239">
        <v>133</v>
      </c>
      <c r="BU168" s="239">
        <v>509.66611570247937</v>
      </c>
      <c r="BV168" s="239">
        <v>114.67487603305784</v>
      </c>
      <c r="BW168" s="239">
        <v>12.741652892561984</v>
      </c>
      <c r="BX168" s="239">
        <v>0</v>
      </c>
      <c r="BY168" s="239">
        <v>0</v>
      </c>
      <c r="BZ168" s="239">
        <v>0</v>
      </c>
      <c r="CA168" s="239">
        <v>510</v>
      </c>
      <c r="CB168" s="239">
        <v>115</v>
      </c>
      <c r="CC168" s="239">
        <v>13</v>
      </c>
      <c r="CD168" s="239">
        <v>0</v>
      </c>
      <c r="CE168" s="239">
        <v>0</v>
      </c>
      <c r="CF168" s="239">
        <v>0</v>
      </c>
      <c r="CG168" s="239">
        <v>0</v>
      </c>
      <c r="CH168" s="239">
        <v>0</v>
      </c>
      <c r="CI168" s="239">
        <v>0</v>
      </c>
      <c r="CJ168" s="239">
        <v>0</v>
      </c>
      <c r="CK168" s="239">
        <v>0</v>
      </c>
      <c r="CL168" s="239">
        <v>0</v>
      </c>
      <c r="CM168" s="239">
        <v>0</v>
      </c>
      <c r="CN168" s="239">
        <v>0</v>
      </c>
      <c r="CO168" s="239">
        <v>0</v>
      </c>
      <c r="CP168" s="239">
        <v>4869</v>
      </c>
      <c r="CQ168" s="239">
        <v>1096</v>
      </c>
      <c r="CR168" s="239">
        <v>122</v>
      </c>
      <c r="CS168" s="239">
        <v>-4869</v>
      </c>
      <c r="CT168" s="239">
        <v>-1096</v>
      </c>
      <c r="CU168" s="239">
        <v>-122</v>
      </c>
      <c r="CV168" s="239">
        <v>82004.994214876046</v>
      </c>
      <c r="CW168" s="239">
        <v>17950.449421487603</v>
      </c>
      <c r="CX168" s="239">
        <v>1994.4943801652894</v>
      </c>
      <c r="CY168" s="239">
        <v>80106</v>
      </c>
      <c r="CZ168" s="239">
        <v>17731</v>
      </c>
      <c r="DA168" s="239">
        <v>1970</v>
      </c>
      <c r="DB168" s="239">
        <v>1899</v>
      </c>
      <c r="DC168" s="239">
        <v>219</v>
      </c>
      <c r="DD168" s="239">
        <v>24</v>
      </c>
      <c r="DE168" s="641">
        <v>0.5</v>
      </c>
      <c r="DF168" s="641">
        <v>0.4</v>
      </c>
      <c r="DG168" s="641">
        <v>0.09</v>
      </c>
      <c r="DH168" s="641">
        <v>0.01</v>
      </c>
      <c r="DI168" s="214" t="s">
        <v>1190</v>
      </c>
    </row>
    <row r="169" spans="1:113" s="214" customFormat="1" x14ac:dyDescent="0.2">
      <c r="B169" s="609" t="s">
        <v>420</v>
      </c>
      <c r="C169" s="609" t="s">
        <v>419</v>
      </c>
      <c r="D169" s="239">
        <v>-566647</v>
      </c>
      <c r="E169" s="239">
        <v>0</v>
      </c>
      <c r="F169" s="239">
        <v>-566647</v>
      </c>
      <c r="G169" s="239">
        <v>0</v>
      </c>
      <c r="H169" s="239">
        <v>0</v>
      </c>
      <c r="I169" s="239">
        <v>0</v>
      </c>
      <c r="J169" s="239">
        <v>-566647</v>
      </c>
      <c r="K169" s="239">
        <v>0</v>
      </c>
      <c r="L169" s="239">
        <v>-566647</v>
      </c>
      <c r="M169" s="239">
        <v>164724</v>
      </c>
      <c r="N169" s="239">
        <v>164724</v>
      </c>
      <c r="O169" s="239">
        <v>0</v>
      </c>
      <c r="P169" s="239">
        <v>0</v>
      </c>
      <c r="Q169" s="239">
        <v>0</v>
      </c>
      <c r="R169" s="239">
        <v>0</v>
      </c>
      <c r="S169" s="239">
        <v>150906</v>
      </c>
      <c r="T169" s="239">
        <v>0</v>
      </c>
      <c r="U169" s="239">
        <v>150906</v>
      </c>
      <c r="V169" s="239">
        <v>0</v>
      </c>
      <c r="W169" s="239">
        <v>0</v>
      </c>
      <c r="X169" s="239">
        <v>0</v>
      </c>
      <c r="Y169" s="239">
        <v>0</v>
      </c>
      <c r="Z169" s="239">
        <v>0</v>
      </c>
      <c r="AA169" s="239">
        <v>0</v>
      </c>
      <c r="AB169" s="239">
        <v>0</v>
      </c>
      <c r="AC169" s="239">
        <v>0</v>
      </c>
      <c r="AD169" s="239">
        <v>0</v>
      </c>
      <c r="AE169" s="239">
        <v>0</v>
      </c>
      <c r="AF169" s="239">
        <v>0</v>
      </c>
      <c r="AG169" s="239">
        <v>0</v>
      </c>
      <c r="AH169" s="239">
        <v>0</v>
      </c>
      <c r="AI169" s="239">
        <v>0</v>
      </c>
      <c r="AJ169" s="239">
        <v>0</v>
      </c>
      <c r="AK169" s="239">
        <v>708481.95743801654</v>
      </c>
      <c r="AL169" s="239">
        <v>159408.44042355372</v>
      </c>
      <c r="AM169" s="239">
        <v>17712.048935950414</v>
      </c>
      <c r="AN169" s="239">
        <v>642546</v>
      </c>
      <c r="AO169" s="239">
        <v>144573</v>
      </c>
      <c r="AP169" s="239">
        <v>16064</v>
      </c>
      <c r="AQ169" s="239">
        <v>65936</v>
      </c>
      <c r="AR169" s="239">
        <v>14835</v>
      </c>
      <c r="AS169" s="239">
        <v>1648</v>
      </c>
      <c r="AT169" s="239">
        <v>0</v>
      </c>
      <c r="AU169" s="239">
        <v>0</v>
      </c>
      <c r="AV169" s="239">
        <v>0</v>
      </c>
      <c r="AW169" s="239">
        <v>0</v>
      </c>
      <c r="AX169" s="239">
        <v>0</v>
      </c>
      <c r="AY169" s="239">
        <v>0</v>
      </c>
      <c r="AZ169" s="239">
        <v>0</v>
      </c>
      <c r="BA169" s="239">
        <v>0</v>
      </c>
      <c r="BB169" s="239">
        <v>0</v>
      </c>
      <c r="BC169" s="239">
        <v>2527.6355371900827</v>
      </c>
      <c r="BD169" s="239">
        <v>568.71799586776854</v>
      </c>
      <c r="BE169" s="239">
        <v>63.190888429752057</v>
      </c>
      <c r="BF169" s="239">
        <v>0</v>
      </c>
      <c r="BG169" s="239">
        <v>0</v>
      </c>
      <c r="BH169" s="239">
        <v>0</v>
      </c>
      <c r="BI169" s="239">
        <v>2528</v>
      </c>
      <c r="BJ169" s="239">
        <v>569</v>
      </c>
      <c r="BK169" s="239">
        <v>63</v>
      </c>
      <c r="BL169" s="239">
        <v>2652.2115702479341</v>
      </c>
      <c r="BM169" s="239">
        <v>596.74760330578499</v>
      </c>
      <c r="BN169" s="239">
        <v>66.30528925619835</v>
      </c>
      <c r="BO169" s="239">
        <v>587</v>
      </c>
      <c r="BP169" s="239">
        <v>132</v>
      </c>
      <c r="BQ169" s="239">
        <v>15</v>
      </c>
      <c r="BR169" s="239">
        <v>2065</v>
      </c>
      <c r="BS169" s="239">
        <v>465</v>
      </c>
      <c r="BT169" s="239">
        <v>51</v>
      </c>
      <c r="BU169" s="239">
        <v>27.999173553719011</v>
      </c>
      <c r="BV169" s="239">
        <v>6.2998140495867769</v>
      </c>
      <c r="BW169" s="239">
        <v>0.69997933884297525</v>
      </c>
      <c r="BX169" s="239">
        <v>0</v>
      </c>
      <c r="BY169" s="239">
        <v>0</v>
      </c>
      <c r="BZ169" s="239">
        <v>0</v>
      </c>
      <c r="CA169" s="239">
        <v>28</v>
      </c>
      <c r="CB169" s="239">
        <v>6</v>
      </c>
      <c r="CC169" s="239">
        <v>1</v>
      </c>
      <c r="CD169" s="239">
        <v>0</v>
      </c>
      <c r="CE169" s="239">
        <v>0</v>
      </c>
      <c r="CF169" s="239">
        <v>0</v>
      </c>
      <c r="CG169" s="239">
        <v>0</v>
      </c>
      <c r="CH169" s="239">
        <v>0</v>
      </c>
      <c r="CI169" s="239">
        <v>0</v>
      </c>
      <c r="CJ169" s="239">
        <v>0</v>
      </c>
      <c r="CK169" s="239">
        <v>0</v>
      </c>
      <c r="CL169" s="239">
        <v>0</v>
      </c>
      <c r="CM169" s="239">
        <v>1783.8314049586779</v>
      </c>
      <c r="CN169" s="239">
        <v>401.36206611570248</v>
      </c>
      <c r="CO169" s="239">
        <v>44.595785123966941</v>
      </c>
      <c r="CP169" s="239">
        <v>1781</v>
      </c>
      <c r="CQ169" s="239">
        <v>400</v>
      </c>
      <c r="CR169" s="239">
        <v>44</v>
      </c>
      <c r="CS169" s="239">
        <v>3</v>
      </c>
      <c r="CT169" s="239">
        <v>1</v>
      </c>
      <c r="CU169" s="239">
        <v>1</v>
      </c>
      <c r="CV169" s="239">
        <v>184202.65702479339</v>
      </c>
      <c r="CW169" s="239">
        <v>40954.529752066112</v>
      </c>
      <c r="CX169" s="239">
        <v>4550.5033057851242</v>
      </c>
      <c r="CY169" s="239">
        <v>192214</v>
      </c>
      <c r="CZ169" s="239">
        <v>42757</v>
      </c>
      <c r="DA169" s="239">
        <v>4751</v>
      </c>
      <c r="DB169" s="239">
        <v>-8011</v>
      </c>
      <c r="DC169" s="239">
        <v>-1802</v>
      </c>
      <c r="DD169" s="239">
        <v>-200</v>
      </c>
      <c r="DE169" s="641">
        <v>0.5</v>
      </c>
      <c r="DF169" s="641">
        <v>0.4</v>
      </c>
      <c r="DG169" s="641">
        <v>0.09</v>
      </c>
      <c r="DH169" s="641">
        <v>0.01</v>
      </c>
      <c r="DI169" s="214" t="s">
        <v>1190</v>
      </c>
    </row>
    <row r="170" spans="1:113" s="214" customFormat="1" x14ac:dyDescent="0.2">
      <c r="B170" s="609" t="s">
        <v>422</v>
      </c>
      <c r="C170" s="609" t="s">
        <v>421</v>
      </c>
      <c r="D170" s="239">
        <v>-733843</v>
      </c>
      <c r="E170" s="239">
        <v>0</v>
      </c>
      <c r="F170" s="239">
        <v>-733843</v>
      </c>
      <c r="G170" s="239">
        <v>0</v>
      </c>
      <c r="H170" s="239">
        <v>0</v>
      </c>
      <c r="I170" s="239">
        <v>0</v>
      </c>
      <c r="J170" s="239">
        <v>-733843</v>
      </c>
      <c r="K170" s="239">
        <v>0</v>
      </c>
      <c r="L170" s="239">
        <v>-733843</v>
      </c>
      <c r="M170" s="239">
        <v>272612</v>
      </c>
      <c r="N170" s="239">
        <v>272612</v>
      </c>
      <c r="O170" s="239">
        <v>0</v>
      </c>
      <c r="P170" s="239">
        <v>0</v>
      </c>
      <c r="Q170" s="239">
        <v>0</v>
      </c>
      <c r="R170" s="239">
        <v>0</v>
      </c>
      <c r="S170" s="239">
        <v>0</v>
      </c>
      <c r="T170" s="239">
        <v>0</v>
      </c>
      <c r="U170" s="239">
        <v>0</v>
      </c>
      <c r="V170" s="239">
        <v>0</v>
      </c>
      <c r="W170" s="239">
        <v>0</v>
      </c>
      <c r="X170" s="239">
        <v>0</v>
      </c>
      <c r="Y170" s="239">
        <v>0</v>
      </c>
      <c r="Z170" s="239">
        <v>0</v>
      </c>
      <c r="AA170" s="239">
        <v>0</v>
      </c>
      <c r="AB170" s="239">
        <v>0</v>
      </c>
      <c r="AC170" s="239">
        <v>0</v>
      </c>
      <c r="AD170" s="239">
        <v>0</v>
      </c>
      <c r="AE170" s="239">
        <v>0</v>
      </c>
      <c r="AF170" s="239">
        <v>0</v>
      </c>
      <c r="AG170" s="239">
        <v>0</v>
      </c>
      <c r="AH170" s="239">
        <v>0</v>
      </c>
      <c r="AI170" s="239">
        <v>0</v>
      </c>
      <c r="AJ170" s="239">
        <v>0</v>
      </c>
      <c r="AK170" s="239">
        <v>434229.59597107436</v>
      </c>
      <c r="AL170" s="239">
        <v>289486.39731404959</v>
      </c>
      <c r="AM170" s="239">
        <v>0</v>
      </c>
      <c r="AN170" s="239">
        <v>423064</v>
      </c>
      <c r="AO170" s="239">
        <v>282043</v>
      </c>
      <c r="AP170" s="239">
        <v>0</v>
      </c>
      <c r="AQ170" s="239">
        <v>11166</v>
      </c>
      <c r="AR170" s="239">
        <v>7443</v>
      </c>
      <c r="AS170" s="239">
        <v>0</v>
      </c>
      <c r="AT170" s="239">
        <v>0</v>
      </c>
      <c r="AU170" s="239">
        <v>0</v>
      </c>
      <c r="AV170" s="239">
        <v>0</v>
      </c>
      <c r="AW170" s="239">
        <v>8547</v>
      </c>
      <c r="AX170" s="239">
        <v>5698</v>
      </c>
      <c r="AY170" s="239">
        <v>0</v>
      </c>
      <c r="AZ170" s="239">
        <v>-8547</v>
      </c>
      <c r="BA170" s="239">
        <v>-5698</v>
      </c>
      <c r="BB170" s="239">
        <v>0</v>
      </c>
      <c r="BC170" s="239">
        <v>0</v>
      </c>
      <c r="BD170" s="239">
        <v>0</v>
      </c>
      <c r="BE170" s="239">
        <v>0</v>
      </c>
      <c r="BF170" s="239">
        <v>0</v>
      </c>
      <c r="BG170" s="239">
        <v>0</v>
      </c>
      <c r="BH170" s="239">
        <v>0</v>
      </c>
      <c r="BI170" s="239">
        <v>0</v>
      </c>
      <c r="BJ170" s="239">
        <v>0</v>
      </c>
      <c r="BK170" s="239">
        <v>0</v>
      </c>
      <c r="BL170" s="239">
        <v>12252.986157024794</v>
      </c>
      <c r="BM170" s="239">
        <v>8168.6574380165303</v>
      </c>
      <c r="BN170" s="239">
        <v>0</v>
      </c>
      <c r="BO170" s="239">
        <v>7578</v>
      </c>
      <c r="BP170" s="239">
        <v>5052</v>
      </c>
      <c r="BQ170" s="239">
        <v>0</v>
      </c>
      <c r="BR170" s="239">
        <v>4675</v>
      </c>
      <c r="BS170" s="239">
        <v>3117</v>
      </c>
      <c r="BT170" s="239">
        <v>0</v>
      </c>
      <c r="BU170" s="239">
        <v>375.55413223140494</v>
      </c>
      <c r="BV170" s="239">
        <v>250.36942148760332</v>
      </c>
      <c r="BW170" s="239">
        <v>0</v>
      </c>
      <c r="BX170" s="239">
        <v>0</v>
      </c>
      <c r="BY170" s="239">
        <v>0</v>
      </c>
      <c r="BZ170" s="239">
        <v>0</v>
      </c>
      <c r="CA170" s="239">
        <v>376</v>
      </c>
      <c r="CB170" s="239">
        <v>250</v>
      </c>
      <c r="CC170" s="239">
        <v>0</v>
      </c>
      <c r="CD170" s="239">
        <v>0</v>
      </c>
      <c r="CE170" s="239">
        <v>0</v>
      </c>
      <c r="CF170" s="239">
        <v>0</v>
      </c>
      <c r="CG170" s="239">
        <v>0</v>
      </c>
      <c r="CH170" s="239">
        <v>0</v>
      </c>
      <c r="CI170" s="239">
        <v>0</v>
      </c>
      <c r="CJ170" s="239">
        <v>0</v>
      </c>
      <c r="CK170" s="239">
        <v>0</v>
      </c>
      <c r="CL170" s="239">
        <v>0</v>
      </c>
      <c r="CM170" s="239">
        <v>1891.465909090909</v>
      </c>
      <c r="CN170" s="239">
        <v>1260.977272727273</v>
      </c>
      <c r="CO170" s="239">
        <v>0</v>
      </c>
      <c r="CP170" s="239">
        <v>1913</v>
      </c>
      <c r="CQ170" s="239">
        <v>1275</v>
      </c>
      <c r="CR170" s="239">
        <v>0</v>
      </c>
      <c r="CS170" s="239">
        <v>-22</v>
      </c>
      <c r="CT170" s="239">
        <v>-14</v>
      </c>
      <c r="CU170" s="239">
        <v>0</v>
      </c>
      <c r="CV170" s="239">
        <v>371796.73450413224</v>
      </c>
      <c r="CW170" s="239">
        <v>247864.48966942148</v>
      </c>
      <c r="CX170" s="239">
        <v>0</v>
      </c>
      <c r="CY170" s="239">
        <v>380714</v>
      </c>
      <c r="CZ170" s="239">
        <v>253810</v>
      </c>
      <c r="DA170" s="239">
        <v>0</v>
      </c>
      <c r="DB170" s="239">
        <v>-8917</v>
      </c>
      <c r="DC170" s="239">
        <v>-5946</v>
      </c>
      <c r="DD170" s="239">
        <v>0</v>
      </c>
      <c r="DE170" s="641">
        <v>0.5</v>
      </c>
      <c r="DF170" s="641">
        <v>0.3</v>
      </c>
      <c r="DG170" s="641">
        <v>0.2</v>
      </c>
      <c r="DH170" s="641">
        <v>0</v>
      </c>
      <c r="DI170" s="214" t="s">
        <v>1191</v>
      </c>
    </row>
    <row r="171" spans="1:113" s="214" customFormat="1" x14ac:dyDescent="0.2">
      <c r="B171" s="609" t="s">
        <v>424</v>
      </c>
      <c r="C171" s="609" t="s">
        <v>423</v>
      </c>
      <c r="D171" s="239">
        <v>-54917</v>
      </c>
      <c r="E171" s="239">
        <v>0</v>
      </c>
      <c r="F171" s="239">
        <v>-54917</v>
      </c>
      <c r="G171" s="239">
        <v>0</v>
      </c>
      <c r="H171" s="239">
        <v>0</v>
      </c>
      <c r="I171" s="239">
        <v>0</v>
      </c>
      <c r="J171" s="239">
        <v>-54917</v>
      </c>
      <c r="K171" s="239">
        <v>0</v>
      </c>
      <c r="L171" s="239">
        <v>-54917</v>
      </c>
      <c r="M171" s="239">
        <v>108005</v>
      </c>
      <c r="N171" s="239">
        <v>108005</v>
      </c>
      <c r="O171" s="239">
        <v>0</v>
      </c>
      <c r="P171" s="239">
        <v>0</v>
      </c>
      <c r="Q171" s="239">
        <v>0</v>
      </c>
      <c r="R171" s="239">
        <v>0</v>
      </c>
      <c r="S171" s="239">
        <v>135654</v>
      </c>
      <c r="T171" s="239">
        <v>0</v>
      </c>
      <c r="U171" s="239">
        <v>128045</v>
      </c>
      <c r="V171" s="239">
        <v>0</v>
      </c>
      <c r="W171" s="239">
        <v>7609</v>
      </c>
      <c r="X171" s="239">
        <v>0</v>
      </c>
      <c r="Y171" s="239">
        <v>0</v>
      </c>
      <c r="Z171" s="239">
        <v>0</v>
      </c>
      <c r="AA171" s="239">
        <v>0</v>
      </c>
      <c r="AB171" s="239">
        <v>0</v>
      </c>
      <c r="AC171" s="239">
        <v>0</v>
      </c>
      <c r="AD171" s="239">
        <v>0</v>
      </c>
      <c r="AE171" s="239">
        <v>0</v>
      </c>
      <c r="AF171" s="239">
        <v>0</v>
      </c>
      <c r="AG171" s="239">
        <v>0</v>
      </c>
      <c r="AH171" s="239">
        <v>0</v>
      </c>
      <c r="AI171" s="239">
        <v>0</v>
      </c>
      <c r="AJ171" s="239">
        <v>0</v>
      </c>
      <c r="AK171" s="239">
        <v>468642.25413223146</v>
      </c>
      <c r="AL171" s="239">
        <v>105444.50717975206</v>
      </c>
      <c r="AM171" s="239">
        <v>11716.056353305785</v>
      </c>
      <c r="AN171" s="239">
        <v>459143</v>
      </c>
      <c r="AO171" s="239">
        <v>103307</v>
      </c>
      <c r="AP171" s="239">
        <v>11479</v>
      </c>
      <c r="AQ171" s="239">
        <v>9499</v>
      </c>
      <c r="AR171" s="239">
        <v>2138</v>
      </c>
      <c r="AS171" s="239">
        <v>237</v>
      </c>
      <c r="AT171" s="239">
        <v>3411.8413223140496</v>
      </c>
      <c r="AU171" s="239">
        <v>767.66429752066119</v>
      </c>
      <c r="AV171" s="239">
        <v>85.296033057851247</v>
      </c>
      <c r="AW171" s="239">
        <v>2110</v>
      </c>
      <c r="AX171" s="239">
        <v>475</v>
      </c>
      <c r="AY171" s="239">
        <v>53</v>
      </c>
      <c r="AZ171" s="239">
        <v>1302</v>
      </c>
      <c r="BA171" s="239">
        <v>293</v>
      </c>
      <c r="BB171" s="239">
        <v>32</v>
      </c>
      <c r="BC171" s="239">
        <v>5107.6173553719009</v>
      </c>
      <c r="BD171" s="239">
        <v>1149.2139049586776</v>
      </c>
      <c r="BE171" s="239">
        <v>127.69043388429752</v>
      </c>
      <c r="BF171" s="239">
        <v>12478</v>
      </c>
      <c r="BG171" s="239">
        <v>2807</v>
      </c>
      <c r="BH171" s="239">
        <v>312</v>
      </c>
      <c r="BI171" s="239">
        <v>-7370</v>
      </c>
      <c r="BJ171" s="239">
        <v>-1658</v>
      </c>
      <c r="BK171" s="239">
        <v>-184</v>
      </c>
      <c r="BL171" s="239">
        <v>8835.9710743801661</v>
      </c>
      <c r="BM171" s="239">
        <v>1988.0934917355371</v>
      </c>
      <c r="BN171" s="239">
        <v>220.89927685950414</v>
      </c>
      <c r="BO171" s="239">
        <v>3856</v>
      </c>
      <c r="BP171" s="239">
        <v>867</v>
      </c>
      <c r="BQ171" s="239">
        <v>96</v>
      </c>
      <c r="BR171" s="239">
        <v>4980</v>
      </c>
      <c r="BS171" s="239">
        <v>1121</v>
      </c>
      <c r="BT171" s="239">
        <v>125</v>
      </c>
      <c r="BU171" s="239">
        <v>0</v>
      </c>
      <c r="BV171" s="239">
        <v>0</v>
      </c>
      <c r="BW171" s="239">
        <v>0</v>
      </c>
      <c r="BX171" s="239">
        <v>0</v>
      </c>
      <c r="BY171" s="239">
        <v>0</v>
      </c>
      <c r="BZ171" s="239">
        <v>0</v>
      </c>
      <c r="CA171" s="239">
        <v>0</v>
      </c>
      <c r="CB171" s="239">
        <v>0</v>
      </c>
      <c r="CC171" s="239">
        <v>0</v>
      </c>
      <c r="CD171" s="239">
        <v>0</v>
      </c>
      <c r="CE171" s="239">
        <v>0</v>
      </c>
      <c r="CF171" s="239">
        <v>0</v>
      </c>
      <c r="CG171" s="239">
        <v>0</v>
      </c>
      <c r="CH171" s="239">
        <v>0</v>
      </c>
      <c r="CI171" s="239">
        <v>0</v>
      </c>
      <c r="CJ171" s="239">
        <v>0</v>
      </c>
      <c r="CK171" s="239">
        <v>0</v>
      </c>
      <c r="CL171" s="239">
        <v>0</v>
      </c>
      <c r="CM171" s="239">
        <v>0</v>
      </c>
      <c r="CN171" s="239">
        <v>0</v>
      </c>
      <c r="CO171" s="239">
        <v>0</v>
      </c>
      <c r="CP171" s="239">
        <v>0</v>
      </c>
      <c r="CQ171" s="239">
        <v>0</v>
      </c>
      <c r="CR171" s="239">
        <v>0</v>
      </c>
      <c r="CS171" s="239">
        <v>0</v>
      </c>
      <c r="CT171" s="239">
        <v>0</v>
      </c>
      <c r="CU171" s="239">
        <v>0</v>
      </c>
      <c r="CV171" s="239">
        <v>91174.994214876046</v>
      </c>
      <c r="CW171" s="239">
        <v>20072.937644628098</v>
      </c>
      <c r="CX171" s="239">
        <v>2230.3264049586778</v>
      </c>
      <c r="CY171" s="239">
        <v>90169</v>
      </c>
      <c r="CZ171" s="239">
        <v>19871</v>
      </c>
      <c r="DA171" s="239">
        <v>2208</v>
      </c>
      <c r="DB171" s="239">
        <v>1006</v>
      </c>
      <c r="DC171" s="239">
        <v>202</v>
      </c>
      <c r="DD171" s="239">
        <v>22</v>
      </c>
      <c r="DE171" s="641">
        <v>0.5</v>
      </c>
      <c r="DF171" s="641">
        <v>0.4</v>
      </c>
      <c r="DG171" s="641">
        <v>0.09</v>
      </c>
      <c r="DH171" s="641">
        <v>0.01</v>
      </c>
      <c r="DI171" s="214" t="s">
        <v>1190</v>
      </c>
    </row>
    <row r="172" spans="1:113" s="214" customFormat="1" x14ac:dyDescent="0.2">
      <c r="B172" s="609" t="s">
        <v>426</v>
      </c>
      <c r="C172" s="609" t="s">
        <v>425</v>
      </c>
      <c r="D172" s="239">
        <v>-61447</v>
      </c>
      <c r="E172" s="239">
        <v>0</v>
      </c>
      <c r="F172" s="239">
        <v>-61447</v>
      </c>
      <c r="G172" s="239">
        <v>0</v>
      </c>
      <c r="H172" s="239">
        <v>0</v>
      </c>
      <c r="I172" s="239">
        <v>0</v>
      </c>
      <c r="J172" s="239">
        <v>-61447</v>
      </c>
      <c r="K172" s="239">
        <v>0</v>
      </c>
      <c r="L172" s="239">
        <v>-61447</v>
      </c>
      <c r="M172" s="239">
        <v>128394</v>
      </c>
      <c r="N172" s="239">
        <v>128394</v>
      </c>
      <c r="O172" s="239">
        <v>0</v>
      </c>
      <c r="P172" s="239">
        <v>0</v>
      </c>
      <c r="Q172" s="239">
        <v>0</v>
      </c>
      <c r="R172" s="239">
        <v>0</v>
      </c>
      <c r="S172" s="239">
        <v>107232</v>
      </c>
      <c r="T172" s="239">
        <v>186375</v>
      </c>
      <c r="U172" s="239">
        <v>112775</v>
      </c>
      <c r="V172" s="239">
        <v>186375</v>
      </c>
      <c r="W172" s="239">
        <v>-5543</v>
      </c>
      <c r="X172" s="239">
        <v>0</v>
      </c>
      <c r="Y172" s="239">
        <v>0</v>
      </c>
      <c r="Z172" s="239">
        <v>0</v>
      </c>
      <c r="AA172" s="239">
        <v>0</v>
      </c>
      <c r="AB172" s="239">
        <v>0</v>
      </c>
      <c r="AC172" s="239">
        <v>0</v>
      </c>
      <c r="AD172" s="239">
        <v>0</v>
      </c>
      <c r="AE172" s="239">
        <v>0</v>
      </c>
      <c r="AF172" s="239">
        <v>0</v>
      </c>
      <c r="AG172" s="239">
        <v>0</v>
      </c>
      <c r="AH172" s="239">
        <v>0</v>
      </c>
      <c r="AI172" s="239">
        <v>0</v>
      </c>
      <c r="AJ172" s="239">
        <v>0</v>
      </c>
      <c r="AK172" s="239">
        <v>457702.49008264462</v>
      </c>
      <c r="AL172" s="239">
        <v>114425.62252066116</v>
      </c>
      <c r="AM172" s="239">
        <v>0</v>
      </c>
      <c r="AN172" s="239">
        <v>433500</v>
      </c>
      <c r="AO172" s="239">
        <v>108375</v>
      </c>
      <c r="AP172" s="239">
        <v>0</v>
      </c>
      <c r="AQ172" s="239">
        <v>24202</v>
      </c>
      <c r="AR172" s="239">
        <v>6051</v>
      </c>
      <c r="AS172" s="239">
        <v>0</v>
      </c>
      <c r="AT172" s="239">
        <v>5233.0049586776868</v>
      </c>
      <c r="AU172" s="239">
        <v>1308.2512396694217</v>
      </c>
      <c r="AV172" s="239">
        <v>0</v>
      </c>
      <c r="AW172" s="239">
        <v>3385</v>
      </c>
      <c r="AX172" s="239">
        <v>846</v>
      </c>
      <c r="AY172" s="239">
        <v>0</v>
      </c>
      <c r="AZ172" s="239">
        <v>1848</v>
      </c>
      <c r="BA172" s="239">
        <v>462</v>
      </c>
      <c r="BB172" s="239">
        <v>0</v>
      </c>
      <c r="BC172" s="239">
        <v>3046.6347107438019</v>
      </c>
      <c r="BD172" s="239">
        <v>761.65867768595047</v>
      </c>
      <c r="BE172" s="239">
        <v>0</v>
      </c>
      <c r="BF172" s="239">
        <v>0</v>
      </c>
      <c r="BG172" s="239">
        <v>0</v>
      </c>
      <c r="BH172" s="239">
        <v>0</v>
      </c>
      <c r="BI172" s="239">
        <v>3047</v>
      </c>
      <c r="BJ172" s="239">
        <v>762</v>
      </c>
      <c r="BK172" s="239">
        <v>0</v>
      </c>
      <c r="BL172" s="239">
        <v>2855.1041322314054</v>
      </c>
      <c r="BM172" s="239">
        <v>713.77603305785135</v>
      </c>
      <c r="BN172" s="239">
        <v>0</v>
      </c>
      <c r="BO172" s="239">
        <v>1386</v>
      </c>
      <c r="BP172" s="239">
        <v>347</v>
      </c>
      <c r="BQ172" s="239">
        <v>0</v>
      </c>
      <c r="BR172" s="239">
        <v>1469</v>
      </c>
      <c r="BS172" s="239">
        <v>367</v>
      </c>
      <c r="BT172" s="239">
        <v>0</v>
      </c>
      <c r="BU172" s="239">
        <v>-2660.3272727272729</v>
      </c>
      <c r="BV172" s="239">
        <v>-665.08181818181822</v>
      </c>
      <c r="BW172" s="239">
        <v>0</v>
      </c>
      <c r="BX172" s="239">
        <v>0</v>
      </c>
      <c r="BY172" s="239">
        <v>0</v>
      </c>
      <c r="BZ172" s="239">
        <v>0</v>
      </c>
      <c r="CA172" s="239">
        <v>-2660</v>
      </c>
      <c r="CB172" s="239">
        <v>-665</v>
      </c>
      <c r="CC172" s="239">
        <v>0</v>
      </c>
      <c r="CD172" s="239">
        <v>0</v>
      </c>
      <c r="CE172" s="239">
        <v>0</v>
      </c>
      <c r="CF172" s="239">
        <v>0</v>
      </c>
      <c r="CG172" s="239">
        <v>0</v>
      </c>
      <c r="CH172" s="239">
        <v>0</v>
      </c>
      <c r="CI172" s="239">
        <v>0</v>
      </c>
      <c r="CJ172" s="239">
        <v>0</v>
      </c>
      <c r="CK172" s="239">
        <v>0</v>
      </c>
      <c r="CL172" s="239">
        <v>0</v>
      </c>
      <c r="CM172" s="239">
        <v>0</v>
      </c>
      <c r="CN172" s="239">
        <v>0</v>
      </c>
      <c r="CO172" s="239">
        <v>0</v>
      </c>
      <c r="CP172" s="239">
        <v>69</v>
      </c>
      <c r="CQ172" s="239">
        <v>17</v>
      </c>
      <c r="CR172" s="239">
        <v>0</v>
      </c>
      <c r="CS172" s="239">
        <v>-69</v>
      </c>
      <c r="CT172" s="239">
        <v>-17</v>
      </c>
      <c r="CU172" s="239">
        <v>0</v>
      </c>
      <c r="CV172" s="239">
        <v>131081.53719008266</v>
      </c>
      <c r="CW172" s="239">
        <v>35078.171487603307</v>
      </c>
      <c r="CX172" s="239">
        <v>0</v>
      </c>
      <c r="CY172" s="239">
        <v>130500</v>
      </c>
      <c r="CZ172" s="239">
        <v>34913</v>
      </c>
      <c r="DA172" s="239">
        <v>0</v>
      </c>
      <c r="DB172" s="239">
        <v>582</v>
      </c>
      <c r="DC172" s="239">
        <v>165</v>
      </c>
      <c r="DD172" s="239">
        <v>0</v>
      </c>
      <c r="DE172" s="641">
        <v>0.5</v>
      </c>
      <c r="DF172" s="641">
        <v>0.4</v>
      </c>
      <c r="DG172" s="641">
        <v>0.1</v>
      </c>
      <c r="DH172" s="641">
        <v>0</v>
      </c>
      <c r="DI172" s="214" t="s">
        <v>1190</v>
      </c>
    </row>
    <row r="173" spans="1:113" s="214" customFormat="1" x14ac:dyDescent="0.2">
      <c r="B173" s="609" t="s">
        <v>428</v>
      </c>
      <c r="C173" s="609" t="s">
        <v>427</v>
      </c>
      <c r="D173" s="239">
        <v>177709</v>
      </c>
      <c r="E173" s="239">
        <v>0</v>
      </c>
      <c r="F173" s="239">
        <v>177709</v>
      </c>
      <c r="G173" s="239">
        <v>0</v>
      </c>
      <c r="H173" s="239">
        <v>0</v>
      </c>
      <c r="I173" s="239">
        <v>0</v>
      </c>
      <c r="J173" s="239">
        <v>177709</v>
      </c>
      <c r="K173" s="239">
        <v>0</v>
      </c>
      <c r="L173" s="239">
        <v>177709</v>
      </c>
      <c r="M173" s="239">
        <v>175070</v>
      </c>
      <c r="N173" s="239">
        <v>175070</v>
      </c>
      <c r="O173" s="239">
        <v>0</v>
      </c>
      <c r="P173" s="239">
        <v>0</v>
      </c>
      <c r="Q173" s="239">
        <v>0</v>
      </c>
      <c r="R173" s="239">
        <v>0</v>
      </c>
      <c r="S173" s="239">
        <v>0</v>
      </c>
      <c r="T173" s="239">
        <v>0</v>
      </c>
      <c r="U173" s="239">
        <v>0</v>
      </c>
      <c r="V173" s="239">
        <v>0</v>
      </c>
      <c r="W173" s="239">
        <v>0</v>
      </c>
      <c r="X173" s="239">
        <v>0</v>
      </c>
      <c r="Y173" s="239">
        <v>0</v>
      </c>
      <c r="Z173" s="239">
        <v>0</v>
      </c>
      <c r="AA173" s="239">
        <v>0</v>
      </c>
      <c r="AB173" s="239">
        <v>0</v>
      </c>
      <c r="AC173" s="239">
        <v>0</v>
      </c>
      <c r="AD173" s="239">
        <v>0</v>
      </c>
      <c r="AE173" s="239">
        <v>0</v>
      </c>
      <c r="AF173" s="239">
        <v>0</v>
      </c>
      <c r="AG173" s="239">
        <v>0</v>
      </c>
      <c r="AH173" s="239">
        <v>0</v>
      </c>
      <c r="AI173" s="239">
        <v>0</v>
      </c>
      <c r="AJ173" s="239">
        <v>0</v>
      </c>
      <c r="AK173" s="239">
        <v>567939.09132231411</v>
      </c>
      <c r="AL173" s="239">
        <v>141984.77283057853</v>
      </c>
      <c r="AM173" s="239">
        <v>0</v>
      </c>
      <c r="AN173" s="239">
        <v>517694</v>
      </c>
      <c r="AO173" s="239">
        <v>129423</v>
      </c>
      <c r="AP173" s="239">
        <v>0</v>
      </c>
      <c r="AQ173" s="239">
        <v>50245</v>
      </c>
      <c r="AR173" s="239">
        <v>12562</v>
      </c>
      <c r="AS173" s="239">
        <v>0</v>
      </c>
      <c r="AT173" s="239">
        <v>0</v>
      </c>
      <c r="AU173" s="239">
        <v>0</v>
      </c>
      <c r="AV173" s="239">
        <v>0</v>
      </c>
      <c r="AW173" s="239">
        <v>0</v>
      </c>
      <c r="AX173" s="239">
        <v>0</v>
      </c>
      <c r="AY173" s="239">
        <v>0</v>
      </c>
      <c r="AZ173" s="239">
        <v>0</v>
      </c>
      <c r="BA173" s="239">
        <v>0</v>
      </c>
      <c r="BB173" s="239">
        <v>0</v>
      </c>
      <c r="BC173" s="239">
        <v>8003.3</v>
      </c>
      <c r="BD173" s="239">
        <v>2000.825</v>
      </c>
      <c r="BE173" s="239">
        <v>0</v>
      </c>
      <c r="BF173" s="239">
        <v>10003</v>
      </c>
      <c r="BG173" s="239">
        <v>2501</v>
      </c>
      <c r="BH173" s="239">
        <v>0</v>
      </c>
      <c r="BI173" s="239">
        <v>-2000</v>
      </c>
      <c r="BJ173" s="239">
        <v>-500</v>
      </c>
      <c r="BK173" s="239">
        <v>0</v>
      </c>
      <c r="BL173" s="239">
        <v>11756.812396694215</v>
      </c>
      <c r="BM173" s="239">
        <v>2939.2030991735537</v>
      </c>
      <c r="BN173" s="239">
        <v>0</v>
      </c>
      <c r="BO173" s="239">
        <v>1203</v>
      </c>
      <c r="BP173" s="239">
        <v>301</v>
      </c>
      <c r="BQ173" s="239">
        <v>0</v>
      </c>
      <c r="BR173" s="239">
        <v>10554</v>
      </c>
      <c r="BS173" s="239">
        <v>2638</v>
      </c>
      <c r="BT173" s="239">
        <v>0</v>
      </c>
      <c r="BU173" s="239">
        <v>5342.9727272727278</v>
      </c>
      <c r="BV173" s="239">
        <v>1335.7431818181819</v>
      </c>
      <c r="BW173" s="239">
        <v>0</v>
      </c>
      <c r="BX173" s="239">
        <v>0</v>
      </c>
      <c r="BY173" s="239">
        <v>0</v>
      </c>
      <c r="BZ173" s="239">
        <v>0</v>
      </c>
      <c r="CA173" s="239">
        <v>5343</v>
      </c>
      <c r="CB173" s="239">
        <v>1336</v>
      </c>
      <c r="CC173" s="239">
        <v>0</v>
      </c>
      <c r="CD173" s="239">
        <v>0</v>
      </c>
      <c r="CE173" s="239">
        <v>0</v>
      </c>
      <c r="CF173" s="239">
        <v>0</v>
      </c>
      <c r="CG173" s="239">
        <v>0</v>
      </c>
      <c r="CH173" s="239">
        <v>0</v>
      </c>
      <c r="CI173" s="239">
        <v>0</v>
      </c>
      <c r="CJ173" s="239">
        <v>0</v>
      </c>
      <c r="CK173" s="239">
        <v>0</v>
      </c>
      <c r="CL173" s="239">
        <v>0</v>
      </c>
      <c r="CM173" s="239">
        <v>3404.1314049586776</v>
      </c>
      <c r="CN173" s="239">
        <v>851.03285123966941</v>
      </c>
      <c r="CO173" s="239">
        <v>0</v>
      </c>
      <c r="CP173" s="239">
        <v>3306</v>
      </c>
      <c r="CQ173" s="239">
        <v>827</v>
      </c>
      <c r="CR173" s="239">
        <v>0</v>
      </c>
      <c r="CS173" s="239">
        <v>98</v>
      </c>
      <c r="CT173" s="239">
        <v>24</v>
      </c>
      <c r="CU173" s="239">
        <v>0</v>
      </c>
      <c r="CV173" s="239">
        <v>241777.57603305785</v>
      </c>
      <c r="CW173" s="239">
        <v>60444.394008264462</v>
      </c>
      <c r="CX173" s="239">
        <v>0</v>
      </c>
      <c r="CY173" s="239">
        <v>255027</v>
      </c>
      <c r="CZ173" s="239">
        <v>63757</v>
      </c>
      <c r="DA173" s="239">
        <v>0</v>
      </c>
      <c r="DB173" s="239">
        <v>-13249</v>
      </c>
      <c r="DC173" s="239">
        <v>-3313</v>
      </c>
      <c r="DD173" s="239">
        <v>0</v>
      </c>
      <c r="DE173" s="641">
        <v>0.5</v>
      </c>
      <c r="DF173" s="641">
        <v>0.4</v>
      </c>
      <c r="DG173" s="641">
        <v>0.1</v>
      </c>
      <c r="DH173" s="641">
        <v>0</v>
      </c>
      <c r="DI173" s="214" t="s">
        <v>1190</v>
      </c>
    </row>
    <row r="174" spans="1:113" s="214" customFormat="1" x14ac:dyDescent="0.2">
      <c r="B174" s="609" t="s">
        <v>430</v>
      </c>
      <c r="C174" s="609" t="s">
        <v>429</v>
      </c>
      <c r="D174" s="239">
        <v>-381496</v>
      </c>
      <c r="E174" s="239">
        <v>-1719</v>
      </c>
      <c r="F174" s="239">
        <v>-383215</v>
      </c>
      <c r="G174" s="239">
        <v>0</v>
      </c>
      <c r="H174" s="239">
        <v>0</v>
      </c>
      <c r="I174" s="239">
        <v>0</v>
      </c>
      <c r="J174" s="239">
        <v>-381496</v>
      </c>
      <c r="K174" s="239">
        <v>-1719</v>
      </c>
      <c r="L174" s="239">
        <v>-383215</v>
      </c>
      <c r="M174" s="239">
        <v>177304</v>
      </c>
      <c r="N174" s="239">
        <v>177304</v>
      </c>
      <c r="O174" s="239">
        <v>0</v>
      </c>
      <c r="P174" s="239">
        <v>0</v>
      </c>
      <c r="Q174" s="239">
        <v>0</v>
      </c>
      <c r="R174" s="239">
        <v>0</v>
      </c>
      <c r="S174" s="239">
        <v>0</v>
      </c>
      <c r="T174" s="239">
        <v>0</v>
      </c>
      <c r="U174" s="239">
        <v>0</v>
      </c>
      <c r="V174" s="239">
        <v>0</v>
      </c>
      <c r="W174" s="239">
        <v>0</v>
      </c>
      <c r="X174" s="239">
        <v>0</v>
      </c>
      <c r="Y174" s="239">
        <v>0</v>
      </c>
      <c r="Z174" s="239">
        <v>0</v>
      </c>
      <c r="AA174" s="239">
        <v>0</v>
      </c>
      <c r="AB174" s="239">
        <v>0</v>
      </c>
      <c r="AC174" s="239">
        <v>0</v>
      </c>
      <c r="AD174" s="239">
        <v>0</v>
      </c>
      <c r="AE174" s="239">
        <v>0</v>
      </c>
      <c r="AF174" s="239">
        <v>0</v>
      </c>
      <c r="AG174" s="239">
        <v>0</v>
      </c>
      <c r="AH174" s="239">
        <v>0</v>
      </c>
      <c r="AI174" s="239">
        <v>0</v>
      </c>
      <c r="AJ174" s="239">
        <v>0</v>
      </c>
      <c r="AK174" s="239">
        <v>607345.84337809926</v>
      </c>
      <c r="AL174" s="239">
        <v>0</v>
      </c>
      <c r="AM174" s="239">
        <v>11179.993915289257</v>
      </c>
      <c r="AN174" s="239">
        <v>621637</v>
      </c>
      <c r="AO174" s="239">
        <v>0</v>
      </c>
      <c r="AP174" s="239">
        <v>12686</v>
      </c>
      <c r="AQ174" s="239">
        <v>-14291</v>
      </c>
      <c r="AR174" s="239">
        <v>0</v>
      </c>
      <c r="AS174" s="239">
        <v>-1506</v>
      </c>
      <c r="AT174" s="239">
        <v>0</v>
      </c>
      <c r="AU174" s="239">
        <v>0</v>
      </c>
      <c r="AV174" s="239">
        <v>0</v>
      </c>
      <c r="AW174" s="239">
        <v>0</v>
      </c>
      <c r="AX174" s="239">
        <v>0</v>
      </c>
      <c r="AY174" s="239">
        <v>0</v>
      </c>
      <c r="AZ174" s="239">
        <v>0</v>
      </c>
      <c r="BA174" s="239">
        <v>0</v>
      </c>
      <c r="BB174" s="239">
        <v>0</v>
      </c>
      <c r="BC174" s="239">
        <v>0</v>
      </c>
      <c r="BD174" s="239">
        <v>0</v>
      </c>
      <c r="BE174" s="239">
        <v>0</v>
      </c>
      <c r="BF174" s="239">
        <v>0</v>
      </c>
      <c r="BG174" s="239">
        <v>0</v>
      </c>
      <c r="BH174" s="239">
        <v>0</v>
      </c>
      <c r="BI174" s="239">
        <v>0</v>
      </c>
      <c r="BJ174" s="239">
        <v>0</v>
      </c>
      <c r="BK174" s="239">
        <v>0</v>
      </c>
      <c r="BL174" s="239">
        <v>36501.183471074379</v>
      </c>
      <c r="BM174" s="239">
        <v>0</v>
      </c>
      <c r="BN174" s="239">
        <v>71.215289256198346</v>
      </c>
      <c r="BO174" s="239">
        <v>47717</v>
      </c>
      <c r="BP174" s="239">
        <v>0</v>
      </c>
      <c r="BQ174" s="239">
        <v>974</v>
      </c>
      <c r="BR174" s="239">
        <v>-11216</v>
      </c>
      <c r="BS174" s="239">
        <v>0</v>
      </c>
      <c r="BT174" s="239">
        <v>-903</v>
      </c>
      <c r="BU174" s="239">
        <v>7807.8738842975217</v>
      </c>
      <c r="BV174" s="239">
        <v>0</v>
      </c>
      <c r="BW174" s="239">
        <v>217.5414049586777</v>
      </c>
      <c r="BX174" s="239">
        <v>0</v>
      </c>
      <c r="BY174" s="239">
        <v>0</v>
      </c>
      <c r="BZ174" s="239">
        <v>0</v>
      </c>
      <c r="CA174" s="239">
        <v>7808</v>
      </c>
      <c r="CB174" s="239">
        <v>0</v>
      </c>
      <c r="CC174" s="239">
        <v>218</v>
      </c>
      <c r="CD174" s="239">
        <v>0</v>
      </c>
      <c r="CE174" s="239">
        <v>0</v>
      </c>
      <c r="CF174" s="239">
        <v>0</v>
      </c>
      <c r="CG174" s="239">
        <v>0</v>
      </c>
      <c r="CH174" s="239">
        <v>0</v>
      </c>
      <c r="CI174" s="239">
        <v>0</v>
      </c>
      <c r="CJ174" s="239">
        <v>0</v>
      </c>
      <c r="CK174" s="239">
        <v>0</v>
      </c>
      <c r="CL174" s="239">
        <v>0</v>
      </c>
      <c r="CM174" s="239">
        <v>2871.6703099173551</v>
      </c>
      <c r="CN174" s="239">
        <v>0</v>
      </c>
      <c r="CO174" s="239">
        <v>58.605516528925619</v>
      </c>
      <c r="CP174" s="239">
        <v>0</v>
      </c>
      <c r="CQ174" s="239">
        <v>0</v>
      </c>
      <c r="CR174" s="239">
        <v>0</v>
      </c>
      <c r="CS174" s="239">
        <v>2872</v>
      </c>
      <c r="CT174" s="239">
        <v>0</v>
      </c>
      <c r="CU174" s="239">
        <v>59</v>
      </c>
      <c r="CV174" s="239">
        <v>280609.92995867768</v>
      </c>
      <c r="CW174" s="239">
        <v>0</v>
      </c>
      <c r="CX174" s="239">
        <v>5726.7332644628095</v>
      </c>
      <c r="CY174" s="239">
        <v>288431</v>
      </c>
      <c r="CZ174" s="239">
        <v>0</v>
      </c>
      <c r="DA174" s="239">
        <v>5886</v>
      </c>
      <c r="DB174" s="239">
        <v>-7821</v>
      </c>
      <c r="DC174" s="239">
        <v>0</v>
      </c>
      <c r="DD174" s="239">
        <v>-159</v>
      </c>
      <c r="DE174" s="641">
        <v>0.5</v>
      </c>
      <c r="DF174" s="641">
        <v>0.49</v>
      </c>
      <c r="DG174" s="641">
        <v>0</v>
      </c>
      <c r="DH174" s="641">
        <v>0.01</v>
      </c>
      <c r="DI174" s="214" t="s">
        <v>747</v>
      </c>
    </row>
    <row r="175" spans="1:113" s="214" customFormat="1" x14ac:dyDescent="0.2">
      <c r="B175" s="609" t="s">
        <v>432</v>
      </c>
      <c r="C175" s="609" t="s">
        <v>431</v>
      </c>
      <c r="D175" s="239">
        <v>115459</v>
      </c>
      <c r="E175" s="239">
        <v>0</v>
      </c>
      <c r="F175" s="239">
        <v>115459</v>
      </c>
      <c r="G175" s="239">
        <v>0</v>
      </c>
      <c r="H175" s="239">
        <v>0</v>
      </c>
      <c r="I175" s="239">
        <v>0</v>
      </c>
      <c r="J175" s="239">
        <v>115459</v>
      </c>
      <c r="K175" s="239">
        <v>0</v>
      </c>
      <c r="L175" s="239">
        <v>115459</v>
      </c>
      <c r="M175" s="239">
        <v>487606</v>
      </c>
      <c r="N175" s="239">
        <v>487606</v>
      </c>
      <c r="O175" s="239">
        <v>0</v>
      </c>
      <c r="P175" s="239">
        <v>0</v>
      </c>
      <c r="Q175" s="239">
        <v>0</v>
      </c>
      <c r="R175" s="239">
        <v>0</v>
      </c>
      <c r="S175" s="239">
        <v>214298</v>
      </c>
      <c r="T175" s="239">
        <v>0</v>
      </c>
      <c r="U175" s="239">
        <v>182144</v>
      </c>
      <c r="V175" s="239">
        <v>0</v>
      </c>
      <c r="W175" s="239">
        <v>32154</v>
      </c>
      <c r="X175" s="239">
        <v>0</v>
      </c>
      <c r="Y175" s="239">
        <v>0</v>
      </c>
      <c r="Z175" s="239">
        <v>0</v>
      </c>
      <c r="AA175" s="239">
        <v>0</v>
      </c>
      <c r="AB175" s="239">
        <v>0</v>
      </c>
      <c r="AC175" s="239">
        <v>0</v>
      </c>
      <c r="AD175" s="239">
        <v>0</v>
      </c>
      <c r="AE175" s="239">
        <v>0</v>
      </c>
      <c r="AF175" s="239">
        <v>0</v>
      </c>
      <c r="AG175" s="239">
        <v>0</v>
      </c>
      <c r="AH175" s="239">
        <v>0</v>
      </c>
      <c r="AI175" s="239">
        <v>0</v>
      </c>
      <c r="AJ175" s="239">
        <v>0</v>
      </c>
      <c r="AK175" s="239">
        <v>1024864.4369524793</v>
      </c>
      <c r="AL175" s="239">
        <v>0</v>
      </c>
      <c r="AM175" s="239">
        <v>20915.600754132232</v>
      </c>
      <c r="AN175" s="239">
        <v>897878</v>
      </c>
      <c r="AO175" s="239">
        <v>0</v>
      </c>
      <c r="AP175" s="239">
        <v>18324</v>
      </c>
      <c r="AQ175" s="239">
        <v>126986</v>
      </c>
      <c r="AR175" s="239">
        <v>0</v>
      </c>
      <c r="AS175" s="239">
        <v>2592</v>
      </c>
      <c r="AT175" s="239">
        <v>8575.7410743801647</v>
      </c>
      <c r="AU175" s="239">
        <v>0</v>
      </c>
      <c r="AV175" s="239">
        <v>175.01512396694216</v>
      </c>
      <c r="AW175" s="239">
        <v>0</v>
      </c>
      <c r="AX175" s="239">
        <v>0</v>
      </c>
      <c r="AY175" s="239">
        <v>0</v>
      </c>
      <c r="AZ175" s="239">
        <v>8576</v>
      </c>
      <c r="BA175" s="239">
        <v>0</v>
      </c>
      <c r="BB175" s="239">
        <v>175</v>
      </c>
      <c r="BC175" s="239">
        <v>8575.7410743801647</v>
      </c>
      <c r="BD175" s="239">
        <v>0</v>
      </c>
      <c r="BE175" s="239">
        <v>175.01512396694216</v>
      </c>
      <c r="BF175" s="239">
        <v>19883</v>
      </c>
      <c r="BG175" s="239">
        <v>0</v>
      </c>
      <c r="BH175" s="239">
        <v>406</v>
      </c>
      <c r="BI175" s="239">
        <v>-11307</v>
      </c>
      <c r="BJ175" s="239">
        <v>0</v>
      </c>
      <c r="BK175" s="239">
        <v>-231</v>
      </c>
      <c r="BL175" s="239">
        <v>17026.216280991735</v>
      </c>
      <c r="BM175" s="239">
        <v>0</v>
      </c>
      <c r="BN175" s="239">
        <v>347.47380165289258</v>
      </c>
      <c r="BO175" s="239">
        <v>9846</v>
      </c>
      <c r="BP175" s="239">
        <v>0</v>
      </c>
      <c r="BQ175" s="239">
        <v>201</v>
      </c>
      <c r="BR175" s="239">
        <v>7180</v>
      </c>
      <c r="BS175" s="239">
        <v>0</v>
      </c>
      <c r="BT175" s="239">
        <v>146</v>
      </c>
      <c r="BU175" s="239">
        <v>4610.4798553719011</v>
      </c>
      <c r="BV175" s="239">
        <v>0</v>
      </c>
      <c r="BW175" s="239">
        <v>94.091425619834723</v>
      </c>
      <c r="BX175" s="239">
        <v>0</v>
      </c>
      <c r="BY175" s="239">
        <v>0</v>
      </c>
      <c r="BZ175" s="239">
        <v>0</v>
      </c>
      <c r="CA175" s="239">
        <v>4610</v>
      </c>
      <c r="CB175" s="239">
        <v>0</v>
      </c>
      <c r="CC175" s="239">
        <v>94</v>
      </c>
      <c r="CD175" s="239">
        <v>0</v>
      </c>
      <c r="CE175" s="239">
        <v>0</v>
      </c>
      <c r="CF175" s="239">
        <v>0</v>
      </c>
      <c r="CG175" s="239">
        <v>0</v>
      </c>
      <c r="CH175" s="239">
        <v>0</v>
      </c>
      <c r="CI175" s="239">
        <v>0</v>
      </c>
      <c r="CJ175" s="239">
        <v>0</v>
      </c>
      <c r="CK175" s="239">
        <v>0</v>
      </c>
      <c r="CL175" s="239">
        <v>0</v>
      </c>
      <c r="CM175" s="239">
        <v>496.09260330578513</v>
      </c>
      <c r="CN175" s="239">
        <v>0</v>
      </c>
      <c r="CO175" s="239">
        <v>10.124338842975206</v>
      </c>
      <c r="CP175" s="239">
        <v>0</v>
      </c>
      <c r="CQ175" s="239">
        <v>0</v>
      </c>
      <c r="CR175" s="239">
        <v>0</v>
      </c>
      <c r="CS175" s="239">
        <v>496</v>
      </c>
      <c r="CT175" s="239">
        <v>0</v>
      </c>
      <c r="CU175" s="239">
        <v>10</v>
      </c>
      <c r="CV175" s="239">
        <v>1135015.6579132231</v>
      </c>
      <c r="CW175" s="239">
        <v>0</v>
      </c>
      <c r="CX175" s="239">
        <v>23100.332789256197</v>
      </c>
      <c r="CY175" s="239">
        <v>1121006</v>
      </c>
      <c r="CZ175" s="239">
        <v>0</v>
      </c>
      <c r="DA175" s="239">
        <v>22824</v>
      </c>
      <c r="DB175" s="239">
        <v>14010</v>
      </c>
      <c r="DC175" s="239">
        <v>0</v>
      </c>
      <c r="DD175" s="239">
        <v>276</v>
      </c>
      <c r="DE175" s="641">
        <v>0.5</v>
      </c>
      <c r="DF175" s="641">
        <v>0.49</v>
      </c>
      <c r="DG175" s="641">
        <v>0</v>
      </c>
      <c r="DH175" s="641">
        <v>0.01</v>
      </c>
      <c r="DI175" s="214" t="s">
        <v>747</v>
      </c>
    </row>
    <row r="176" spans="1:113" s="214" customFormat="1" x14ac:dyDescent="0.2">
      <c r="B176" s="609" t="s">
        <v>434</v>
      </c>
      <c r="C176" s="609" t="s">
        <v>433</v>
      </c>
      <c r="D176" s="239">
        <v>-43238</v>
      </c>
      <c r="E176" s="239">
        <v>0</v>
      </c>
      <c r="F176" s="239">
        <v>-43238</v>
      </c>
      <c r="G176" s="239">
        <v>0</v>
      </c>
      <c r="H176" s="239">
        <v>0</v>
      </c>
      <c r="I176" s="239">
        <v>0</v>
      </c>
      <c r="J176" s="239">
        <v>-43238</v>
      </c>
      <c r="K176" s="239">
        <v>0</v>
      </c>
      <c r="L176" s="239">
        <v>-43238</v>
      </c>
      <c r="M176" s="239">
        <v>152082</v>
      </c>
      <c r="N176" s="239">
        <v>152082</v>
      </c>
      <c r="O176" s="239">
        <v>0</v>
      </c>
      <c r="P176" s="239">
        <v>0</v>
      </c>
      <c r="Q176" s="239">
        <v>0</v>
      </c>
      <c r="R176" s="239">
        <v>0</v>
      </c>
      <c r="S176" s="239">
        <v>0</v>
      </c>
      <c r="T176" s="239">
        <v>0</v>
      </c>
      <c r="U176" s="239">
        <v>0</v>
      </c>
      <c r="V176" s="239">
        <v>0</v>
      </c>
      <c r="W176" s="239">
        <v>0</v>
      </c>
      <c r="X176" s="239">
        <v>0</v>
      </c>
      <c r="Y176" s="239">
        <v>0</v>
      </c>
      <c r="Z176" s="239">
        <v>0</v>
      </c>
      <c r="AA176" s="239">
        <v>0</v>
      </c>
      <c r="AB176" s="239">
        <v>0</v>
      </c>
      <c r="AC176" s="239">
        <v>0</v>
      </c>
      <c r="AD176" s="239">
        <v>0</v>
      </c>
      <c r="AE176" s="239">
        <v>0</v>
      </c>
      <c r="AF176" s="239">
        <v>0</v>
      </c>
      <c r="AG176" s="239">
        <v>0</v>
      </c>
      <c r="AH176" s="239">
        <v>0</v>
      </c>
      <c r="AI176" s="239">
        <v>0</v>
      </c>
      <c r="AJ176" s="239">
        <v>0</v>
      </c>
      <c r="AK176" s="239">
        <v>440744.3239669422</v>
      </c>
      <c r="AL176" s="239">
        <v>110186.08099173555</v>
      </c>
      <c r="AM176" s="239">
        <v>0</v>
      </c>
      <c r="AN176" s="239">
        <v>374823</v>
      </c>
      <c r="AO176" s="239">
        <v>93706</v>
      </c>
      <c r="AP176" s="239">
        <v>0</v>
      </c>
      <c r="AQ176" s="239">
        <v>65921</v>
      </c>
      <c r="AR176" s="239">
        <v>16480</v>
      </c>
      <c r="AS176" s="239">
        <v>0</v>
      </c>
      <c r="AT176" s="239">
        <v>4483.5198347107435</v>
      </c>
      <c r="AU176" s="239">
        <v>1120.8799586776859</v>
      </c>
      <c r="AV176" s="239">
        <v>0</v>
      </c>
      <c r="AW176" s="239">
        <v>7635</v>
      </c>
      <c r="AX176" s="239">
        <v>1909</v>
      </c>
      <c r="AY176" s="239">
        <v>0</v>
      </c>
      <c r="AZ176" s="239">
        <v>-3151</v>
      </c>
      <c r="BA176" s="239">
        <v>-788</v>
      </c>
      <c r="BB176" s="239">
        <v>0</v>
      </c>
      <c r="BC176" s="239">
        <v>0</v>
      </c>
      <c r="BD176" s="239">
        <v>0</v>
      </c>
      <c r="BE176" s="239">
        <v>0</v>
      </c>
      <c r="BF176" s="239">
        <v>0</v>
      </c>
      <c r="BG176" s="239">
        <v>0</v>
      </c>
      <c r="BH176" s="239">
        <v>0</v>
      </c>
      <c r="BI176" s="239">
        <v>0</v>
      </c>
      <c r="BJ176" s="239">
        <v>0</v>
      </c>
      <c r="BK176" s="239">
        <v>0</v>
      </c>
      <c r="BL176" s="239">
        <v>101.44628099173553</v>
      </c>
      <c r="BM176" s="239">
        <v>25.361570247933884</v>
      </c>
      <c r="BN176" s="239">
        <v>0</v>
      </c>
      <c r="BO176" s="239">
        <v>2725</v>
      </c>
      <c r="BP176" s="239">
        <v>681</v>
      </c>
      <c r="BQ176" s="239">
        <v>0</v>
      </c>
      <c r="BR176" s="239">
        <v>-2624</v>
      </c>
      <c r="BS176" s="239">
        <v>-656</v>
      </c>
      <c r="BT176" s="239">
        <v>0</v>
      </c>
      <c r="BU176" s="239">
        <v>4765.1347107438014</v>
      </c>
      <c r="BV176" s="239">
        <v>1191.2836776859504</v>
      </c>
      <c r="BW176" s="239">
        <v>0</v>
      </c>
      <c r="BX176" s="239">
        <v>0</v>
      </c>
      <c r="BY176" s="239">
        <v>0</v>
      </c>
      <c r="BZ176" s="239">
        <v>0</v>
      </c>
      <c r="CA176" s="239">
        <v>4765</v>
      </c>
      <c r="CB176" s="239">
        <v>1191</v>
      </c>
      <c r="CC176" s="239">
        <v>0</v>
      </c>
      <c r="CD176" s="239">
        <v>0</v>
      </c>
      <c r="CE176" s="239">
        <v>0</v>
      </c>
      <c r="CF176" s="239">
        <v>0</v>
      </c>
      <c r="CG176" s="239">
        <v>0</v>
      </c>
      <c r="CH176" s="239">
        <v>0</v>
      </c>
      <c r="CI176" s="239">
        <v>0</v>
      </c>
      <c r="CJ176" s="239">
        <v>0</v>
      </c>
      <c r="CK176" s="239">
        <v>0</v>
      </c>
      <c r="CL176" s="239">
        <v>0</v>
      </c>
      <c r="CM176" s="239">
        <v>1.6231404958677687</v>
      </c>
      <c r="CN176" s="239">
        <v>0.40578512396694216</v>
      </c>
      <c r="CO176" s="239">
        <v>0</v>
      </c>
      <c r="CP176" s="239">
        <v>694</v>
      </c>
      <c r="CQ176" s="239">
        <v>174</v>
      </c>
      <c r="CR176" s="239">
        <v>0</v>
      </c>
      <c r="CS176" s="239">
        <v>-692</v>
      </c>
      <c r="CT176" s="239">
        <v>-174</v>
      </c>
      <c r="CU176" s="239">
        <v>0</v>
      </c>
      <c r="CV176" s="239">
        <v>202481.56033057856</v>
      </c>
      <c r="CW176" s="239">
        <v>50620.390082644641</v>
      </c>
      <c r="CX176" s="239">
        <v>0</v>
      </c>
      <c r="CY176" s="239">
        <v>226381</v>
      </c>
      <c r="CZ176" s="239">
        <v>56595</v>
      </c>
      <c r="DA176" s="239">
        <v>0</v>
      </c>
      <c r="DB176" s="239">
        <v>-23899</v>
      </c>
      <c r="DC176" s="239">
        <v>-5975</v>
      </c>
      <c r="DD176" s="239">
        <v>0</v>
      </c>
      <c r="DE176" s="641">
        <v>0.5</v>
      </c>
      <c r="DF176" s="641">
        <v>0.4</v>
      </c>
      <c r="DG176" s="641">
        <v>0.1</v>
      </c>
      <c r="DH176" s="641">
        <v>0</v>
      </c>
      <c r="DI176" s="214" t="s">
        <v>1190</v>
      </c>
    </row>
    <row r="177" spans="2:113" s="214" customFormat="1" x14ac:dyDescent="0.2">
      <c r="B177" s="609" t="s">
        <v>436</v>
      </c>
      <c r="C177" s="609" t="s">
        <v>435</v>
      </c>
      <c r="D177" s="239">
        <v>36304</v>
      </c>
      <c r="E177" s="239">
        <v>0</v>
      </c>
      <c r="F177" s="239">
        <v>36304</v>
      </c>
      <c r="G177" s="239">
        <v>0</v>
      </c>
      <c r="H177" s="239">
        <v>0</v>
      </c>
      <c r="I177" s="239">
        <v>0</v>
      </c>
      <c r="J177" s="239">
        <v>36304</v>
      </c>
      <c r="K177" s="239">
        <v>0</v>
      </c>
      <c r="L177" s="239">
        <v>36304</v>
      </c>
      <c r="M177" s="239">
        <v>281907</v>
      </c>
      <c r="N177" s="239">
        <v>281907</v>
      </c>
      <c r="O177" s="239">
        <v>0</v>
      </c>
      <c r="P177" s="239">
        <v>0</v>
      </c>
      <c r="Q177" s="239">
        <v>0</v>
      </c>
      <c r="R177" s="239">
        <v>0</v>
      </c>
      <c r="S177" s="239">
        <v>25122</v>
      </c>
      <c r="T177" s="239">
        <v>0</v>
      </c>
      <c r="U177" s="239">
        <v>21868</v>
      </c>
      <c r="V177" s="239">
        <v>0</v>
      </c>
      <c r="W177" s="239">
        <v>3254</v>
      </c>
      <c r="X177" s="239">
        <v>0</v>
      </c>
      <c r="Y177" s="239">
        <v>0</v>
      </c>
      <c r="Z177" s="239">
        <v>0</v>
      </c>
      <c r="AA177" s="239">
        <v>0</v>
      </c>
      <c r="AB177" s="239">
        <v>0</v>
      </c>
      <c r="AC177" s="239">
        <v>0</v>
      </c>
      <c r="AD177" s="239">
        <v>0</v>
      </c>
      <c r="AE177" s="239">
        <v>0</v>
      </c>
      <c r="AF177" s="239">
        <v>0</v>
      </c>
      <c r="AG177" s="239">
        <v>0</v>
      </c>
      <c r="AH177" s="239">
        <v>0</v>
      </c>
      <c r="AI177" s="239">
        <v>0</v>
      </c>
      <c r="AJ177" s="239">
        <v>0</v>
      </c>
      <c r="AK177" s="239">
        <v>949185.37438016536</v>
      </c>
      <c r="AL177" s="239">
        <v>213566.70923553719</v>
      </c>
      <c r="AM177" s="239">
        <v>23729.634359504133</v>
      </c>
      <c r="AN177" s="239">
        <v>879969</v>
      </c>
      <c r="AO177" s="239">
        <v>197993</v>
      </c>
      <c r="AP177" s="239">
        <v>21999</v>
      </c>
      <c r="AQ177" s="239">
        <v>69216</v>
      </c>
      <c r="AR177" s="239">
        <v>15574</v>
      </c>
      <c r="AS177" s="239">
        <v>1731</v>
      </c>
      <c r="AT177" s="239">
        <v>4263.9900826446283</v>
      </c>
      <c r="AU177" s="239">
        <v>959.39776859504127</v>
      </c>
      <c r="AV177" s="239">
        <v>106.59975206611571</v>
      </c>
      <c r="AW177" s="239">
        <v>4058</v>
      </c>
      <c r="AX177" s="239">
        <v>913</v>
      </c>
      <c r="AY177" s="239">
        <v>101</v>
      </c>
      <c r="AZ177" s="239">
        <v>206</v>
      </c>
      <c r="BA177" s="239">
        <v>46</v>
      </c>
      <c r="BB177" s="239">
        <v>6</v>
      </c>
      <c r="BC177" s="239">
        <v>18424.26776859504</v>
      </c>
      <c r="BD177" s="239">
        <v>4145.4602479338846</v>
      </c>
      <c r="BE177" s="239">
        <v>460.60669421487603</v>
      </c>
      <c r="BF177" s="239">
        <v>10144</v>
      </c>
      <c r="BG177" s="239">
        <v>2283</v>
      </c>
      <c r="BH177" s="239">
        <v>254</v>
      </c>
      <c r="BI177" s="239">
        <v>8280</v>
      </c>
      <c r="BJ177" s="239">
        <v>1862</v>
      </c>
      <c r="BK177" s="239">
        <v>207</v>
      </c>
      <c r="BL177" s="239">
        <v>15883.647107438017</v>
      </c>
      <c r="BM177" s="239">
        <v>3573.8205991735535</v>
      </c>
      <c r="BN177" s="239">
        <v>397.09117768595041</v>
      </c>
      <c r="BO177" s="239">
        <v>36521</v>
      </c>
      <c r="BP177" s="239">
        <v>8217</v>
      </c>
      <c r="BQ177" s="239">
        <v>913</v>
      </c>
      <c r="BR177" s="239">
        <v>-20637</v>
      </c>
      <c r="BS177" s="239">
        <v>-4643</v>
      </c>
      <c r="BT177" s="239">
        <v>-516</v>
      </c>
      <c r="BU177" s="239">
        <v>-3630.5595041322313</v>
      </c>
      <c r="BV177" s="239">
        <v>-816.87588842975197</v>
      </c>
      <c r="BW177" s="239">
        <v>-90.763987603305779</v>
      </c>
      <c r="BX177" s="239">
        <v>0</v>
      </c>
      <c r="BY177" s="239">
        <v>0</v>
      </c>
      <c r="BZ177" s="239">
        <v>0</v>
      </c>
      <c r="CA177" s="239">
        <v>-3631</v>
      </c>
      <c r="CB177" s="239">
        <v>-817</v>
      </c>
      <c r="CC177" s="239">
        <v>-91</v>
      </c>
      <c r="CD177" s="239">
        <v>0</v>
      </c>
      <c r="CE177" s="239">
        <v>0</v>
      </c>
      <c r="CF177" s="239">
        <v>0</v>
      </c>
      <c r="CG177" s="239">
        <v>0</v>
      </c>
      <c r="CH177" s="239">
        <v>0</v>
      </c>
      <c r="CI177" s="239">
        <v>0</v>
      </c>
      <c r="CJ177" s="239">
        <v>0</v>
      </c>
      <c r="CK177" s="239">
        <v>0</v>
      </c>
      <c r="CL177" s="239">
        <v>0</v>
      </c>
      <c r="CM177" s="239">
        <v>3316.4818181818182</v>
      </c>
      <c r="CN177" s="239">
        <v>746.20840909090896</v>
      </c>
      <c r="CO177" s="239">
        <v>82.912045454545449</v>
      </c>
      <c r="CP177" s="239">
        <v>3687</v>
      </c>
      <c r="CQ177" s="239">
        <v>829</v>
      </c>
      <c r="CR177" s="239">
        <v>92</v>
      </c>
      <c r="CS177" s="239">
        <v>-371</v>
      </c>
      <c r="CT177" s="239">
        <v>-83</v>
      </c>
      <c r="CU177" s="239">
        <v>-9</v>
      </c>
      <c r="CV177" s="239">
        <v>387913.49256198353</v>
      </c>
      <c r="CW177" s="239">
        <v>87198.785516528922</v>
      </c>
      <c r="CX177" s="239">
        <v>9688.7539462809927</v>
      </c>
      <c r="CY177" s="239">
        <v>379892</v>
      </c>
      <c r="CZ177" s="239">
        <v>85404</v>
      </c>
      <c r="DA177" s="239">
        <v>9489</v>
      </c>
      <c r="DB177" s="239">
        <v>8021</v>
      </c>
      <c r="DC177" s="239">
        <v>1795</v>
      </c>
      <c r="DD177" s="239">
        <v>200</v>
      </c>
      <c r="DE177" s="641">
        <v>0.5</v>
      </c>
      <c r="DF177" s="641">
        <v>0.4</v>
      </c>
      <c r="DG177" s="641">
        <v>0.09</v>
      </c>
      <c r="DH177" s="641">
        <v>0.01</v>
      </c>
      <c r="DI177" s="214" t="s">
        <v>1190</v>
      </c>
    </row>
    <row r="178" spans="2:113" s="214" customFormat="1" x14ac:dyDescent="0.2">
      <c r="B178" s="609" t="s">
        <v>438</v>
      </c>
      <c r="C178" s="609" t="s">
        <v>437</v>
      </c>
      <c r="D178" s="239">
        <v>-31621</v>
      </c>
      <c r="E178" s="239">
        <v>0</v>
      </c>
      <c r="F178" s="239">
        <v>-31621</v>
      </c>
      <c r="G178" s="239">
        <v>0</v>
      </c>
      <c r="H178" s="239">
        <v>0</v>
      </c>
      <c r="I178" s="239">
        <v>0</v>
      </c>
      <c r="J178" s="239">
        <v>-31621</v>
      </c>
      <c r="K178" s="239">
        <v>0</v>
      </c>
      <c r="L178" s="239">
        <v>-31621</v>
      </c>
      <c r="M178" s="239">
        <v>164289</v>
      </c>
      <c r="N178" s="239">
        <v>164289</v>
      </c>
      <c r="O178" s="239">
        <v>0</v>
      </c>
      <c r="P178" s="239">
        <v>0</v>
      </c>
      <c r="Q178" s="239">
        <v>0</v>
      </c>
      <c r="R178" s="239">
        <v>0</v>
      </c>
      <c r="S178" s="239">
        <v>197873</v>
      </c>
      <c r="T178" s="239">
        <v>0</v>
      </c>
      <c r="U178" s="239">
        <v>80000</v>
      </c>
      <c r="V178" s="239">
        <v>0</v>
      </c>
      <c r="W178" s="239">
        <v>117873</v>
      </c>
      <c r="X178" s="239">
        <v>0</v>
      </c>
      <c r="Y178" s="239">
        <v>0</v>
      </c>
      <c r="Z178" s="239">
        <v>0</v>
      </c>
      <c r="AA178" s="239">
        <v>0</v>
      </c>
      <c r="AB178" s="239">
        <v>0</v>
      </c>
      <c r="AC178" s="239">
        <v>0</v>
      </c>
      <c r="AD178" s="239">
        <v>0</v>
      </c>
      <c r="AE178" s="239">
        <v>0</v>
      </c>
      <c r="AF178" s="239">
        <v>0</v>
      </c>
      <c r="AG178" s="239">
        <v>0</v>
      </c>
      <c r="AH178" s="239">
        <v>0</v>
      </c>
      <c r="AI178" s="239">
        <v>0</v>
      </c>
      <c r="AJ178" s="239">
        <v>0</v>
      </c>
      <c r="AK178" s="239">
        <v>602276.83140495874</v>
      </c>
      <c r="AL178" s="239">
        <v>135512.28706611571</v>
      </c>
      <c r="AM178" s="239">
        <v>15056.920785123968</v>
      </c>
      <c r="AN178" s="239">
        <v>531360</v>
      </c>
      <c r="AO178" s="239">
        <v>119556</v>
      </c>
      <c r="AP178" s="239">
        <v>13284</v>
      </c>
      <c r="AQ178" s="239">
        <v>70917</v>
      </c>
      <c r="AR178" s="239">
        <v>15956</v>
      </c>
      <c r="AS178" s="239">
        <v>1773</v>
      </c>
      <c r="AT178" s="239">
        <v>0</v>
      </c>
      <c r="AU178" s="239">
        <v>0</v>
      </c>
      <c r="AV178" s="239">
        <v>0</v>
      </c>
      <c r="AW178" s="239">
        <v>0</v>
      </c>
      <c r="AX178" s="239">
        <v>0</v>
      </c>
      <c r="AY178" s="239">
        <v>0</v>
      </c>
      <c r="AZ178" s="239">
        <v>0</v>
      </c>
      <c r="BA178" s="239">
        <v>0</v>
      </c>
      <c r="BB178" s="239">
        <v>0</v>
      </c>
      <c r="BC178" s="239">
        <v>0</v>
      </c>
      <c r="BD178" s="239">
        <v>0</v>
      </c>
      <c r="BE178" s="239">
        <v>0</v>
      </c>
      <c r="BF178" s="239">
        <v>0</v>
      </c>
      <c r="BG178" s="239">
        <v>0</v>
      </c>
      <c r="BH178" s="239">
        <v>0</v>
      </c>
      <c r="BI178" s="239">
        <v>0</v>
      </c>
      <c r="BJ178" s="239">
        <v>0</v>
      </c>
      <c r="BK178" s="239">
        <v>0</v>
      </c>
      <c r="BL178" s="239">
        <v>2819.800826446281</v>
      </c>
      <c r="BM178" s="239">
        <v>634.45518595041312</v>
      </c>
      <c r="BN178" s="239">
        <v>70.495020661157028</v>
      </c>
      <c r="BO178" s="239">
        <v>0</v>
      </c>
      <c r="BP178" s="239">
        <v>0</v>
      </c>
      <c r="BQ178" s="239">
        <v>0</v>
      </c>
      <c r="BR178" s="239">
        <v>2820</v>
      </c>
      <c r="BS178" s="239">
        <v>634</v>
      </c>
      <c r="BT178" s="239">
        <v>70</v>
      </c>
      <c r="BU178" s="239">
        <v>-2685.0801652892565</v>
      </c>
      <c r="BV178" s="239">
        <v>-604.14303719008262</v>
      </c>
      <c r="BW178" s="239">
        <v>-67.127004132231406</v>
      </c>
      <c r="BX178" s="239">
        <v>0</v>
      </c>
      <c r="BY178" s="239">
        <v>0</v>
      </c>
      <c r="BZ178" s="239">
        <v>0</v>
      </c>
      <c r="CA178" s="239">
        <v>-2685</v>
      </c>
      <c r="CB178" s="239">
        <v>-604</v>
      </c>
      <c r="CC178" s="239">
        <v>-67</v>
      </c>
      <c r="CD178" s="239">
        <v>0</v>
      </c>
      <c r="CE178" s="239">
        <v>0</v>
      </c>
      <c r="CF178" s="239">
        <v>0</v>
      </c>
      <c r="CG178" s="239">
        <v>0</v>
      </c>
      <c r="CH178" s="239">
        <v>0</v>
      </c>
      <c r="CI178" s="239">
        <v>0</v>
      </c>
      <c r="CJ178" s="239">
        <v>0</v>
      </c>
      <c r="CK178" s="239">
        <v>0</v>
      </c>
      <c r="CL178" s="239">
        <v>0</v>
      </c>
      <c r="CM178" s="239">
        <v>508.04297520661157</v>
      </c>
      <c r="CN178" s="239">
        <v>114.30966942148763</v>
      </c>
      <c r="CO178" s="239">
        <v>12.701074380165291</v>
      </c>
      <c r="CP178" s="239">
        <v>2028</v>
      </c>
      <c r="CQ178" s="239">
        <v>457</v>
      </c>
      <c r="CR178" s="239">
        <v>51</v>
      </c>
      <c r="CS178" s="239">
        <v>-1520</v>
      </c>
      <c r="CT178" s="239">
        <v>-343</v>
      </c>
      <c r="CU178" s="239">
        <v>-38</v>
      </c>
      <c r="CV178" s="239">
        <v>197335.40619834713</v>
      </c>
      <c r="CW178" s="239">
        <v>43756.5614876033</v>
      </c>
      <c r="CX178" s="239">
        <v>4861.8401652892562</v>
      </c>
      <c r="CY178" s="239">
        <v>224175</v>
      </c>
      <c r="CZ178" s="239">
        <v>50179</v>
      </c>
      <c r="DA178" s="239">
        <v>5575</v>
      </c>
      <c r="DB178" s="239">
        <v>-26840</v>
      </c>
      <c r="DC178" s="239">
        <v>-6422</v>
      </c>
      <c r="DD178" s="239">
        <v>-713</v>
      </c>
      <c r="DE178" s="641">
        <v>0.5</v>
      </c>
      <c r="DF178" s="641">
        <v>0.4</v>
      </c>
      <c r="DG178" s="641">
        <v>0.09</v>
      </c>
      <c r="DH178" s="641">
        <v>0.01</v>
      </c>
      <c r="DI178" s="214" t="s">
        <v>1190</v>
      </c>
    </row>
    <row r="179" spans="2:113" s="214" customFormat="1" x14ac:dyDescent="0.2">
      <c r="B179" s="609" t="s">
        <v>440</v>
      </c>
      <c r="C179" s="609" t="s">
        <v>1087</v>
      </c>
      <c r="D179" s="239">
        <v>-933608</v>
      </c>
      <c r="E179" s="239">
        <v>-7935</v>
      </c>
      <c r="F179" s="239">
        <v>-941543</v>
      </c>
      <c r="G179" s="239">
        <v>0</v>
      </c>
      <c r="H179" s="239">
        <v>0</v>
      </c>
      <c r="I179" s="239">
        <v>0</v>
      </c>
      <c r="J179" s="239">
        <v>-933608</v>
      </c>
      <c r="K179" s="239">
        <v>-7935</v>
      </c>
      <c r="L179" s="239">
        <v>-941543</v>
      </c>
      <c r="M179" s="239">
        <v>472115</v>
      </c>
      <c r="N179" s="239">
        <v>472115</v>
      </c>
      <c r="O179" s="239">
        <v>0</v>
      </c>
      <c r="P179" s="239">
        <v>1202176</v>
      </c>
      <c r="Q179" s="239">
        <v>375451</v>
      </c>
      <c r="R179" s="239">
        <v>826725</v>
      </c>
      <c r="S179" s="239">
        <v>0</v>
      </c>
      <c r="T179" s="239">
        <v>0</v>
      </c>
      <c r="U179" s="239">
        <v>0</v>
      </c>
      <c r="V179" s="239">
        <v>0</v>
      </c>
      <c r="W179" s="239">
        <v>0</v>
      </c>
      <c r="X179" s="239">
        <v>0</v>
      </c>
      <c r="Y179" s="239">
        <v>0</v>
      </c>
      <c r="Z179" s="239">
        <v>0</v>
      </c>
      <c r="AA179" s="239">
        <v>0</v>
      </c>
      <c r="AB179" s="239">
        <v>0</v>
      </c>
      <c r="AC179" s="239">
        <v>0</v>
      </c>
      <c r="AD179" s="239">
        <v>0</v>
      </c>
      <c r="AE179" s="239">
        <v>0</v>
      </c>
      <c r="AF179" s="239">
        <v>0</v>
      </c>
      <c r="AG179" s="239">
        <v>0</v>
      </c>
      <c r="AH179" s="239">
        <v>0</v>
      </c>
      <c r="AI179" s="239">
        <v>0</v>
      </c>
      <c r="AJ179" s="239">
        <v>0</v>
      </c>
      <c r="AK179" s="239">
        <v>1424062.9430165291</v>
      </c>
      <c r="AL179" s="239">
        <v>0</v>
      </c>
      <c r="AM179" s="239">
        <v>28637.148925619837</v>
      </c>
      <c r="AN179" s="239">
        <v>1313821</v>
      </c>
      <c r="AO179" s="239">
        <v>0</v>
      </c>
      <c r="AP179" s="239">
        <v>26323</v>
      </c>
      <c r="AQ179" s="239">
        <v>110242</v>
      </c>
      <c r="AR179" s="239">
        <v>0</v>
      </c>
      <c r="AS179" s="239">
        <v>2314</v>
      </c>
      <c r="AT179" s="239">
        <v>18571.161983471073</v>
      </c>
      <c r="AU179" s="239">
        <v>0</v>
      </c>
      <c r="AV179" s="239">
        <v>379.00330578512398</v>
      </c>
      <c r="AW179" s="239">
        <v>11378</v>
      </c>
      <c r="AX179" s="239">
        <v>0</v>
      </c>
      <c r="AY179" s="239">
        <v>232</v>
      </c>
      <c r="AZ179" s="239">
        <v>7193</v>
      </c>
      <c r="BA179" s="239">
        <v>0</v>
      </c>
      <c r="BB179" s="239">
        <v>147</v>
      </c>
      <c r="BC179" s="239">
        <v>0</v>
      </c>
      <c r="BD179" s="239">
        <v>0</v>
      </c>
      <c r="BE179" s="239">
        <v>0</v>
      </c>
      <c r="BF179" s="239">
        <v>318704</v>
      </c>
      <c r="BG179" s="239">
        <v>0</v>
      </c>
      <c r="BH179" s="239">
        <v>679</v>
      </c>
      <c r="BI179" s="239">
        <v>-318704</v>
      </c>
      <c r="BJ179" s="239">
        <v>0</v>
      </c>
      <c r="BK179" s="239">
        <v>-679</v>
      </c>
      <c r="BL179" s="239">
        <v>45478.550371900827</v>
      </c>
      <c r="BM179" s="239">
        <v>0</v>
      </c>
      <c r="BN179" s="239">
        <v>810.37318181818182</v>
      </c>
      <c r="BO179" s="239">
        <v>60065</v>
      </c>
      <c r="BP179" s="239">
        <v>0</v>
      </c>
      <c r="BQ179" s="239">
        <v>1226</v>
      </c>
      <c r="BR179" s="239">
        <v>-14586</v>
      </c>
      <c r="BS179" s="239">
        <v>0</v>
      </c>
      <c r="BT179" s="239">
        <v>-416</v>
      </c>
      <c r="BU179" s="239">
        <v>17759.419276859506</v>
      </c>
      <c r="BV179" s="239">
        <v>0</v>
      </c>
      <c r="BW179" s="239">
        <v>362.43712809917355</v>
      </c>
      <c r="BX179" s="239">
        <v>0</v>
      </c>
      <c r="BY179" s="239">
        <v>0</v>
      </c>
      <c r="BZ179" s="239">
        <v>0</v>
      </c>
      <c r="CA179" s="239">
        <v>17759</v>
      </c>
      <c r="CB179" s="239">
        <v>0</v>
      </c>
      <c r="CC179" s="239">
        <v>362</v>
      </c>
      <c r="CD179" s="239">
        <v>0</v>
      </c>
      <c r="CE179" s="239">
        <v>0</v>
      </c>
      <c r="CF179" s="239">
        <v>0</v>
      </c>
      <c r="CG179" s="239">
        <v>0</v>
      </c>
      <c r="CH179" s="239">
        <v>0</v>
      </c>
      <c r="CI179" s="239">
        <v>0</v>
      </c>
      <c r="CJ179" s="239">
        <v>0</v>
      </c>
      <c r="CK179" s="239">
        <v>0</v>
      </c>
      <c r="CL179" s="239">
        <v>0</v>
      </c>
      <c r="CM179" s="239">
        <v>5495.2943181818182</v>
      </c>
      <c r="CN179" s="239">
        <v>0</v>
      </c>
      <c r="CO179" s="239">
        <v>112.14886363636363</v>
      </c>
      <c r="CP179" s="239">
        <v>0</v>
      </c>
      <c r="CQ179" s="239">
        <v>0</v>
      </c>
      <c r="CR179" s="239">
        <v>0</v>
      </c>
      <c r="CS179" s="239">
        <v>5495</v>
      </c>
      <c r="CT179" s="239">
        <v>0</v>
      </c>
      <c r="CU179" s="239">
        <v>112</v>
      </c>
      <c r="CV179" s="239">
        <v>1041896.7958057851</v>
      </c>
      <c r="CW179" s="239">
        <v>0</v>
      </c>
      <c r="CX179" s="239">
        <v>20908.366384297522</v>
      </c>
      <c r="CY179" s="239">
        <v>1090730</v>
      </c>
      <c r="CZ179" s="239">
        <v>0</v>
      </c>
      <c r="DA179" s="239">
        <v>22149</v>
      </c>
      <c r="DB179" s="239">
        <v>-48833</v>
      </c>
      <c r="DC179" s="239">
        <v>0</v>
      </c>
      <c r="DD179" s="239">
        <v>-1241</v>
      </c>
      <c r="DE179" s="641">
        <v>0.5</v>
      </c>
      <c r="DF179" s="641">
        <v>0.49</v>
      </c>
      <c r="DG179" s="641">
        <v>0</v>
      </c>
      <c r="DH179" s="641">
        <v>0.01</v>
      </c>
      <c r="DI179" s="214" t="s">
        <v>1192</v>
      </c>
    </row>
    <row r="180" spans="2:113" s="214" customFormat="1" x14ac:dyDescent="0.2">
      <c r="B180" s="609" t="s">
        <v>442</v>
      </c>
      <c r="C180" s="609" t="s">
        <v>441</v>
      </c>
      <c r="D180" s="239">
        <v>-373775</v>
      </c>
      <c r="E180" s="239">
        <v>0</v>
      </c>
      <c r="F180" s="239">
        <v>-373775</v>
      </c>
      <c r="G180" s="239">
        <v>0</v>
      </c>
      <c r="H180" s="239">
        <v>0</v>
      </c>
      <c r="I180" s="239">
        <v>0</v>
      </c>
      <c r="J180" s="239">
        <v>-373775</v>
      </c>
      <c r="K180" s="239">
        <v>0</v>
      </c>
      <c r="L180" s="239">
        <v>-373775</v>
      </c>
      <c r="M180" s="239">
        <v>139651</v>
      </c>
      <c r="N180" s="239">
        <v>139651</v>
      </c>
      <c r="O180" s="239">
        <v>0</v>
      </c>
      <c r="P180" s="239">
        <v>0</v>
      </c>
      <c r="Q180" s="239">
        <v>0</v>
      </c>
      <c r="R180" s="239">
        <v>0</v>
      </c>
      <c r="S180" s="239">
        <v>0</v>
      </c>
      <c r="T180" s="239">
        <v>0</v>
      </c>
      <c r="U180" s="239">
        <v>0</v>
      </c>
      <c r="V180" s="239">
        <v>0</v>
      </c>
      <c r="W180" s="239">
        <v>0</v>
      </c>
      <c r="X180" s="239">
        <v>0</v>
      </c>
      <c r="Y180" s="239">
        <v>0</v>
      </c>
      <c r="Z180" s="239">
        <v>0</v>
      </c>
      <c r="AA180" s="239">
        <v>0</v>
      </c>
      <c r="AB180" s="239">
        <v>0</v>
      </c>
      <c r="AC180" s="239">
        <v>0</v>
      </c>
      <c r="AD180" s="239">
        <v>0</v>
      </c>
      <c r="AE180" s="239">
        <v>0</v>
      </c>
      <c r="AF180" s="239">
        <v>0</v>
      </c>
      <c r="AG180" s="239">
        <v>0</v>
      </c>
      <c r="AH180" s="239">
        <v>0</v>
      </c>
      <c r="AI180" s="239">
        <v>0</v>
      </c>
      <c r="AJ180" s="239">
        <v>0</v>
      </c>
      <c r="AK180" s="239">
        <v>504798.52024793386</v>
      </c>
      <c r="AL180" s="239">
        <v>113579.66705578512</v>
      </c>
      <c r="AM180" s="239">
        <v>12619.963006198348</v>
      </c>
      <c r="AN180" s="239">
        <v>445556</v>
      </c>
      <c r="AO180" s="239">
        <v>100250</v>
      </c>
      <c r="AP180" s="239">
        <v>11139</v>
      </c>
      <c r="AQ180" s="239">
        <v>59243</v>
      </c>
      <c r="AR180" s="239">
        <v>13330</v>
      </c>
      <c r="AS180" s="239">
        <v>1481</v>
      </c>
      <c r="AT180" s="239">
        <v>0</v>
      </c>
      <c r="AU180" s="239">
        <v>0</v>
      </c>
      <c r="AV180" s="239">
        <v>0</v>
      </c>
      <c r="AW180" s="239">
        <v>0</v>
      </c>
      <c r="AX180" s="239">
        <v>0</v>
      </c>
      <c r="AY180" s="239">
        <v>0</v>
      </c>
      <c r="AZ180" s="239">
        <v>0</v>
      </c>
      <c r="BA180" s="239">
        <v>0</v>
      </c>
      <c r="BB180" s="239">
        <v>0</v>
      </c>
      <c r="BC180" s="239">
        <v>0</v>
      </c>
      <c r="BD180" s="239">
        <v>0</v>
      </c>
      <c r="BE180" s="239">
        <v>0</v>
      </c>
      <c r="BF180" s="239">
        <v>0</v>
      </c>
      <c r="BG180" s="239">
        <v>0</v>
      </c>
      <c r="BH180" s="239">
        <v>0</v>
      </c>
      <c r="BI180" s="239">
        <v>0</v>
      </c>
      <c r="BJ180" s="239">
        <v>0</v>
      </c>
      <c r="BK180" s="239">
        <v>0</v>
      </c>
      <c r="BL180" s="239">
        <v>18315.111570247936</v>
      </c>
      <c r="BM180" s="239">
        <v>4120.9001033057848</v>
      </c>
      <c r="BN180" s="239">
        <v>457.87778925619841</v>
      </c>
      <c r="BO180" s="239">
        <v>21046</v>
      </c>
      <c r="BP180" s="239">
        <v>4735</v>
      </c>
      <c r="BQ180" s="239">
        <v>526</v>
      </c>
      <c r="BR180" s="239">
        <v>-2731</v>
      </c>
      <c r="BS180" s="239">
        <v>-614</v>
      </c>
      <c r="BT180" s="239">
        <v>-68</v>
      </c>
      <c r="BU180" s="239">
        <v>-198.42892561983473</v>
      </c>
      <c r="BV180" s="239">
        <v>-44.64650826446281</v>
      </c>
      <c r="BW180" s="239">
        <v>-4.960723140495868</v>
      </c>
      <c r="BX180" s="239">
        <v>0</v>
      </c>
      <c r="BY180" s="239">
        <v>0</v>
      </c>
      <c r="BZ180" s="239">
        <v>0</v>
      </c>
      <c r="CA180" s="239">
        <v>-198</v>
      </c>
      <c r="CB180" s="239">
        <v>-45</v>
      </c>
      <c r="CC180" s="239">
        <v>-5</v>
      </c>
      <c r="CD180" s="239">
        <v>0</v>
      </c>
      <c r="CE180" s="239">
        <v>0</v>
      </c>
      <c r="CF180" s="239">
        <v>0</v>
      </c>
      <c r="CG180" s="239">
        <v>0</v>
      </c>
      <c r="CH180" s="239">
        <v>0</v>
      </c>
      <c r="CI180" s="239">
        <v>0</v>
      </c>
      <c r="CJ180" s="239">
        <v>0</v>
      </c>
      <c r="CK180" s="239">
        <v>0</v>
      </c>
      <c r="CL180" s="239">
        <v>0</v>
      </c>
      <c r="CM180" s="239">
        <v>0</v>
      </c>
      <c r="CN180" s="239">
        <v>0</v>
      </c>
      <c r="CO180" s="239">
        <v>0</v>
      </c>
      <c r="CP180" s="239">
        <v>0</v>
      </c>
      <c r="CQ180" s="239">
        <v>0</v>
      </c>
      <c r="CR180" s="239">
        <v>0</v>
      </c>
      <c r="CS180" s="239">
        <v>0</v>
      </c>
      <c r="CT180" s="239">
        <v>0</v>
      </c>
      <c r="CU180" s="239">
        <v>0</v>
      </c>
      <c r="CV180" s="239">
        <v>195751.29173553723</v>
      </c>
      <c r="CW180" s="239">
        <v>44044.04064049587</v>
      </c>
      <c r="CX180" s="239">
        <v>4893.7822933884308</v>
      </c>
      <c r="CY180" s="239">
        <v>196281</v>
      </c>
      <c r="CZ180" s="239">
        <v>44163</v>
      </c>
      <c r="DA180" s="239">
        <v>4907</v>
      </c>
      <c r="DB180" s="239">
        <v>-530</v>
      </c>
      <c r="DC180" s="239">
        <v>-119</v>
      </c>
      <c r="DD180" s="239">
        <v>-13</v>
      </c>
      <c r="DE180" s="641">
        <v>0.5</v>
      </c>
      <c r="DF180" s="641">
        <v>0.4</v>
      </c>
      <c r="DG180" s="641">
        <v>0.09</v>
      </c>
      <c r="DH180" s="641">
        <v>0.01</v>
      </c>
      <c r="DI180" s="214" t="s">
        <v>1190</v>
      </c>
    </row>
    <row r="181" spans="2:113" s="214" customFormat="1" x14ac:dyDescent="0.2">
      <c r="B181" s="609" t="s">
        <v>444</v>
      </c>
      <c r="C181" s="609" t="s">
        <v>443</v>
      </c>
      <c r="D181" s="239">
        <v>-626043</v>
      </c>
      <c r="E181" s="239">
        <v>0</v>
      </c>
      <c r="F181" s="239">
        <v>-626043</v>
      </c>
      <c r="G181" s="239">
        <v>0</v>
      </c>
      <c r="H181" s="239">
        <v>0</v>
      </c>
      <c r="I181" s="239">
        <v>0</v>
      </c>
      <c r="J181" s="239">
        <v>-626043</v>
      </c>
      <c r="K181" s="239">
        <v>0</v>
      </c>
      <c r="L181" s="239">
        <v>-626043</v>
      </c>
      <c r="M181" s="239">
        <v>373571</v>
      </c>
      <c r="N181" s="239">
        <v>373571</v>
      </c>
      <c r="O181" s="239">
        <v>0</v>
      </c>
      <c r="P181" s="239">
        <v>0</v>
      </c>
      <c r="Q181" s="239">
        <v>218379</v>
      </c>
      <c r="R181" s="239">
        <v>-218379</v>
      </c>
      <c r="S181" s="239">
        <v>0</v>
      </c>
      <c r="T181" s="239">
        <v>0</v>
      </c>
      <c r="U181" s="239">
        <v>0</v>
      </c>
      <c r="V181" s="239">
        <v>0</v>
      </c>
      <c r="W181" s="239">
        <v>0</v>
      </c>
      <c r="X181" s="239">
        <v>0</v>
      </c>
      <c r="Y181" s="239">
        <v>786351.71694214875</v>
      </c>
      <c r="Z181" s="239">
        <v>786351.71694214875</v>
      </c>
      <c r="AA181" s="239">
        <v>0</v>
      </c>
      <c r="AB181" s="239">
        <v>0</v>
      </c>
      <c r="AC181" s="239">
        <v>240048</v>
      </c>
      <c r="AD181" s="239">
        <v>240048</v>
      </c>
      <c r="AE181" s="239">
        <v>0</v>
      </c>
      <c r="AF181" s="239">
        <v>0</v>
      </c>
      <c r="AG181" s="239">
        <v>546304</v>
      </c>
      <c r="AH181" s="239">
        <v>546304</v>
      </c>
      <c r="AI181" s="239">
        <v>0</v>
      </c>
      <c r="AJ181" s="239">
        <v>0</v>
      </c>
      <c r="AK181" s="239">
        <v>792618.81456611573</v>
      </c>
      <c r="AL181" s="239">
        <v>527610.4411157025</v>
      </c>
      <c r="AM181" s="239">
        <v>0</v>
      </c>
      <c r="AN181" s="239">
        <v>752667</v>
      </c>
      <c r="AO181" s="239">
        <v>500976</v>
      </c>
      <c r="AP181" s="239">
        <v>0</v>
      </c>
      <c r="AQ181" s="239">
        <v>39952</v>
      </c>
      <c r="AR181" s="239">
        <v>26634</v>
      </c>
      <c r="AS181" s="239">
        <v>0</v>
      </c>
      <c r="AT181" s="239">
        <v>0</v>
      </c>
      <c r="AU181" s="239">
        <v>0</v>
      </c>
      <c r="AV181" s="239">
        <v>0</v>
      </c>
      <c r="AW181" s="239">
        <v>0</v>
      </c>
      <c r="AX181" s="239">
        <v>0</v>
      </c>
      <c r="AY181" s="239">
        <v>0</v>
      </c>
      <c r="AZ181" s="239">
        <v>0</v>
      </c>
      <c r="BA181" s="239">
        <v>0</v>
      </c>
      <c r="BB181" s="239">
        <v>0</v>
      </c>
      <c r="BC181" s="239">
        <v>0</v>
      </c>
      <c r="BD181" s="239">
        <v>0</v>
      </c>
      <c r="BE181" s="239">
        <v>0</v>
      </c>
      <c r="BF181" s="239">
        <v>0</v>
      </c>
      <c r="BG181" s="239">
        <v>0</v>
      </c>
      <c r="BH181" s="239">
        <v>0</v>
      </c>
      <c r="BI181" s="239">
        <v>0</v>
      </c>
      <c r="BJ181" s="239">
        <v>0</v>
      </c>
      <c r="BK181" s="239">
        <v>0</v>
      </c>
      <c r="BL181" s="239">
        <v>5702.7012396694208</v>
      </c>
      <c r="BM181" s="239">
        <v>3801.800826446281</v>
      </c>
      <c r="BN181" s="239">
        <v>0</v>
      </c>
      <c r="BO181" s="239">
        <v>0</v>
      </c>
      <c r="BP181" s="239">
        <v>0</v>
      </c>
      <c r="BQ181" s="239">
        <v>0</v>
      </c>
      <c r="BR181" s="239">
        <v>5703</v>
      </c>
      <c r="BS181" s="239">
        <v>3802</v>
      </c>
      <c r="BT181" s="239">
        <v>0</v>
      </c>
      <c r="BU181" s="239">
        <v>15079.989669421488</v>
      </c>
      <c r="BV181" s="239">
        <v>10053.326446280993</v>
      </c>
      <c r="BW181" s="239">
        <v>0</v>
      </c>
      <c r="BX181" s="239">
        <v>0</v>
      </c>
      <c r="BY181" s="239">
        <v>0</v>
      </c>
      <c r="BZ181" s="239">
        <v>0</v>
      </c>
      <c r="CA181" s="239">
        <v>15080</v>
      </c>
      <c r="CB181" s="239">
        <v>10053</v>
      </c>
      <c r="CC181" s="239">
        <v>0</v>
      </c>
      <c r="CD181" s="239">
        <v>0</v>
      </c>
      <c r="CE181" s="239">
        <v>0</v>
      </c>
      <c r="CF181" s="239">
        <v>0</v>
      </c>
      <c r="CG181" s="239">
        <v>0</v>
      </c>
      <c r="CH181" s="239">
        <v>0</v>
      </c>
      <c r="CI181" s="239">
        <v>0</v>
      </c>
      <c r="CJ181" s="239">
        <v>0</v>
      </c>
      <c r="CK181" s="239">
        <v>0</v>
      </c>
      <c r="CL181" s="239">
        <v>0</v>
      </c>
      <c r="CM181" s="239">
        <v>6866.4929752066118</v>
      </c>
      <c r="CN181" s="239">
        <v>4577.6619834710746</v>
      </c>
      <c r="CO181" s="239">
        <v>0</v>
      </c>
      <c r="CP181" s="239">
        <v>15400</v>
      </c>
      <c r="CQ181" s="239">
        <v>10267</v>
      </c>
      <c r="CR181" s="239">
        <v>0</v>
      </c>
      <c r="CS181" s="239">
        <v>-8534</v>
      </c>
      <c r="CT181" s="239">
        <v>-5689</v>
      </c>
      <c r="CU181" s="239">
        <v>0</v>
      </c>
      <c r="CV181" s="239">
        <v>563676.58512396691</v>
      </c>
      <c r="CW181" s="239">
        <v>375784.39008264465</v>
      </c>
      <c r="CX181" s="239">
        <v>0</v>
      </c>
      <c r="CY181" s="239">
        <v>581961</v>
      </c>
      <c r="CZ181" s="239">
        <v>383554</v>
      </c>
      <c r="DA181" s="239">
        <v>0</v>
      </c>
      <c r="DB181" s="239">
        <v>-18284</v>
      </c>
      <c r="DC181" s="239">
        <v>-7770</v>
      </c>
      <c r="DD181" s="239">
        <v>0</v>
      </c>
      <c r="DE181" s="641">
        <v>0.5</v>
      </c>
      <c r="DF181" s="641">
        <v>0.3</v>
      </c>
      <c r="DG181" s="641">
        <v>0.2</v>
      </c>
      <c r="DH181" s="641">
        <v>0</v>
      </c>
      <c r="DI181" s="214" t="s">
        <v>1191</v>
      </c>
    </row>
    <row r="182" spans="2:113" s="214" customFormat="1" x14ac:dyDescent="0.2">
      <c r="B182" s="609" t="s">
        <v>446</v>
      </c>
      <c r="C182" s="609" t="s">
        <v>445</v>
      </c>
      <c r="D182" s="239">
        <v>-817053</v>
      </c>
      <c r="E182" s="239">
        <v>0</v>
      </c>
      <c r="F182" s="239">
        <v>-817053</v>
      </c>
      <c r="G182" s="239">
        <v>0</v>
      </c>
      <c r="H182" s="239">
        <v>0</v>
      </c>
      <c r="I182" s="239">
        <v>0</v>
      </c>
      <c r="J182" s="239">
        <v>-817053</v>
      </c>
      <c r="K182" s="239">
        <v>0</v>
      </c>
      <c r="L182" s="239">
        <v>-817053</v>
      </c>
      <c r="M182" s="239">
        <v>204326</v>
      </c>
      <c r="N182" s="239">
        <v>204326</v>
      </c>
      <c r="O182" s="239">
        <v>0</v>
      </c>
      <c r="P182" s="239">
        <v>0</v>
      </c>
      <c r="Q182" s="239">
        <v>0</v>
      </c>
      <c r="R182" s="239">
        <v>0</v>
      </c>
      <c r="S182" s="239">
        <v>311483</v>
      </c>
      <c r="T182" s="239">
        <v>0</v>
      </c>
      <c r="U182" s="239">
        <v>171000</v>
      </c>
      <c r="V182" s="239">
        <v>0</v>
      </c>
      <c r="W182" s="239">
        <v>140483</v>
      </c>
      <c r="X182" s="239">
        <v>0</v>
      </c>
      <c r="Y182" s="239">
        <v>0</v>
      </c>
      <c r="Z182" s="239">
        <v>0</v>
      </c>
      <c r="AA182" s="239">
        <v>0</v>
      </c>
      <c r="AB182" s="239">
        <v>0</v>
      </c>
      <c r="AC182" s="239">
        <v>0</v>
      </c>
      <c r="AD182" s="239">
        <v>0</v>
      </c>
      <c r="AE182" s="239">
        <v>0</v>
      </c>
      <c r="AF182" s="239">
        <v>0</v>
      </c>
      <c r="AG182" s="239">
        <v>0</v>
      </c>
      <c r="AH182" s="239">
        <v>0</v>
      </c>
      <c r="AI182" s="239">
        <v>0</v>
      </c>
      <c r="AJ182" s="239">
        <v>0</v>
      </c>
      <c r="AK182" s="239">
        <v>1041523.6053719007</v>
      </c>
      <c r="AL182" s="239">
        <v>234342.81120867768</v>
      </c>
      <c r="AM182" s="239">
        <v>26038.090134297519</v>
      </c>
      <c r="AN182" s="239">
        <v>943309</v>
      </c>
      <c r="AO182" s="239">
        <v>212245</v>
      </c>
      <c r="AP182" s="239">
        <v>23583</v>
      </c>
      <c r="AQ182" s="239">
        <v>98215</v>
      </c>
      <c r="AR182" s="239">
        <v>22098</v>
      </c>
      <c r="AS182" s="239">
        <v>2455</v>
      </c>
      <c r="AT182" s="239">
        <v>5251.2652892561991</v>
      </c>
      <c r="AU182" s="239">
        <v>1181.5346900826446</v>
      </c>
      <c r="AV182" s="239">
        <v>131.28163223140496</v>
      </c>
      <c r="AW182" s="239">
        <v>494</v>
      </c>
      <c r="AX182" s="239">
        <v>111</v>
      </c>
      <c r="AY182" s="239">
        <v>12</v>
      </c>
      <c r="AZ182" s="239">
        <v>4757</v>
      </c>
      <c r="BA182" s="239">
        <v>1071</v>
      </c>
      <c r="BB182" s="239">
        <v>119</v>
      </c>
      <c r="BC182" s="239">
        <v>2440.3917355371905</v>
      </c>
      <c r="BD182" s="239">
        <v>549.08814049586772</v>
      </c>
      <c r="BE182" s="239">
        <v>61.009793388429756</v>
      </c>
      <c r="BF182" s="239">
        <v>0</v>
      </c>
      <c r="BG182" s="239">
        <v>0</v>
      </c>
      <c r="BH182" s="239">
        <v>0</v>
      </c>
      <c r="BI182" s="239">
        <v>2440</v>
      </c>
      <c r="BJ182" s="239">
        <v>549</v>
      </c>
      <c r="BK182" s="239">
        <v>61</v>
      </c>
      <c r="BL182" s="239">
        <v>10601.542148760331</v>
      </c>
      <c r="BM182" s="239">
        <v>2385.3469834710741</v>
      </c>
      <c r="BN182" s="239">
        <v>265.03855371900829</v>
      </c>
      <c r="BO182" s="239">
        <v>3933</v>
      </c>
      <c r="BP182" s="239">
        <v>885</v>
      </c>
      <c r="BQ182" s="239">
        <v>98</v>
      </c>
      <c r="BR182" s="239">
        <v>6669</v>
      </c>
      <c r="BS182" s="239">
        <v>1500</v>
      </c>
      <c r="BT182" s="239">
        <v>167</v>
      </c>
      <c r="BU182" s="239">
        <v>3004.4330578512399</v>
      </c>
      <c r="BV182" s="239">
        <v>675.99743801652892</v>
      </c>
      <c r="BW182" s="239">
        <v>75.110826446280996</v>
      </c>
      <c r="BX182" s="239">
        <v>0</v>
      </c>
      <c r="BY182" s="239">
        <v>0</v>
      </c>
      <c r="BZ182" s="239">
        <v>0</v>
      </c>
      <c r="CA182" s="239">
        <v>3004</v>
      </c>
      <c r="CB182" s="239">
        <v>676</v>
      </c>
      <c r="CC182" s="239">
        <v>75</v>
      </c>
      <c r="CD182" s="239">
        <v>0</v>
      </c>
      <c r="CE182" s="239">
        <v>0</v>
      </c>
      <c r="CF182" s="239">
        <v>0</v>
      </c>
      <c r="CG182" s="239">
        <v>0</v>
      </c>
      <c r="CH182" s="239">
        <v>0</v>
      </c>
      <c r="CI182" s="239">
        <v>0</v>
      </c>
      <c r="CJ182" s="239">
        <v>0</v>
      </c>
      <c r="CK182" s="239">
        <v>0</v>
      </c>
      <c r="CL182" s="239">
        <v>0</v>
      </c>
      <c r="CM182" s="239">
        <v>3359.0892561983474</v>
      </c>
      <c r="CN182" s="239">
        <v>755.79508264462811</v>
      </c>
      <c r="CO182" s="239">
        <v>83.977231404958687</v>
      </c>
      <c r="CP182" s="239">
        <v>5795</v>
      </c>
      <c r="CQ182" s="239">
        <v>1304</v>
      </c>
      <c r="CR182" s="239">
        <v>145</v>
      </c>
      <c r="CS182" s="239">
        <v>-2436</v>
      </c>
      <c r="CT182" s="239">
        <v>-548</v>
      </c>
      <c r="CU182" s="239">
        <v>-61</v>
      </c>
      <c r="CV182" s="239">
        <v>188083.02603305786</v>
      </c>
      <c r="CW182" s="239">
        <v>41305.073987603311</v>
      </c>
      <c r="CX182" s="239">
        <v>4589.4526652892555</v>
      </c>
      <c r="CY182" s="239">
        <v>196755</v>
      </c>
      <c r="CZ182" s="239">
        <v>43713</v>
      </c>
      <c r="DA182" s="239">
        <v>4857</v>
      </c>
      <c r="DB182" s="239">
        <v>-8672</v>
      </c>
      <c r="DC182" s="239">
        <v>-2408</v>
      </c>
      <c r="DD182" s="239">
        <v>-268</v>
      </c>
      <c r="DE182" s="641">
        <v>0.5</v>
      </c>
      <c r="DF182" s="641">
        <v>0.4</v>
      </c>
      <c r="DG182" s="641">
        <v>0.09</v>
      </c>
      <c r="DH182" s="641">
        <v>0.01</v>
      </c>
      <c r="DI182" s="214" t="s">
        <v>1190</v>
      </c>
    </row>
    <row r="183" spans="2:113" s="214" customFormat="1" x14ac:dyDescent="0.2">
      <c r="B183" s="609" t="s">
        <v>448</v>
      </c>
      <c r="C183" s="609" t="s">
        <v>447</v>
      </c>
      <c r="D183" s="239">
        <v>-33103</v>
      </c>
      <c r="E183" s="239">
        <v>0</v>
      </c>
      <c r="F183" s="239">
        <v>-33103</v>
      </c>
      <c r="G183" s="239">
        <v>0</v>
      </c>
      <c r="H183" s="239">
        <v>0</v>
      </c>
      <c r="I183" s="239">
        <v>0</v>
      </c>
      <c r="J183" s="239">
        <v>-33103</v>
      </c>
      <c r="K183" s="239">
        <v>0</v>
      </c>
      <c r="L183" s="239">
        <v>-33103</v>
      </c>
      <c r="M183" s="239">
        <v>92786</v>
      </c>
      <c r="N183" s="239">
        <v>92786</v>
      </c>
      <c r="O183" s="239">
        <v>0</v>
      </c>
      <c r="P183" s="239">
        <v>0</v>
      </c>
      <c r="Q183" s="239">
        <v>0</v>
      </c>
      <c r="R183" s="239">
        <v>0</v>
      </c>
      <c r="S183" s="239">
        <v>180940</v>
      </c>
      <c r="T183" s="239">
        <v>0</v>
      </c>
      <c r="U183" s="239">
        <v>0</v>
      </c>
      <c r="V183" s="239">
        <v>0</v>
      </c>
      <c r="W183" s="239">
        <v>180940</v>
      </c>
      <c r="X183" s="239">
        <v>0</v>
      </c>
      <c r="Y183" s="239">
        <v>0</v>
      </c>
      <c r="Z183" s="239">
        <v>0</v>
      </c>
      <c r="AA183" s="239">
        <v>0</v>
      </c>
      <c r="AB183" s="239">
        <v>0</v>
      </c>
      <c r="AC183" s="239">
        <v>0</v>
      </c>
      <c r="AD183" s="239">
        <v>0</v>
      </c>
      <c r="AE183" s="239">
        <v>0</v>
      </c>
      <c r="AF183" s="239">
        <v>0</v>
      </c>
      <c r="AG183" s="239">
        <v>0</v>
      </c>
      <c r="AH183" s="239">
        <v>0</v>
      </c>
      <c r="AI183" s="239">
        <v>0</v>
      </c>
      <c r="AJ183" s="239">
        <v>0</v>
      </c>
      <c r="AK183" s="239">
        <v>419757.7260330579</v>
      </c>
      <c r="AL183" s="239">
        <v>94445.488357438007</v>
      </c>
      <c r="AM183" s="239">
        <v>10493.943150826446</v>
      </c>
      <c r="AN183" s="239">
        <v>377819</v>
      </c>
      <c r="AO183" s="239">
        <v>85010</v>
      </c>
      <c r="AP183" s="239">
        <v>9446</v>
      </c>
      <c r="AQ183" s="239">
        <v>41939</v>
      </c>
      <c r="AR183" s="239">
        <v>9435</v>
      </c>
      <c r="AS183" s="239">
        <v>1048</v>
      </c>
      <c r="AT183" s="239">
        <v>2883.1033057851241</v>
      </c>
      <c r="AU183" s="239">
        <v>648.69824380165289</v>
      </c>
      <c r="AV183" s="239">
        <v>72.077582644628109</v>
      </c>
      <c r="AW183" s="239">
        <v>1075</v>
      </c>
      <c r="AX183" s="239">
        <v>242</v>
      </c>
      <c r="AY183" s="239">
        <v>27</v>
      </c>
      <c r="AZ183" s="239">
        <v>1808</v>
      </c>
      <c r="BA183" s="239">
        <v>407</v>
      </c>
      <c r="BB183" s="239">
        <v>45</v>
      </c>
      <c r="BC183" s="239">
        <v>5501.2289256198355</v>
      </c>
      <c r="BD183" s="239">
        <v>1237.7765082644628</v>
      </c>
      <c r="BE183" s="239">
        <v>137.53072314049587</v>
      </c>
      <c r="BF183" s="239">
        <v>13562</v>
      </c>
      <c r="BG183" s="239">
        <v>3052</v>
      </c>
      <c r="BH183" s="239">
        <v>339</v>
      </c>
      <c r="BI183" s="239">
        <v>-8061</v>
      </c>
      <c r="BJ183" s="239">
        <v>-1814</v>
      </c>
      <c r="BK183" s="239">
        <v>-201</v>
      </c>
      <c r="BL183" s="239">
        <v>3008.8966942148763</v>
      </c>
      <c r="BM183" s="239">
        <v>677.00175619834704</v>
      </c>
      <c r="BN183" s="239">
        <v>75.222417355371903</v>
      </c>
      <c r="BO183" s="239">
        <v>1801</v>
      </c>
      <c r="BP183" s="239">
        <v>405</v>
      </c>
      <c r="BQ183" s="239">
        <v>45</v>
      </c>
      <c r="BR183" s="239">
        <v>1208</v>
      </c>
      <c r="BS183" s="239">
        <v>272</v>
      </c>
      <c r="BT183" s="239">
        <v>30</v>
      </c>
      <c r="BU183" s="239">
        <v>680.90743801652889</v>
      </c>
      <c r="BV183" s="239">
        <v>153.20417355371899</v>
      </c>
      <c r="BW183" s="239">
        <v>17.022685950413223</v>
      </c>
      <c r="BX183" s="239">
        <v>0</v>
      </c>
      <c r="BY183" s="239">
        <v>0</v>
      </c>
      <c r="BZ183" s="239">
        <v>0</v>
      </c>
      <c r="CA183" s="239">
        <v>681</v>
      </c>
      <c r="CB183" s="239">
        <v>153</v>
      </c>
      <c r="CC183" s="239">
        <v>17</v>
      </c>
      <c r="CD183" s="239">
        <v>6952.7223140495871</v>
      </c>
      <c r="CE183" s="239">
        <v>1564.3625206611571</v>
      </c>
      <c r="CF183" s="239">
        <v>173.81805785123967</v>
      </c>
      <c r="CG183" s="239">
        <v>0</v>
      </c>
      <c r="CH183" s="239">
        <v>0</v>
      </c>
      <c r="CI183" s="239">
        <v>0</v>
      </c>
      <c r="CJ183" s="239">
        <v>6953</v>
      </c>
      <c r="CK183" s="239">
        <v>1564</v>
      </c>
      <c r="CL183" s="239">
        <v>174</v>
      </c>
      <c r="CM183" s="239">
        <v>0</v>
      </c>
      <c r="CN183" s="239">
        <v>0</v>
      </c>
      <c r="CO183" s="239">
        <v>0</v>
      </c>
      <c r="CP183" s="239">
        <v>6558</v>
      </c>
      <c r="CQ183" s="239">
        <v>1476</v>
      </c>
      <c r="CR183" s="239">
        <v>164</v>
      </c>
      <c r="CS183" s="239">
        <v>-6558</v>
      </c>
      <c r="CT183" s="239">
        <v>-1476</v>
      </c>
      <c r="CU183" s="239">
        <v>-164</v>
      </c>
      <c r="CV183" s="239">
        <v>74384.209917355372</v>
      </c>
      <c r="CW183" s="239">
        <v>16147.644545454545</v>
      </c>
      <c r="CX183" s="239">
        <v>1794.1827272727271</v>
      </c>
      <c r="CY183" s="239">
        <v>74927</v>
      </c>
      <c r="CZ183" s="239">
        <v>16859</v>
      </c>
      <c r="DA183" s="239">
        <v>1873</v>
      </c>
      <c r="DB183" s="239">
        <v>-543</v>
      </c>
      <c r="DC183" s="239">
        <v>-711</v>
      </c>
      <c r="DD183" s="239">
        <v>-79</v>
      </c>
      <c r="DE183" s="641">
        <v>0.5</v>
      </c>
      <c r="DF183" s="641">
        <v>0.4</v>
      </c>
      <c r="DG183" s="641">
        <v>0.09</v>
      </c>
      <c r="DH183" s="641">
        <v>0.01</v>
      </c>
      <c r="DI183" s="214" t="s">
        <v>1190</v>
      </c>
    </row>
    <row r="184" spans="2:113" s="214" customFormat="1" x14ac:dyDescent="0.2">
      <c r="B184" s="609" t="s">
        <v>450</v>
      </c>
      <c r="C184" s="609" t="s">
        <v>449</v>
      </c>
      <c r="D184" s="239">
        <v>-121706</v>
      </c>
      <c r="E184" s="239">
        <v>0</v>
      </c>
      <c r="F184" s="239">
        <v>-121706</v>
      </c>
      <c r="G184" s="239">
        <v>0</v>
      </c>
      <c r="H184" s="239">
        <v>0</v>
      </c>
      <c r="I184" s="239">
        <v>0</v>
      </c>
      <c r="J184" s="239">
        <v>-121706</v>
      </c>
      <c r="K184" s="239">
        <v>0</v>
      </c>
      <c r="L184" s="239">
        <v>-121706</v>
      </c>
      <c r="M184" s="239">
        <v>97755</v>
      </c>
      <c r="N184" s="239">
        <v>97755</v>
      </c>
      <c r="O184" s="239">
        <v>0</v>
      </c>
      <c r="P184" s="239">
        <v>0</v>
      </c>
      <c r="Q184" s="239">
        <v>0</v>
      </c>
      <c r="R184" s="239">
        <v>0</v>
      </c>
      <c r="S184" s="239">
        <v>0</v>
      </c>
      <c r="T184" s="239">
        <v>0</v>
      </c>
      <c r="U184" s="239">
        <v>0</v>
      </c>
      <c r="V184" s="239">
        <v>0</v>
      </c>
      <c r="W184" s="239">
        <v>0</v>
      </c>
      <c r="X184" s="239">
        <v>0</v>
      </c>
      <c r="Y184" s="239">
        <v>0</v>
      </c>
      <c r="Z184" s="239">
        <v>0</v>
      </c>
      <c r="AA184" s="239">
        <v>0</v>
      </c>
      <c r="AB184" s="239">
        <v>0</v>
      </c>
      <c r="AC184" s="239">
        <v>0</v>
      </c>
      <c r="AD184" s="239">
        <v>0</v>
      </c>
      <c r="AE184" s="239">
        <v>0</v>
      </c>
      <c r="AF184" s="239">
        <v>0</v>
      </c>
      <c r="AG184" s="239">
        <v>0</v>
      </c>
      <c r="AH184" s="239">
        <v>0</v>
      </c>
      <c r="AI184" s="239">
        <v>0</v>
      </c>
      <c r="AJ184" s="239">
        <v>0</v>
      </c>
      <c r="AK184" s="239">
        <v>402824.92148760334</v>
      </c>
      <c r="AL184" s="239">
        <v>90635.60733471073</v>
      </c>
      <c r="AM184" s="239">
        <v>10070.623037190082</v>
      </c>
      <c r="AN184" s="239">
        <v>375477</v>
      </c>
      <c r="AO184" s="239">
        <v>84482</v>
      </c>
      <c r="AP184" s="239">
        <v>9387</v>
      </c>
      <c r="AQ184" s="239">
        <v>27348</v>
      </c>
      <c r="AR184" s="239">
        <v>6154</v>
      </c>
      <c r="AS184" s="239">
        <v>684</v>
      </c>
      <c r="AT184" s="239">
        <v>0</v>
      </c>
      <c r="AU184" s="239">
        <v>0</v>
      </c>
      <c r="AV184" s="239">
        <v>0</v>
      </c>
      <c r="AW184" s="239">
        <v>0</v>
      </c>
      <c r="AX184" s="239">
        <v>0</v>
      </c>
      <c r="AY184" s="239">
        <v>0</v>
      </c>
      <c r="AZ184" s="239">
        <v>0</v>
      </c>
      <c r="BA184" s="239">
        <v>0</v>
      </c>
      <c r="BB184" s="239">
        <v>0</v>
      </c>
      <c r="BC184" s="239">
        <v>0</v>
      </c>
      <c r="BD184" s="239">
        <v>0</v>
      </c>
      <c r="BE184" s="239">
        <v>0</v>
      </c>
      <c r="BF184" s="239">
        <v>0</v>
      </c>
      <c r="BG184" s="239">
        <v>0</v>
      </c>
      <c r="BH184" s="239">
        <v>0</v>
      </c>
      <c r="BI184" s="239">
        <v>0</v>
      </c>
      <c r="BJ184" s="239">
        <v>0</v>
      </c>
      <c r="BK184" s="239">
        <v>0</v>
      </c>
      <c r="BL184" s="239">
        <v>0</v>
      </c>
      <c r="BM184" s="239">
        <v>0</v>
      </c>
      <c r="BN184" s="239">
        <v>0</v>
      </c>
      <c r="BO184" s="239">
        <v>0</v>
      </c>
      <c r="BP184" s="239">
        <v>0</v>
      </c>
      <c r="BQ184" s="239">
        <v>0</v>
      </c>
      <c r="BR184" s="239">
        <v>0</v>
      </c>
      <c r="BS184" s="239">
        <v>0</v>
      </c>
      <c r="BT184" s="239">
        <v>0</v>
      </c>
      <c r="BU184" s="239">
        <v>-9264.4801652892565</v>
      </c>
      <c r="BV184" s="239">
        <v>-2084.5080371900826</v>
      </c>
      <c r="BW184" s="239">
        <v>-231.61200413223142</v>
      </c>
      <c r="BX184" s="239">
        <v>0</v>
      </c>
      <c r="BY184" s="239">
        <v>0</v>
      </c>
      <c r="BZ184" s="239">
        <v>0</v>
      </c>
      <c r="CA184" s="239">
        <v>-9264</v>
      </c>
      <c r="CB184" s="239">
        <v>-2085</v>
      </c>
      <c r="CC184" s="239">
        <v>-232</v>
      </c>
      <c r="CD184" s="239">
        <v>0</v>
      </c>
      <c r="CE184" s="239">
        <v>0</v>
      </c>
      <c r="CF184" s="239">
        <v>0</v>
      </c>
      <c r="CG184" s="239">
        <v>0</v>
      </c>
      <c r="CH184" s="239">
        <v>0</v>
      </c>
      <c r="CI184" s="239">
        <v>0</v>
      </c>
      <c r="CJ184" s="239">
        <v>0</v>
      </c>
      <c r="CK184" s="239">
        <v>0</v>
      </c>
      <c r="CL184" s="239">
        <v>0</v>
      </c>
      <c r="CM184" s="239">
        <v>4320.3942148760334</v>
      </c>
      <c r="CN184" s="239">
        <v>972.08869834710742</v>
      </c>
      <c r="CO184" s="239">
        <v>108.00985537190083</v>
      </c>
      <c r="CP184" s="239">
        <v>4320</v>
      </c>
      <c r="CQ184" s="239">
        <v>972</v>
      </c>
      <c r="CR184" s="239">
        <v>108</v>
      </c>
      <c r="CS184" s="239">
        <v>0</v>
      </c>
      <c r="CT184" s="239">
        <v>0</v>
      </c>
      <c r="CU184" s="239">
        <v>0</v>
      </c>
      <c r="CV184" s="239">
        <v>95271.550413223144</v>
      </c>
      <c r="CW184" s="239">
        <v>21436.098842975207</v>
      </c>
      <c r="CX184" s="239">
        <v>2381.7887603305785</v>
      </c>
      <c r="CY184" s="239">
        <v>94661</v>
      </c>
      <c r="CZ184" s="239">
        <v>21299</v>
      </c>
      <c r="DA184" s="239">
        <v>2367</v>
      </c>
      <c r="DB184" s="239">
        <v>611</v>
      </c>
      <c r="DC184" s="239">
        <v>137</v>
      </c>
      <c r="DD184" s="239">
        <v>15</v>
      </c>
      <c r="DE184" s="641">
        <v>0.5</v>
      </c>
      <c r="DF184" s="641">
        <v>0.4</v>
      </c>
      <c r="DG184" s="641">
        <v>0.09</v>
      </c>
      <c r="DH184" s="641">
        <v>0.01</v>
      </c>
      <c r="DI184" s="214" t="s">
        <v>1190</v>
      </c>
    </row>
    <row r="185" spans="2:113" s="214" customFormat="1" x14ac:dyDescent="0.2">
      <c r="B185" s="609" t="s">
        <v>452</v>
      </c>
      <c r="C185" s="609" t="s">
        <v>451</v>
      </c>
      <c r="D185" s="239">
        <v>163060</v>
      </c>
      <c r="E185" s="239">
        <v>0</v>
      </c>
      <c r="F185" s="239">
        <v>163060</v>
      </c>
      <c r="G185" s="239">
        <v>0</v>
      </c>
      <c r="H185" s="239">
        <v>0</v>
      </c>
      <c r="I185" s="239">
        <v>0</v>
      </c>
      <c r="J185" s="239">
        <v>163060</v>
      </c>
      <c r="K185" s="239">
        <v>0</v>
      </c>
      <c r="L185" s="239">
        <v>163060</v>
      </c>
      <c r="M185" s="239">
        <v>235530</v>
      </c>
      <c r="N185" s="239">
        <v>235530</v>
      </c>
      <c r="O185" s="239">
        <v>0</v>
      </c>
      <c r="P185" s="239">
        <v>0</v>
      </c>
      <c r="Q185" s="239">
        <v>0</v>
      </c>
      <c r="R185" s="239">
        <v>0</v>
      </c>
      <c r="S185" s="239">
        <v>96790</v>
      </c>
      <c r="T185" s="239">
        <v>0</v>
      </c>
      <c r="U185" s="239">
        <v>0</v>
      </c>
      <c r="V185" s="239">
        <v>0</v>
      </c>
      <c r="W185" s="239">
        <v>96790</v>
      </c>
      <c r="X185" s="239">
        <v>0</v>
      </c>
      <c r="Y185" s="239">
        <v>66678.611570247929</v>
      </c>
      <c r="Z185" s="239">
        <v>66678.611570247929</v>
      </c>
      <c r="AA185" s="239">
        <v>0</v>
      </c>
      <c r="AB185" s="239">
        <v>0</v>
      </c>
      <c r="AC185" s="239">
        <v>65728</v>
      </c>
      <c r="AD185" s="239">
        <v>65728</v>
      </c>
      <c r="AE185" s="239">
        <v>0</v>
      </c>
      <c r="AF185" s="239">
        <v>0</v>
      </c>
      <c r="AG185" s="239">
        <v>951</v>
      </c>
      <c r="AH185" s="239">
        <v>951</v>
      </c>
      <c r="AI185" s="239">
        <v>0</v>
      </c>
      <c r="AJ185" s="239">
        <v>0</v>
      </c>
      <c r="AK185" s="239">
        <v>917076.1402582645</v>
      </c>
      <c r="AL185" s="239">
        <v>0</v>
      </c>
      <c r="AM185" s="239">
        <v>18715.839597107439</v>
      </c>
      <c r="AN185" s="239">
        <v>854786</v>
      </c>
      <c r="AO185" s="239">
        <v>0</v>
      </c>
      <c r="AP185" s="239">
        <v>17445</v>
      </c>
      <c r="AQ185" s="239">
        <v>62290</v>
      </c>
      <c r="AR185" s="239">
        <v>0</v>
      </c>
      <c r="AS185" s="239">
        <v>1271</v>
      </c>
      <c r="AT185" s="239">
        <v>9821.9376239669436</v>
      </c>
      <c r="AU185" s="239">
        <v>0</v>
      </c>
      <c r="AV185" s="239">
        <v>200.44770661157028</v>
      </c>
      <c r="AW185" s="239">
        <v>15989</v>
      </c>
      <c r="AX185" s="239">
        <v>0</v>
      </c>
      <c r="AY185" s="239">
        <v>326</v>
      </c>
      <c r="AZ185" s="239">
        <v>-6167</v>
      </c>
      <c r="BA185" s="239">
        <v>0</v>
      </c>
      <c r="BB185" s="239">
        <v>-126</v>
      </c>
      <c r="BC185" s="239">
        <v>19503.199690082645</v>
      </c>
      <c r="BD185" s="239">
        <v>0</v>
      </c>
      <c r="BE185" s="239">
        <v>398.0244834710744</v>
      </c>
      <c r="BF185" s="239">
        <v>0</v>
      </c>
      <c r="BG185" s="239">
        <v>0</v>
      </c>
      <c r="BH185" s="239">
        <v>0</v>
      </c>
      <c r="BI185" s="239">
        <v>19503</v>
      </c>
      <c r="BJ185" s="239">
        <v>0</v>
      </c>
      <c r="BK185" s="239">
        <v>398</v>
      </c>
      <c r="BL185" s="239">
        <v>15148.22243801653</v>
      </c>
      <c r="BM185" s="239">
        <v>0</v>
      </c>
      <c r="BN185" s="239">
        <v>309.14739669421488</v>
      </c>
      <c r="BO185" s="239">
        <v>10273</v>
      </c>
      <c r="BP185" s="239">
        <v>0</v>
      </c>
      <c r="BQ185" s="239">
        <v>210</v>
      </c>
      <c r="BR185" s="239">
        <v>4875</v>
      </c>
      <c r="BS185" s="239">
        <v>0</v>
      </c>
      <c r="BT185" s="239">
        <v>99</v>
      </c>
      <c r="BU185" s="239">
        <v>-8895.8649586776864</v>
      </c>
      <c r="BV185" s="239">
        <v>0</v>
      </c>
      <c r="BW185" s="239">
        <v>-181.54826446280993</v>
      </c>
      <c r="BX185" s="239">
        <v>0</v>
      </c>
      <c r="BY185" s="239">
        <v>0</v>
      </c>
      <c r="BZ185" s="239">
        <v>0</v>
      </c>
      <c r="CA185" s="239">
        <v>-8896</v>
      </c>
      <c r="CB185" s="239">
        <v>0</v>
      </c>
      <c r="CC185" s="239">
        <v>-182</v>
      </c>
      <c r="CD185" s="239">
        <v>0</v>
      </c>
      <c r="CE185" s="239">
        <v>0</v>
      </c>
      <c r="CF185" s="239">
        <v>0</v>
      </c>
      <c r="CG185" s="239">
        <v>0</v>
      </c>
      <c r="CH185" s="239">
        <v>0</v>
      </c>
      <c r="CI185" s="239">
        <v>0</v>
      </c>
      <c r="CJ185" s="239">
        <v>0</v>
      </c>
      <c r="CK185" s="239">
        <v>0</v>
      </c>
      <c r="CL185" s="239">
        <v>0</v>
      </c>
      <c r="CM185" s="239">
        <v>142.16681818181823</v>
      </c>
      <c r="CN185" s="239">
        <v>0</v>
      </c>
      <c r="CO185" s="239">
        <v>2.9013636363636368</v>
      </c>
      <c r="CP185" s="239">
        <v>397</v>
      </c>
      <c r="CQ185" s="239">
        <v>0</v>
      </c>
      <c r="CR185" s="239">
        <v>8</v>
      </c>
      <c r="CS185" s="239">
        <v>-255</v>
      </c>
      <c r="CT185" s="239">
        <v>0</v>
      </c>
      <c r="CU185" s="239">
        <v>-5</v>
      </c>
      <c r="CV185" s="239">
        <v>472848.35919421486</v>
      </c>
      <c r="CW185" s="239">
        <v>0</v>
      </c>
      <c r="CX185" s="239">
        <v>9621.3980371900834</v>
      </c>
      <c r="CY185" s="239">
        <v>477948</v>
      </c>
      <c r="CZ185" s="239">
        <v>0</v>
      </c>
      <c r="DA185" s="239">
        <v>9735</v>
      </c>
      <c r="DB185" s="239">
        <v>-5100</v>
      </c>
      <c r="DC185" s="239">
        <v>0</v>
      </c>
      <c r="DD185" s="239">
        <v>-114</v>
      </c>
      <c r="DE185" s="641">
        <v>0.5</v>
      </c>
      <c r="DF185" s="641">
        <v>0.49</v>
      </c>
      <c r="DG185" s="641">
        <v>0</v>
      </c>
      <c r="DH185" s="641">
        <v>0.01</v>
      </c>
      <c r="DI185" s="214" t="s">
        <v>747</v>
      </c>
    </row>
    <row r="186" spans="2:113" s="214" customFormat="1" x14ac:dyDescent="0.2">
      <c r="B186" s="609" t="s">
        <v>454</v>
      </c>
      <c r="C186" s="609" t="s">
        <v>453</v>
      </c>
      <c r="D186" s="239">
        <v>-48261</v>
      </c>
      <c r="E186" s="239">
        <v>0</v>
      </c>
      <c r="F186" s="239">
        <v>-48261</v>
      </c>
      <c r="G186" s="239">
        <v>0</v>
      </c>
      <c r="H186" s="239">
        <v>0</v>
      </c>
      <c r="I186" s="239">
        <v>0</v>
      </c>
      <c r="J186" s="239">
        <v>-48261</v>
      </c>
      <c r="K186" s="239">
        <v>0</v>
      </c>
      <c r="L186" s="239">
        <v>-48261</v>
      </c>
      <c r="M186" s="239">
        <v>180409</v>
      </c>
      <c r="N186" s="239">
        <v>180409</v>
      </c>
      <c r="O186" s="239">
        <v>0</v>
      </c>
      <c r="P186" s="239">
        <v>0</v>
      </c>
      <c r="Q186" s="239">
        <v>0</v>
      </c>
      <c r="R186" s="239">
        <v>0</v>
      </c>
      <c r="S186" s="239">
        <v>54086</v>
      </c>
      <c r="T186" s="239">
        <v>0</v>
      </c>
      <c r="U186" s="239">
        <v>37026</v>
      </c>
      <c r="V186" s="239">
        <v>0</v>
      </c>
      <c r="W186" s="239">
        <v>17060</v>
      </c>
      <c r="X186" s="239">
        <v>0</v>
      </c>
      <c r="Y186" s="239">
        <v>0</v>
      </c>
      <c r="Z186" s="239">
        <v>0</v>
      </c>
      <c r="AA186" s="239">
        <v>0</v>
      </c>
      <c r="AB186" s="239">
        <v>0</v>
      </c>
      <c r="AC186" s="239">
        <v>0</v>
      </c>
      <c r="AD186" s="239">
        <v>0</v>
      </c>
      <c r="AE186" s="239">
        <v>0</v>
      </c>
      <c r="AF186" s="239">
        <v>0</v>
      </c>
      <c r="AG186" s="239">
        <v>0</v>
      </c>
      <c r="AH186" s="239">
        <v>0</v>
      </c>
      <c r="AI186" s="239">
        <v>0</v>
      </c>
      <c r="AJ186" s="239">
        <v>0</v>
      </c>
      <c r="AK186" s="239">
        <v>549638.99380165292</v>
      </c>
      <c r="AL186" s="239">
        <v>137409.74845041323</v>
      </c>
      <c r="AM186" s="239">
        <v>0</v>
      </c>
      <c r="AN186" s="239">
        <v>549503</v>
      </c>
      <c r="AO186" s="239">
        <v>137376</v>
      </c>
      <c r="AP186" s="239">
        <v>0</v>
      </c>
      <c r="AQ186" s="239">
        <v>136</v>
      </c>
      <c r="AR186" s="239">
        <v>34</v>
      </c>
      <c r="AS186" s="239">
        <v>0</v>
      </c>
      <c r="AT186" s="239">
        <v>0</v>
      </c>
      <c r="AU186" s="239">
        <v>0</v>
      </c>
      <c r="AV186" s="239">
        <v>0</v>
      </c>
      <c r="AW186" s="239">
        <v>0</v>
      </c>
      <c r="AX186" s="239">
        <v>0</v>
      </c>
      <c r="AY186" s="239">
        <v>0</v>
      </c>
      <c r="AZ186" s="239">
        <v>0</v>
      </c>
      <c r="BA186" s="239">
        <v>0</v>
      </c>
      <c r="BB186" s="239">
        <v>0</v>
      </c>
      <c r="BC186" s="239">
        <v>0</v>
      </c>
      <c r="BD186" s="239">
        <v>0</v>
      </c>
      <c r="BE186" s="239">
        <v>0</v>
      </c>
      <c r="BF186" s="239">
        <v>1014</v>
      </c>
      <c r="BG186" s="239">
        <v>254</v>
      </c>
      <c r="BH186" s="239">
        <v>0</v>
      </c>
      <c r="BI186" s="239">
        <v>-1014</v>
      </c>
      <c r="BJ186" s="239">
        <v>-254</v>
      </c>
      <c r="BK186" s="239">
        <v>0</v>
      </c>
      <c r="BL186" s="239">
        <v>4500.9685950413232</v>
      </c>
      <c r="BM186" s="239">
        <v>1125.2421487603308</v>
      </c>
      <c r="BN186" s="239">
        <v>0</v>
      </c>
      <c r="BO186" s="239">
        <v>1014</v>
      </c>
      <c r="BP186" s="239">
        <v>254</v>
      </c>
      <c r="BQ186" s="239">
        <v>0</v>
      </c>
      <c r="BR186" s="239">
        <v>3487</v>
      </c>
      <c r="BS186" s="239">
        <v>871</v>
      </c>
      <c r="BT186" s="239">
        <v>0</v>
      </c>
      <c r="BU186" s="239">
        <v>6540.850413223141</v>
      </c>
      <c r="BV186" s="239">
        <v>1635.2126033057853</v>
      </c>
      <c r="BW186" s="239">
        <v>0</v>
      </c>
      <c r="BX186" s="239">
        <v>0</v>
      </c>
      <c r="BY186" s="239">
        <v>0</v>
      </c>
      <c r="BZ186" s="239">
        <v>0</v>
      </c>
      <c r="CA186" s="239">
        <v>6541</v>
      </c>
      <c r="CB186" s="239">
        <v>1635</v>
      </c>
      <c r="CC186" s="239">
        <v>0</v>
      </c>
      <c r="CD186" s="239">
        <v>0</v>
      </c>
      <c r="CE186" s="239">
        <v>0</v>
      </c>
      <c r="CF186" s="239">
        <v>0</v>
      </c>
      <c r="CG186" s="239">
        <v>0</v>
      </c>
      <c r="CH186" s="239">
        <v>0</v>
      </c>
      <c r="CI186" s="239">
        <v>0</v>
      </c>
      <c r="CJ186" s="239">
        <v>0</v>
      </c>
      <c r="CK186" s="239">
        <v>0</v>
      </c>
      <c r="CL186" s="239">
        <v>0</v>
      </c>
      <c r="CM186" s="239">
        <v>1221.007438016529</v>
      </c>
      <c r="CN186" s="239">
        <v>305.25185950413226</v>
      </c>
      <c r="CO186" s="239">
        <v>0</v>
      </c>
      <c r="CP186" s="239">
        <v>1045</v>
      </c>
      <c r="CQ186" s="239">
        <v>261</v>
      </c>
      <c r="CR186" s="239">
        <v>0</v>
      </c>
      <c r="CS186" s="239">
        <v>176</v>
      </c>
      <c r="CT186" s="239">
        <v>44</v>
      </c>
      <c r="CU186" s="239">
        <v>0</v>
      </c>
      <c r="CV186" s="239">
        <v>221602.32066115705</v>
      </c>
      <c r="CW186" s="239">
        <v>55205.021280991743</v>
      </c>
      <c r="CX186" s="239">
        <v>0</v>
      </c>
      <c r="CY186" s="239">
        <v>227895</v>
      </c>
      <c r="CZ186" s="239">
        <v>56840</v>
      </c>
      <c r="DA186" s="239">
        <v>0</v>
      </c>
      <c r="DB186" s="239">
        <v>-6293</v>
      </c>
      <c r="DC186" s="239">
        <v>-1635</v>
      </c>
      <c r="DD186" s="239">
        <v>0</v>
      </c>
      <c r="DE186" s="641">
        <v>0.5</v>
      </c>
      <c r="DF186" s="641">
        <v>0.4</v>
      </c>
      <c r="DG186" s="641">
        <v>0.1</v>
      </c>
      <c r="DH186" s="641">
        <v>0</v>
      </c>
      <c r="DI186" s="214" t="s">
        <v>1190</v>
      </c>
    </row>
    <row r="187" spans="2:113" s="214" customFormat="1" x14ac:dyDescent="0.2">
      <c r="B187" s="609" t="s">
        <v>456</v>
      </c>
      <c r="C187" s="609" t="s">
        <v>455</v>
      </c>
      <c r="D187" s="239">
        <v>-55256</v>
      </c>
      <c r="E187" s="239">
        <v>0</v>
      </c>
      <c r="F187" s="239">
        <v>-55256</v>
      </c>
      <c r="G187" s="239">
        <v>0</v>
      </c>
      <c r="H187" s="239">
        <v>0</v>
      </c>
      <c r="I187" s="239">
        <v>0</v>
      </c>
      <c r="J187" s="239">
        <v>-55256</v>
      </c>
      <c r="K187" s="239">
        <v>0</v>
      </c>
      <c r="L187" s="239">
        <v>-55256</v>
      </c>
      <c r="M187" s="239">
        <v>124592</v>
      </c>
      <c r="N187" s="239">
        <v>124592</v>
      </c>
      <c r="O187" s="239">
        <v>0</v>
      </c>
      <c r="P187" s="239">
        <v>0</v>
      </c>
      <c r="Q187" s="239">
        <v>0</v>
      </c>
      <c r="R187" s="239">
        <v>0</v>
      </c>
      <c r="S187" s="239">
        <v>1377863</v>
      </c>
      <c r="T187" s="239">
        <v>133100</v>
      </c>
      <c r="U187" s="239">
        <v>1634504</v>
      </c>
      <c r="V187" s="239">
        <v>133100</v>
      </c>
      <c r="W187" s="239">
        <v>-256641</v>
      </c>
      <c r="X187" s="239">
        <v>0</v>
      </c>
      <c r="Y187" s="239">
        <v>0</v>
      </c>
      <c r="Z187" s="239">
        <v>0</v>
      </c>
      <c r="AA187" s="239">
        <v>0</v>
      </c>
      <c r="AB187" s="239">
        <v>0</v>
      </c>
      <c r="AC187" s="239">
        <v>0</v>
      </c>
      <c r="AD187" s="239">
        <v>0</v>
      </c>
      <c r="AE187" s="239">
        <v>0</v>
      </c>
      <c r="AF187" s="239">
        <v>0</v>
      </c>
      <c r="AG187" s="239">
        <v>0</v>
      </c>
      <c r="AH187" s="239">
        <v>0</v>
      </c>
      <c r="AI187" s="239">
        <v>0</v>
      </c>
      <c r="AJ187" s="239">
        <v>0</v>
      </c>
      <c r="AK187" s="239">
        <v>508127.78429752064</v>
      </c>
      <c r="AL187" s="239">
        <v>127031.94607438016</v>
      </c>
      <c r="AM187" s="239">
        <v>0</v>
      </c>
      <c r="AN187" s="239">
        <v>469833</v>
      </c>
      <c r="AO187" s="239">
        <v>117458</v>
      </c>
      <c r="AP187" s="239">
        <v>0</v>
      </c>
      <c r="AQ187" s="239">
        <v>38295</v>
      </c>
      <c r="AR187" s="239">
        <v>9574</v>
      </c>
      <c r="AS187" s="239">
        <v>0</v>
      </c>
      <c r="AT187" s="239">
        <v>6197.9619834710747</v>
      </c>
      <c r="AU187" s="239">
        <v>1549.4904958677687</v>
      </c>
      <c r="AV187" s="239">
        <v>0</v>
      </c>
      <c r="AW187" s="239">
        <v>5809</v>
      </c>
      <c r="AX187" s="239">
        <v>1452</v>
      </c>
      <c r="AY187" s="239">
        <v>0</v>
      </c>
      <c r="AZ187" s="239">
        <v>389</v>
      </c>
      <c r="BA187" s="239">
        <v>97</v>
      </c>
      <c r="BB187" s="239">
        <v>0</v>
      </c>
      <c r="BC187" s="239">
        <v>21778.893388429751</v>
      </c>
      <c r="BD187" s="239">
        <v>5444.7233471074378</v>
      </c>
      <c r="BE187" s="239">
        <v>0</v>
      </c>
      <c r="BF187" s="239">
        <v>7774</v>
      </c>
      <c r="BG187" s="239">
        <v>1944</v>
      </c>
      <c r="BH187" s="239">
        <v>0</v>
      </c>
      <c r="BI187" s="239">
        <v>14005</v>
      </c>
      <c r="BJ187" s="239">
        <v>3501</v>
      </c>
      <c r="BK187" s="239">
        <v>0</v>
      </c>
      <c r="BL187" s="239">
        <v>-4588.2123966942163</v>
      </c>
      <c r="BM187" s="239">
        <v>-1147.0530991735541</v>
      </c>
      <c r="BN187" s="239">
        <v>0</v>
      </c>
      <c r="BO187" s="239">
        <v>28699</v>
      </c>
      <c r="BP187" s="239">
        <v>7175</v>
      </c>
      <c r="BQ187" s="239">
        <v>0</v>
      </c>
      <c r="BR187" s="239">
        <v>-33287</v>
      </c>
      <c r="BS187" s="239">
        <v>-8322</v>
      </c>
      <c r="BT187" s="239">
        <v>0</v>
      </c>
      <c r="BU187" s="239">
        <v>3049.0694214876034</v>
      </c>
      <c r="BV187" s="239">
        <v>762.26735537190086</v>
      </c>
      <c r="BW187" s="239">
        <v>0</v>
      </c>
      <c r="BX187" s="239">
        <v>0</v>
      </c>
      <c r="BY187" s="239">
        <v>0</v>
      </c>
      <c r="BZ187" s="239">
        <v>0</v>
      </c>
      <c r="CA187" s="239">
        <v>3049</v>
      </c>
      <c r="CB187" s="239">
        <v>762</v>
      </c>
      <c r="CC187" s="239">
        <v>0</v>
      </c>
      <c r="CD187" s="239">
        <v>0</v>
      </c>
      <c r="CE187" s="239">
        <v>0</v>
      </c>
      <c r="CF187" s="239">
        <v>0</v>
      </c>
      <c r="CG187" s="239">
        <v>0</v>
      </c>
      <c r="CH187" s="239">
        <v>0</v>
      </c>
      <c r="CI187" s="239">
        <v>0</v>
      </c>
      <c r="CJ187" s="239">
        <v>0</v>
      </c>
      <c r="CK187" s="239">
        <v>0</v>
      </c>
      <c r="CL187" s="239">
        <v>0</v>
      </c>
      <c r="CM187" s="239">
        <v>0</v>
      </c>
      <c r="CN187" s="239">
        <v>0</v>
      </c>
      <c r="CO187" s="239">
        <v>0</v>
      </c>
      <c r="CP187" s="239">
        <v>0</v>
      </c>
      <c r="CQ187" s="239">
        <v>0</v>
      </c>
      <c r="CR187" s="239">
        <v>0</v>
      </c>
      <c r="CS187" s="239">
        <v>0</v>
      </c>
      <c r="CT187" s="239">
        <v>0</v>
      </c>
      <c r="CU187" s="239">
        <v>0</v>
      </c>
      <c r="CV187" s="239">
        <v>160883.82024793388</v>
      </c>
      <c r="CW187" s="239">
        <v>37164.012396694212</v>
      </c>
      <c r="CX187" s="239">
        <v>0</v>
      </c>
      <c r="CY187" s="239">
        <v>164050</v>
      </c>
      <c r="CZ187" s="239">
        <v>37028</v>
      </c>
      <c r="DA187" s="239">
        <v>0</v>
      </c>
      <c r="DB187" s="239">
        <v>-3166</v>
      </c>
      <c r="DC187" s="239">
        <v>136</v>
      </c>
      <c r="DD187" s="239">
        <v>0</v>
      </c>
      <c r="DE187" s="641">
        <v>0.5</v>
      </c>
      <c r="DF187" s="641">
        <v>0.4</v>
      </c>
      <c r="DG187" s="641">
        <v>0.1</v>
      </c>
      <c r="DH187" s="641">
        <v>0</v>
      </c>
      <c r="DI187" s="214" t="s">
        <v>1190</v>
      </c>
    </row>
    <row r="188" spans="2:113" s="214" customFormat="1" x14ac:dyDescent="0.2">
      <c r="B188" s="609" t="s">
        <v>458</v>
      </c>
      <c r="C188" s="609" t="s">
        <v>457</v>
      </c>
      <c r="D188" s="239">
        <v>-344056</v>
      </c>
      <c r="E188" s="239">
        <v>-1072</v>
      </c>
      <c r="F188" s="239">
        <v>-345128</v>
      </c>
      <c r="G188" s="239">
        <v>0</v>
      </c>
      <c r="H188" s="239">
        <v>0</v>
      </c>
      <c r="I188" s="239">
        <v>0</v>
      </c>
      <c r="J188" s="239">
        <v>-344056</v>
      </c>
      <c r="K188" s="239">
        <v>-1072</v>
      </c>
      <c r="L188" s="239">
        <v>-345128</v>
      </c>
      <c r="M188" s="239">
        <v>253641</v>
      </c>
      <c r="N188" s="239">
        <v>253641</v>
      </c>
      <c r="O188" s="239">
        <v>0</v>
      </c>
      <c r="P188" s="239">
        <v>1049961</v>
      </c>
      <c r="Q188" s="239">
        <v>157156</v>
      </c>
      <c r="R188" s="239">
        <v>892805</v>
      </c>
      <c r="S188" s="239">
        <v>2485795</v>
      </c>
      <c r="T188" s="239">
        <v>0</v>
      </c>
      <c r="U188" s="239">
        <v>2283360</v>
      </c>
      <c r="V188" s="239">
        <v>0</v>
      </c>
      <c r="W188" s="239">
        <v>202435</v>
      </c>
      <c r="X188" s="239">
        <v>0</v>
      </c>
      <c r="Y188" s="239">
        <v>0</v>
      </c>
      <c r="Z188" s="239">
        <v>0</v>
      </c>
      <c r="AA188" s="239">
        <v>0</v>
      </c>
      <c r="AB188" s="239">
        <v>0</v>
      </c>
      <c r="AC188" s="239">
        <v>0</v>
      </c>
      <c r="AD188" s="239">
        <v>0</v>
      </c>
      <c r="AE188" s="239">
        <v>0</v>
      </c>
      <c r="AF188" s="239">
        <v>0</v>
      </c>
      <c r="AG188" s="239">
        <v>0</v>
      </c>
      <c r="AH188" s="239">
        <v>0</v>
      </c>
      <c r="AI188" s="239">
        <v>0</v>
      </c>
      <c r="AJ188" s="239">
        <v>0</v>
      </c>
      <c r="AK188" s="239">
        <v>968894.83972107433</v>
      </c>
      <c r="AL188" s="239">
        <v>0</v>
      </c>
      <c r="AM188" s="239">
        <v>19692.320919421487</v>
      </c>
      <c r="AN188" s="239">
        <v>919735</v>
      </c>
      <c r="AO188" s="239">
        <v>0</v>
      </c>
      <c r="AP188" s="239">
        <v>18717</v>
      </c>
      <c r="AQ188" s="239">
        <v>49160</v>
      </c>
      <c r="AR188" s="239">
        <v>0</v>
      </c>
      <c r="AS188" s="239">
        <v>975</v>
      </c>
      <c r="AT188" s="239">
        <v>7804.2623966942137</v>
      </c>
      <c r="AU188" s="239">
        <v>0</v>
      </c>
      <c r="AV188" s="239">
        <v>159.27066115702479</v>
      </c>
      <c r="AW188" s="239">
        <v>11696</v>
      </c>
      <c r="AX188" s="239">
        <v>0</v>
      </c>
      <c r="AY188" s="239">
        <v>239</v>
      </c>
      <c r="AZ188" s="239">
        <v>-3892</v>
      </c>
      <c r="BA188" s="239">
        <v>0</v>
      </c>
      <c r="BB188" s="239">
        <v>-80</v>
      </c>
      <c r="BC188" s="239">
        <v>3279.2814669421487</v>
      </c>
      <c r="BD188" s="239">
        <v>0</v>
      </c>
      <c r="BE188" s="239">
        <v>66.924111570247931</v>
      </c>
      <c r="BF188" s="239">
        <v>6189</v>
      </c>
      <c r="BG188" s="239">
        <v>0</v>
      </c>
      <c r="BH188" s="239">
        <v>126</v>
      </c>
      <c r="BI188" s="239">
        <v>-2910</v>
      </c>
      <c r="BJ188" s="239">
        <v>0</v>
      </c>
      <c r="BK188" s="239">
        <v>-59</v>
      </c>
      <c r="BL188" s="239">
        <v>42791.715185950408</v>
      </c>
      <c r="BM188" s="239">
        <v>0</v>
      </c>
      <c r="BN188" s="239">
        <v>873.30030991735543</v>
      </c>
      <c r="BO188" s="239">
        <v>43199</v>
      </c>
      <c r="BP188" s="239">
        <v>0</v>
      </c>
      <c r="BQ188" s="239">
        <v>882</v>
      </c>
      <c r="BR188" s="239">
        <v>-407</v>
      </c>
      <c r="BS188" s="239">
        <v>0</v>
      </c>
      <c r="BT188" s="239">
        <v>-9</v>
      </c>
      <c r="BU188" s="239">
        <v>-386.73351239669421</v>
      </c>
      <c r="BV188" s="239">
        <v>0</v>
      </c>
      <c r="BW188" s="239">
        <v>-7.8925206611570253</v>
      </c>
      <c r="BX188" s="239">
        <v>0</v>
      </c>
      <c r="BY188" s="239">
        <v>0</v>
      </c>
      <c r="BZ188" s="239">
        <v>0</v>
      </c>
      <c r="CA188" s="239">
        <v>-387</v>
      </c>
      <c r="CB188" s="239">
        <v>0</v>
      </c>
      <c r="CC188" s="239">
        <v>-8</v>
      </c>
      <c r="CD188" s="239">
        <v>0</v>
      </c>
      <c r="CE188" s="239">
        <v>0</v>
      </c>
      <c r="CF188" s="239">
        <v>0</v>
      </c>
      <c r="CG188" s="239">
        <v>0</v>
      </c>
      <c r="CH188" s="239">
        <v>0</v>
      </c>
      <c r="CI188" s="239">
        <v>0</v>
      </c>
      <c r="CJ188" s="239">
        <v>0</v>
      </c>
      <c r="CK188" s="239">
        <v>0</v>
      </c>
      <c r="CL188" s="239">
        <v>0</v>
      </c>
      <c r="CM188" s="239">
        <v>2583.8570661157023</v>
      </c>
      <c r="CN188" s="239">
        <v>0</v>
      </c>
      <c r="CO188" s="239">
        <v>52.731776859504137</v>
      </c>
      <c r="CP188" s="239">
        <v>2754</v>
      </c>
      <c r="CQ188" s="239">
        <v>0</v>
      </c>
      <c r="CR188" s="239">
        <v>56</v>
      </c>
      <c r="CS188" s="239">
        <v>-170</v>
      </c>
      <c r="CT188" s="239">
        <v>0</v>
      </c>
      <c r="CU188" s="239">
        <v>-3</v>
      </c>
      <c r="CV188" s="239">
        <v>637668.7598966941</v>
      </c>
      <c r="CW188" s="239">
        <v>0</v>
      </c>
      <c r="CX188" s="239">
        <v>11970.036590909091</v>
      </c>
      <c r="CY188" s="239">
        <v>667609</v>
      </c>
      <c r="CZ188" s="239">
        <v>0</v>
      </c>
      <c r="DA188" s="239">
        <v>12904</v>
      </c>
      <c r="DB188" s="239">
        <v>-29940</v>
      </c>
      <c r="DC188" s="239">
        <v>0</v>
      </c>
      <c r="DD188" s="239">
        <v>-934</v>
      </c>
      <c r="DE188" s="641">
        <v>0.5</v>
      </c>
      <c r="DF188" s="641">
        <v>0.49</v>
      </c>
      <c r="DG188" s="641">
        <v>0</v>
      </c>
      <c r="DH188" s="641">
        <v>0.01</v>
      </c>
      <c r="DI188" s="214" t="s">
        <v>747</v>
      </c>
    </row>
    <row r="189" spans="2:113" s="214" customFormat="1" x14ac:dyDescent="0.2">
      <c r="B189" s="609" t="s">
        <v>460</v>
      </c>
      <c r="C189" s="609" t="s">
        <v>459</v>
      </c>
      <c r="D189" s="239">
        <v>-34898</v>
      </c>
      <c r="E189" s="239">
        <v>0</v>
      </c>
      <c r="F189" s="239">
        <v>-34898</v>
      </c>
      <c r="G189" s="239">
        <v>0</v>
      </c>
      <c r="H189" s="239">
        <v>0</v>
      </c>
      <c r="I189" s="239">
        <v>0</v>
      </c>
      <c r="J189" s="239">
        <v>-34898</v>
      </c>
      <c r="K189" s="239">
        <v>0</v>
      </c>
      <c r="L189" s="239">
        <v>-34898</v>
      </c>
      <c r="M189" s="239">
        <v>242025</v>
      </c>
      <c r="N189" s="239">
        <v>242025</v>
      </c>
      <c r="O189" s="239">
        <v>0</v>
      </c>
      <c r="P189" s="239">
        <v>0</v>
      </c>
      <c r="Q189" s="239">
        <v>0</v>
      </c>
      <c r="R189" s="239">
        <v>0</v>
      </c>
      <c r="S189" s="239">
        <v>599879</v>
      </c>
      <c r="T189" s="239">
        <v>0</v>
      </c>
      <c r="U189" s="239">
        <v>584188</v>
      </c>
      <c r="V189" s="239">
        <v>0</v>
      </c>
      <c r="W189" s="239">
        <v>15691</v>
      </c>
      <c r="X189" s="239">
        <v>0</v>
      </c>
      <c r="Y189" s="239">
        <v>77239.169421487604</v>
      </c>
      <c r="Z189" s="239">
        <v>77239.169421487604</v>
      </c>
      <c r="AA189" s="239">
        <v>0</v>
      </c>
      <c r="AB189" s="239">
        <v>0</v>
      </c>
      <c r="AC189" s="239">
        <v>0</v>
      </c>
      <c r="AD189" s="239">
        <v>0</v>
      </c>
      <c r="AE189" s="239">
        <v>0</v>
      </c>
      <c r="AF189" s="239">
        <v>0</v>
      </c>
      <c r="AG189" s="239">
        <v>77239</v>
      </c>
      <c r="AH189" s="239">
        <v>77239</v>
      </c>
      <c r="AI189" s="239">
        <v>0</v>
      </c>
      <c r="AJ189" s="239">
        <v>0</v>
      </c>
      <c r="AK189" s="239">
        <v>1016710.0479338843</v>
      </c>
      <c r="AL189" s="239">
        <v>254177.51198347108</v>
      </c>
      <c r="AM189" s="239">
        <v>0</v>
      </c>
      <c r="AN189" s="239">
        <v>886826</v>
      </c>
      <c r="AO189" s="239">
        <v>221706</v>
      </c>
      <c r="AP189" s="239">
        <v>0</v>
      </c>
      <c r="AQ189" s="239">
        <v>129884</v>
      </c>
      <c r="AR189" s="239">
        <v>32472</v>
      </c>
      <c r="AS189" s="239">
        <v>0</v>
      </c>
      <c r="AT189" s="239">
        <v>5332.4223140495869</v>
      </c>
      <c r="AU189" s="239">
        <v>1333.1055785123967</v>
      </c>
      <c r="AV189" s="239">
        <v>0</v>
      </c>
      <c r="AW189" s="239">
        <v>1342</v>
      </c>
      <c r="AX189" s="239">
        <v>335</v>
      </c>
      <c r="AY189" s="239">
        <v>0</v>
      </c>
      <c r="AZ189" s="239">
        <v>3990</v>
      </c>
      <c r="BA189" s="239">
        <v>998</v>
      </c>
      <c r="BB189" s="239">
        <v>0</v>
      </c>
      <c r="BC189" s="239">
        <v>2652.6173553719009</v>
      </c>
      <c r="BD189" s="239">
        <v>663.15433884297522</v>
      </c>
      <c r="BE189" s="239">
        <v>0</v>
      </c>
      <c r="BF189" s="239">
        <v>375</v>
      </c>
      <c r="BG189" s="239">
        <v>94</v>
      </c>
      <c r="BH189" s="239">
        <v>0</v>
      </c>
      <c r="BI189" s="239">
        <v>2278</v>
      </c>
      <c r="BJ189" s="239">
        <v>569</v>
      </c>
      <c r="BK189" s="239">
        <v>0</v>
      </c>
      <c r="BL189" s="239">
        <v>5200.5421487603307</v>
      </c>
      <c r="BM189" s="239">
        <v>1300.1355371900827</v>
      </c>
      <c r="BN189" s="239">
        <v>0</v>
      </c>
      <c r="BO189" s="239">
        <v>897</v>
      </c>
      <c r="BP189" s="239">
        <v>224</v>
      </c>
      <c r="BQ189" s="239">
        <v>0</v>
      </c>
      <c r="BR189" s="239">
        <v>4304</v>
      </c>
      <c r="BS189" s="239">
        <v>1076</v>
      </c>
      <c r="BT189" s="239">
        <v>0</v>
      </c>
      <c r="BU189" s="239">
        <v>-270.25289256198351</v>
      </c>
      <c r="BV189" s="239">
        <v>-67.563223140495879</v>
      </c>
      <c r="BW189" s="239">
        <v>0</v>
      </c>
      <c r="BX189" s="239">
        <v>0</v>
      </c>
      <c r="BY189" s="239">
        <v>0</v>
      </c>
      <c r="BZ189" s="239">
        <v>0</v>
      </c>
      <c r="CA189" s="239">
        <v>-270</v>
      </c>
      <c r="CB189" s="239">
        <v>-68</v>
      </c>
      <c r="CC189" s="239">
        <v>0</v>
      </c>
      <c r="CD189" s="239">
        <v>0</v>
      </c>
      <c r="CE189" s="239">
        <v>0</v>
      </c>
      <c r="CF189" s="239">
        <v>0</v>
      </c>
      <c r="CG189" s="239">
        <v>0</v>
      </c>
      <c r="CH189" s="239">
        <v>0</v>
      </c>
      <c r="CI189" s="239">
        <v>0</v>
      </c>
      <c r="CJ189" s="239">
        <v>0</v>
      </c>
      <c r="CK189" s="239">
        <v>0</v>
      </c>
      <c r="CL189" s="239">
        <v>0</v>
      </c>
      <c r="CM189" s="239">
        <v>10213.20578512397</v>
      </c>
      <c r="CN189" s="239">
        <v>2553.3014462809924</v>
      </c>
      <c r="CO189" s="239">
        <v>0</v>
      </c>
      <c r="CP189" s="239">
        <v>11574</v>
      </c>
      <c r="CQ189" s="239">
        <v>2894</v>
      </c>
      <c r="CR189" s="239">
        <v>0</v>
      </c>
      <c r="CS189" s="239">
        <v>-1361</v>
      </c>
      <c r="CT189" s="239">
        <v>-341</v>
      </c>
      <c r="CU189" s="239">
        <v>0</v>
      </c>
      <c r="CV189" s="239">
        <v>151969.60371900827</v>
      </c>
      <c r="CW189" s="239">
        <v>35823.41694214876</v>
      </c>
      <c r="CX189" s="239">
        <v>0</v>
      </c>
      <c r="CY189" s="239">
        <v>152877</v>
      </c>
      <c r="CZ189" s="239">
        <v>36107</v>
      </c>
      <c r="DA189" s="239">
        <v>0</v>
      </c>
      <c r="DB189" s="239">
        <v>-907</v>
      </c>
      <c r="DC189" s="239">
        <v>-284</v>
      </c>
      <c r="DD189" s="239">
        <v>0</v>
      </c>
      <c r="DE189" s="641">
        <v>0.5</v>
      </c>
      <c r="DF189" s="641">
        <v>0.4</v>
      </c>
      <c r="DG189" s="641">
        <v>0.1</v>
      </c>
      <c r="DH189" s="641">
        <v>0</v>
      </c>
      <c r="DI189" s="214" t="s">
        <v>1190</v>
      </c>
    </row>
    <row r="190" spans="2:113" s="214" customFormat="1" x14ac:dyDescent="0.2">
      <c r="B190" s="609" t="s">
        <v>462</v>
      </c>
      <c r="C190" s="609" t="s">
        <v>461</v>
      </c>
      <c r="D190" s="239">
        <v>-84167</v>
      </c>
      <c r="E190" s="239">
        <v>0</v>
      </c>
      <c r="F190" s="239">
        <v>-84167</v>
      </c>
      <c r="G190" s="239">
        <v>0</v>
      </c>
      <c r="H190" s="239">
        <v>0</v>
      </c>
      <c r="I190" s="239">
        <v>0</v>
      </c>
      <c r="J190" s="239">
        <v>-84167</v>
      </c>
      <c r="K190" s="239">
        <v>0</v>
      </c>
      <c r="L190" s="239">
        <v>-84167</v>
      </c>
      <c r="M190" s="239">
        <v>262705</v>
      </c>
      <c r="N190" s="239">
        <v>262705</v>
      </c>
      <c r="O190" s="239">
        <v>0</v>
      </c>
      <c r="P190" s="239">
        <v>526388</v>
      </c>
      <c r="Q190" s="239">
        <v>453209</v>
      </c>
      <c r="R190" s="239">
        <v>73179</v>
      </c>
      <c r="S190" s="239">
        <v>167850</v>
      </c>
      <c r="T190" s="239">
        <v>0</v>
      </c>
      <c r="U190" s="239">
        <v>63398</v>
      </c>
      <c r="V190" s="239">
        <v>0</v>
      </c>
      <c r="W190" s="239">
        <v>104452</v>
      </c>
      <c r="X190" s="239">
        <v>0</v>
      </c>
      <c r="Y190" s="239">
        <v>0</v>
      </c>
      <c r="Z190" s="239">
        <v>0</v>
      </c>
      <c r="AA190" s="239">
        <v>0</v>
      </c>
      <c r="AB190" s="239">
        <v>0</v>
      </c>
      <c r="AC190" s="239">
        <v>0</v>
      </c>
      <c r="AD190" s="239">
        <v>0</v>
      </c>
      <c r="AE190" s="239">
        <v>0</v>
      </c>
      <c r="AF190" s="239">
        <v>0</v>
      </c>
      <c r="AG190" s="239">
        <v>0</v>
      </c>
      <c r="AH190" s="239">
        <v>0</v>
      </c>
      <c r="AI190" s="239">
        <v>0</v>
      </c>
      <c r="AJ190" s="239">
        <v>0</v>
      </c>
      <c r="AK190" s="239">
        <v>1090512.6637190082</v>
      </c>
      <c r="AL190" s="239">
        <v>0</v>
      </c>
      <c r="AM190" s="239">
        <v>21620.596611570247</v>
      </c>
      <c r="AN190" s="239">
        <v>1044243</v>
      </c>
      <c r="AO190" s="239">
        <v>0</v>
      </c>
      <c r="AP190" s="239">
        <v>20829</v>
      </c>
      <c r="AQ190" s="239">
        <v>46270</v>
      </c>
      <c r="AR190" s="239">
        <v>0</v>
      </c>
      <c r="AS190" s="239">
        <v>792</v>
      </c>
      <c r="AT190" s="239">
        <v>8719.3991528925617</v>
      </c>
      <c r="AU190" s="239">
        <v>0</v>
      </c>
      <c r="AV190" s="239">
        <v>177.9469214876033</v>
      </c>
      <c r="AW190" s="239">
        <v>0</v>
      </c>
      <c r="AX190" s="239">
        <v>0</v>
      </c>
      <c r="AY190" s="239">
        <v>0</v>
      </c>
      <c r="AZ190" s="239">
        <v>8719</v>
      </c>
      <c r="BA190" s="239">
        <v>0</v>
      </c>
      <c r="BB190" s="239">
        <v>178</v>
      </c>
      <c r="BC190" s="239">
        <v>1766.1797520661157</v>
      </c>
      <c r="BD190" s="239">
        <v>0</v>
      </c>
      <c r="BE190" s="239">
        <v>0</v>
      </c>
      <c r="BF190" s="239">
        <v>18252</v>
      </c>
      <c r="BG190" s="239">
        <v>0</v>
      </c>
      <c r="BH190" s="239">
        <v>0</v>
      </c>
      <c r="BI190" s="239">
        <v>-16486</v>
      </c>
      <c r="BJ190" s="239">
        <v>0</v>
      </c>
      <c r="BK190" s="239">
        <v>0</v>
      </c>
      <c r="BL190" s="239">
        <v>1711.9668595041321</v>
      </c>
      <c r="BM190" s="239">
        <v>0</v>
      </c>
      <c r="BN190" s="239">
        <v>34.938099173553717</v>
      </c>
      <c r="BO190" s="239">
        <v>2895</v>
      </c>
      <c r="BP190" s="239">
        <v>0</v>
      </c>
      <c r="BQ190" s="239">
        <v>59</v>
      </c>
      <c r="BR190" s="239">
        <v>-1183</v>
      </c>
      <c r="BS190" s="239">
        <v>0</v>
      </c>
      <c r="BT190" s="239">
        <v>-24</v>
      </c>
      <c r="BU190" s="239">
        <v>2360.1680165289258</v>
      </c>
      <c r="BV190" s="239">
        <v>0</v>
      </c>
      <c r="BW190" s="239">
        <v>48.166694214876031</v>
      </c>
      <c r="BX190" s="239">
        <v>0</v>
      </c>
      <c r="BY190" s="239">
        <v>0</v>
      </c>
      <c r="BZ190" s="239">
        <v>0</v>
      </c>
      <c r="CA190" s="239">
        <v>2360</v>
      </c>
      <c r="CB190" s="239">
        <v>0</v>
      </c>
      <c r="CC190" s="239">
        <v>48</v>
      </c>
      <c r="CD190" s="239">
        <v>0</v>
      </c>
      <c r="CE190" s="239">
        <v>0</v>
      </c>
      <c r="CF190" s="239">
        <v>0</v>
      </c>
      <c r="CG190" s="239">
        <v>0</v>
      </c>
      <c r="CH190" s="239">
        <v>0</v>
      </c>
      <c r="CI190" s="239">
        <v>0</v>
      </c>
      <c r="CJ190" s="239">
        <v>0</v>
      </c>
      <c r="CK190" s="239">
        <v>0</v>
      </c>
      <c r="CL190" s="239">
        <v>0</v>
      </c>
      <c r="CM190" s="239">
        <v>9886.5589049586761</v>
      </c>
      <c r="CN190" s="239">
        <v>0</v>
      </c>
      <c r="CO190" s="239">
        <v>201.7665082644628</v>
      </c>
      <c r="CP190" s="239">
        <v>0</v>
      </c>
      <c r="CQ190" s="239">
        <v>0</v>
      </c>
      <c r="CR190" s="239">
        <v>0</v>
      </c>
      <c r="CS190" s="239">
        <v>9887</v>
      </c>
      <c r="CT190" s="239">
        <v>0</v>
      </c>
      <c r="CU190" s="239">
        <v>202</v>
      </c>
      <c r="CV190" s="239">
        <v>449660.31640495866</v>
      </c>
      <c r="CW190" s="239">
        <v>0</v>
      </c>
      <c r="CX190" s="239">
        <v>8971.8302892561969</v>
      </c>
      <c r="CY190" s="239">
        <v>445307</v>
      </c>
      <c r="CZ190" s="239">
        <v>0</v>
      </c>
      <c r="DA190" s="239">
        <v>8935</v>
      </c>
      <c r="DB190" s="239">
        <v>4353</v>
      </c>
      <c r="DC190" s="239">
        <v>0</v>
      </c>
      <c r="DD190" s="239">
        <v>37</v>
      </c>
      <c r="DE190" s="641">
        <v>0.5</v>
      </c>
      <c r="DF190" s="641">
        <v>0.49</v>
      </c>
      <c r="DG190" s="641">
        <v>0</v>
      </c>
      <c r="DH190" s="641">
        <v>0.01</v>
      </c>
      <c r="DI190" s="214" t="s">
        <v>747</v>
      </c>
    </row>
    <row r="191" spans="2:113" s="214" customFormat="1" x14ac:dyDescent="0.2">
      <c r="B191" s="609" t="s">
        <v>464</v>
      </c>
      <c r="C191" s="609" t="s">
        <v>463</v>
      </c>
      <c r="D191" s="239">
        <v>-223596</v>
      </c>
      <c r="E191" s="239">
        <v>0</v>
      </c>
      <c r="F191" s="239">
        <v>-223596</v>
      </c>
      <c r="G191" s="239">
        <v>0</v>
      </c>
      <c r="H191" s="239">
        <v>0</v>
      </c>
      <c r="I191" s="239">
        <v>0</v>
      </c>
      <c r="J191" s="239">
        <v>-223596</v>
      </c>
      <c r="K191" s="239">
        <v>0</v>
      </c>
      <c r="L191" s="239">
        <v>-223596</v>
      </c>
      <c r="M191" s="239">
        <v>230884</v>
      </c>
      <c r="N191" s="239">
        <v>230884</v>
      </c>
      <c r="O191" s="239">
        <v>0</v>
      </c>
      <c r="P191" s="239">
        <v>94688</v>
      </c>
      <c r="Q191" s="239">
        <v>59658</v>
      </c>
      <c r="R191" s="239">
        <v>35030</v>
      </c>
      <c r="S191" s="239">
        <v>0</v>
      </c>
      <c r="T191" s="239">
        <v>0</v>
      </c>
      <c r="U191" s="239">
        <v>0</v>
      </c>
      <c r="V191" s="239">
        <v>0</v>
      </c>
      <c r="W191" s="239">
        <v>0</v>
      </c>
      <c r="X191" s="239">
        <v>0</v>
      </c>
      <c r="Y191" s="239">
        <v>64768.378099173555</v>
      </c>
      <c r="Z191" s="239">
        <v>64768.378099173555</v>
      </c>
      <c r="AA191" s="239">
        <v>0</v>
      </c>
      <c r="AB191" s="239">
        <v>0</v>
      </c>
      <c r="AC191" s="239">
        <v>68483</v>
      </c>
      <c r="AD191" s="239">
        <v>68483</v>
      </c>
      <c r="AE191" s="239">
        <v>0</v>
      </c>
      <c r="AF191" s="239">
        <v>0</v>
      </c>
      <c r="AG191" s="239">
        <v>-3715</v>
      </c>
      <c r="AH191" s="239">
        <v>-3715</v>
      </c>
      <c r="AI191" s="239">
        <v>0</v>
      </c>
      <c r="AJ191" s="239">
        <v>0</v>
      </c>
      <c r="AK191" s="239">
        <v>989889.0765599173</v>
      </c>
      <c r="AL191" s="239">
        <v>0</v>
      </c>
      <c r="AM191" s="239">
        <v>20079.409493801653</v>
      </c>
      <c r="AN191" s="239">
        <v>888313</v>
      </c>
      <c r="AO191" s="239">
        <v>0</v>
      </c>
      <c r="AP191" s="239">
        <v>18100</v>
      </c>
      <c r="AQ191" s="239">
        <v>101576</v>
      </c>
      <c r="AR191" s="239">
        <v>0</v>
      </c>
      <c r="AS191" s="239">
        <v>1979</v>
      </c>
      <c r="AT191" s="239">
        <v>13088.294834710745</v>
      </c>
      <c r="AU191" s="239">
        <v>0</v>
      </c>
      <c r="AV191" s="239">
        <v>267.10805785123966</v>
      </c>
      <c r="AW191" s="239">
        <v>9167</v>
      </c>
      <c r="AX191" s="239">
        <v>0</v>
      </c>
      <c r="AY191" s="239">
        <v>187</v>
      </c>
      <c r="AZ191" s="239">
        <v>3921</v>
      </c>
      <c r="BA191" s="239">
        <v>0</v>
      </c>
      <c r="BB191" s="239">
        <v>80</v>
      </c>
      <c r="BC191" s="239">
        <v>0</v>
      </c>
      <c r="BD191" s="239">
        <v>0</v>
      </c>
      <c r="BE191" s="239">
        <v>0</v>
      </c>
      <c r="BF191" s="239">
        <v>0</v>
      </c>
      <c r="BG191" s="239">
        <v>0</v>
      </c>
      <c r="BH191" s="239">
        <v>0</v>
      </c>
      <c r="BI191" s="239">
        <v>0</v>
      </c>
      <c r="BJ191" s="239">
        <v>0</v>
      </c>
      <c r="BK191" s="239">
        <v>0</v>
      </c>
      <c r="BL191" s="239">
        <v>22819.265578512397</v>
      </c>
      <c r="BM191" s="239">
        <v>0</v>
      </c>
      <c r="BN191" s="239">
        <v>465.69929752066116</v>
      </c>
      <c r="BO191" s="239">
        <v>39767</v>
      </c>
      <c r="BP191" s="239">
        <v>0</v>
      </c>
      <c r="BQ191" s="239">
        <v>812</v>
      </c>
      <c r="BR191" s="239">
        <v>-16948</v>
      </c>
      <c r="BS191" s="239">
        <v>0</v>
      </c>
      <c r="BT191" s="239">
        <v>-346</v>
      </c>
      <c r="BU191" s="239">
        <v>5410.7895661157027</v>
      </c>
      <c r="BV191" s="239">
        <v>0</v>
      </c>
      <c r="BW191" s="239">
        <v>110.42427685950413</v>
      </c>
      <c r="BX191" s="239">
        <v>0</v>
      </c>
      <c r="BY191" s="239">
        <v>0</v>
      </c>
      <c r="BZ191" s="239">
        <v>0</v>
      </c>
      <c r="CA191" s="239">
        <v>5411</v>
      </c>
      <c r="CB191" s="239">
        <v>0</v>
      </c>
      <c r="CC191" s="239">
        <v>110</v>
      </c>
      <c r="CD191" s="239">
        <v>0</v>
      </c>
      <c r="CE191" s="239">
        <v>0</v>
      </c>
      <c r="CF191" s="239">
        <v>0</v>
      </c>
      <c r="CG191" s="239">
        <v>0</v>
      </c>
      <c r="CH191" s="239">
        <v>0</v>
      </c>
      <c r="CI191" s="239">
        <v>0</v>
      </c>
      <c r="CJ191" s="239">
        <v>0</v>
      </c>
      <c r="CK191" s="239">
        <v>0</v>
      </c>
      <c r="CL191" s="239">
        <v>0</v>
      </c>
      <c r="CM191" s="239">
        <v>1519.5942768595041</v>
      </c>
      <c r="CN191" s="239">
        <v>0</v>
      </c>
      <c r="CO191" s="239">
        <v>31.012128099173555</v>
      </c>
      <c r="CP191" s="239">
        <v>2485</v>
      </c>
      <c r="CQ191" s="239">
        <v>0</v>
      </c>
      <c r="CR191" s="239">
        <v>51</v>
      </c>
      <c r="CS191" s="239">
        <v>-965</v>
      </c>
      <c r="CT191" s="239">
        <v>0</v>
      </c>
      <c r="CU191" s="239">
        <v>-20</v>
      </c>
      <c r="CV191" s="239">
        <v>423727.9330165289</v>
      </c>
      <c r="CW191" s="239">
        <v>0</v>
      </c>
      <c r="CX191" s="239">
        <v>8619.5607851239674</v>
      </c>
      <c r="CY191" s="239">
        <v>429638</v>
      </c>
      <c r="CZ191" s="239">
        <v>0</v>
      </c>
      <c r="DA191" s="239">
        <v>8730</v>
      </c>
      <c r="DB191" s="239">
        <v>-5910</v>
      </c>
      <c r="DC191" s="239">
        <v>0</v>
      </c>
      <c r="DD191" s="239">
        <v>-110</v>
      </c>
      <c r="DE191" s="641">
        <v>0.5</v>
      </c>
      <c r="DF191" s="641">
        <v>0.49</v>
      </c>
      <c r="DG191" s="641">
        <v>0</v>
      </c>
      <c r="DH191" s="641">
        <v>0.01</v>
      </c>
      <c r="DI191" s="214" t="s">
        <v>1192</v>
      </c>
    </row>
    <row r="192" spans="2:113" s="214" customFormat="1" x14ac:dyDescent="0.2">
      <c r="B192" s="609" t="s">
        <v>466</v>
      </c>
      <c r="C192" s="609" t="s">
        <v>465</v>
      </c>
      <c r="D192" s="239">
        <v>-71420</v>
      </c>
      <c r="E192" s="239">
        <v>0</v>
      </c>
      <c r="F192" s="239">
        <v>-71420</v>
      </c>
      <c r="G192" s="239">
        <v>0</v>
      </c>
      <c r="H192" s="239">
        <v>0</v>
      </c>
      <c r="I192" s="239">
        <v>0</v>
      </c>
      <c r="J192" s="239">
        <v>-71420</v>
      </c>
      <c r="K192" s="239">
        <v>0</v>
      </c>
      <c r="L192" s="239">
        <v>-71420</v>
      </c>
      <c r="M192" s="239">
        <v>109891</v>
      </c>
      <c r="N192" s="239">
        <v>109891</v>
      </c>
      <c r="O192" s="239">
        <v>0</v>
      </c>
      <c r="P192" s="239">
        <v>0</v>
      </c>
      <c r="Q192" s="239">
        <v>0</v>
      </c>
      <c r="R192" s="239">
        <v>0</v>
      </c>
      <c r="S192" s="239">
        <v>0</v>
      </c>
      <c r="T192" s="239">
        <v>0</v>
      </c>
      <c r="U192" s="239">
        <v>0</v>
      </c>
      <c r="V192" s="239">
        <v>0</v>
      </c>
      <c r="W192" s="239">
        <v>0</v>
      </c>
      <c r="X192" s="239">
        <v>0</v>
      </c>
      <c r="Y192" s="239">
        <v>0</v>
      </c>
      <c r="Z192" s="239">
        <v>0</v>
      </c>
      <c r="AA192" s="239">
        <v>0</v>
      </c>
      <c r="AB192" s="239">
        <v>0</v>
      </c>
      <c r="AC192" s="239">
        <v>0</v>
      </c>
      <c r="AD192" s="239">
        <v>0</v>
      </c>
      <c r="AE192" s="239">
        <v>0</v>
      </c>
      <c r="AF192" s="239">
        <v>0</v>
      </c>
      <c r="AG192" s="239">
        <v>0</v>
      </c>
      <c r="AH192" s="239">
        <v>0</v>
      </c>
      <c r="AI192" s="239">
        <v>0</v>
      </c>
      <c r="AJ192" s="239">
        <v>0</v>
      </c>
      <c r="AK192" s="239">
        <v>307857.40578512399</v>
      </c>
      <c r="AL192" s="239">
        <v>76964.351446280998</v>
      </c>
      <c r="AM192" s="239">
        <v>0</v>
      </c>
      <c r="AN192" s="239">
        <v>289375</v>
      </c>
      <c r="AO192" s="239">
        <v>72344</v>
      </c>
      <c r="AP192" s="239">
        <v>0</v>
      </c>
      <c r="AQ192" s="239">
        <v>18482</v>
      </c>
      <c r="AR192" s="239">
        <v>4620</v>
      </c>
      <c r="AS192" s="239">
        <v>0</v>
      </c>
      <c r="AT192" s="239">
        <v>5810.8429752066122</v>
      </c>
      <c r="AU192" s="239">
        <v>1452.7107438016531</v>
      </c>
      <c r="AV192" s="239">
        <v>0</v>
      </c>
      <c r="AW192" s="239">
        <v>2919</v>
      </c>
      <c r="AX192" s="239">
        <v>730</v>
      </c>
      <c r="AY192" s="239">
        <v>0</v>
      </c>
      <c r="AZ192" s="239">
        <v>2892</v>
      </c>
      <c r="BA192" s="239">
        <v>723</v>
      </c>
      <c r="BB192" s="239">
        <v>0</v>
      </c>
      <c r="BC192" s="239">
        <v>0</v>
      </c>
      <c r="BD192" s="239">
        <v>0</v>
      </c>
      <c r="BE192" s="239">
        <v>0</v>
      </c>
      <c r="BF192" s="239">
        <v>0</v>
      </c>
      <c r="BG192" s="239">
        <v>0</v>
      </c>
      <c r="BH192" s="239">
        <v>0</v>
      </c>
      <c r="BI192" s="239">
        <v>0</v>
      </c>
      <c r="BJ192" s="239">
        <v>0</v>
      </c>
      <c r="BK192" s="239">
        <v>0</v>
      </c>
      <c r="BL192" s="239">
        <v>0</v>
      </c>
      <c r="BM192" s="239">
        <v>0</v>
      </c>
      <c r="BN192" s="239">
        <v>0</v>
      </c>
      <c r="BO192" s="239">
        <v>2719</v>
      </c>
      <c r="BP192" s="239">
        <v>680</v>
      </c>
      <c r="BQ192" s="239">
        <v>0</v>
      </c>
      <c r="BR192" s="239">
        <v>-2719</v>
      </c>
      <c r="BS192" s="239">
        <v>-680</v>
      </c>
      <c r="BT192" s="239">
        <v>0</v>
      </c>
      <c r="BU192" s="239">
        <v>-3718.2090909090912</v>
      </c>
      <c r="BV192" s="239">
        <v>-929.55227272727279</v>
      </c>
      <c r="BW192" s="239">
        <v>0</v>
      </c>
      <c r="BX192" s="239">
        <v>0</v>
      </c>
      <c r="BY192" s="239">
        <v>0</v>
      </c>
      <c r="BZ192" s="239">
        <v>0</v>
      </c>
      <c r="CA192" s="239">
        <v>-3718</v>
      </c>
      <c r="CB192" s="239">
        <v>-930</v>
      </c>
      <c r="CC192" s="239">
        <v>0</v>
      </c>
      <c r="CD192" s="239">
        <v>0</v>
      </c>
      <c r="CE192" s="239">
        <v>0</v>
      </c>
      <c r="CF192" s="239">
        <v>0</v>
      </c>
      <c r="CG192" s="239">
        <v>0</v>
      </c>
      <c r="CH192" s="239">
        <v>0</v>
      </c>
      <c r="CI192" s="239">
        <v>0</v>
      </c>
      <c r="CJ192" s="239">
        <v>0</v>
      </c>
      <c r="CK192" s="239">
        <v>0</v>
      </c>
      <c r="CL192" s="239">
        <v>0</v>
      </c>
      <c r="CM192" s="239">
        <v>822.93223140495866</v>
      </c>
      <c r="CN192" s="239">
        <v>205.73305785123966</v>
      </c>
      <c r="CO192" s="239">
        <v>0</v>
      </c>
      <c r="CP192" s="239">
        <v>2230</v>
      </c>
      <c r="CQ192" s="239">
        <v>557</v>
      </c>
      <c r="CR192" s="239">
        <v>0</v>
      </c>
      <c r="CS192" s="239">
        <v>-1407</v>
      </c>
      <c r="CT192" s="239">
        <v>-351</v>
      </c>
      <c r="CU192" s="239">
        <v>0</v>
      </c>
      <c r="CV192" s="239">
        <v>254731.08181818185</v>
      </c>
      <c r="CW192" s="239">
        <v>63682.770454545462</v>
      </c>
      <c r="CX192" s="239">
        <v>0</v>
      </c>
      <c r="CY192" s="239">
        <v>251430</v>
      </c>
      <c r="CZ192" s="239">
        <v>62857</v>
      </c>
      <c r="DA192" s="239">
        <v>0</v>
      </c>
      <c r="DB192" s="239">
        <v>3301</v>
      </c>
      <c r="DC192" s="239">
        <v>826</v>
      </c>
      <c r="DD192" s="239">
        <v>0</v>
      </c>
      <c r="DE192" s="641">
        <v>0.5</v>
      </c>
      <c r="DF192" s="641">
        <v>0.4</v>
      </c>
      <c r="DG192" s="641">
        <v>0.1</v>
      </c>
      <c r="DH192" s="641">
        <v>0</v>
      </c>
      <c r="DI192" s="214" t="s">
        <v>1190</v>
      </c>
    </row>
    <row r="193" spans="2:113" s="214" customFormat="1" x14ac:dyDescent="0.2">
      <c r="B193" s="609" t="s">
        <v>468</v>
      </c>
      <c r="C193" s="609" t="s">
        <v>467</v>
      </c>
      <c r="D193" s="239">
        <v>-62765</v>
      </c>
      <c r="E193" s="239">
        <v>0</v>
      </c>
      <c r="F193" s="239">
        <v>-62765</v>
      </c>
      <c r="G193" s="239">
        <v>0</v>
      </c>
      <c r="H193" s="239">
        <v>0</v>
      </c>
      <c r="I193" s="239">
        <v>0</v>
      </c>
      <c r="J193" s="239">
        <v>-62765</v>
      </c>
      <c r="K193" s="239">
        <v>0</v>
      </c>
      <c r="L193" s="239">
        <v>-62765</v>
      </c>
      <c r="M193" s="239">
        <v>145731</v>
      </c>
      <c r="N193" s="239">
        <v>145731</v>
      </c>
      <c r="O193" s="239">
        <v>0</v>
      </c>
      <c r="P193" s="239">
        <v>0</v>
      </c>
      <c r="Q193" s="239">
        <v>0</v>
      </c>
      <c r="R193" s="239">
        <v>0</v>
      </c>
      <c r="S193" s="239">
        <v>366299</v>
      </c>
      <c r="T193" s="239">
        <v>0</v>
      </c>
      <c r="U193" s="239">
        <v>80000</v>
      </c>
      <c r="V193" s="239">
        <v>0</v>
      </c>
      <c r="W193" s="239">
        <v>286299</v>
      </c>
      <c r="X193" s="239">
        <v>0</v>
      </c>
      <c r="Y193" s="239">
        <v>0</v>
      </c>
      <c r="Z193" s="239">
        <v>0</v>
      </c>
      <c r="AA193" s="239">
        <v>0</v>
      </c>
      <c r="AB193" s="239">
        <v>0</v>
      </c>
      <c r="AC193" s="239">
        <v>0</v>
      </c>
      <c r="AD193" s="239">
        <v>0</v>
      </c>
      <c r="AE193" s="239">
        <v>0</v>
      </c>
      <c r="AF193" s="239">
        <v>0</v>
      </c>
      <c r="AG193" s="239">
        <v>0</v>
      </c>
      <c r="AH193" s="239">
        <v>0</v>
      </c>
      <c r="AI193" s="239">
        <v>0</v>
      </c>
      <c r="AJ193" s="239">
        <v>0</v>
      </c>
      <c r="AK193" s="239">
        <v>429935.62851239671</v>
      </c>
      <c r="AL193" s="239">
        <v>96735.516415289254</v>
      </c>
      <c r="AM193" s="239">
        <v>10748.390712809916</v>
      </c>
      <c r="AN193" s="239">
        <v>400265</v>
      </c>
      <c r="AO193" s="239">
        <v>90060</v>
      </c>
      <c r="AP193" s="239">
        <v>10007</v>
      </c>
      <c r="AQ193" s="239">
        <v>29671</v>
      </c>
      <c r="AR193" s="239">
        <v>6676</v>
      </c>
      <c r="AS193" s="239">
        <v>741</v>
      </c>
      <c r="AT193" s="239">
        <v>4042.4314049586778</v>
      </c>
      <c r="AU193" s="239">
        <v>909.54706611570236</v>
      </c>
      <c r="AV193" s="239">
        <v>101.06078512396694</v>
      </c>
      <c r="AW193" s="239">
        <v>3421</v>
      </c>
      <c r="AX193" s="239">
        <v>770</v>
      </c>
      <c r="AY193" s="239">
        <v>86</v>
      </c>
      <c r="AZ193" s="239">
        <v>621</v>
      </c>
      <c r="BA193" s="239">
        <v>140</v>
      </c>
      <c r="BB193" s="239">
        <v>15</v>
      </c>
      <c r="BC193" s="239">
        <v>38696.480991735538</v>
      </c>
      <c r="BD193" s="239">
        <v>8706.7082231404947</v>
      </c>
      <c r="BE193" s="239">
        <v>967.41202479338835</v>
      </c>
      <c r="BF193" s="239">
        <v>2191</v>
      </c>
      <c r="BG193" s="239">
        <v>493</v>
      </c>
      <c r="BH193" s="239">
        <v>55</v>
      </c>
      <c r="BI193" s="239">
        <v>36505</v>
      </c>
      <c r="BJ193" s="239">
        <v>8214</v>
      </c>
      <c r="BK193" s="239">
        <v>912</v>
      </c>
      <c r="BL193" s="239">
        <v>0</v>
      </c>
      <c r="BM193" s="239">
        <v>0</v>
      </c>
      <c r="BN193" s="239">
        <v>0</v>
      </c>
      <c r="BO193" s="239">
        <v>0</v>
      </c>
      <c r="BP193" s="239">
        <v>0</v>
      </c>
      <c r="BQ193" s="239">
        <v>0</v>
      </c>
      <c r="BR193" s="239">
        <v>0</v>
      </c>
      <c r="BS193" s="239">
        <v>0</v>
      </c>
      <c r="BT193" s="239">
        <v>0</v>
      </c>
      <c r="BU193" s="239">
        <v>3229.238016528926</v>
      </c>
      <c r="BV193" s="239">
        <v>726.57855371900826</v>
      </c>
      <c r="BW193" s="239">
        <v>80.730950413223141</v>
      </c>
      <c r="BX193" s="239">
        <v>0</v>
      </c>
      <c r="BY193" s="239">
        <v>0</v>
      </c>
      <c r="BZ193" s="239">
        <v>0</v>
      </c>
      <c r="CA193" s="239">
        <v>3229</v>
      </c>
      <c r="CB193" s="239">
        <v>727</v>
      </c>
      <c r="CC193" s="239">
        <v>81</v>
      </c>
      <c r="CD193" s="239">
        <v>0</v>
      </c>
      <c r="CE193" s="239">
        <v>0</v>
      </c>
      <c r="CF193" s="239">
        <v>0</v>
      </c>
      <c r="CG193" s="239">
        <v>0</v>
      </c>
      <c r="CH193" s="239">
        <v>0</v>
      </c>
      <c r="CI193" s="239">
        <v>0</v>
      </c>
      <c r="CJ193" s="239">
        <v>0</v>
      </c>
      <c r="CK193" s="239">
        <v>0</v>
      </c>
      <c r="CL193" s="239">
        <v>0</v>
      </c>
      <c r="CM193" s="239">
        <v>1625.5752066115704</v>
      </c>
      <c r="CN193" s="239">
        <v>365.75442148760328</v>
      </c>
      <c r="CO193" s="239">
        <v>40.639380165289261</v>
      </c>
      <c r="CP193" s="239">
        <v>1476</v>
      </c>
      <c r="CQ193" s="239">
        <v>332</v>
      </c>
      <c r="CR193" s="239">
        <v>37</v>
      </c>
      <c r="CS193" s="239">
        <v>150</v>
      </c>
      <c r="CT193" s="239">
        <v>34</v>
      </c>
      <c r="CU193" s="239">
        <v>4</v>
      </c>
      <c r="CV193" s="239">
        <v>306162.43925619835</v>
      </c>
      <c r="CW193" s="239">
        <v>67694.563450413232</v>
      </c>
      <c r="CX193" s="239">
        <v>7521.6181611570246</v>
      </c>
      <c r="CY193" s="239">
        <v>296082</v>
      </c>
      <c r="CZ193" s="239">
        <v>66358</v>
      </c>
      <c r="DA193" s="239">
        <v>7373</v>
      </c>
      <c r="DB193" s="239">
        <v>10080</v>
      </c>
      <c r="DC193" s="239">
        <v>1337</v>
      </c>
      <c r="DD193" s="239">
        <v>149</v>
      </c>
      <c r="DE193" s="641">
        <v>0.5</v>
      </c>
      <c r="DF193" s="641">
        <v>0.4</v>
      </c>
      <c r="DG193" s="641">
        <v>0.09</v>
      </c>
      <c r="DH193" s="641">
        <v>0.01</v>
      </c>
      <c r="DI193" s="214" t="s">
        <v>1190</v>
      </c>
    </row>
    <row r="194" spans="2:113" s="214" customFormat="1" x14ac:dyDescent="0.2">
      <c r="B194" s="609" t="s">
        <v>470</v>
      </c>
      <c r="C194" s="609" t="s">
        <v>469</v>
      </c>
      <c r="D194" s="239">
        <v>469269</v>
      </c>
      <c r="E194" s="239">
        <v>1900</v>
      </c>
      <c r="F194" s="239">
        <v>471169</v>
      </c>
      <c r="G194" s="239">
        <v>0</v>
      </c>
      <c r="H194" s="239">
        <v>0</v>
      </c>
      <c r="I194" s="239">
        <v>0</v>
      </c>
      <c r="J194" s="239">
        <v>469269</v>
      </c>
      <c r="K194" s="239">
        <v>1900</v>
      </c>
      <c r="L194" s="239">
        <v>471169</v>
      </c>
      <c r="M194" s="239">
        <v>295579</v>
      </c>
      <c r="N194" s="239">
        <v>295579</v>
      </c>
      <c r="O194" s="239">
        <v>0</v>
      </c>
      <c r="P194" s="239">
        <v>1438461</v>
      </c>
      <c r="Q194" s="239">
        <v>0</v>
      </c>
      <c r="R194" s="239">
        <v>1438461</v>
      </c>
      <c r="S194" s="239">
        <v>0</v>
      </c>
      <c r="T194" s="239">
        <v>0</v>
      </c>
      <c r="U194" s="239">
        <v>0</v>
      </c>
      <c r="V194" s="239">
        <v>0</v>
      </c>
      <c r="W194" s="239">
        <v>0</v>
      </c>
      <c r="X194" s="239">
        <v>0</v>
      </c>
      <c r="Y194" s="239">
        <v>2006130.6404958677</v>
      </c>
      <c r="Z194" s="239">
        <v>2006130.6404958677</v>
      </c>
      <c r="AA194" s="239">
        <v>0</v>
      </c>
      <c r="AB194" s="239">
        <v>0</v>
      </c>
      <c r="AC194" s="239">
        <v>2050864</v>
      </c>
      <c r="AD194" s="239">
        <v>2050864</v>
      </c>
      <c r="AE194" s="239">
        <v>0</v>
      </c>
      <c r="AF194" s="239">
        <v>0</v>
      </c>
      <c r="AG194" s="239">
        <v>-44733</v>
      </c>
      <c r="AH194" s="239">
        <v>-44733</v>
      </c>
      <c r="AI194" s="239">
        <v>0</v>
      </c>
      <c r="AJ194" s="239">
        <v>0</v>
      </c>
      <c r="AK194" s="239">
        <v>782432.44132231409</v>
      </c>
      <c r="AL194" s="239">
        <v>185310.8055785124</v>
      </c>
      <c r="AM194" s="239">
        <v>0</v>
      </c>
      <c r="AN194" s="239">
        <v>798871</v>
      </c>
      <c r="AO194" s="239">
        <v>191122</v>
      </c>
      <c r="AP194" s="239">
        <v>0</v>
      </c>
      <c r="AQ194" s="239">
        <v>-16439</v>
      </c>
      <c r="AR194" s="239">
        <v>-5811</v>
      </c>
      <c r="AS194" s="239">
        <v>0</v>
      </c>
      <c r="AT194" s="239">
        <v>0</v>
      </c>
      <c r="AU194" s="239">
        <v>0</v>
      </c>
      <c r="AV194" s="239">
        <v>0</v>
      </c>
      <c r="AW194" s="239">
        <v>0</v>
      </c>
      <c r="AX194" s="239">
        <v>0</v>
      </c>
      <c r="AY194" s="239">
        <v>0</v>
      </c>
      <c r="AZ194" s="239">
        <v>0</v>
      </c>
      <c r="BA194" s="239">
        <v>0</v>
      </c>
      <c r="BB194" s="239">
        <v>0</v>
      </c>
      <c r="BC194" s="239">
        <v>0</v>
      </c>
      <c r="BD194" s="239">
        <v>0</v>
      </c>
      <c r="BE194" s="239">
        <v>0</v>
      </c>
      <c r="BF194" s="239">
        <v>0</v>
      </c>
      <c r="BG194" s="239">
        <v>0</v>
      </c>
      <c r="BH194" s="239">
        <v>0</v>
      </c>
      <c r="BI194" s="239">
        <v>0</v>
      </c>
      <c r="BJ194" s="239">
        <v>0</v>
      </c>
      <c r="BK194" s="239">
        <v>0</v>
      </c>
      <c r="BL194" s="239">
        <v>91136.092561983474</v>
      </c>
      <c r="BM194" s="239">
        <v>24200.720454545455</v>
      </c>
      <c r="BN194" s="239">
        <v>0</v>
      </c>
      <c r="BO194" s="239">
        <v>101728</v>
      </c>
      <c r="BP194" s="239">
        <v>25432</v>
      </c>
      <c r="BQ194" s="239">
        <v>0</v>
      </c>
      <c r="BR194" s="239">
        <v>-10592</v>
      </c>
      <c r="BS194" s="239">
        <v>-1231</v>
      </c>
      <c r="BT194" s="239">
        <v>0</v>
      </c>
      <c r="BU194" s="239">
        <v>-7207.3524793388424</v>
      </c>
      <c r="BV194" s="239">
        <v>-1752.8902892561982</v>
      </c>
      <c r="BW194" s="239">
        <v>0</v>
      </c>
      <c r="BX194" s="239">
        <v>0</v>
      </c>
      <c r="BY194" s="239">
        <v>0</v>
      </c>
      <c r="BZ194" s="239">
        <v>0</v>
      </c>
      <c r="CA194" s="239">
        <v>-7207</v>
      </c>
      <c r="CB194" s="239">
        <v>-1753</v>
      </c>
      <c r="CC194" s="239">
        <v>0</v>
      </c>
      <c r="CD194" s="239">
        <v>0</v>
      </c>
      <c r="CE194" s="239">
        <v>0</v>
      </c>
      <c r="CF194" s="239">
        <v>0</v>
      </c>
      <c r="CG194" s="239">
        <v>0</v>
      </c>
      <c r="CH194" s="239">
        <v>0</v>
      </c>
      <c r="CI194" s="239">
        <v>0</v>
      </c>
      <c r="CJ194" s="239">
        <v>0</v>
      </c>
      <c r="CK194" s="239">
        <v>0</v>
      </c>
      <c r="CL194" s="239">
        <v>0</v>
      </c>
      <c r="CM194" s="239">
        <v>0</v>
      </c>
      <c r="CN194" s="239">
        <v>0</v>
      </c>
      <c r="CO194" s="239">
        <v>0</v>
      </c>
      <c r="CP194" s="239">
        <v>0</v>
      </c>
      <c r="CQ194" s="239">
        <v>0</v>
      </c>
      <c r="CR194" s="239">
        <v>0</v>
      </c>
      <c r="CS194" s="239">
        <v>0</v>
      </c>
      <c r="CT194" s="239">
        <v>0</v>
      </c>
      <c r="CU194" s="239">
        <v>0</v>
      </c>
      <c r="CV194" s="239">
        <v>594737.95413223142</v>
      </c>
      <c r="CW194" s="239">
        <v>143483.44152892561</v>
      </c>
      <c r="CX194" s="239">
        <v>0</v>
      </c>
      <c r="CY194" s="239">
        <v>615009</v>
      </c>
      <c r="CZ194" s="239">
        <v>146337</v>
      </c>
      <c r="DA194" s="239">
        <v>0</v>
      </c>
      <c r="DB194" s="239">
        <v>-20271</v>
      </c>
      <c r="DC194" s="239">
        <v>-2854</v>
      </c>
      <c r="DD194" s="239">
        <v>0</v>
      </c>
      <c r="DE194" s="641">
        <v>0.5</v>
      </c>
      <c r="DF194" s="641">
        <v>0.4</v>
      </c>
      <c r="DG194" s="641">
        <v>0.1</v>
      </c>
      <c r="DH194" s="641">
        <v>0</v>
      </c>
      <c r="DI194" s="214" t="s">
        <v>1190</v>
      </c>
    </row>
    <row r="195" spans="2:113" s="214" customFormat="1" x14ac:dyDescent="0.2">
      <c r="B195" s="609" t="s">
        <v>472</v>
      </c>
      <c r="C195" s="609" t="s">
        <v>471</v>
      </c>
      <c r="D195" s="239">
        <v>-72661</v>
      </c>
      <c r="E195" s="239">
        <v>0</v>
      </c>
      <c r="F195" s="239">
        <v>-72661</v>
      </c>
      <c r="G195" s="239">
        <v>0</v>
      </c>
      <c r="H195" s="239">
        <v>0</v>
      </c>
      <c r="I195" s="239">
        <v>0</v>
      </c>
      <c r="J195" s="239">
        <v>-72661</v>
      </c>
      <c r="K195" s="239">
        <v>0</v>
      </c>
      <c r="L195" s="239">
        <v>-72661</v>
      </c>
      <c r="M195" s="239">
        <v>478025</v>
      </c>
      <c r="N195" s="239">
        <v>478025</v>
      </c>
      <c r="O195" s="239">
        <v>0</v>
      </c>
      <c r="P195" s="239">
        <v>29738</v>
      </c>
      <c r="Q195" s="239">
        <v>30829</v>
      </c>
      <c r="R195" s="239">
        <v>-1091</v>
      </c>
      <c r="S195" s="239">
        <v>1377191</v>
      </c>
      <c r="T195" s="239">
        <v>0</v>
      </c>
      <c r="U195" s="239">
        <v>1376308</v>
      </c>
      <c r="V195" s="239">
        <v>0</v>
      </c>
      <c r="W195" s="239">
        <v>883</v>
      </c>
      <c r="X195" s="239">
        <v>0</v>
      </c>
      <c r="Y195" s="239">
        <v>142881</v>
      </c>
      <c r="Z195" s="239">
        <v>142881</v>
      </c>
      <c r="AA195" s="239">
        <v>0</v>
      </c>
      <c r="AB195" s="239">
        <v>0</v>
      </c>
      <c r="AC195" s="239">
        <v>78096</v>
      </c>
      <c r="AD195" s="239">
        <v>78096</v>
      </c>
      <c r="AE195" s="239">
        <v>0</v>
      </c>
      <c r="AF195" s="239">
        <v>0</v>
      </c>
      <c r="AG195" s="239">
        <v>64785</v>
      </c>
      <c r="AH195" s="239">
        <v>64785</v>
      </c>
      <c r="AI195" s="239">
        <v>0</v>
      </c>
      <c r="AJ195" s="239">
        <v>0</v>
      </c>
      <c r="AK195" s="239">
        <v>2234822.7670454546</v>
      </c>
      <c r="AL195" s="239">
        <v>0</v>
      </c>
      <c r="AM195" s="239">
        <v>0</v>
      </c>
      <c r="AN195" s="239">
        <v>2130820</v>
      </c>
      <c r="AO195" s="239">
        <v>0</v>
      </c>
      <c r="AP195" s="239">
        <v>0</v>
      </c>
      <c r="AQ195" s="239">
        <v>104003</v>
      </c>
      <c r="AR195" s="239">
        <v>0</v>
      </c>
      <c r="AS195" s="239">
        <v>0</v>
      </c>
      <c r="AT195" s="239">
        <v>30232.006198347106</v>
      </c>
      <c r="AU195" s="239">
        <v>0</v>
      </c>
      <c r="AV195" s="239">
        <v>0</v>
      </c>
      <c r="AW195" s="239">
        <v>10067</v>
      </c>
      <c r="AX195" s="239">
        <v>0</v>
      </c>
      <c r="AY195" s="239">
        <v>0</v>
      </c>
      <c r="AZ195" s="239">
        <v>20165</v>
      </c>
      <c r="BA195" s="239">
        <v>0</v>
      </c>
      <c r="BB195" s="239">
        <v>0</v>
      </c>
      <c r="BC195" s="239">
        <v>-530.56404958677683</v>
      </c>
      <c r="BD195" s="239">
        <v>0</v>
      </c>
      <c r="BE195" s="239">
        <v>0</v>
      </c>
      <c r="BF195" s="239">
        <v>12681</v>
      </c>
      <c r="BG195" s="239">
        <v>0</v>
      </c>
      <c r="BH195" s="239">
        <v>0</v>
      </c>
      <c r="BI195" s="239">
        <v>-13212</v>
      </c>
      <c r="BJ195" s="239">
        <v>0</v>
      </c>
      <c r="BK195" s="239">
        <v>0</v>
      </c>
      <c r="BL195" s="239">
        <v>24473.40805785124</v>
      </c>
      <c r="BM195" s="239">
        <v>0</v>
      </c>
      <c r="BN195" s="239">
        <v>0</v>
      </c>
      <c r="BO195" s="239">
        <v>18209</v>
      </c>
      <c r="BP195" s="239">
        <v>0</v>
      </c>
      <c r="BQ195" s="239">
        <v>0</v>
      </c>
      <c r="BR195" s="239">
        <v>6264</v>
      </c>
      <c r="BS195" s="239">
        <v>0</v>
      </c>
      <c r="BT195" s="239">
        <v>0</v>
      </c>
      <c r="BU195" s="239">
        <v>-5315.2778925619832</v>
      </c>
      <c r="BV195" s="239">
        <v>0</v>
      </c>
      <c r="BW195" s="239">
        <v>0</v>
      </c>
      <c r="BX195" s="239">
        <v>0</v>
      </c>
      <c r="BY195" s="239">
        <v>0</v>
      </c>
      <c r="BZ195" s="239">
        <v>0</v>
      </c>
      <c r="CA195" s="239">
        <v>-5315</v>
      </c>
      <c r="CB195" s="239">
        <v>0</v>
      </c>
      <c r="CC195" s="239">
        <v>0</v>
      </c>
      <c r="CD195" s="239">
        <v>19182.984504132233</v>
      </c>
      <c r="CE195" s="239">
        <v>0</v>
      </c>
      <c r="CF195" s="239">
        <v>0</v>
      </c>
      <c r="CG195" s="239">
        <v>0</v>
      </c>
      <c r="CH195" s="239">
        <v>0</v>
      </c>
      <c r="CI195" s="239">
        <v>0</v>
      </c>
      <c r="CJ195" s="239">
        <v>19183</v>
      </c>
      <c r="CK195" s="239">
        <v>0</v>
      </c>
      <c r="CL195" s="239">
        <v>0</v>
      </c>
      <c r="CM195" s="239">
        <v>1820.4535123966944</v>
      </c>
      <c r="CN195" s="239">
        <v>0</v>
      </c>
      <c r="CO195" s="239">
        <v>0</v>
      </c>
      <c r="CP195" s="239">
        <v>14609</v>
      </c>
      <c r="CQ195" s="239">
        <v>0</v>
      </c>
      <c r="CR195" s="239">
        <v>0</v>
      </c>
      <c r="CS195" s="239">
        <v>-12789</v>
      </c>
      <c r="CT195" s="239">
        <v>0</v>
      </c>
      <c r="CU195" s="239">
        <v>0</v>
      </c>
      <c r="CV195" s="239">
        <v>567767.75826446281</v>
      </c>
      <c r="CW195" s="239">
        <v>0</v>
      </c>
      <c r="CX195" s="239">
        <v>0</v>
      </c>
      <c r="CY195" s="239">
        <v>579166</v>
      </c>
      <c r="CZ195" s="239">
        <v>0</v>
      </c>
      <c r="DA195" s="239">
        <v>0</v>
      </c>
      <c r="DB195" s="239">
        <v>-11398</v>
      </c>
      <c r="DC195" s="239">
        <v>0</v>
      </c>
      <c r="DD195" s="239">
        <v>0</v>
      </c>
      <c r="DE195" s="641">
        <v>0.5</v>
      </c>
      <c r="DF195" s="641">
        <v>0.5</v>
      </c>
      <c r="DG195" s="641">
        <v>0</v>
      </c>
      <c r="DH195" s="641">
        <v>0</v>
      </c>
      <c r="DI195" s="214" t="s">
        <v>747</v>
      </c>
    </row>
    <row r="196" spans="2:113" s="214" customFormat="1" x14ac:dyDescent="0.2">
      <c r="B196" s="609" t="s">
        <v>474</v>
      </c>
      <c r="C196" s="609" t="s">
        <v>473</v>
      </c>
      <c r="D196" s="239">
        <v>-149647</v>
      </c>
      <c r="E196" s="239">
        <v>0</v>
      </c>
      <c r="F196" s="239">
        <v>-149647</v>
      </c>
      <c r="G196" s="239">
        <v>0</v>
      </c>
      <c r="H196" s="239">
        <v>0</v>
      </c>
      <c r="I196" s="239">
        <v>0</v>
      </c>
      <c r="J196" s="239">
        <v>-149647</v>
      </c>
      <c r="K196" s="239">
        <v>0</v>
      </c>
      <c r="L196" s="239">
        <v>-149647</v>
      </c>
      <c r="M196" s="239">
        <v>271241</v>
      </c>
      <c r="N196" s="239">
        <v>271241</v>
      </c>
      <c r="O196" s="239">
        <v>0</v>
      </c>
      <c r="P196" s="239">
        <v>0</v>
      </c>
      <c r="Q196" s="239">
        <v>0</v>
      </c>
      <c r="R196" s="239">
        <v>0</v>
      </c>
      <c r="S196" s="239">
        <v>0</v>
      </c>
      <c r="T196" s="239">
        <v>0</v>
      </c>
      <c r="U196" s="239">
        <v>0</v>
      </c>
      <c r="V196" s="239">
        <v>0</v>
      </c>
      <c r="W196" s="239">
        <v>0</v>
      </c>
      <c r="X196" s="239">
        <v>0</v>
      </c>
      <c r="Y196" s="239">
        <v>0</v>
      </c>
      <c r="Z196" s="239">
        <v>0</v>
      </c>
      <c r="AA196" s="239">
        <v>0</v>
      </c>
      <c r="AB196" s="239">
        <v>0</v>
      </c>
      <c r="AC196" s="239">
        <v>0</v>
      </c>
      <c r="AD196" s="239">
        <v>0</v>
      </c>
      <c r="AE196" s="239">
        <v>0</v>
      </c>
      <c r="AF196" s="239">
        <v>0</v>
      </c>
      <c r="AG196" s="239">
        <v>0</v>
      </c>
      <c r="AH196" s="239">
        <v>0</v>
      </c>
      <c r="AI196" s="239">
        <v>0</v>
      </c>
      <c r="AJ196" s="239">
        <v>0</v>
      </c>
      <c r="AK196" s="239">
        <v>751789.57768595044</v>
      </c>
      <c r="AL196" s="239">
        <v>187947.39442148761</v>
      </c>
      <c r="AM196" s="239">
        <v>0</v>
      </c>
      <c r="AN196" s="239">
        <v>774467</v>
      </c>
      <c r="AO196" s="239">
        <v>193617</v>
      </c>
      <c r="AP196" s="239">
        <v>0</v>
      </c>
      <c r="AQ196" s="239">
        <v>-22677</v>
      </c>
      <c r="AR196" s="239">
        <v>-5670</v>
      </c>
      <c r="AS196" s="239">
        <v>0</v>
      </c>
      <c r="AT196" s="239">
        <v>3961.6801652892555</v>
      </c>
      <c r="AU196" s="239">
        <v>990.42004132231386</v>
      </c>
      <c r="AV196" s="239">
        <v>0</v>
      </c>
      <c r="AW196" s="239">
        <v>3965</v>
      </c>
      <c r="AX196" s="239">
        <v>991</v>
      </c>
      <c r="AY196" s="239">
        <v>0</v>
      </c>
      <c r="AZ196" s="239">
        <v>-3</v>
      </c>
      <c r="BA196" s="239">
        <v>-1</v>
      </c>
      <c r="BB196" s="239">
        <v>0</v>
      </c>
      <c r="BC196" s="239">
        <v>0</v>
      </c>
      <c r="BD196" s="239">
        <v>0</v>
      </c>
      <c r="BE196" s="239">
        <v>0</v>
      </c>
      <c r="BF196" s="239">
        <v>0</v>
      </c>
      <c r="BG196" s="239">
        <v>0</v>
      </c>
      <c r="BH196" s="239">
        <v>0</v>
      </c>
      <c r="BI196" s="239">
        <v>0</v>
      </c>
      <c r="BJ196" s="239">
        <v>0</v>
      </c>
      <c r="BK196" s="239">
        <v>0</v>
      </c>
      <c r="BL196" s="239">
        <v>53158.257024793391</v>
      </c>
      <c r="BM196" s="239">
        <v>13289.564256198348</v>
      </c>
      <c r="BN196" s="239">
        <v>0</v>
      </c>
      <c r="BO196" s="239">
        <v>11820</v>
      </c>
      <c r="BP196" s="239">
        <v>2955</v>
      </c>
      <c r="BQ196" s="239">
        <v>0</v>
      </c>
      <c r="BR196" s="239">
        <v>41338</v>
      </c>
      <c r="BS196" s="239">
        <v>10335</v>
      </c>
      <c r="BT196" s="239">
        <v>0</v>
      </c>
      <c r="BU196" s="239">
        <v>6996.5471074380175</v>
      </c>
      <c r="BV196" s="239">
        <v>1749.1367768595044</v>
      </c>
      <c r="BW196" s="239">
        <v>0</v>
      </c>
      <c r="BX196" s="239">
        <v>0</v>
      </c>
      <c r="BY196" s="239">
        <v>0</v>
      </c>
      <c r="BZ196" s="239">
        <v>0</v>
      </c>
      <c r="CA196" s="239">
        <v>6997</v>
      </c>
      <c r="CB196" s="239">
        <v>1749</v>
      </c>
      <c r="CC196" s="239">
        <v>0</v>
      </c>
      <c r="CD196" s="239">
        <v>0</v>
      </c>
      <c r="CE196" s="239">
        <v>0</v>
      </c>
      <c r="CF196" s="239">
        <v>0</v>
      </c>
      <c r="CG196" s="239">
        <v>0</v>
      </c>
      <c r="CH196" s="239">
        <v>0</v>
      </c>
      <c r="CI196" s="239">
        <v>0</v>
      </c>
      <c r="CJ196" s="239">
        <v>0</v>
      </c>
      <c r="CK196" s="239">
        <v>0</v>
      </c>
      <c r="CL196" s="239">
        <v>0</v>
      </c>
      <c r="CM196" s="239">
        <v>792.90413223140501</v>
      </c>
      <c r="CN196" s="239">
        <v>198.22603305785125</v>
      </c>
      <c r="CO196" s="239">
        <v>0</v>
      </c>
      <c r="CP196" s="239">
        <v>4434</v>
      </c>
      <c r="CQ196" s="239">
        <v>1109</v>
      </c>
      <c r="CR196" s="239">
        <v>0</v>
      </c>
      <c r="CS196" s="239">
        <v>-3641</v>
      </c>
      <c r="CT196" s="239">
        <v>-911</v>
      </c>
      <c r="CU196" s="239">
        <v>0</v>
      </c>
      <c r="CV196" s="239">
        <v>449330.2314049587</v>
      </c>
      <c r="CW196" s="239">
        <v>112332.55785123968</v>
      </c>
      <c r="CX196" s="239">
        <v>0</v>
      </c>
      <c r="CY196" s="239">
        <v>450442</v>
      </c>
      <c r="CZ196" s="239">
        <v>112610</v>
      </c>
      <c r="DA196" s="239">
        <v>0</v>
      </c>
      <c r="DB196" s="239">
        <v>-1112</v>
      </c>
      <c r="DC196" s="239">
        <v>-277</v>
      </c>
      <c r="DD196" s="239">
        <v>0</v>
      </c>
      <c r="DE196" s="641">
        <v>0.5</v>
      </c>
      <c r="DF196" s="641">
        <v>0.4</v>
      </c>
      <c r="DG196" s="641">
        <v>0.1</v>
      </c>
      <c r="DH196" s="641">
        <v>0</v>
      </c>
      <c r="DI196" s="214" t="s">
        <v>1190</v>
      </c>
    </row>
    <row r="197" spans="2:113" s="214" customFormat="1" x14ac:dyDescent="0.2">
      <c r="B197" s="609" t="s">
        <v>476</v>
      </c>
      <c r="C197" s="609" t="s">
        <v>475</v>
      </c>
      <c r="D197" s="239">
        <v>-488775</v>
      </c>
      <c r="E197" s="239">
        <v>-8411</v>
      </c>
      <c r="F197" s="239">
        <v>-497186</v>
      </c>
      <c r="G197" s="239">
        <v>0</v>
      </c>
      <c r="H197" s="239">
        <v>0</v>
      </c>
      <c r="I197" s="239">
        <v>0</v>
      </c>
      <c r="J197" s="239">
        <v>-488775</v>
      </c>
      <c r="K197" s="239">
        <v>-8411</v>
      </c>
      <c r="L197" s="239">
        <v>-497186</v>
      </c>
      <c r="M197" s="239">
        <v>488769</v>
      </c>
      <c r="N197" s="239">
        <v>493769</v>
      </c>
      <c r="O197" s="239">
        <v>-5000</v>
      </c>
      <c r="P197" s="239">
        <v>0</v>
      </c>
      <c r="Q197" s="239">
        <v>10107</v>
      </c>
      <c r="R197" s="239">
        <v>-10107</v>
      </c>
      <c r="S197" s="239">
        <v>0</v>
      </c>
      <c r="T197" s="239">
        <v>0</v>
      </c>
      <c r="U197" s="239">
        <v>0</v>
      </c>
      <c r="V197" s="239">
        <v>0</v>
      </c>
      <c r="W197" s="239">
        <v>0</v>
      </c>
      <c r="X197" s="239">
        <v>0</v>
      </c>
      <c r="Y197" s="239">
        <v>0</v>
      </c>
      <c r="Z197" s="239">
        <v>0</v>
      </c>
      <c r="AA197" s="239">
        <v>0</v>
      </c>
      <c r="AB197" s="239">
        <v>0</v>
      </c>
      <c r="AC197" s="239">
        <v>0</v>
      </c>
      <c r="AD197" s="239">
        <v>0</v>
      </c>
      <c r="AE197" s="239">
        <v>0</v>
      </c>
      <c r="AF197" s="239">
        <v>0</v>
      </c>
      <c r="AG197" s="239">
        <v>0</v>
      </c>
      <c r="AH197" s="239">
        <v>0</v>
      </c>
      <c r="AI197" s="239">
        <v>0</v>
      </c>
      <c r="AJ197" s="239">
        <v>0</v>
      </c>
      <c r="AK197" s="239">
        <v>1604317.3463946281</v>
      </c>
      <c r="AL197" s="239">
        <v>0</v>
      </c>
      <c r="AM197" s="239">
        <v>29139.475402892564</v>
      </c>
      <c r="AN197" s="239">
        <v>1524328</v>
      </c>
      <c r="AO197" s="239">
        <v>0</v>
      </c>
      <c r="AP197" s="239">
        <v>27070</v>
      </c>
      <c r="AQ197" s="239">
        <v>79989</v>
      </c>
      <c r="AR197" s="239">
        <v>0</v>
      </c>
      <c r="AS197" s="239">
        <v>2069</v>
      </c>
      <c r="AT197" s="239">
        <v>23913.515888429749</v>
      </c>
      <c r="AU197" s="239">
        <v>0</v>
      </c>
      <c r="AV197" s="239">
        <v>341.78266528925622</v>
      </c>
      <c r="AW197" s="239">
        <v>9942</v>
      </c>
      <c r="AX197" s="239">
        <v>0</v>
      </c>
      <c r="AY197" s="239">
        <v>203</v>
      </c>
      <c r="AZ197" s="239">
        <v>13972</v>
      </c>
      <c r="BA197" s="239">
        <v>0</v>
      </c>
      <c r="BB197" s="239">
        <v>139</v>
      </c>
      <c r="BC197" s="239">
        <v>0</v>
      </c>
      <c r="BD197" s="239">
        <v>0</v>
      </c>
      <c r="BE197" s="239">
        <v>0</v>
      </c>
      <c r="BF197" s="239">
        <v>0</v>
      </c>
      <c r="BG197" s="239">
        <v>0</v>
      </c>
      <c r="BH197" s="239">
        <v>0</v>
      </c>
      <c r="BI197" s="239">
        <v>0</v>
      </c>
      <c r="BJ197" s="239">
        <v>0</v>
      </c>
      <c r="BK197" s="239">
        <v>0</v>
      </c>
      <c r="BL197" s="239">
        <v>81909.330123966938</v>
      </c>
      <c r="BM197" s="239">
        <v>0</v>
      </c>
      <c r="BN197" s="239">
        <v>1209.665743801653</v>
      </c>
      <c r="BO197" s="239">
        <v>27440</v>
      </c>
      <c r="BP197" s="239">
        <v>0</v>
      </c>
      <c r="BQ197" s="239">
        <v>457</v>
      </c>
      <c r="BR197" s="239">
        <v>54469</v>
      </c>
      <c r="BS197" s="239">
        <v>0</v>
      </c>
      <c r="BT197" s="239">
        <v>753</v>
      </c>
      <c r="BU197" s="239">
        <v>17432.539070247934</v>
      </c>
      <c r="BV197" s="239">
        <v>0</v>
      </c>
      <c r="BW197" s="239">
        <v>298.74915289256199</v>
      </c>
      <c r="BX197" s="239">
        <v>0</v>
      </c>
      <c r="BY197" s="239">
        <v>0</v>
      </c>
      <c r="BZ197" s="239">
        <v>0</v>
      </c>
      <c r="CA197" s="239">
        <v>17433</v>
      </c>
      <c r="CB197" s="239">
        <v>0</v>
      </c>
      <c r="CC197" s="239">
        <v>299</v>
      </c>
      <c r="CD197" s="239">
        <v>0</v>
      </c>
      <c r="CE197" s="239">
        <v>0</v>
      </c>
      <c r="CF197" s="239">
        <v>0</v>
      </c>
      <c r="CG197" s="239">
        <v>0</v>
      </c>
      <c r="CH197" s="239">
        <v>0</v>
      </c>
      <c r="CI197" s="239">
        <v>0</v>
      </c>
      <c r="CJ197" s="239">
        <v>0</v>
      </c>
      <c r="CK197" s="239">
        <v>0</v>
      </c>
      <c r="CL197" s="239">
        <v>0</v>
      </c>
      <c r="CM197" s="239">
        <v>0</v>
      </c>
      <c r="CN197" s="239">
        <v>0</v>
      </c>
      <c r="CO197" s="239">
        <v>0</v>
      </c>
      <c r="CP197" s="239">
        <v>0</v>
      </c>
      <c r="CQ197" s="239">
        <v>0</v>
      </c>
      <c r="CR197" s="239">
        <v>0</v>
      </c>
      <c r="CS197" s="239">
        <v>0</v>
      </c>
      <c r="CT197" s="239">
        <v>0</v>
      </c>
      <c r="CU197" s="239">
        <v>0</v>
      </c>
      <c r="CV197" s="239">
        <v>936188.14024793392</v>
      </c>
      <c r="CW197" s="239">
        <v>0</v>
      </c>
      <c r="CX197" s="239">
        <v>19105.880413223138</v>
      </c>
      <c r="CY197" s="239">
        <v>893685</v>
      </c>
      <c r="CZ197" s="239">
        <v>0</v>
      </c>
      <c r="DA197" s="239">
        <v>18235</v>
      </c>
      <c r="DB197" s="239">
        <v>42503</v>
      </c>
      <c r="DC197" s="239">
        <v>0</v>
      </c>
      <c r="DD197" s="239">
        <v>871</v>
      </c>
      <c r="DE197" s="641">
        <v>0.5</v>
      </c>
      <c r="DF197" s="641">
        <v>0.49</v>
      </c>
      <c r="DG197" s="641">
        <v>0</v>
      </c>
      <c r="DH197" s="641">
        <v>0.01</v>
      </c>
      <c r="DI197" s="214" t="s">
        <v>747</v>
      </c>
    </row>
    <row r="198" spans="2:113" s="214" customFormat="1" x14ac:dyDescent="0.2">
      <c r="B198" s="609" t="s">
        <v>478</v>
      </c>
      <c r="C198" s="609" t="s">
        <v>477</v>
      </c>
      <c r="D198" s="239">
        <v>-33022</v>
      </c>
      <c r="E198" s="239">
        <v>0</v>
      </c>
      <c r="F198" s="239">
        <v>-33022</v>
      </c>
      <c r="G198" s="239">
        <v>0</v>
      </c>
      <c r="H198" s="239">
        <v>0</v>
      </c>
      <c r="I198" s="239">
        <v>0</v>
      </c>
      <c r="J198" s="239">
        <v>-33022</v>
      </c>
      <c r="K198" s="239">
        <v>0</v>
      </c>
      <c r="L198" s="239">
        <v>-33022</v>
      </c>
      <c r="M198" s="239">
        <v>133244</v>
      </c>
      <c r="N198" s="239">
        <v>133244</v>
      </c>
      <c r="O198" s="239">
        <v>0</v>
      </c>
      <c r="P198" s="239">
        <v>0</v>
      </c>
      <c r="Q198" s="239">
        <v>0</v>
      </c>
      <c r="R198" s="239">
        <v>0</v>
      </c>
      <c r="S198" s="239">
        <v>0</v>
      </c>
      <c r="T198" s="239">
        <v>0</v>
      </c>
      <c r="U198" s="239">
        <v>0</v>
      </c>
      <c r="V198" s="239">
        <v>0</v>
      </c>
      <c r="W198" s="239">
        <v>0</v>
      </c>
      <c r="X198" s="239">
        <v>0</v>
      </c>
      <c r="Y198" s="239">
        <v>0</v>
      </c>
      <c r="Z198" s="239">
        <v>0</v>
      </c>
      <c r="AA198" s="239">
        <v>0</v>
      </c>
      <c r="AB198" s="239">
        <v>0</v>
      </c>
      <c r="AC198" s="239">
        <v>0</v>
      </c>
      <c r="AD198" s="239">
        <v>0</v>
      </c>
      <c r="AE198" s="239">
        <v>0</v>
      </c>
      <c r="AF198" s="239">
        <v>0</v>
      </c>
      <c r="AG198" s="239">
        <v>0</v>
      </c>
      <c r="AH198" s="239">
        <v>0</v>
      </c>
      <c r="AI198" s="239">
        <v>0</v>
      </c>
      <c r="AJ198" s="239">
        <v>0</v>
      </c>
      <c r="AK198" s="239">
        <v>447375.86735537194</v>
      </c>
      <c r="AL198" s="239">
        <v>111843.96683884299</v>
      </c>
      <c r="AM198" s="239">
        <v>0</v>
      </c>
      <c r="AN198" s="239">
        <v>406228</v>
      </c>
      <c r="AO198" s="239">
        <v>101557</v>
      </c>
      <c r="AP198" s="239">
        <v>0</v>
      </c>
      <c r="AQ198" s="239">
        <v>41148</v>
      </c>
      <c r="AR198" s="239">
        <v>10287</v>
      </c>
      <c r="AS198" s="239">
        <v>0</v>
      </c>
      <c r="AT198" s="239">
        <v>0</v>
      </c>
      <c r="AU198" s="239">
        <v>0</v>
      </c>
      <c r="AV198" s="239">
        <v>0</v>
      </c>
      <c r="AW198" s="239">
        <v>0</v>
      </c>
      <c r="AX198" s="239">
        <v>0</v>
      </c>
      <c r="AY198" s="239">
        <v>0</v>
      </c>
      <c r="AZ198" s="239">
        <v>0</v>
      </c>
      <c r="BA198" s="239">
        <v>0</v>
      </c>
      <c r="BB198" s="239">
        <v>0</v>
      </c>
      <c r="BC198" s="239">
        <v>13458.269421487603</v>
      </c>
      <c r="BD198" s="239">
        <v>3364.5673553719007</v>
      </c>
      <c r="BE198" s="239">
        <v>0</v>
      </c>
      <c r="BF198" s="239">
        <v>24347</v>
      </c>
      <c r="BG198" s="239">
        <v>6087</v>
      </c>
      <c r="BH198" s="239">
        <v>0</v>
      </c>
      <c r="BI198" s="239">
        <v>-10889</v>
      </c>
      <c r="BJ198" s="239">
        <v>-2722</v>
      </c>
      <c r="BK198" s="239">
        <v>0</v>
      </c>
      <c r="BL198" s="239">
        <v>5534.5033057851242</v>
      </c>
      <c r="BM198" s="239">
        <v>1383.6258264462811</v>
      </c>
      <c r="BN198" s="239">
        <v>0</v>
      </c>
      <c r="BO198" s="239">
        <v>0</v>
      </c>
      <c r="BP198" s="239">
        <v>0</v>
      </c>
      <c r="BQ198" s="239">
        <v>0</v>
      </c>
      <c r="BR198" s="239">
        <v>5535</v>
      </c>
      <c r="BS198" s="239">
        <v>1384</v>
      </c>
      <c r="BT198" s="239">
        <v>0</v>
      </c>
      <c r="BU198" s="239">
        <v>-1033.1289256198347</v>
      </c>
      <c r="BV198" s="239">
        <v>-258.28223140495868</v>
      </c>
      <c r="BW198" s="239">
        <v>0</v>
      </c>
      <c r="BX198" s="239">
        <v>0</v>
      </c>
      <c r="BY198" s="239">
        <v>0</v>
      </c>
      <c r="BZ198" s="239">
        <v>0</v>
      </c>
      <c r="CA198" s="239">
        <v>-1033</v>
      </c>
      <c r="CB198" s="239">
        <v>-258</v>
      </c>
      <c r="CC198" s="239">
        <v>0</v>
      </c>
      <c r="CD198" s="239">
        <v>0</v>
      </c>
      <c r="CE198" s="239">
        <v>0</v>
      </c>
      <c r="CF198" s="239">
        <v>0</v>
      </c>
      <c r="CG198" s="239">
        <v>0</v>
      </c>
      <c r="CH198" s="239">
        <v>0</v>
      </c>
      <c r="CI198" s="239">
        <v>0</v>
      </c>
      <c r="CJ198" s="239">
        <v>0</v>
      </c>
      <c r="CK198" s="239">
        <v>0</v>
      </c>
      <c r="CL198" s="239">
        <v>0</v>
      </c>
      <c r="CM198" s="239">
        <v>1685.2256198347106</v>
      </c>
      <c r="CN198" s="239">
        <v>421.30640495867766</v>
      </c>
      <c r="CO198" s="239">
        <v>0</v>
      </c>
      <c r="CP198" s="239">
        <v>1623</v>
      </c>
      <c r="CQ198" s="239">
        <v>406</v>
      </c>
      <c r="CR198" s="239">
        <v>0</v>
      </c>
      <c r="CS198" s="239">
        <v>62</v>
      </c>
      <c r="CT198" s="239">
        <v>15</v>
      </c>
      <c r="CU198" s="239">
        <v>0</v>
      </c>
      <c r="CV198" s="239">
        <v>209502.96528925624</v>
      </c>
      <c r="CW198" s="239">
        <v>52375.741322314061</v>
      </c>
      <c r="CX198" s="239">
        <v>0</v>
      </c>
      <c r="CY198" s="239">
        <v>205058</v>
      </c>
      <c r="CZ198" s="239">
        <v>51265</v>
      </c>
      <c r="DA198" s="239">
        <v>0</v>
      </c>
      <c r="DB198" s="239">
        <v>4445</v>
      </c>
      <c r="DC198" s="239">
        <v>1111</v>
      </c>
      <c r="DD198" s="239">
        <v>0</v>
      </c>
      <c r="DE198" s="641">
        <v>0.5</v>
      </c>
      <c r="DF198" s="641">
        <v>0.4</v>
      </c>
      <c r="DG198" s="641">
        <v>0.1</v>
      </c>
      <c r="DH198" s="641">
        <v>0</v>
      </c>
      <c r="DI198" s="214" t="s">
        <v>1190</v>
      </c>
    </row>
    <row r="199" spans="2:113" s="214" customFormat="1" x14ac:dyDescent="0.2">
      <c r="B199" s="609" t="s">
        <v>480</v>
      </c>
      <c r="C199" s="609" t="s">
        <v>479</v>
      </c>
      <c r="D199" s="239">
        <v>2274</v>
      </c>
      <c r="E199" s="239">
        <v>0</v>
      </c>
      <c r="F199" s="239">
        <v>2274</v>
      </c>
      <c r="G199" s="239">
        <v>0</v>
      </c>
      <c r="H199" s="239">
        <v>0</v>
      </c>
      <c r="I199" s="239">
        <v>0</v>
      </c>
      <c r="J199" s="239">
        <v>2274</v>
      </c>
      <c r="K199" s="239">
        <v>0</v>
      </c>
      <c r="L199" s="239">
        <v>2274</v>
      </c>
      <c r="M199" s="239">
        <v>56547</v>
      </c>
      <c r="N199" s="239">
        <v>56547</v>
      </c>
      <c r="O199" s="239">
        <v>0</v>
      </c>
      <c r="P199" s="239">
        <v>0</v>
      </c>
      <c r="Q199" s="239">
        <v>0</v>
      </c>
      <c r="R199" s="239">
        <v>0</v>
      </c>
      <c r="S199" s="239">
        <v>14029</v>
      </c>
      <c r="T199" s="239">
        <v>0</v>
      </c>
      <c r="U199" s="239">
        <v>0</v>
      </c>
      <c r="V199" s="239">
        <v>0</v>
      </c>
      <c r="W199" s="239">
        <v>14029</v>
      </c>
      <c r="X199" s="239">
        <v>0</v>
      </c>
      <c r="Y199" s="239">
        <v>0</v>
      </c>
      <c r="Z199" s="239">
        <v>0</v>
      </c>
      <c r="AA199" s="239">
        <v>0</v>
      </c>
      <c r="AB199" s="239">
        <v>0</v>
      </c>
      <c r="AC199" s="239">
        <v>0</v>
      </c>
      <c r="AD199" s="239">
        <v>0</v>
      </c>
      <c r="AE199" s="239">
        <v>0</v>
      </c>
      <c r="AF199" s="239">
        <v>0</v>
      </c>
      <c r="AG199" s="239">
        <v>0</v>
      </c>
      <c r="AH199" s="239">
        <v>0</v>
      </c>
      <c r="AI199" s="239">
        <v>0</v>
      </c>
      <c r="AJ199" s="239">
        <v>0</v>
      </c>
      <c r="AK199" s="239">
        <v>215372.28057851238</v>
      </c>
      <c r="AL199" s="239">
        <v>48458.763130165287</v>
      </c>
      <c r="AM199" s="239">
        <v>5384.30701446281</v>
      </c>
      <c r="AN199" s="239">
        <v>205861</v>
      </c>
      <c r="AO199" s="239">
        <v>46319</v>
      </c>
      <c r="AP199" s="239">
        <v>5147</v>
      </c>
      <c r="AQ199" s="239">
        <v>9511</v>
      </c>
      <c r="AR199" s="239">
        <v>2140</v>
      </c>
      <c r="AS199" s="239">
        <v>237</v>
      </c>
      <c r="AT199" s="239">
        <v>4052.9818181818182</v>
      </c>
      <c r="AU199" s="239">
        <v>911.92090909090905</v>
      </c>
      <c r="AV199" s="239">
        <v>101.32454545454546</v>
      </c>
      <c r="AW199" s="239">
        <v>4058</v>
      </c>
      <c r="AX199" s="239">
        <v>913</v>
      </c>
      <c r="AY199" s="239">
        <v>101</v>
      </c>
      <c r="AZ199" s="239">
        <v>-5</v>
      </c>
      <c r="BA199" s="239">
        <v>-1</v>
      </c>
      <c r="BB199" s="239">
        <v>0</v>
      </c>
      <c r="BC199" s="239">
        <v>0</v>
      </c>
      <c r="BD199" s="239">
        <v>0</v>
      </c>
      <c r="BE199" s="239">
        <v>0</v>
      </c>
      <c r="BF199" s="239">
        <v>0</v>
      </c>
      <c r="BG199" s="239">
        <v>0</v>
      </c>
      <c r="BH199" s="239">
        <v>0</v>
      </c>
      <c r="BI199" s="239">
        <v>0</v>
      </c>
      <c r="BJ199" s="239">
        <v>0</v>
      </c>
      <c r="BK199" s="239">
        <v>0</v>
      </c>
      <c r="BL199" s="239">
        <v>196.4</v>
      </c>
      <c r="BM199" s="239">
        <v>44.19</v>
      </c>
      <c r="BN199" s="239">
        <v>4.91</v>
      </c>
      <c r="BO199" s="239">
        <v>4058</v>
      </c>
      <c r="BP199" s="239">
        <v>913</v>
      </c>
      <c r="BQ199" s="239">
        <v>101</v>
      </c>
      <c r="BR199" s="239">
        <v>-3862</v>
      </c>
      <c r="BS199" s="239">
        <v>-869</v>
      </c>
      <c r="BT199" s="239">
        <v>-96</v>
      </c>
      <c r="BU199" s="239">
        <v>-3355.0314049586777</v>
      </c>
      <c r="BV199" s="239">
        <v>-754.88206611570251</v>
      </c>
      <c r="BW199" s="239">
        <v>-83.875785123966949</v>
      </c>
      <c r="BX199" s="239">
        <v>0</v>
      </c>
      <c r="BY199" s="239">
        <v>0</v>
      </c>
      <c r="BZ199" s="239">
        <v>0</v>
      </c>
      <c r="CA199" s="239">
        <v>-3355</v>
      </c>
      <c r="CB199" s="239">
        <v>-755</v>
      </c>
      <c r="CC199" s="239">
        <v>-84</v>
      </c>
      <c r="CD199" s="239">
        <v>0</v>
      </c>
      <c r="CE199" s="239">
        <v>0</v>
      </c>
      <c r="CF199" s="239">
        <v>0</v>
      </c>
      <c r="CG199" s="239">
        <v>0</v>
      </c>
      <c r="CH199" s="239">
        <v>0</v>
      </c>
      <c r="CI199" s="239">
        <v>0</v>
      </c>
      <c r="CJ199" s="239">
        <v>0</v>
      </c>
      <c r="CK199" s="239">
        <v>0</v>
      </c>
      <c r="CL199" s="239">
        <v>0</v>
      </c>
      <c r="CM199" s="239">
        <v>0</v>
      </c>
      <c r="CN199" s="239">
        <v>0</v>
      </c>
      <c r="CO199" s="239">
        <v>0</v>
      </c>
      <c r="CP199" s="239">
        <v>0</v>
      </c>
      <c r="CQ199" s="239">
        <v>0</v>
      </c>
      <c r="CR199" s="239">
        <v>0</v>
      </c>
      <c r="CS199" s="239">
        <v>0</v>
      </c>
      <c r="CT199" s="239">
        <v>0</v>
      </c>
      <c r="CU199" s="239">
        <v>0</v>
      </c>
      <c r="CV199" s="239">
        <v>70152.521900826454</v>
      </c>
      <c r="CW199" s="239">
        <v>15738.665206611569</v>
      </c>
      <c r="CX199" s="239">
        <v>1748.7405785123965</v>
      </c>
      <c r="CY199" s="239">
        <v>70860</v>
      </c>
      <c r="CZ199" s="239">
        <v>15944</v>
      </c>
      <c r="DA199" s="239">
        <v>1772</v>
      </c>
      <c r="DB199" s="239">
        <v>-707</v>
      </c>
      <c r="DC199" s="239">
        <v>-205</v>
      </c>
      <c r="DD199" s="239">
        <v>-23</v>
      </c>
      <c r="DE199" s="641">
        <v>0.5</v>
      </c>
      <c r="DF199" s="641">
        <v>0.4</v>
      </c>
      <c r="DG199" s="641">
        <v>0.09</v>
      </c>
      <c r="DH199" s="641">
        <v>0.01</v>
      </c>
      <c r="DI199" s="214" t="s">
        <v>1190</v>
      </c>
    </row>
    <row r="200" spans="2:113" s="214" customFormat="1" x14ac:dyDescent="0.2">
      <c r="B200" s="609" t="s">
        <v>482</v>
      </c>
      <c r="C200" s="609" t="s">
        <v>481</v>
      </c>
      <c r="D200" s="239">
        <v>-1126263</v>
      </c>
      <c r="E200" s="239">
        <v>0</v>
      </c>
      <c r="F200" s="239">
        <v>-1126263</v>
      </c>
      <c r="G200" s="239">
        <v>0</v>
      </c>
      <c r="H200" s="239">
        <v>0</v>
      </c>
      <c r="I200" s="239">
        <v>0</v>
      </c>
      <c r="J200" s="239">
        <v>-1126263</v>
      </c>
      <c r="K200" s="239">
        <v>0</v>
      </c>
      <c r="L200" s="239">
        <v>-1126263</v>
      </c>
      <c r="M200" s="239">
        <v>311406</v>
      </c>
      <c r="N200" s="239">
        <v>311406</v>
      </c>
      <c r="O200" s="239">
        <v>0</v>
      </c>
      <c r="P200" s="239">
        <v>0</v>
      </c>
      <c r="Q200" s="239">
        <v>0</v>
      </c>
      <c r="R200" s="239">
        <v>0</v>
      </c>
      <c r="S200" s="239">
        <v>1912</v>
      </c>
      <c r="T200" s="239">
        <v>0</v>
      </c>
      <c r="U200" s="239">
        <v>1912</v>
      </c>
      <c r="V200" s="239">
        <v>0</v>
      </c>
      <c r="W200" s="239">
        <v>0</v>
      </c>
      <c r="X200" s="239">
        <v>0</v>
      </c>
      <c r="Y200" s="239">
        <v>0</v>
      </c>
      <c r="Z200" s="239">
        <v>0</v>
      </c>
      <c r="AA200" s="239">
        <v>0</v>
      </c>
      <c r="AB200" s="239">
        <v>0</v>
      </c>
      <c r="AC200" s="239">
        <v>0</v>
      </c>
      <c r="AD200" s="239">
        <v>0</v>
      </c>
      <c r="AE200" s="239">
        <v>0</v>
      </c>
      <c r="AF200" s="239">
        <v>0</v>
      </c>
      <c r="AG200" s="239">
        <v>0</v>
      </c>
      <c r="AH200" s="239">
        <v>0</v>
      </c>
      <c r="AI200" s="239">
        <v>0</v>
      </c>
      <c r="AJ200" s="239">
        <v>0</v>
      </c>
      <c r="AK200" s="239">
        <v>1612891.7483780992</v>
      </c>
      <c r="AL200" s="239">
        <v>0</v>
      </c>
      <c r="AM200" s="239">
        <v>32916.158130165291</v>
      </c>
      <c r="AN200" s="239">
        <v>1492885</v>
      </c>
      <c r="AO200" s="239">
        <v>0</v>
      </c>
      <c r="AP200" s="239">
        <v>30467</v>
      </c>
      <c r="AQ200" s="239">
        <v>120007</v>
      </c>
      <c r="AR200" s="239">
        <v>0</v>
      </c>
      <c r="AS200" s="239">
        <v>2449</v>
      </c>
      <c r="AT200" s="239">
        <v>92.955227272727271</v>
      </c>
      <c r="AU200" s="239">
        <v>0</v>
      </c>
      <c r="AV200" s="239">
        <v>1.8970454545454547</v>
      </c>
      <c r="AW200" s="239">
        <v>1129</v>
      </c>
      <c r="AX200" s="239">
        <v>0</v>
      </c>
      <c r="AY200" s="239">
        <v>23</v>
      </c>
      <c r="AZ200" s="239">
        <v>-1036</v>
      </c>
      <c r="BA200" s="239">
        <v>0</v>
      </c>
      <c r="BB200" s="239">
        <v>-21</v>
      </c>
      <c r="BC200" s="239">
        <v>25601.460268595041</v>
      </c>
      <c r="BD200" s="239">
        <v>0</v>
      </c>
      <c r="BE200" s="239">
        <v>522.47878099173556</v>
      </c>
      <c r="BF200" s="239">
        <v>0</v>
      </c>
      <c r="BG200" s="239">
        <v>0</v>
      </c>
      <c r="BH200" s="239">
        <v>0</v>
      </c>
      <c r="BI200" s="239">
        <v>25601</v>
      </c>
      <c r="BJ200" s="239">
        <v>0</v>
      </c>
      <c r="BK200" s="239">
        <v>522</v>
      </c>
      <c r="BL200" s="239">
        <v>36141.191198347107</v>
      </c>
      <c r="BM200" s="239">
        <v>0</v>
      </c>
      <c r="BN200" s="239">
        <v>737.57533057851242</v>
      </c>
      <c r="BO200" s="239">
        <v>44769</v>
      </c>
      <c r="BP200" s="239">
        <v>0</v>
      </c>
      <c r="BQ200" s="239">
        <v>914</v>
      </c>
      <c r="BR200" s="239">
        <v>-8628</v>
      </c>
      <c r="BS200" s="239">
        <v>0</v>
      </c>
      <c r="BT200" s="239">
        <v>-176</v>
      </c>
      <c r="BU200" s="239">
        <v>1920.743305785124</v>
      </c>
      <c r="BV200" s="239">
        <v>0</v>
      </c>
      <c r="BW200" s="239">
        <v>39.19884297520661</v>
      </c>
      <c r="BX200" s="239">
        <v>0</v>
      </c>
      <c r="BY200" s="239">
        <v>0</v>
      </c>
      <c r="BZ200" s="239">
        <v>0</v>
      </c>
      <c r="CA200" s="239">
        <v>1921</v>
      </c>
      <c r="CB200" s="239">
        <v>0</v>
      </c>
      <c r="CC200" s="239">
        <v>39</v>
      </c>
      <c r="CD200" s="239">
        <v>0</v>
      </c>
      <c r="CE200" s="239">
        <v>0</v>
      </c>
      <c r="CF200" s="239">
        <v>0</v>
      </c>
      <c r="CG200" s="239">
        <v>0</v>
      </c>
      <c r="CH200" s="239">
        <v>0</v>
      </c>
      <c r="CI200" s="239">
        <v>0</v>
      </c>
      <c r="CJ200" s="239">
        <v>0</v>
      </c>
      <c r="CK200" s="239">
        <v>0</v>
      </c>
      <c r="CL200" s="239">
        <v>0</v>
      </c>
      <c r="CM200" s="239">
        <v>2104.6654132231406</v>
      </c>
      <c r="CN200" s="239">
        <v>0</v>
      </c>
      <c r="CO200" s="239">
        <v>42.952355371900829</v>
      </c>
      <c r="CP200" s="239">
        <v>3656</v>
      </c>
      <c r="CQ200" s="239">
        <v>0</v>
      </c>
      <c r="CR200" s="239">
        <v>75</v>
      </c>
      <c r="CS200" s="239">
        <v>-1551</v>
      </c>
      <c r="CT200" s="239">
        <v>0</v>
      </c>
      <c r="CU200" s="239">
        <v>-32</v>
      </c>
      <c r="CV200" s="239">
        <v>397306.74382231402</v>
      </c>
      <c r="CW200" s="239">
        <v>0</v>
      </c>
      <c r="CX200" s="239">
        <v>8107.7365495867771</v>
      </c>
      <c r="CY200" s="239">
        <v>420143</v>
      </c>
      <c r="CZ200" s="239">
        <v>0</v>
      </c>
      <c r="DA200" s="239">
        <v>8574</v>
      </c>
      <c r="DB200" s="239">
        <v>-22836</v>
      </c>
      <c r="DC200" s="239">
        <v>0</v>
      </c>
      <c r="DD200" s="239">
        <v>-466</v>
      </c>
      <c r="DE200" s="641">
        <v>0.5</v>
      </c>
      <c r="DF200" s="641">
        <v>0.49</v>
      </c>
      <c r="DG200" s="641">
        <v>0</v>
      </c>
      <c r="DH200" s="641">
        <v>0.01</v>
      </c>
      <c r="DI200" s="214" t="s">
        <v>1192</v>
      </c>
    </row>
    <row r="201" spans="2:113" s="214" customFormat="1" x14ac:dyDescent="0.2">
      <c r="B201" s="609" t="s">
        <v>484</v>
      </c>
      <c r="C201" s="609" t="s">
        <v>483</v>
      </c>
      <c r="D201" s="239">
        <v>-511333</v>
      </c>
      <c r="E201" s="239">
        <v>0</v>
      </c>
      <c r="F201" s="239">
        <v>-511333</v>
      </c>
      <c r="G201" s="239">
        <v>0</v>
      </c>
      <c r="H201" s="239">
        <v>0</v>
      </c>
      <c r="I201" s="239">
        <v>0</v>
      </c>
      <c r="J201" s="239">
        <v>-511333</v>
      </c>
      <c r="K201" s="239">
        <v>0</v>
      </c>
      <c r="L201" s="239">
        <v>-511333</v>
      </c>
      <c r="M201" s="239">
        <v>220410</v>
      </c>
      <c r="N201" s="239">
        <v>220410</v>
      </c>
      <c r="O201" s="239">
        <v>0</v>
      </c>
      <c r="P201" s="239">
        <v>0</v>
      </c>
      <c r="Q201" s="239">
        <v>0</v>
      </c>
      <c r="R201" s="239">
        <v>0</v>
      </c>
      <c r="S201" s="239">
        <v>12052</v>
      </c>
      <c r="T201" s="239">
        <v>0</v>
      </c>
      <c r="U201" s="239">
        <v>12052</v>
      </c>
      <c r="V201" s="239">
        <v>0</v>
      </c>
      <c r="W201" s="239">
        <v>0</v>
      </c>
      <c r="X201" s="239">
        <v>0</v>
      </c>
      <c r="Y201" s="239">
        <v>0</v>
      </c>
      <c r="Z201" s="239">
        <v>0</v>
      </c>
      <c r="AA201" s="239">
        <v>0</v>
      </c>
      <c r="AB201" s="239">
        <v>0</v>
      </c>
      <c r="AC201" s="239">
        <v>0</v>
      </c>
      <c r="AD201" s="239">
        <v>0</v>
      </c>
      <c r="AE201" s="239">
        <v>0</v>
      </c>
      <c r="AF201" s="239">
        <v>0</v>
      </c>
      <c r="AG201" s="239">
        <v>0</v>
      </c>
      <c r="AH201" s="239">
        <v>0</v>
      </c>
      <c r="AI201" s="239">
        <v>0</v>
      </c>
      <c r="AJ201" s="239">
        <v>0</v>
      </c>
      <c r="AK201" s="239">
        <v>260960.21033057853</v>
      </c>
      <c r="AL201" s="239">
        <v>65240.052582644632</v>
      </c>
      <c r="AM201" s="239">
        <v>0</v>
      </c>
      <c r="AN201" s="239">
        <v>246834</v>
      </c>
      <c r="AO201" s="239">
        <v>61709</v>
      </c>
      <c r="AP201" s="239">
        <v>0</v>
      </c>
      <c r="AQ201" s="239">
        <v>14126</v>
      </c>
      <c r="AR201" s="239">
        <v>3531</v>
      </c>
      <c r="AS201" s="239">
        <v>0</v>
      </c>
      <c r="AT201" s="239">
        <v>1033.9404958677685</v>
      </c>
      <c r="AU201" s="239">
        <v>258.48512396694213</v>
      </c>
      <c r="AV201" s="239">
        <v>0</v>
      </c>
      <c r="AW201" s="239">
        <v>26</v>
      </c>
      <c r="AX201" s="239">
        <v>7</v>
      </c>
      <c r="AY201" s="239">
        <v>0</v>
      </c>
      <c r="AZ201" s="239">
        <v>1008</v>
      </c>
      <c r="BA201" s="239">
        <v>251</v>
      </c>
      <c r="BB201" s="239">
        <v>0</v>
      </c>
      <c r="BC201" s="239">
        <v>24491.566942148762</v>
      </c>
      <c r="BD201" s="239">
        <v>6122.8917355371905</v>
      </c>
      <c r="BE201" s="239">
        <v>0</v>
      </c>
      <c r="BF201" s="239">
        <v>7785</v>
      </c>
      <c r="BG201" s="239">
        <v>1946</v>
      </c>
      <c r="BH201" s="239">
        <v>0</v>
      </c>
      <c r="BI201" s="239">
        <v>16707</v>
      </c>
      <c r="BJ201" s="239">
        <v>4177</v>
      </c>
      <c r="BK201" s="239">
        <v>0</v>
      </c>
      <c r="BL201" s="239">
        <v>20174.013223140493</v>
      </c>
      <c r="BM201" s="239">
        <v>5043.5033057851233</v>
      </c>
      <c r="BN201" s="239">
        <v>0</v>
      </c>
      <c r="BO201" s="239">
        <v>19905</v>
      </c>
      <c r="BP201" s="239">
        <v>4976</v>
      </c>
      <c r="BQ201" s="239">
        <v>0</v>
      </c>
      <c r="BR201" s="239">
        <v>269</v>
      </c>
      <c r="BS201" s="239">
        <v>68</v>
      </c>
      <c r="BT201" s="239">
        <v>0</v>
      </c>
      <c r="BU201" s="239">
        <v>-1256.71652892562</v>
      </c>
      <c r="BV201" s="239">
        <v>-314.17913223140499</v>
      </c>
      <c r="BW201" s="239">
        <v>0</v>
      </c>
      <c r="BX201" s="239">
        <v>0</v>
      </c>
      <c r="BY201" s="239">
        <v>0</v>
      </c>
      <c r="BZ201" s="239">
        <v>0</v>
      </c>
      <c r="CA201" s="239">
        <v>-1257</v>
      </c>
      <c r="CB201" s="239">
        <v>-314</v>
      </c>
      <c r="CC201" s="239">
        <v>0</v>
      </c>
      <c r="CD201" s="239">
        <v>0</v>
      </c>
      <c r="CE201" s="239">
        <v>0</v>
      </c>
      <c r="CF201" s="239">
        <v>0</v>
      </c>
      <c r="CG201" s="239">
        <v>0</v>
      </c>
      <c r="CH201" s="239">
        <v>0</v>
      </c>
      <c r="CI201" s="239">
        <v>0</v>
      </c>
      <c r="CJ201" s="239">
        <v>0</v>
      </c>
      <c r="CK201" s="239">
        <v>0</v>
      </c>
      <c r="CL201" s="239">
        <v>0</v>
      </c>
      <c r="CM201" s="239">
        <v>2211.5289256198353</v>
      </c>
      <c r="CN201" s="239">
        <v>552.88223140495882</v>
      </c>
      <c r="CO201" s="239">
        <v>0</v>
      </c>
      <c r="CP201" s="239">
        <v>4870</v>
      </c>
      <c r="CQ201" s="239">
        <v>1217</v>
      </c>
      <c r="CR201" s="239">
        <v>0</v>
      </c>
      <c r="CS201" s="239">
        <v>-2658</v>
      </c>
      <c r="CT201" s="239">
        <v>-664</v>
      </c>
      <c r="CU201" s="239">
        <v>0</v>
      </c>
      <c r="CV201" s="239">
        <v>499378.42066115706</v>
      </c>
      <c r="CW201" s="239">
        <v>124801.02871900827</v>
      </c>
      <c r="CX201" s="239">
        <v>0</v>
      </c>
      <c r="CY201" s="239">
        <v>490255</v>
      </c>
      <c r="CZ201" s="239">
        <v>122520</v>
      </c>
      <c r="DA201" s="239">
        <v>0</v>
      </c>
      <c r="DB201" s="239">
        <v>9123</v>
      </c>
      <c r="DC201" s="239">
        <v>2281</v>
      </c>
      <c r="DD201" s="239">
        <v>0</v>
      </c>
      <c r="DE201" s="641">
        <v>0.5</v>
      </c>
      <c r="DF201" s="641">
        <v>0.4</v>
      </c>
      <c r="DG201" s="641">
        <v>0.1</v>
      </c>
      <c r="DH201" s="641">
        <v>0</v>
      </c>
      <c r="DI201" s="214" t="s">
        <v>1190</v>
      </c>
    </row>
    <row r="202" spans="2:113" s="214" customFormat="1" x14ac:dyDescent="0.2">
      <c r="B202" s="609" t="s">
        <v>486</v>
      </c>
      <c r="C202" s="609" t="s">
        <v>485</v>
      </c>
      <c r="D202" s="239">
        <v>-8497</v>
      </c>
      <c r="E202" s="239">
        <v>0</v>
      </c>
      <c r="F202" s="239">
        <v>-8497</v>
      </c>
      <c r="G202" s="239">
        <v>0</v>
      </c>
      <c r="H202" s="239">
        <v>0</v>
      </c>
      <c r="I202" s="239">
        <v>0</v>
      </c>
      <c r="J202" s="239">
        <v>-8497</v>
      </c>
      <c r="K202" s="239">
        <v>0</v>
      </c>
      <c r="L202" s="239">
        <v>-8497</v>
      </c>
      <c r="M202" s="239">
        <v>136498</v>
      </c>
      <c r="N202" s="239">
        <v>136498</v>
      </c>
      <c r="O202" s="239">
        <v>0</v>
      </c>
      <c r="P202" s="239">
        <v>0</v>
      </c>
      <c r="Q202" s="239">
        <v>0</v>
      </c>
      <c r="R202" s="239">
        <v>0</v>
      </c>
      <c r="S202" s="239">
        <v>0</v>
      </c>
      <c r="T202" s="239">
        <v>0</v>
      </c>
      <c r="U202" s="239">
        <v>0</v>
      </c>
      <c r="V202" s="239">
        <v>0</v>
      </c>
      <c r="W202" s="239">
        <v>0</v>
      </c>
      <c r="X202" s="239">
        <v>0</v>
      </c>
      <c r="Y202" s="239">
        <v>0</v>
      </c>
      <c r="Z202" s="239">
        <v>0</v>
      </c>
      <c r="AA202" s="239">
        <v>0</v>
      </c>
      <c r="AB202" s="239">
        <v>0</v>
      </c>
      <c r="AC202" s="239">
        <v>0</v>
      </c>
      <c r="AD202" s="239">
        <v>0</v>
      </c>
      <c r="AE202" s="239">
        <v>0</v>
      </c>
      <c r="AF202" s="239">
        <v>0</v>
      </c>
      <c r="AG202" s="239">
        <v>0</v>
      </c>
      <c r="AH202" s="239">
        <v>0</v>
      </c>
      <c r="AI202" s="239">
        <v>0</v>
      </c>
      <c r="AJ202" s="239">
        <v>0</v>
      </c>
      <c r="AK202" s="239">
        <v>608958.69214876043</v>
      </c>
      <c r="AL202" s="239">
        <v>137015.70573347108</v>
      </c>
      <c r="AM202" s="239">
        <v>15223.96730371901</v>
      </c>
      <c r="AN202" s="239">
        <v>574699</v>
      </c>
      <c r="AO202" s="239">
        <v>129307</v>
      </c>
      <c r="AP202" s="239">
        <v>14367</v>
      </c>
      <c r="AQ202" s="239">
        <v>34260</v>
      </c>
      <c r="AR202" s="239">
        <v>7709</v>
      </c>
      <c r="AS202" s="239">
        <v>857</v>
      </c>
      <c r="AT202" s="239">
        <v>0</v>
      </c>
      <c r="AU202" s="239">
        <v>0</v>
      </c>
      <c r="AV202" s="239">
        <v>0</v>
      </c>
      <c r="AW202" s="239">
        <v>0</v>
      </c>
      <c r="AX202" s="239">
        <v>0</v>
      </c>
      <c r="AY202" s="239">
        <v>0</v>
      </c>
      <c r="AZ202" s="239">
        <v>0</v>
      </c>
      <c r="BA202" s="239">
        <v>0</v>
      </c>
      <c r="BB202" s="239">
        <v>0</v>
      </c>
      <c r="BC202" s="239">
        <v>0</v>
      </c>
      <c r="BD202" s="239">
        <v>0</v>
      </c>
      <c r="BE202" s="239">
        <v>0</v>
      </c>
      <c r="BF202" s="239">
        <v>0</v>
      </c>
      <c r="BG202" s="239">
        <v>0</v>
      </c>
      <c r="BH202" s="239">
        <v>0</v>
      </c>
      <c r="BI202" s="239">
        <v>0</v>
      </c>
      <c r="BJ202" s="239">
        <v>0</v>
      </c>
      <c r="BK202" s="239">
        <v>0</v>
      </c>
      <c r="BL202" s="239">
        <v>1404.0165289256199</v>
      </c>
      <c r="BM202" s="239">
        <v>315.90371900826443</v>
      </c>
      <c r="BN202" s="239">
        <v>35.100413223140492</v>
      </c>
      <c r="BO202" s="239">
        <v>0</v>
      </c>
      <c r="BP202" s="239">
        <v>0</v>
      </c>
      <c r="BQ202" s="239">
        <v>0</v>
      </c>
      <c r="BR202" s="239">
        <v>1404</v>
      </c>
      <c r="BS202" s="239">
        <v>316</v>
      </c>
      <c r="BT202" s="239">
        <v>35</v>
      </c>
      <c r="BU202" s="239">
        <v>1740.0066115702482</v>
      </c>
      <c r="BV202" s="239">
        <v>391.5014876033058</v>
      </c>
      <c r="BW202" s="239">
        <v>43.500165289256202</v>
      </c>
      <c r="BX202" s="239">
        <v>0</v>
      </c>
      <c r="BY202" s="239">
        <v>0</v>
      </c>
      <c r="BZ202" s="239">
        <v>0</v>
      </c>
      <c r="CA202" s="239">
        <v>1740</v>
      </c>
      <c r="CB202" s="239">
        <v>392</v>
      </c>
      <c r="CC202" s="239">
        <v>44</v>
      </c>
      <c r="CD202" s="239">
        <v>81.562809917355366</v>
      </c>
      <c r="CE202" s="239">
        <v>18.351632231404956</v>
      </c>
      <c r="CF202" s="239">
        <v>2.0390702479338843</v>
      </c>
      <c r="CG202" s="239">
        <v>0</v>
      </c>
      <c r="CH202" s="239">
        <v>0</v>
      </c>
      <c r="CI202" s="239">
        <v>0</v>
      </c>
      <c r="CJ202" s="239">
        <v>82</v>
      </c>
      <c r="CK202" s="239">
        <v>18</v>
      </c>
      <c r="CL202" s="239">
        <v>2</v>
      </c>
      <c r="CM202" s="239">
        <v>0</v>
      </c>
      <c r="CN202" s="239">
        <v>0</v>
      </c>
      <c r="CO202" s="239">
        <v>0</v>
      </c>
      <c r="CP202" s="239">
        <v>0</v>
      </c>
      <c r="CQ202" s="239">
        <v>0</v>
      </c>
      <c r="CR202" s="239">
        <v>0</v>
      </c>
      <c r="CS202" s="239">
        <v>0</v>
      </c>
      <c r="CT202" s="239">
        <v>0</v>
      </c>
      <c r="CU202" s="239">
        <v>0</v>
      </c>
      <c r="CV202" s="239">
        <v>119725.69752066118</v>
      </c>
      <c r="CW202" s="239">
        <v>26938.281942148762</v>
      </c>
      <c r="CX202" s="239">
        <v>2993.1424380165295</v>
      </c>
      <c r="CY202" s="239">
        <v>111207</v>
      </c>
      <c r="CZ202" s="239">
        <v>25022</v>
      </c>
      <c r="DA202" s="239">
        <v>2780</v>
      </c>
      <c r="DB202" s="239">
        <v>8519</v>
      </c>
      <c r="DC202" s="239">
        <v>1916</v>
      </c>
      <c r="DD202" s="239">
        <v>213</v>
      </c>
      <c r="DE202" s="641">
        <v>0.5</v>
      </c>
      <c r="DF202" s="641">
        <v>0.4</v>
      </c>
      <c r="DG202" s="641">
        <v>0.09</v>
      </c>
      <c r="DH202" s="641">
        <v>0.01</v>
      </c>
      <c r="DI202" s="214" t="s">
        <v>1190</v>
      </c>
    </row>
    <row r="203" spans="2:113" s="214" customFormat="1" x14ac:dyDescent="0.2">
      <c r="B203" s="609" t="s">
        <v>488</v>
      </c>
      <c r="C203" s="609" t="s">
        <v>487</v>
      </c>
      <c r="D203" s="239">
        <v>-1910298</v>
      </c>
      <c r="E203" s="239">
        <v>0</v>
      </c>
      <c r="F203" s="239">
        <v>-1910298</v>
      </c>
      <c r="G203" s="239">
        <v>0</v>
      </c>
      <c r="H203" s="239">
        <v>0</v>
      </c>
      <c r="I203" s="239">
        <v>0</v>
      </c>
      <c r="J203" s="239">
        <v>-1910298</v>
      </c>
      <c r="K203" s="239">
        <v>0</v>
      </c>
      <c r="L203" s="239">
        <v>-1910298</v>
      </c>
      <c r="M203" s="239">
        <v>274686</v>
      </c>
      <c r="N203" s="239">
        <v>274686</v>
      </c>
      <c r="O203" s="239">
        <v>0</v>
      </c>
      <c r="P203" s="239">
        <v>0</v>
      </c>
      <c r="Q203" s="239">
        <v>0</v>
      </c>
      <c r="R203" s="239">
        <v>0</v>
      </c>
      <c r="S203" s="239">
        <v>323255</v>
      </c>
      <c r="T203" s="239">
        <v>0</v>
      </c>
      <c r="U203" s="239">
        <v>340000</v>
      </c>
      <c r="V203" s="239">
        <v>0</v>
      </c>
      <c r="W203" s="239">
        <v>-16745</v>
      </c>
      <c r="X203" s="239">
        <v>0</v>
      </c>
      <c r="Y203" s="239">
        <v>0</v>
      </c>
      <c r="Z203" s="239">
        <v>0</v>
      </c>
      <c r="AA203" s="239">
        <v>0</v>
      </c>
      <c r="AB203" s="239">
        <v>0</v>
      </c>
      <c r="AC203" s="239">
        <v>0</v>
      </c>
      <c r="AD203" s="239">
        <v>0</v>
      </c>
      <c r="AE203" s="239">
        <v>0</v>
      </c>
      <c r="AF203" s="239">
        <v>0</v>
      </c>
      <c r="AG203" s="239">
        <v>0</v>
      </c>
      <c r="AH203" s="239">
        <v>0</v>
      </c>
      <c r="AI203" s="239">
        <v>0</v>
      </c>
      <c r="AJ203" s="239">
        <v>0</v>
      </c>
      <c r="AK203" s="239">
        <v>850851.2573243801</v>
      </c>
      <c r="AL203" s="239">
        <v>0</v>
      </c>
      <c r="AM203" s="239">
        <v>17364.311373966942</v>
      </c>
      <c r="AN203" s="239">
        <v>785847</v>
      </c>
      <c r="AO203" s="239">
        <v>0</v>
      </c>
      <c r="AP203" s="239">
        <v>16038</v>
      </c>
      <c r="AQ203" s="239">
        <v>65004</v>
      </c>
      <c r="AR203" s="239">
        <v>0</v>
      </c>
      <c r="AS203" s="239">
        <v>1326</v>
      </c>
      <c r="AT203" s="239">
        <v>9428.2448966942156</v>
      </c>
      <c r="AU203" s="239">
        <v>0</v>
      </c>
      <c r="AV203" s="239">
        <v>192.4131611570248</v>
      </c>
      <c r="AW203" s="239">
        <v>2116</v>
      </c>
      <c r="AX203" s="239">
        <v>0</v>
      </c>
      <c r="AY203" s="239">
        <v>43</v>
      </c>
      <c r="AZ203" s="239">
        <v>7312</v>
      </c>
      <c r="BA203" s="239">
        <v>0</v>
      </c>
      <c r="BB203" s="239">
        <v>149</v>
      </c>
      <c r="BC203" s="239">
        <v>0</v>
      </c>
      <c r="BD203" s="239">
        <v>0</v>
      </c>
      <c r="BE203" s="239">
        <v>0</v>
      </c>
      <c r="BF203" s="239">
        <v>0</v>
      </c>
      <c r="BG203" s="239">
        <v>0</v>
      </c>
      <c r="BH203" s="239">
        <v>0</v>
      </c>
      <c r="BI203" s="239">
        <v>0</v>
      </c>
      <c r="BJ203" s="239">
        <v>0</v>
      </c>
      <c r="BK203" s="239">
        <v>0</v>
      </c>
      <c r="BL203" s="239">
        <v>4698.4642148760331</v>
      </c>
      <c r="BM203" s="239">
        <v>0</v>
      </c>
      <c r="BN203" s="239">
        <v>95.887024793388434</v>
      </c>
      <c r="BO203" s="239">
        <v>11441</v>
      </c>
      <c r="BP203" s="239">
        <v>0</v>
      </c>
      <c r="BQ203" s="239">
        <v>233</v>
      </c>
      <c r="BR203" s="239">
        <v>-6743</v>
      </c>
      <c r="BS203" s="239">
        <v>0</v>
      </c>
      <c r="BT203" s="239">
        <v>-137</v>
      </c>
      <c r="BU203" s="239">
        <v>-6642.0735123966942</v>
      </c>
      <c r="BV203" s="239">
        <v>0</v>
      </c>
      <c r="BW203" s="239">
        <v>-135.55252066115705</v>
      </c>
      <c r="BX203" s="239">
        <v>0</v>
      </c>
      <c r="BY203" s="239">
        <v>0</v>
      </c>
      <c r="BZ203" s="239">
        <v>0</v>
      </c>
      <c r="CA203" s="239">
        <v>-6642</v>
      </c>
      <c r="CB203" s="239">
        <v>0</v>
      </c>
      <c r="CC203" s="239">
        <v>-136</v>
      </c>
      <c r="CD203" s="239">
        <v>0</v>
      </c>
      <c r="CE203" s="239">
        <v>0</v>
      </c>
      <c r="CF203" s="239">
        <v>0</v>
      </c>
      <c r="CG203" s="239">
        <v>0</v>
      </c>
      <c r="CH203" s="239">
        <v>0</v>
      </c>
      <c r="CI203" s="239">
        <v>0</v>
      </c>
      <c r="CJ203" s="239">
        <v>0</v>
      </c>
      <c r="CK203" s="239">
        <v>0</v>
      </c>
      <c r="CL203" s="239">
        <v>0</v>
      </c>
      <c r="CM203" s="239">
        <v>-344.97822314049586</v>
      </c>
      <c r="CN203" s="239">
        <v>0</v>
      </c>
      <c r="CO203" s="239">
        <v>-7.0403719008264467</v>
      </c>
      <c r="CP203" s="239">
        <v>0</v>
      </c>
      <c r="CQ203" s="239">
        <v>0</v>
      </c>
      <c r="CR203" s="239">
        <v>0</v>
      </c>
      <c r="CS203" s="239">
        <v>-345</v>
      </c>
      <c r="CT203" s="239">
        <v>0</v>
      </c>
      <c r="CU203" s="239">
        <v>-7</v>
      </c>
      <c r="CV203" s="239">
        <v>694831.1025206612</v>
      </c>
      <c r="CW203" s="239">
        <v>0</v>
      </c>
      <c r="CX203" s="239">
        <v>14084.814834710744</v>
      </c>
      <c r="CY203" s="239">
        <v>702842</v>
      </c>
      <c r="CZ203" s="239">
        <v>0</v>
      </c>
      <c r="DA203" s="239">
        <v>14243</v>
      </c>
      <c r="DB203" s="239">
        <v>-8011</v>
      </c>
      <c r="DC203" s="239">
        <v>0</v>
      </c>
      <c r="DD203" s="239">
        <v>-158</v>
      </c>
      <c r="DE203" s="641">
        <v>0.5</v>
      </c>
      <c r="DF203" s="641">
        <v>0.49</v>
      </c>
      <c r="DG203" s="641">
        <v>0</v>
      </c>
      <c r="DH203" s="641">
        <v>0.01</v>
      </c>
      <c r="DI203" s="214" t="s">
        <v>747</v>
      </c>
    </row>
    <row r="204" spans="2:113" s="214" customFormat="1" x14ac:dyDescent="0.2">
      <c r="B204" s="609" t="s">
        <v>490</v>
      </c>
      <c r="C204" s="609" t="s">
        <v>489</v>
      </c>
      <c r="D204" s="239">
        <v>-779037</v>
      </c>
      <c r="E204" s="239">
        <v>0</v>
      </c>
      <c r="F204" s="239">
        <v>-779037</v>
      </c>
      <c r="G204" s="239">
        <v>0</v>
      </c>
      <c r="H204" s="239">
        <v>0</v>
      </c>
      <c r="I204" s="239">
        <v>0</v>
      </c>
      <c r="J204" s="239">
        <v>-779037</v>
      </c>
      <c r="K204" s="239">
        <v>0</v>
      </c>
      <c r="L204" s="239">
        <v>-779037</v>
      </c>
      <c r="M204" s="239">
        <v>315039</v>
      </c>
      <c r="N204" s="239">
        <v>315039</v>
      </c>
      <c r="O204" s="239">
        <v>0</v>
      </c>
      <c r="P204" s="239">
        <v>0</v>
      </c>
      <c r="Q204" s="239">
        <v>0</v>
      </c>
      <c r="R204" s="239">
        <v>0</v>
      </c>
      <c r="S204" s="239">
        <v>235877</v>
      </c>
      <c r="T204" s="239">
        <v>0</v>
      </c>
      <c r="U204" s="239">
        <v>267138</v>
      </c>
      <c r="V204" s="239">
        <v>0</v>
      </c>
      <c r="W204" s="239">
        <v>-31261</v>
      </c>
      <c r="X204" s="239">
        <v>0</v>
      </c>
      <c r="Y204" s="239">
        <v>0</v>
      </c>
      <c r="Z204" s="239">
        <v>0</v>
      </c>
      <c r="AA204" s="239">
        <v>0</v>
      </c>
      <c r="AB204" s="239">
        <v>0</v>
      </c>
      <c r="AC204" s="239">
        <v>0</v>
      </c>
      <c r="AD204" s="239">
        <v>0</v>
      </c>
      <c r="AE204" s="239">
        <v>0</v>
      </c>
      <c r="AF204" s="239">
        <v>0</v>
      </c>
      <c r="AG204" s="239">
        <v>0</v>
      </c>
      <c r="AH204" s="239">
        <v>0</v>
      </c>
      <c r="AI204" s="239">
        <v>0</v>
      </c>
      <c r="AJ204" s="239">
        <v>0</v>
      </c>
      <c r="AK204" s="239">
        <v>1246904.1526136366</v>
      </c>
      <c r="AL204" s="239">
        <v>0</v>
      </c>
      <c r="AM204" s="239">
        <v>25447.023522727271</v>
      </c>
      <c r="AN204" s="239">
        <v>1142829</v>
      </c>
      <c r="AO204" s="239">
        <v>0</v>
      </c>
      <c r="AP204" s="239">
        <v>23323</v>
      </c>
      <c r="AQ204" s="239">
        <v>104075</v>
      </c>
      <c r="AR204" s="239">
        <v>0</v>
      </c>
      <c r="AS204" s="239">
        <v>2124</v>
      </c>
      <c r="AT204" s="239">
        <v>1015.0511983471074</v>
      </c>
      <c r="AU204" s="239">
        <v>0</v>
      </c>
      <c r="AV204" s="239">
        <v>20.715330578512397</v>
      </c>
      <c r="AW204" s="239">
        <v>9855</v>
      </c>
      <c r="AX204" s="239">
        <v>0</v>
      </c>
      <c r="AY204" s="239">
        <v>201</v>
      </c>
      <c r="AZ204" s="239">
        <v>-8840</v>
      </c>
      <c r="BA204" s="239">
        <v>0</v>
      </c>
      <c r="BB204" s="239">
        <v>-180</v>
      </c>
      <c r="BC204" s="239">
        <v>15231.733016528924</v>
      </c>
      <c r="BD204" s="239">
        <v>0</v>
      </c>
      <c r="BE204" s="239">
        <v>310.85169421487603</v>
      </c>
      <c r="BF204" s="239">
        <v>59934</v>
      </c>
      <c r="BG204" s="239">
        <v>0</v>
      </c>
      <c r="BH204" s="239">
        <v>1223</v>
      </c>
      <c r="BI204" s="239">
        <v>-44702</v>
      </c>
      <c r="BJ204" s="239">
        <v>0</v>
      </c>
      <c r="BK204" s="239">
        <v>-912</v>
      </c>
      <c r="BL204" s="239">
        <v>94409.703181818186</v>
      </c>
      <c r="BM204" s="239">
        <v>0</v>
      </c>
      <c r="BN204" s="239">
        <v>1926.7286363636365</v>
      </c>
      <c r="BO204" s="239">
        <v>98942</v>
      </c>
      <c r="BP204" s="239">
        <v>0</v>
      </c>
      <c r="BQ204" s="239">
        <v>2019</v>
      </c>
      <c r="BR204" s="239">
        <v>-4532</v>
      </c>
      <c r="BS204" s="239">
        <v>0</v>
      </c>
      <c r="BT204" s="239">
        <v>-92</v>
      </c>
      <c r="BU204" s="239">
        <v>3413.4948966942152</v>
      </c>
      <c r="BV204" s="239">
        <v>0</v>
      </c>
      <c r="BW204" s="239">
        <v>69.663161157024803</v>
      </c>
      <c r="BX204" s="239">
        <v>0</v>
      </c>
      <c r="BY204" s="239">
        <v>0</v>
      </c>
      <c r="BZ204" s="239">
        <v>0</v>
      </c>
      <c r="CA204" s="239">
        <v>3413</v>
      </c>
      <c r="CB204" s="239">
        <v>0</v>
      </c>
      <c r="CC204" s="239">
        <v>70</v>
      </c>
      <c r="CD204" s="239">
        <v>0</v>
      </c>
      <c r="CE204" s="239">
        <v>0</v>
      </c>
      <c r="CF204" s="239">
        <v>0</v>
      </c>
      <c r="CG204" s="239">
        <v>0</v>
      </c>
      <c r="CH204" s="239">
        <v>0</v>
      </c>
      <c r="CI204" s="239">
        <v>0</v>
      </c>
      <c r="CJ204" s="239">
        <v>0</v>
      </c>
      <c r="CK204" s="239">
        <v>0</v>
      </c>
      <c r="CL204" s="239">
        <v>0</v>
      </c>
      <c r="CM204" s="239">
        <v>1331.6954752066117</v>
      </c>
      <c r="CN204" s="239">
        <v>0</v>
      </c>
      <c r="CO204" s="239">
        <v>27.177458677685951</v>
      </c>
      <c r="CP204" s="239">
        <v>5921</v>
      </c>
      <c r="CQ204" s="239">
        <v>0</v>
      </c>
      <c r="CR204" s="239">
        <v>121</v>
      </c>
      <c r="CS204" s="239">
        <v>-4589</v>
      </c>
      <c r="CT204" s="239">
        <v>0</v>
      </c>
      <c r="CU204" s="239">
        <v>-94</v>
      </c>
      <c r="CV204" s="239">
        <v>639052.47477272723</v>
      </c>
      <c r="CW204" s="239">
        <v>0</v>
      </c>
      <c r="CX204" s="239">
        <v>12972.265929752066</v>
      </c>
      <c r="CY204" s="239">
        <v>670123</v>
      </c>
      <c r="CZ204" s="239">
        <v>0</v>
      </c>
      <c r="DA204" s="239">
        <v>13597</v>
      </c>
      <c r="DB204" s="239">
        <v>-31071</v>
      </c>
      <c r="DC204" s="239">
        <v>0</v>
      </c>
      <c r="DD204" s="239">
        <v>-625</v>
      </c>
      <c r="DE204" s="641">
        <v>0.5</v>
      </c>
      <c r="DF204" s="641">
        <v>0.49</v>
      </c>
      <c r="DG204" s="641">
        <v>0</v>
      </c>
      <c r="DH204" s="641">
        <v>0.01</v>
      </c>
      <c r="DI204" s="214" t="s">
        <v>747</v>
      </c>
    </row>
    <row r="205" spans="2:113" s="214" customFormat="1" x14ac:dyDescent="0.2">
      <c r="B205" s="609" t="s">
        <v>492</v>
      </c>
      <c r="C205" s="609" t="s">
        <v>491</v>
      </c>
      <c r="D205" s="239">
        <v>55373</v>
      </c>
      <c r="E205" s="239">
        <v>0</v>
      </c>
      <c r="F205" s="239">
        <v>55373</v>
      </c>
      <c r="G205" s="239">
        <v>0</v>
      </c>
      <c r="H205" s="239">
        <v>0</v>
      </c>
      <c r="I205" s="239">
        <v>0</v>
      </c>
      <c r="J205" s="239">
        <v>55373</v>
      </c>
      <c r="K205" s="239">
        <v>0</v>
      </c>
      <c r="L205" s="239">
        <v>55373</v>
      </c>
      <c r="M205" s="239">
        <v>235170</v>
      </c>
      <c r="N205" s="239">
        <v>235170</v>
      </c>
      <c r="O205" s="239">
        <v>0</v>
      </c>
      <c r="P205" s="239">
        <v>0</v>
      </c>
      <c r="Q205" s="239">
        <v>0</v>
      </c>
      <c r="R205" s="239">
        <v>0</v>
      </c>
      <c r="S205" s="239">
        <v>0</v>
      </c>
      <c r="T205" s="239">
        <v>0</v>
      </c>
      <c r="U205" s="239">
        <v>0</v>
      </c>
      <c r="V205" s="239">
        <v>0</v>
      </c>
      <c r="W205" s="239">
        <v>0</v>
      </c>
      <c r="X205" s="239">
        <v>0</v>
      </c>
      <c r="Y205" s="239">
        <v>0</v>
      </c>
      <c r="Z205" s="239">
        <v>0</v>
      </c>
      <c r="AA205" s="239">
        <v>0</v>
      </c>
      <c r="AB205" s="239">
        <v>0</v>
      </c>
      <c r="AC205" s="239">
        <v>0</v>
      </c>
      <c r="AD205" s="239">
        <v>0</v>
      </c>
      <c r="AE205" s="239">
        <v>0</v>
      </c>
      <c r="AF205" s="239">
        <v>0</v>
      </c>
      <c r="AG205" s="239">
        <v>0</v>
      </c>
      <c r="AH205" s="239">
        <v>0</v>
      </c>
      <c r="AI205" s="239">
        <v>0</v>
      </c>
      <c r="AJ205" s="239">
        <v>0</v>
      </c>
      <c r="AK205" s="239">
        <v>819953.58599173557</v>
      </c>
      <c r="AL205" s="239">
        <v>0</v>
      </c>
      <c r="AM205" s="239">
        <v>16733.746652892562</v>
      </c>
      <c r="AN205" s="239">
        <v>770709</v>
      </c>
      <c r="AO205" s="239">
        <v>0</v>
      </c>
      <c r="AP205" s="239">
        <v>15729</v>
      </c>
      <c r="AQ205" s="239">
        <v>49245</v>
      </c>
      <c r="AR205" s="239">
        <v>0</v>
      </c>
      <c r="AS205" s="239">
        <v>1005</v>
      </c>
      <c r="AT205" s="239">
        <v>2733.4801859504132</v>
      </c>
      <c r="AU205" s="239">
        <v>0</v>
      </c>
      <c r="AV205" s="239">
        <v>55.785309917355377</v>
      </c>
      <c r="AW205" s="239">
        <v>2091</v>
      </c>
      <c r="AX205" s="239">
        <v>0</v>
      </c>
      <c r="AY205" s="239">
        <v>43</v>
      </c>
      <c r="AZ205" s="239">
        <v>642</v>
      </c>
      <c r="BA205" s="239">
        <v>0</v>
      </c>
      <c r="BB205" s="239">
        <v>13</v>
      </c>
      <c r="BC205" s="239">
        <v>0</v>
      </c>
      <c r="BD205" s="239">
        <v>0</v>
      </c>
      <c r="BE205" s="239">
        <v>0</v>
      </c>
      <c r="BF205" s="239">
        <v>0</v>
      </c>
      <c r="BG205" s="239">
        <v>0</v>
      </c>
      <c r="BH205" s="239">
        <v>0</v>
      </c>
      <c r="BI205" s="239">
        <v>0</v>
      </c>
      <c r="BJ205" s="239">
        <v>0</v>
      </c>
      <c r="BK205" s="239">
        <v>0</v>
      </c>
      <c r="BL205" s="239">
        <v>10130.131425619835</v>
      </c>
      <c r="BM205" s="239">
        <v>0</v>
      </c>
      <c r="BN205" s="239">
        <v>206.73737603305787</v>
      </c>
      <c r="BO205" s="239">
        <v>4803</v>
      </c>
      <c r="BP205" s="239">
        <v>0</v>
      </c>
      <c r="BQ205" s="239">
        <v>98</v>
      </c>
      <c r="BR205" s="239">
        <v>5327</v>
      </c>
      <c r="BS205" s="239">
        <v>0</v>
      </c>
      <c r="BT205" s="239">
        <v>109</v>
      </c>
      <c r="BU205" s="239">
        <v>-4251.583202479339</v>
      </c>
      <c r="BV205" s="239">
        <v>0</v>
      </c>
      <c r="BW205" s="239">
        <v>-86.76700413223142</v>
      </c>
      <c r="BX205" s="239">
        <v>0</v>
      </c>
      <c r="BY205" s="239">
        <v>0</v>
      </c>
      <c r="BZ205" s="239">
        <v>0</v>
      </c>
      <c r="CA205" s="239">
        <v>-4252</v>
      </c>
      <c r="CB205" s="239">
        <v>0</v>
      </c>
      <c r="CC205" s="239">
        <v>-87</v>
      </c>
      <c r="CD205" s="239">
        <v>-1876.0054958677686</v>
      </c>
      <c r="CE205" s="239">
        <v>0</v>
      </c>
      <c r="CF205" s="239">
        <v>-38.285826446280993</v>
      </c>
      <c r="CG205" s="239">
        <v>0</v>
      </c>
      <c r="CH205" s="239">
        <v>0</v>
      </c>
      <c r="CI205" s="239">
        <v>0</v>
      </c>
      <c r="CJ205" s="239">
        <v>-1876</v>
      </c>
      <c r="CK205" s="239">
        <v>0</v>
      </c>
      <c r="CL205" s="239">
        <v>-38</v>
      </c>
      <c r="CM205" s="239">
        <v>2692.2219834710745</v>
      </c>
      <c r="CN205" s="239">
        <v>0</v>
      </c>
      <c r="CO205" s="239">
        <v>54.943305785123968</v>
      </c>
      <c r="CP205" s="239">
        <v>5229</v>
      </c>
      <c r="CQ205" s="239">
        <v>0</v>
      </c>
      <c r="CR205" s="239">
        <v>107</v>
      </c>
      <c r="CS205" s="239">
        <v>-2537</v>
      </c>
      <c r="CT205" s="239">
        <v>0</v>
      </c>
      <c r="CU205" s="239">
        <v>-52</v>
      </c>
      <c r="CV205" s="239">
        <v>441679.5692561983</v>
      </c>
      <c r="CW205" s="239">
        <v>0</v>
      </c>
      <c r="CX205" s="239">
        <v>9013.8687603305789</v>
      </c>
      <c r="CY205" s="239">
        <v>427088</v>
      </c>
      <c r="CZ205" s="239">
        <v>0</v>
      </c>
      <c r="DA205" s="239">
        <v>8716</v>
      </c>
      <c r="DB205" s="239">
        <v>14592</v>
      </c>
      <c r="DC205" s="239">
        <v>0</v>
      </c>
      <c r="DD205" s="239">
        <v>298</v>
      </c>
      <c r="DE205" s="641">
        <v>0.5</v>
      </c>
      <c r="DF205" s="641">
        <v>0.49</v>
      </c>
      <c r="DG205" s="641">
        <v>0</v>
      </c>
      <c r="DH205" s="641">
        <v>0.01</v>
      </c>
      <c r="DI205" s="214" t="s">
        <v>747</v>
      </c>
    </row>
    <row r="206" spans="2:113" s="214" customFormat="1" x14ac:dyDescent="0.2">
      <c r="B206" s="609" t="s">
        <v>494</v>
      </c>
      <c r="C206" s="609" t="s">
        <v>493</v>
      </c>
      <c r="D206" s="239">
        <v>-739624</v>
      </c>
      <c r="E206" s="239">
        <v>0</v>
      </c>
      <c r="F206" s="239">
        <v>-739624</v>
      </c>
      <c r="G206" s="239">
        <v>0</v>
      </c>
      <c r="H206" s="239">
        <v>0</v>
      </c>
      <c r="I206" s="239">
        <v>0</v>
      </c>
      <c r="J206" s="239">
        <v>-739624</v>
      </c>
      <c r="K206" s="239">
        <v>0</v>
      </c>
      <c r="L206" s="239">
        <v>-739624</v>
      </c>
      <c r="M206" s="239">
        <v>276989</v>
      </c>
      <c r="N206" s="239">
        <v>276989</v>
      </c>
      <c r="O206" s="239">
        <v>0</v>
      </c>
      <c r="P206" s="239">
        <v>0</v>
      </c>
      <c r="Q206" s="239">
        <v>0</v>
      </c>
      <c r="R206" s="239">
        <v>0</v>
      </c>
      <c r="S206" s="239">
        <v>0</v>
      </c>
      <c r="T206" s="239">
        <v>0</v>
      </c>
      <c r="U206" s="239">
        <v>0</v>
      </c>
      <c r="V206" s="239">
        <v>0</v>
      </c>
      <c r="W206" s="239">
        <v>0</v>
      </c>
      <c r="X206" s="239">
        <v>0</v>
      </c>
      <c r="Y206" s="239">
        <v>0</v>
      </c>
      <c r="Z206" s="239">
        <v>0</v>
      </c>
      <c r="AA206" s="239">
        <v>0</v>
      </c>
      <c r="AB206" s="239">
        <v>0</v>
      </c>
      <c r="AC206" s="239">
        <v>0</v>
      </c>
      <c r="AD206" s="239">
        <v>0</v>
      </c>
      <c r="AE206" s="239">
        <v>0</v>
      </c>
      <c r="AF206" s="239">
        <v>0</v>
      </c>
      <c r="AG206" s="239">
        <v>0</v>
      </c>
      <c r="AH206" s="239">
        <v>0</v>
      </c>
      <c r="AI206" s="239">
        <v>0</v>
      </c>
      <c r="AJ206" s="239">
        <v>0</v>
      </c>
      <c r="AK206" s="239">
        <v>948040.17267561972</v>
      </c>
      <c r="AL206" s="239">
        <v>0</v>
      </c>
      <c r="AM206" s="239">
        <v>19347.758626033057</v>
      </c>
      <c r="AN206" s="239">
        <v>940997</v>
      </c>
      <c r="AO206" s="239">
        <v>0</v>
      </c>
      <c r="AP206" s="239">
        <v>19204</v>
      </c>
      <c r="AQ206" s="239">
        <v>7043</v>
      </c>
      <c r="AR206" s="239">
        <v>0</v>
      </c>
      <c r="AS206" s="239">
        <v>144</v>
      </c>
      <c r="AT206" s="239">
        <v>5045.4307851239664</v>
      </c>
      <c r="AU206" s="239">
        <v>0</v>
      </c>
      <c r="AV206" s="239">
        <v>102.96797520661158</v>
      </c>
      <c r="AW206" s="239">
        <v>0</v>
      </c>
      <c r="AX206" s="239">
        <v>0</v>
      </c>
      <c r="AY206" s="239">
        <v>0</v>
      </c>
      <c r="AZ206" s="239">
        <v>5045</v>
      </c>
      <c r="BA206" s="239">
        <v>0</v>
      </c>
      <c r="BB206" s="239">
        <v>103</v>
      </c>
      <c r="BC206" s="239">
        <v>4163.1017561983472</v>
      </c>
      <c r="BD206" s="239">
        <v>0</v>
      </c>
      <c r="BE206" s="239">
        <v>84.961260330578511</v>
      </c>
      <c r="BF206" s="239">
        <v>0</v>
      </c>
      <c r="BG206" s="239">
        <v>0</v>
      </c>
      <c r="BH206" s="239">
        <v>0</v>
      </c>
      <c r="BI206" s="239">
        <v>4163</v>
      </c>
      <c r="BJ206" s="239">
        <v>0</v>
      </c>
      <c r="BK206" s="239">
        <v>85</v>
      </c>
      <c r="BL206" s="239">
        <v>56266.246446280995</v>
      </c>
      <c r="BM206" s="239">
        <v>0</v>
      </c>
      <c r="BN206" s="239">
        <v>1148.290743801653</v>
      </c>
      <c r="BO206" s="239">
        <v>18393</v>
      </c>
      <c r="BP206" s="239">
        <v>0</v>
      </c>
      <c r="BQ206" s="239">
        <v>375</v>
      </c>
      <c r="BR206" s="239">
        <v>37873</v>
      </c>
      <c r="BS206" s="239">
        <v>0</v>
      </c>
      <c r="BT206" s="239">
        <v>773</v>
      </c>
      <c r="BU206" s="239">
        <v>5296.459607438017</v>
      </c>
      <c r="BV206" s="239">
        <v>0</v>
      </c>
      <c r="BW206" s="239">
        <v>108.09101239669423</v>
      </c>
      <c r="BX206" s="239">
        <v>0</v>
      </c>
      <c r="BY206" s="239">
        <v>0</v>
      </c>
      <c r="BZ206" s="239">
        <v>0</v>
      </c>
      <c r="CA206" s="239">
        <v>5296</v>
      </c>
      <c r="CB206" s="239">
        <v>0</v>
      </c>
      <c r="CC206" s="239">
        <v>108</v>
      </c>
      <c r="CD206" s="239">
        <v>0</v>
      </c>
      <c r="CE206" s="239">
        <v>0</v>
      </c>
      <c r="CF206" s="239">
        <v>0</v>
      </c>
      <c r="CG206" s="239">
        <v>0</v>
      </c>
      <c r="CH206" s="239">
        <v>0</v>
      </c>
      <c r="CI206" s="239">
        <v>0</v>
      </c>
      <c r="CJ206" s="239">
        <v>0</v>
      </c>
      <c r="CK206" s="239">
        <v>0</v>
      </c>
      <c r="CL206" s="239">
        <v>0</v>
      </c>
      <c r="CM206" s="239">
        <v>1904.3394421487601</v>
      </c>
      <c r="CN206" s="239">
        <v>0</v>
      </c>
      <c r="CO206" s="239">
        <v>38.864070247933881</v>
      </c>
      <c r="CP206" s="239">
        <v>0</v>
      </c>
      <c r="CQ206" s="239">
        <v>0</v>
      </c>
      <c r="CR206" s="239">
        <v>0</v>
      </c>
      <c r="CS206" s="239">
        <v>1904</v>
      </c>
      <c r="CT206" s="239">
        <v>0</v>
      </c>
      <c r="CU206" s="239">
        <v>39</v>
      </c>
      <c r="CV206" s="239">
        <v>595750.11638429749</v>
      </c>
      <c r="CW206" s="239">
        <v>0</v>
      </c>
      <c r="CX206" s="239">
        <v>12158.165640495869</v>
      </c>
      <c r="CY206" s="239">
        <v>576961</v>
      </c>
      <c r="CZ206" s="239">
        <v>0</v>
      </c>
      <c r="DA206" s="239">
        <v>11775</v>
      </c>
      <c r="DB206" s="239">
        <v>18789</v>
      </c>
      <c r="DC206" s="239">
        <v>0</v>
      </c>
      <c r="DD206" s="239">
        <v>383</v>
      </c>
      <c r="DE206" s="641">
        <v>0.5</v>
      </c>
      <c r="DF206" s="641">
        <v>0.49</v>
      </c>
      <c r="DG206" s="641">
        <v>0</v>
      </c>
      <c r="DH206" s="641">
        <v>0.01</v>
      </c>
      <c r="DI206" s="214" t="s">
        <v>747</v>
      </c>
    </row>
    <row r="207" spans="2:113" s="214" customFormat="1" x14ac:dyDescent="0.2">
      <c r="B207" s="609" t="s">
        <v>496</v>
      </c>
      <c r="C207" s="609" t="s">
        <v>495</v>
      </c>
      <c r="D207" s="239">
        <v>-222689</v>
      </c>
      <c r="E207" s="239">
        <v>0</v>
      </c>
      <c r="F207" s="239">
        <v>-222689</v>
      </c>
      <c r="G207" s="239">
        <v>0</v>
      </c>
      <c r="H207" s="239">
        <v>0</v>
      </c>
      <c r="I207" s="239">
        <v>0</v>
      </c>
      <c r="J207" s="239">
        <v>-222689</v>
      </c>
      <c r="K207" s="239">
        <v>0</v>
      </c>
      <c r="L207" s="239">
        <v>-222689</v>
      </c>
      <c r="M207" s="239">
        <v>238529</v>
      </c>
      <c r="N207" s="239">
        <v>238529</v>
      </c>
      <c r="O207" s="239">
        <v>0</v>
      </c>
      <c r="P207" s="239">
        <v>0</v>
      </c>
      <c r="Q207" s="239">
        <v>0</v>
      </c>
      <c r="R207" s="239">
        <v>0</v>
      </c>
      <c r="S207" s="239">
        <v>18902</v>
      </c>
      <c r="T207" s="239">
        <v>0</v>
      </c>
      <c r="U207" s="239">
        <v>2024</v>
      </c>
      <c r="V207" s="239">
        <v>0</v>
      </c>
      <c r="W207" s="239">
        <v>16878</v>
      </c>
      <c r="X207" s="239">
        <v>0</v>
      </c>
      <c r="Y207" s="239">
        <v>0</v>
      </c>
      <c r="Z207" s="239">
        <v>0</v>
      </c>
      <c r="AA207" s="239">
        <v>0</v>
      </c>
      <c r="AB207" s="239">
        <v>0</v>
      </c>
      <c r="AC207" s="239">
        <v>0</v>
      </c>
      <c r="AD207" s="239">
        <v>0</v>
      </c>
      <c r="AE207" s="239">
        <v>0</v>
      </c>
      <c r="AF207" s="239">
        <v>0</v>
      </c>
      <c r="AG207" s="239">
        <v>0</v>
      </c>
      <c r="AH207" s="239">
        <v>0</v>
      </c>
      <c r="AI207" s="239">
        <v>0</v>
      </c>
      <c r="AJ207" s="239">
        <v>0</v>
      </c>
      <c r="AK207" s="239">
        <v>733415.01859504136</v>
      </c>
      <c r="AL207" s="239">
        <v>165018.3791838843</v>
      </c>
      <c r="AM207" s="239">
        <v>18335.375464876033</v>
      </c>
      <c r="AN207" s="239">
        <v>702020</v>
      </c>
      <c r="AO207" s="239">
        <v>157955</v>
      </c>
      <c r="AP207" s="239">
        <v>17551</v>
      </c>
      <c r="AQ207" s="239">
        <v>31395</v>
      </c>
      <c r="AR207" s="239">
        <v>7063</v>
      </c>
      <c r="AS207" s="239">
        <v>784</v>
      </c>
      <c r="AT207" s="239">
        <v>5338.914876033059</v>
      </c>
      <c r="AU207" s="239">
        <v>1201.2558471074381</v>
      </c>
      <c r="AV207" s="239">
        <v>133.47287190082645</v>
      </c>
      <c r="AW207" s="239">
        <v>6402</v>
      </c>
      <c r="AX207" s="239">
        <v>1440</v>
      </c>
      <c r="AY207" s="239">
        <v>160</v>
      </c>
      <c r="AZ207" s="239">
        <v>-1063</v>
      </c>
      <c r="BA207" s="239">
        <v>-239</v>
      </c>
      <c r="BB207" s="239">
        <v>-27</v>
      </c>
      <c r="BC207" s="239">
        <v>203.704132231405</v>
      </c>
      <c r="BD207" s="239">
        <v>45.833429752066117</v>
      </c>
      <c r="BE207" s="239">
        <v>5.0926033057851239</v>
      </c>
      <c r="BF207" s="239">
        <v>6232</v>
      </c>
      <c r="BG207" s="239">
        <v>1402</v>
      </c>
      <c r="BH207" s="239">
        <v>156</v>
      </c>
      <c r="BI207" s="239">
        <v>-6028</v>
      </c>
      <c r="BJ207" s="239">
        <v>-1356</v>
      </c>
      <c r="BK207" s="239">
        <v>-151</v>
      </c>
      <c r="BL207" s="239">
        <v>46593.059504132238</v>
      </c>
      <c r="BM207" s="239">
        <v>10483.438388429751</v>
      </c>
      <c r="BN207" s="239">
        <v>1164.8264876033058</v>
      </c>
      <c r="BO207" s="239">
        <v>80567</v>
      </c>
      <c r="BP207" s="239">
        <v>18127</v>
      </c>
      <c r="BQ207" s="239">
        <v>2014</v>
      </c>
      <c r="BR207" s="239">
        <v>-33974</v>
      </c>
      <c r="BS207" s="239">
        <v>-7644</v>
      </c>
      <c r="BT207" s="239">
        <v>-849</v>
      </c>
      <c r="BU207" s="239">
        <v>-13416.473553719008</v>
      </c>
      <c r="BV207" s="239">
        <v>-3018.7065495867764</v>
      </c>
      <c r="BW207" s="239">
        <v>-335.41183884297521</v>
      </c>
      <c r="BX207" s="239">
        <v>0</v>
      </c>
      <c r="BY207" s="239">
        <v>0</v>
      </c>
      <c r="BZ207" s="239">
        <v>0</v>
      </c>
      <c r="CA207" s="239">
        <v>-13416</v>
      </c>
      <c r="CB207" s="239">
        <v>-3019</v>
      </c>
      <c r="CC207" s="239">
        <v>-335</v>
      </c>
      <c r="CD207" s="239">
        <v>508.85454545454553</v>
      </c>
      <c r="CE207" s="239">
        <v>114.49227272727273</v>
      </c>
      <c r="CF207" s="239">
        <v>12.721363636363638</v>
      </c>
      <c r="CG207" s="239">
        <v>0</v>
      </c>
      <c r="CH207" s="239">
        <v>0</v>
      </c>
      <c r="CI207" s="239">
        <v>0</v>
      </c>
      <c r="CJ207" s="239">
        <v>509</v>
      </c>
      <c r="CK207" s="239">
        <v>114</v>
      </c>
      <c r="CL207" s="239">
        <v>13</v>
      </c>
      <c r="CM207" s="239">
        <v>2421.7256198347109</v>
      </c>
      <c r="CN207" s="239">
        <v>544.88826446280996</v>
      </c>
      <c r="CO207" s="239">
        <v>60.543140495867767</v>
      </c>
      <c r="CP207" s="239">
        <v>3482</v>
      </c>
      <c r="CQ207" s="239">
        <v>783</v>
      </c>
      <c r="CR207" s="239">
        <v>87</v>
      </c>
      <c r="CS207" s="239">
        <v>-1060</v>
      </c>
      <c r="CT207" s="239">
        <v>-238</v>
      </c>
      <c r="CU207" s="239">
        <v>-26</v>
      </c>
      <c r="CV207" s="239">
        <v>403976.65867768595</v>
      </c>
      <c r="CW207" s="239">
        <v>90833.238595041315</v>
      </c>
      <c r="CX207" s="239">
        <v>10092.582066115701</v>
      </c>
      <c r="CY207" s="239">
        <v>397722</v>
      </c>
      <c r="CZ207" s="239">
        <v>89481</v>
      </c>
      <c r="DA207" s="239">
        <v>9942</v>
      </c>
      <c r="DB207" s="239">
        <v>6255</v>
      </c>
      <c r="DC207" s="239">
        <v>1352</v>
      </c>
      <c r="DD207" s="239">
        <v>151</v>
      </c>
      <c r="DE207" s="641">
        <v>0.5</v>
      </c>
      <c r="DF207" s="641">
        <v>0.4</v>
      </c>
      <c r="DG207" s="641">
        <v>0.09</v>
      </c>
      <c r="DH207" s="641">
        <v>0.01</v>
      </c>
      <c r="DI207" s="214" t="s">
        <v>1190</v>
      </c>
    </row>
    <row r="208" spans="2:113" s="214" customFormat="1" x14ac:dyDescent="0.2">
      <c r="B208" s="609" t="s">
        <v>498</v>
      </c>
      <c r="C208" s="609" t="s">
        <v>497</v>
      </c>
      <c r="D208" s="239">
        <v>-2685192</v>
      </c>
      <c r="E208" s="239">
        <v>0</v>
      </c>
      <c r="F208" s="239">
        <v>-2685192</v>
      </c>
      <c r="G208" s="239">
        <v>0</v>
      </c>
      <c r="H208" s="239">
        <v>0</v>
      </c>
      <c r="I208" s="239">
        <v>0</v>
      </c>
      <c r="J208" s="239">
        <v>-2685192</v>
      </c>
      <c r="K208" s="239">
        <v>0</v>
      </c>
      <c r="L208" s="239">
        <v>-2685192</v>
      </c>
      <c r="M208" s="239">
        <v>97816</v>
      </c>
      <c r="N208" s="239">
        <v>97816</v>
      </c>
      <c r="O208" s="239">
        <v>0</v>
      </c>
      <c r="P208" s="239">
        <v>0</v>
      </c>
      <c r="Q208" s="239">
        <v>0</v>
      </c>
      <c r="R208" s="239">
        <v>0</v>
      </c>
      <c r="S208" s="239">
        <v>150787</v>
      </c>
      <c r="T208" s="239">
        <v>0</v>
      </c>
      <c r="U208" s="239">
        <v>145994</v>
      </c>
      <c r="V208" s="239">
        <v>0</v>
      </c>
      <c r="W208" s="239">
        <v>4793</v>
      </c>
      <c r="X208" s="239">
        <v>0</v>
      </c>
      <c r="Y208" s="239">
        <v>0</v>
      </c>
      <c r="Z208" s="239">
        <v>0</v>
      </c>
      <c r="AA208" s="239">
        <v>0</v>
      </c>
      <c r="AB208" s="239">
        <v>0</v>
      </c>
      <c r="AC208" s="239">
        <v>0</v>
      </c>
      <c r="AD208" s="239">
        <v>0</v>
      </c>
      <c r="AE208" s="239">
        <v>0</v>
      </c>
      <c r="AF208" s="239">
        <v>0</v>
      </c>
      <c r="AG208" s="239">
        <v>0</v>
      </c>
      <c r="AH208" s="239">
        <v>0</v>
      </c>
      <c r="AI208" s="239">
        <v>0</v>
      </c>
      <c r="AJ208" s="239">
        <v>0</v>
      </c>
      <c r="AK208" s="239">
        <v>414029.25743801659</v>
      </c>
      <c r="AL208" s="239">
        <v>93156.582923553709</v>
      </c>
      <c r="AM208" s="239">
        <v>10350.731435950413</v>
      </c>
      <c r="AN208" s="239">
        <v>378374</v>
      </c>
      <c r="AO208" s="239">
        <v>85134</v>
      </c>
      <c r="AP208" s="239">
        <v>9459</v>
      </c>
      <c r="AQ208" s="239">
        <v>35655</v>
      </c>
      <c r="AR208" s="239">
        <v>8023</v>
      </c>
      <c r="AS208" s="239">
        <v>892</v>
      </c>
      <c r="AT208" s="239">
        <v>0</v>
      </c>
      <c r="AU208" s="239">
        <v>0</v>
      </c>
      <c r="AV208" s="239">
        <v>0</v>
      </c>
      <c r="AW208" s="239">
        <v>0</v>
      </c>
      <c r="AX208" s="239">
        <v>0</v>
      </c>
      <c r="AY208" s="239">
        <v>0</v>
      </c>
      <c r="AZ208" s="239">
        <v>0</v>
      </c>
      <c r="BA208" s="239">
        <v>0</v>
      </c>
      <c r="BB208" s="239">
        <v>0</v>
      </c>
      <c r="BC208" s="239">
        <v>4611.7479338842977</v>
      </c>
      <c r="BD208" s="239">
        <v>1037.643285123967</v>
      </c>
      <c r="BE208" s="239">
        <v>115.29369834710744</v>
      </c>
      <c r="BF208" s="239">
        <v>5898</v>
      </c>
      <c r="BG208" s="239">
        <v>1327</v>
      </c>
      <c r="BH208" s="239">
        <v>147</v>
      </c>
      <c r="BI208" s="239">
        <v>-1286</v>
      </c>
      <c r="BJ208" s="239">
        <v>-289</v>
      </c>
      <c r="BK208" s="239">
        <v>-32</v>
      </c>
      <c r="BL208" s="239">
        <v>484.50743801652891</v>
      </c>
      <c r="BM208" s="239">
        <v>109.01417355371899</v>
      </c>
      <c r="BN208" s="239">
        <v>12.112685950413223</v>
      </c>
      <c r="BO208" s="239">
        <v>1203</v>
      </c>
      <c r="BP208" s="239">
        <v>271</v>
      </c>
      <c r="BQ208" s="239">
        <v>30</v>
      </c>
      <c r="BR208" s="239">
        <v>-718</v>
      </c>
      <c r="BS208" s="239">
        <v>-162</v>
      </c>
      <c r="BT208" s="239">
        <v>-18</v>
      </c>
      <c r="BU208" s="239">
        <v>-1449.8702479338845</v>
      </c>
      <c r="BV208" s="239">
        <v>-326.22080578512396</v>
      </c>
      <c r="BW208" s="239">
        <v>-36.246756198347107</v>
      </c>
      <c r="BX208" s="239">
        <v>0</v>
      </c>
      <c r="BY208" s="239">
        <v>0</v>
      </c>
      <c r="BZ208" s="239">
        <v>0</v>
      </c>
      <c r="CA208" s="239">
        <v>-1450</v>
      </c>
      <c r="CB208" s="239">
        <v>-326</v>
      </c>
      <c r="CC208" s="239">
        <v>-36</v>
      </c>
      <c r="CD208" s="239">
        <v>0</v>
      </c>
      <c r="CE208" s="239">
        <v>0</v>
      </c>
      <c r="CF208" s="239">
        <v>0</v>
      </c>
      <c r="CG208" s="239">
        <v>0</v>
      </c>
      <c r="CH208" s="239">
        <v>0</v>
      </c>
      <c r="CI208" s="239">
        <v>0</v>
      </c>
      <c r="CJ208" s="239">
        <v>0</v>
      </c>
      <c r="CK208" s="239">
        <v>0</v>
      </c>
      <c r="CL208" s="239">
        <v>0</v>
      </c>
      <c r="CM208" s="239">
        <v>357.49669421487602</v>
      </c>
      <c r="CN208" s="239">
        <v>80.436756198347098</v>
      </c>
      <c r="CO208" s="239">
        <v>8.9374173553719007</v>
      </c>
      <c r="CP208" s="239">
        <v>619</v>
      </c>
      <c r="CQ208" s="239">
        <v>140</v>
      </c>
      <c r="CR208" s="239">
        <v>16</v>
      </c>
      <c r="CS208" s="239">
        <v>-262</v>
      </c>
      <c r="CT208" s="239">
        <v>-60</v>
      </c>
      <c r="CU208" s="239">
        <v>-7</v>
      </c>
      <c r="CV208" s="239">
        <v>59937.925206611581</v>
      </c>
      <c r="CW208" s="239">
        <v>12995.352334710742</v>
      </c>
      <c r="CX208" s="239">
        <v>1443.9280371900825</v>
      </c>
      <c r="CY208" s="239">
        <v>97133</v>
      </c>
      <c r="CZ208" s="239">
        <v>21380</v>
      </c>
      <c r="DA208" s="239">
        <v>2376</v>
      </c>
      <c r="DB208" s="239">
        <v>-37195</v>
      </c>
      <c r="DC208" s="239">
        <v>-8385</v>
      </c>
      <c r="DD208" s="239">
        <v>-932</v>
      </c>
      <c r="DE208" s="641">
        <v>0.5</v>
      </c>
      <c r="DF208" s="641">
        <v>0.4</v>
      </c>
      <c r="DG208" s="641">
        <v>0.09</v>
      </c>
      <c r="DH208" s="641">
        <v>0.01</v>
      </c>
      <c r="DI208" s="214" t="s">
        <v>1190</v>
      </c>
    </row>
    <row r="209" spans="2:113" s="214" customFormat="1" x14ac:dyDescent="0.2">
      <c r="B209" s="609" t="s">
        <v>500</v>
      </c>
      <c r="C209" s="609" t="s">
        <v>499</v>
      </c>
      <c r="D209" s="239">
        <v>122450</v>
      </c>
      <c r="E209" s="239">
        <v>0</v>
      </c>
      <c r="F209" s="239">
        <v>122450</v>
      </c>
      <c r="G209" s="239">
        <v>0</v>
      </c>
      <c r="H209" s="239">
        <v>0</v>
      </c>
      <c r="I209" s="239">
        <v>0</v>
      </c>
      <c r="J209" s="239">
        <v>122450</v>
      </c>
      <c r="K209" s="239">
        <v>0</v>
      </c>
      <c r="L209" s="239">
        <v>122450</v>
      </c>
      <c r="M209" s="239">
        <v>272050</v>
      </c>
      <c r="N209" s="239">
        <v>272050</v>
      </c>
      <c r="O209" s="239">
        <v>0</v>
      </c>
      <c r="P209" s="239">
        <v>0</v>
      </c>
      <c r="Q209" s="239">
        <v>0</v>
      </c>
      <c r="R209" s="239">
        <v>0</v>
      </c>
      <c r="S209" s="239">
        <v>0</v>
      </c>
      <c r="T209" s="239">
        <v>0</v>
      </c>
      <c r="U209" s="239">
        <v>0</v>
      </c>
      <c r="V209" s="239">
        <v>0</v>
      </c>
      <c r="W209" s="239">
        <v>0</v>
      </c>
      <c r="X209" s="239">
        <v>0</v>
      </c>
      <c r="Y209" s="239">
        <v>0</v>
      </c>
      <c r="Z209" s="239">
        <v>0</v>
      </c>
      <c r="AA209" s="239">
        <v>0</v>
      </c>
      <c r="AB209" s="239">
        <v>0</v>
      </c>
      <c r="AC209" s="239">
        <v>0</v>
      </c>
      <c r="AD209" s="239">
        <v>0</v>
      </c>
      <c r="AE209" s="239">
        <v>0</v>
      </c>
      <c r="AF209" s="239">
        <v>0</v>
      </c>
      <c r="AG209" s="239">
        <v>0</v>
      </c>
      <c r="AH209" s="239">
        <v>0</v>
      </c>
      <c r="AI209" s="239">
        <v>0</v>
      </c>
      <c r="AJ209" s="239">
        <v>0</v>
      </c>
      <c r="AK209" s="239">
        <v>513633.80148760328</v>
      </c>
      <c r="AL209" s="239">
        <v>0</v>
      </c>
      <c r="AM209" s="239">
        <v>10482.322479338844</v>
      </c>
      <c r="AN209" s="239">
        <v>476390</v>
      </c>
      <c r="AO209" s="239">
        <v>0</v>
      </c>
      <c r="AP209" s="239">
        <v>9722</v>
      </c>
      <c r="AQ209" s="239">
        <v>37244</v>
      </c>
      <c r="AR209" s="239">
        <v>0</v>
      </c>
      <c r="AS209" s="239">
        <v>760</v>
      </c>
      <c r="AT209" s="239">
        <v>1092.0996487603304</v>
      </c>
      <c r="AU209" s="239">
        <v>0</v>
      </c>
      <c r="AV209" s="239">
        <v>22.287747933884297</v>
      </c>
      <c r="AW209" s="239">
        <v>1193</v>
      </c>
      <c r="AX209" s="239">
        <v>0</v>
      </c>
      <c r="AY209" s="239">
        <v>24</v>
      </c>
      <c r="AZ209" s="239">
        <v>-101</v>
      </c>
      <c r="BA209" s="239">
        <v>0</v>
      </c>
      <c r="BB209" s="239">
        <v>-2</v>
      </c>
      <c r="BC209" s="239">
        <v>13344.791611570246</v>
      </c>
      <c r="BD209" s="239">
        <v>0</v>
      </c>
      <c r="BE209" s="239">
        <v>272.34268595041323</v>
      </c>
      <c r="BF209" s="239">
        <v>0</v>
      </c>
      <c r="BG209" s="239">
        <v>0</v>
      </c>
      <c r="BH209" s="239">
        <v>0</v>
      </c>
      <c r="BI209" s="239">
        <v>13345</v>
      </c>
      <c r="BJ209" s="239">
        <v>0</v>
      </c>
      <c r="BK209" s="239">
        <v>272</v>
      </c>
      <c r="BL209" s="239">
        <v>33574.732169421484</v>
      </c>
      <c r="BM209" s="239">
        <v>0</v>
      </c>
      <c r="BN209" s="239">
        <v>685.1986157024794</v>
      </c>
      <c r="BO209" s="239">
        <v>44037</v>
      </c>
      <c r="BP209" s="239">
        <v>0</v>
      </c>
      <c r="BQ209" s="239">
        <v>899</v>
      </c>
      <c r="BR209" s="239">
        <v>-10462</v>
      </c>
      <c r="BS209" s="239">
        <v>0</v>
      </c>
      <c r="BT209" s="239">
        <v>-214</v>
      </c>
      <c r="BU209" s="239">
        <v>8392.8131404958676</v>
      </c>
      <c r="BV209" s="239">
        <v>0</v>
      </c>
      <c r="BW209" s="239">
        <v>171.2819008264463</v>
      </c>
      <c r="BX209" s="239">
        <v>0</v>
      </c>
      <c r="BY209" s="239">
        <v>0</v>
      </c>
      <c r="BZ209" s="239">
        <v>0</v>
      </c>
      <c r="CA209" s="239">
        <v>8393</v>
      </c>
      <c r="CB209" s="239">
        <v>0</v>
      </c>
      <c r="CC209" s="239">
        <v>171</v>
      </c>
      <c r="CD209" s="239">
        <v>0</v>
      </c>
      <c r="CE209" s="239">
        <v>0</v>
      </c>
      <c r="CF209" s="239">
        <v>0</v>
      </c>
      <c r="CG209" s="239">
        <v>0</v>
      </c>
      <c r="CH209" s="239">
        <v>0</v>
      </c>
      <c r="CI209" s="239">
        <v>0</v>
      </c>
      <c r="CJ209" s="239">
        <v>0</v>
      </c>
      <c r="CK209" s="239">
        <v>0</v>
      </c>
      <c r="CL209" s="239">
        <v>0</v>
      </c>
      <c r="CM209" s="239">
        <v>7932.5107851239673</v>
      </c>
      <c r="CN209" s="239">
        <v>0</v>
      </c>
      <c r="CO209" s="239">
        <v>161.8879752066116</v>
      </c>
      <c r="CP209" s="239">
        <v>13466</v>
      </c>
      <c r="CQ209" s="239">
        <v>0</v>
      </c>
      <c r="CR209" s="239">
        <v>275</v>
      </c>
      <c r="CS209" s="239">
        <v>-5533</v>
      </c>
      <c r="CT209" s="239">
        <v>0</v>
      </c>
      <c r="CU209" s="239">
        <v>-113</v>
      </c>
      <c r="CV209" s="239">
        <v>839783.05785123969</v>
      </c>
      <c r="CW209" s="239">
        <v>0</v>
      </c>
      <c r="CX209" s="239">
        <v>17138.429752066117</v>
      </c>
      <c r="CY209" s="239">
        <v>760411</v>
      </c>
      <c r="CZ209" s="239">
        <v>0</v>
      </c>
      <c r="DA209" s="239">
        <v>15519</v>
      </c>
      <c r="DB209" s="239">
        <v>79372</v>
      </c>
      <c r="DC209" s="239">
        <v>0</v>
      </c>
      <c r="DD209" s="239">
        <v>1619</v>
      </c>
      <c r="DE209" s="641">
        <v>0.5</v>
      </c>
      <c r="DF209" s="641">
        <v>0.49</v>
      </c>
      <c r="DG209" s="641">
        <v>0</v>
      </c>
      <c r="DH209" s="641">
        <v>0.01</v>
      </c>
      <c r="DI209" s="214" t="s">
        <v>747</v>
      </c>
    </row>
    <row r="210" spans="2:113" s="214" customFormat="1" x14ac:dyDescent="0.2">
      <c r="B210" s="609" t="s">
        <v>502</v>
      </c>
      <c r="C210" s="609" t="s">
        <v>501</v>
      </c>
      <c r="D210" s="239">
        <v>-70305</v>
      </c>
      <c r="E210" s="239">
        <v>0</v>
      </c>
      <c r="F210" s="239">
        <v>-70305</v>
      </c>
      <c r="G210" s="239">
        <v>0</v>
      </c>
      <c r="H210" s="239">
        <v>0</v>
      </c>
      <c r="I210" s="239">
        <v>0</v>
      </c>
      <c r="J210" s="239">
        <v>-70305</v>
      </c>
      <c r="K210" s="239">
        <v>0</v>
      </c>
      <c r="L210" s="239">
        <v>-70305</v>
      </c>
      <c r="M210" s="239">
        <v>282286</v>
      </c>
      <c r="N210" s="239">
        <v>282286</v>
      </c>
      <c r="O210" s="239">
        <v>0</v>
      </c>
      <c r="P210" s="239">
        <v>0</v>
      </c>
      <c r="Q210" s="239">
        <v>0</v>
      </c>
      <c r="R210" s="239">
        <v>0</v>
      </c>
      <c r="S210" s="239">
        <v>0</v>
      </c>
      <c r="T210" s="239">
        <v>0</v>
      </c>
      <c r="U210" s="239">
        <v>0</v>
      </c>
      <c r="V210" s="239">
        <v>0</v>
      </c>
      <c r="W210" s="239">
        <v>0</v>
      </c>
      <c r="X210" s="239">
        <v>0</v>
      </c>
      <c r="Y210" s="239">
        <v>0</v>
      </c>
      <c r="Z210" s="239">
        <v>0</v>
      </c>
      <c r="AA210" s="239">
        <v>0</v>
      </c>
      <c r="AB210" s="239">
        <v>0</v>
      </c>
      <c r="AC210" s="239">
        <v>0</v>
      </c>
      <c r="AD210" s="239">
        <v>0</v>
      </c>
      <c r="AE210" s="239">
        <v>0</v>
      </c>
      <c r="AF210" s="239">
        <v>0</v>
      </c>
      <c r="AG210" s="239">
        <v>0</v>
      </c>
      <c r="AH210" s="239">
        <v>0</v>
      </c>
      <c r="AI210" s="239">
        <v>0</v>
      </c>
      <c r="AJ210" s="239">
        <v>0</v>
      </c>
      <c r="AK210" s="239">
        <v>655849.90227272722</v>
      </c>
      <c r="AL210" s="239">
        <v>437233.26818181819</v>
      </c>
      <c r="AM210" s="239">
        <v>0</v>
      </c>
      <c r="AN210" s="239">
        <v>601836</v>
      </c>
      <c r="AO210" s="239">
        <v>401224</v>
      </c>
      <c r="AP210" s="239">
        <v>0</v>
      </c>
      <c r="AQ210" s="239">
        <v>54014</v>
      </c>
      <c r="AR210" s="239">
        <v>36009</v>
      </c>
      <c r="AS210" s="239">
        <v>0</v>
      </c>
      <c r="AT210" s="239">
        <v>4545.3006198347102</v>
      </c>
      <c r="AU210" s="239">
        <v>3030.2004132231405</v>
      </c>
      <c r="AV210" s="239">
        <v>0</v>
      </c>
      <c r="AW210" s="239">
        <v>4563</v>
      </c>
      <c r="AX210" s="239">
        <v>3042</v>
      </c>
      <c r="AY210" s="239">
        <v>0</v>
      </c>
      <c r="AZ210" s="239">
        <v>-18</v>
      </c>
      <c r="BA210" s="239">
        <v>-12</v>
      </c>
      <c r="BB210" s="239">
        <v>0</v>
      </c>
      <c r="BC210" s="239">
        <v>-878.93057851239678</v>
      </c>
      <c r="BD210" s="239">
        <v>-585.95371900826444</v>
      </c>
      <c r="BE210" s="239">
        <v>0</v>
      </c>
      <c r="BF210" s="239">
        <v>3131</v>
      </c>
      <c r="BG210" s="239">
        <v>2087</v>
      </c>
      <c r="BH210" s="239">
        <v>0</v>
      </c>
      <c r="BI210" s="239">
        <v>-4010</v>
      </c>
      <c r="BJ210" s="239">
        <v>-2673</v>
      </c>
      <c r="BK210" s="239">
        <v>0</v>
      </c>
      <c r="BL210" s="239">
        <v>24580.53533057851</v>
      </c>
      <c r="BM210" s="239">
        <v>16387.023553719009</v>
      </c>
      <c r="BN210" s="239">
        <v>0</v>
      </c>
      <c r="BO210" s="239">
        <v>11235</v>
      </c>
      <c r="BP210" s="239">
        <v>7490</v>
      </c>
      <c r="BQ210" s="239">
        <v>0</v>
      </c>
      <c r="BR210" s="239">
        <v>13346</v>
      </c>
      <c r="BS210" s="239">
        <v>8897</v>
      </c>
      <c r="BT210" s="239">
        <v>0</v>
      </c>
      <c r="BU210" s="239">
        <v>-3515.4179752066111</v>
      </c>
      <c r="BV210" s="239">
        <v>-2343.6119834710744</v>
      </c>
      <c r="BW210" s="239">
        <v>0</v>
      </c>
      <c r="BX210" s="239">
        <v>0</v>
      </c>
      <c r="BY210" s="239">
        <v>0</v>
      </c>
      <c r="BZ210" s="239">
        <v>0</v>
      </c>
      <c r="CA210" s="239">
        <v>-3515</v>
      </c>
      <c r="CB210" s="239">
        <v>-2344</v>
      </c>
      <c r="CC210" s="239">
        <v>0</v>
      </c>
      <c r="CD210" s="239">
        <v>0</v>
      </c>
      <c r="CE210" s="239">
        <v>0</v>
      </c>
      <c r="CF210" s="239">
        <v>0</v>
      </c>
      <c r="CG210" s="239">
        <v>0</v>
      </c>
      <c r="CH210" s="239">
        <v>0</v>
      </c>
      <c r="CI210" s="239">
        <v>0</v>
      </c>
      <c r="CJ210" s="239">
        <v>0</v>
      </c>
      <c r="CK210" s="239">
        <v>0</v>
      </c>
      <c r="CL210" s="239">
        <v>0</v>
      </c>
      <c r="CM210" s="239">
        <v>3769.8452479338839</v>
      </c>
      <c r="CN210" s="239">
        <v>2513.2301652892565</v>
      </c>
      <c r="CO210" s="239">
        <v>0</v>
      </c>
      <c r="CP210" s="239">
        <v>0</v>
      </c>
      <c r="CQ210" s="239">
        <v>0</v>
      </c>
      <c r="CR210" s="239">
        <v>0</v>
      </c>
      <c r="CS210" s="239">
        <v>3770</v>
      </c>
      <c r="CT210" s="239">
        <v>2513</v>
      </c>
      <c r="CU210" s="239">
        <v>0</v>
      </c>
      <c r="CV210" s="239">
        <v>235337.62809917354</v>
      </c>
      <c r="CW210" s="239">
        <v>156891.7520661157</v>
      </c>
      <c r="CX210" s="239">
        <v>0</v>
      </c>
      <c r="CY210" s="239">
        <v>241985</v>
      </c>
      <c r="CZ210" s="239">
        <v>161323</v>
      </c>
      <c r="DA210" s="239">
        <v>0</v>
      </c>
      <c r="DB210" s="239">
        <v>-6647</v>
      </c>
      <c r="DC210" s="239">
        <v>-4431</v>
      </c>
      <c r="DD210" s="239">
        <v>0</v>
      </c>
      <c r="DE210" s="641">
        <v>0.5</v>
      </c>
      <c r="DF210" s="641">
        <v>0.3</v>
      </c>
      <c r="DG210" s="641">
        <v>0.2</v>
      </c>
      <c r="DH210" s="641">
        <v>0</v>
      </c>
      <c r="DI210" s="214" t="s">
        <v>1191</v>
      </c>
    </row>
    <row r="211" spans="2:113" s="214" customFormat="1" x14ac:dyDescent="0.2">
      <c r="B211" s="609" t="s">
        <v>504</v>
      </c>
      <c r="C211" s="609" t="s">
        <v>503</v>
      </c>
      <c r="D211" s="239">
        <v>-70777</v>
      </c>
      <c r="E211" s="239">
        <v>0</v>
      </c>
      <c r="F211" s="239">
        <v>-70777</v>
      </c>
      <c r="G211" s="239">
        <v>0</v>
      </c>
      <c r="H211" s="239">
        <v>0</v>
      </c>
      <c r="I211" s="239">
        <v>0</v>
      </c>
      <c r="J211" s="239">
        <v>-70777</v>
      </c>
      <c r="K211" s="239">
        <v>0</v>
      </c>
      <c r="L211" s="239">
        <v>-70777</v>
      </c>
      <c r="M211" s="239">
        <v>168457</v>
      </c>
      <c r="N211" s="239">
        <v>168457</v>
      </c>
      <c r="O211" s="239">
        <v>0</v>
      </c>
      <c r="P211" s="239">
        <v>850326</v>
      </c>
      <c r="Q211" s="239">
        <v>0</v>
      </c>
      <c r="R211" s="239">
        <v>850326</v>
      </c>
      <c r="S211" s="239">
        <v>0</v>
      </c>
      <c r="T211" s="239">
        <v>0</v>
      </c>
      <c r="U211" s="239">
        <v>0</v>
      </c>
      <c r="V211" s="239">
        <v>0</v>
      </c>
      <c r="W211" s="239">
        <v>0</v>
      </c>
      <c r="X211" s="239">
        <v>0</v>
      </c>
      <c r="Y211" s="239">
        <v>0</v>
      </c>
      <c r="Z211" s="239">
        <v>0</v>
      </c>
      <c r="AA211" s="239">
        <v>0</v>
      </c>
      <c r="AB211" s="239">
        <v>0</v>
      </c>
      <c r="AC211" s="239">
        <v>0</v>
      </c>
      <c r="AD211" s="239">
        <v>0</v>
      </c>
      <c r="AE211" s="239">
        <v>0</v>
      </c>
      <c r="AF211" s="239">
        <v>0</v>
      </c>
      <c r="AG211" s="239">
        <v>0</v>
      </c>
      <c r="AH211" s="239">
        <v>0</v>
      </c>
      <c r="AI211" s="239">
        <v>0</v>
      </c>
      <c r="AJ211" s="239">
        <v>0</v>
      </c>
      <c r="AK211" s="239">
        <v>675039.61773760326</v>
      </c>
      <c r="AL211" s="239">
        <v>0</v>
      </c>
      <c r="AM211" s="239">
        <v>13776.318729338842</v>
      </c>
      <c r="AN211" s="239">
        <v>662514</v>
      </c>
      <c r="AO211" s="239">
        <v>0</v>
      </c>
      <c r="AP211" s="239">
        <v>13521</v>
      </c>
      <c r="AQ211" s="239">
        <v>12526</v>
      </c>
      <c r="AR211" s="239">
        <v>0</v>
      </c>
      <c r="AS211" s="239">
        <v>255</v>
      </c>
      <c r="AT211" s="239">
        <v>0</v>
      </c>
      <c r="AU211" s="239">
        <v>0</v>
      </c>
      <c r="AV211" s="239">
        <v>0</v>
      </c>
      <c r="AW211" s="239">
        <v>0</v>
      </c>
      <c r="AX211" s="239">
        <v>0</v>
      </c>
      <c r="AY211" s="239">
        <v>0</v>
      </c>
      <c r="AZ211" s="239">
        <v>0</v>
      </c>
      <c r="BA211" s="239">
        <v>0</v>
      </c>
      <c r="BB211" s="239">
        <v>0</v>
      </c>
      <c r="BC211" s="239">
        <v>0</v>
      </c>
      <c r="BD211" s="239">
        <v>0</v>
      </c>
      <c r="BE211" s="239">
        <v>0</v>
      </c>
      <c r="BF211" s="239">
        <v>0</v>
      </c>
      <c r="BG211" s="239">
        <v>0</v>
      </c>
      <c r="BH211" s="239">
        <v>0</v>
      </c>
      <c r="BI211" s="239">
        <v>0</v>
      </c>
      <c r="BJ211" s="239">
        <v>0</v>
      </c>
      <c r="BK211" s="239">
        <v>0</v>
      </c>
      <c r="BL211" s="239">
        <v>9356.6644008264466</v>
      </c>
      <c r="BM211" s="239">
        <v>0</v>
      </c>
      <c r="BN211" s="239">
        <v>190.9523347107438</v>
      </c>
      <c r="BO211" s="239">
        <v>1639</v>
      </c>
      <c r="BP211" s="239">
        <v>0</v>
      </c>
      <c r="BQ211" s="239">
        <v>33</v>
      </c>
      <c r="BR211" s="239">
        <v>7718</v>
      </c>
      <c r="BS211" s="239">
        <v>0</v>
      </c>
      <c r="BT211" s="239">
        <v>158</v>
      </c>
      <c r="BU211" s="239">
        <v>13573.948615702478</v>
      </c>
      <c r="BV211" s="239">
        <v>0</v>
      </c>
      <c r="BW211" s="239">
        <v>277.01935950413224</v>
      </c>
      <c r="BX211" s="239">
        <v>0</v>
      </c>
      <c r="BY211" s="239">
        <v>0</v>
      </c>
      <c r="BZ211" s="239">
        <v>0</v>
      </c>
      <c r="CA211" s="239">
        <v>13574</v>
      </c>
      <c r="CB211" s="239">
        <v>0</v>
      </c>
      <c r="CC211" s="239">
        <v>277</v>
      </c>
      <c r="CD211" s="239">
        <v>0</v>
      </c>
      <c r="CE211" s="239">
        <v>0</v>
      </c>
      <c r="CF211" s="239">
        <v>0</v>
      </c>
      <c r="CG211" s="239">
        <v>0</v>
      </c>
      <c r="CH211" s="239">
        <v>0</v>
      </c>
      <c r="CI211" s="239">
        <v>0</v>
      </c>
      <c r="CJ211" s="239">
        <v>0</v>
      </c>
      <c r="CK211" s="239">
        <v>0</v>
      </c>
      <c r="CL211" s="239">
        <v>0</v>
      </c>
      <c r="CM211" s="239">
        <v>0</v>
      </c>
      <c r="CN211" s="239">
        <v>0</v>
      </c>
      <c r="CO211" s="239">
        <v>0</v>
      </c>
      <c r="CP211" s="239">
        <v>0</v>
      </c>
      <c r="CQ211" s="239">
        <v>0</v>
      </c>
      <c r="CR211" s="239">
        <v>0</v>
      </c>
      <c r="CS211" s="239">
        <v>0</v>
      </c>
      <c r="CT211" s="239">
        <v>0</v>
      </c>
      <c r="CU211" s="239">
        <v>0</v>
      </c>
      <c r="CV211" s="239">
        <v>268737.26264462812</v>
      </c>
      <c r="CW211" s="239">
        <v>0</v>
      </c>
      <c r="CX211" s="239">
        <v>5233.4522314049591</v>
      </c>
      <c r="CY211" s="239">
        <v>255103</v>
      </c>
      <c r="CZ211" s="239">
        <v>0</v>
      </c>
      <c r="DA211" s="239">
        <v>5206</v>
      </c>
      <c r="DB211" s="239">
        <v>13634</v>
      </c>
      <c r="DC211" s="239">
        <v>0</v>
      </c>
      <c r="DD211" s="239">
        <v>27</v>
      </c>
      <c r="DE211" s="641">
        <v>0.5</v>
      </c>
      <c r="DF211" s="641">
        <v>0.49</v>
      </c>
      <c r="DG211" s="641">
        <v>0</v>
      </c>
      <c r="DH211" s="641">
        <v>0.01</v>
      </c>
      <c r="DI211" s="214" t="s">
        <v>747</v>
      </c>
    </row>
    <row r="212" spans="2:113" s="214" customFormat="1" x14ac:dyDescent="0.2">
      <c r="B212" s="609" t="s">
        <v>506</v>
      </c>
      <c r="C212" s="609" t="s">
        <v>505</v>
      </c>
      <c r="D212" s="239">
        <v>-34100</v>
      </c>
      <c r="E212" s="239">
        <v>0</v>
      </c>
      <c r="F212" s="239">
        <v>-34100</v>
      </c>
      <c r="G212" s="239">
        <v>0</v>
      </c>
      <c r="H212" s="239">
        <v>0</v>
      </c>
      <c r="I212" s="239">
        <v>0</v>
      </c>
      <c r="J212" s="239">
        <v>-34100</v>
      </c>
      <c r="K212" s="239">
        <v>0</v>
      </c>
      <c r="L212" s="239">
        <v>-34100</v>
      </c>
      <c r="M212" s="239">
        <v>110398</v>
      </c>
      <c r="N212" s="239">
        <v>110398</v>
      </c>
      <c r="O212" s="239">
        <v>0</v>
      </c>
      <c r="P212" s="239">
        <v>0</v>
      </c>
      <c r="Q212" s="239">
        <v>0</v>
      </c>
      <c r="R212" s="239">
        <v>0</v>
      </c>
      <c r="S212" s="239">
        <v>0</v>
      </c>
      <c r="T212" s="239">
        <v>0</v>
      </c>
      <c r="U212" s="239">
        <v>0</v>
      </c>
      <c r="V212" s="239">
        <v>0</v>
      </c>
      <c r="W212" s="239">
        <v>0</v>
      </c>
      <c r="X212" s="239">
        <v>0</v>
      </c>
      <c r="Y212" s="239">
        <v>0</v>
      </c>
      <c r="Z212" s="239">
        <v>0</v>
      </c>
      <c r="AA212" s="239">
        <v>0</v>
      </c>
      <c r="AB212" s="239">
        <v>0</v>
      </c>
      <c r="AC212" s="239">
        <v>0</v>
      </c>
      <c r="AD212" s="239">
        <v>0</v>
      </c>
      <c r="AE212" s="239">
        <v>0</v>
      </c>
      <c r="AF212" s="239">
        <v>0</v>
      </c>
      <c r="AG212" s="239">
        <v>0</v>
      </c>
      <c r="AH212" s="239">
        <v>0</v>
      </c>
      <c r="AI212" s="239">
        <v>0</v>
      </c>
      <c r="AJ212" s="239">
        <v>0</v>
      </c>
      <c r="AK212" s="239">
        <v>304878.53719008266</v>
      </c>
      <c r="AL212" s="239">
        <v>68597.670867768582</v>
      </c>
      <c r="AM212" s="239">
        <v>7621.9634297520661</v>
      </c>
      <c r="AN212" s="239">
        <v>291513</v>
      </c>
      <c r="AO212" s="239">
        <v>65590</v>
      </c>
      <c r="AP212" s="239">
        <v>7288</v>
      </c>
      <c r="AQ212" s="239">
        <v>13366</v>
      </c>
      <c r="AR212" s="239">
        <v>3008</v>
      </c>
      <c r="AS212" s="239">
        <v>334</v>
      </c>
      <c r="AT212" s="239">
        <v>0</v>
      </c>
      <c r="AU212" s="239">
        <v>0</v>
      </c>
      <c r="AV212" s="239">
        <v>0</v>
      </c>
      <c r="AW212" s="239">
        <v>0</v>
      </c>
      <c r="AX212" s="239">
        <v>0</v>
      </c>
      <c r="AY212" s="239">
        <v>0</v>
      </c>
      <c r="AZ212" s="239">
        <v>0</v>
      </c>
      <c r="BA212" s="239">
        <v>0</v>
      </c>
      <c r="BB212" s="239">
        <v>0</v>
      </c>
      <c r="BC212" s="239">
        <v>0</v>
      </c>
      <c r="BD212" s="239">
        <v>0</v>
      </c>
      <c r="BE212" s="239">
        <v>0</v>
      </c>
      <c r="BF212" s="239">
        <v>0</v>
      </c>
      <c r="BG212" s="239">
        <v>0</v>
      </c>
      <c r="BH212" s="239">
        <v>0</v>
      </c>
      <c r="BI212" s="239">
        <v>0</v>
      </c>
      <c r="BJ212" s="239">
        <v>0</v>
      </c>
      <c r="BK212" s="239">
        <v>0</v>
      </c>
      <c r="BL212" s="239">
        <v>10270.421487603307</v>
      </c>
      <c r="BM212" s="239">
        <v>2310.8448347107442</v>
      </c>
      <c r="BN212" s="239">
        <v>256.76053719008269</v>
      </c>
      <c r="BO212" s="239">
        <v>1669</v>
      </c>
      <c r="BP212" s="239">
        <v>376</v>
      </c>
      <c r="BQ212" s="239">
        <v>42</v>
      </c>
      <c r="BR212" s="239">
        <v>8601</v>
      </c>
      <c r="BS212" s="239">
        <v>1935</v>
      </c>
      <c r="BT212" s="239">
        <v>215</v>
      </c>
      <c r="BU212" s="239">
        <v>2717.1371900826448</v>
      </c>
      <c r="BV212" s="239">
        <v>611.35586776859498</v>
      </c>
      <c r="BW212" s="239">
        <v>67.928429752066108</v>
      </c>
      <c r="BX212" s="239">
        <v>0</v>
      </c>
      <c r="BY212" s="239">
        <v>0</v>
      </c>
      <c r="BZ212" s="239">
        <v>0</v>
      </c>
      <c r="CA212" s="239">
        <v>2717</v>
      </c>
      <c r="CB212" s="239">
        <v>611</v>
      </c>
      <c r="CC212" s="239">
        <v>68</v>
      </c>
      <c r="CD212" s="239">
        <v>0</v>
      </c>
      <c r="CE212" s="239">
        <v>0</v>
      </c>
      <c r="CF212" s="239">
        <v>0</v>
      </c>
      <c r="CG212" s="239">
        <v>0</v>
      </c>
      <c r="CH212" s="239">
        <v>0</v>
      </c>
      <c r="CI212" s="239">
        <v>0</v>
      </c>
      <c r="CJ212" s="239">
        <v>0</v>
      </c>
      <c r="CK212" s="239">
        <v>0</v>
      </c>
      <c r="CL212" s="239">
        <v>0</v>
      </c>
      <c r="CM212" s="239">
        <v>897.19090909090914</v>
      </c>
      <c r="CN212" s="239">
        <v>201.86795454545452</v>
      </c>
      <c r="CO212" s="239">
        <v>22.429772727272727</v>
      </c>
      <c r="CP212" s="239">
        <v>0</v>
      </c>
      <c r="CQ212" s="239">
        <v>0</v>
      </c>
      <c r="CR212" s="239">
        <v>0</v>
      </c>
      <c r="CS212" s="239">
        <v>897</v>
      </c>
      <c r="CT212" s="239">
        <v>202</v>
      </c>
      <c r="CU212" s="239">
        <v>22</v>
      </c>
      <c r="CV212" s="239">
        <v>211924.67024793389</v>
      </c>
      <c r="CW212" s="239">
        <v>47683.050805785118</v>
      </c>
      <c r="CX212" s="239">
        <v>5298.1167561983466</v>
      </c>
      <c r="CY212" s="239">
        <v>218367</v>
      </c>
      <c r="CZ212" s="239">
        <v>49133</v>
      </c>
      <c r="DA212" s="239">
        <v>5459</v>
      </c>
      <c r="DB212" s="239">
        <v>-6442</v>
      </c>
      <c r="DC212" s="239">
        <v>-1450</v>
      </c>
      <c r="DD212" s="239">
        <v>-161</v>
      </c>
      <c r="DE212" s="641">
        <v>0.5</v>
      </c>
      <c r="DF212" s="641">
        <v>0.4</v>
      </c>
      <c r="DG212" s="641">
        <v>0.09</v>
      </c>
      <c r="DH212" s="641">
        <v>0.01</v>
      </c>
      <c r="DI212" s="214" t="s">
        <v>1190</v>
      </c>
    </row>
    <row r="213" spans="2:113" s="214" customFormat="1" x14ac:dyDescent="0.2">
      <c r="B213" s="609" t="s">
        <v>508</v>
      </c>
      <c r="C213" s="609" t="s">
        <v>507</v>
      </c>
      <c r="D213" s="239">
        <v>-47945</v>
      </c>
      <c r="E213" s="239">
        <v>0</v>
      </c>
      <c r="F213" s="239">
        <v>-47945</v>
      </c>
      <c r="G213" s="239">
        <v>0</v>
      </c>
      <c r="H213" s="239">
        <v>0</v>
      </c>
      <c r="I213" s="239">
        <v>0</v>
      </c>
      <c r="J213" s="239">
        <v>-47945</v>
      </c>
      <c r="K213" s="239">
        <v>0</v>
      </c>
      <c r="L213" s="239">
        <v>-47945</v>
      </c>
      <c r="M213" s="239">
        <v>172098</v>
      </c>
      <c r="N213" s="239">
        <v>172098</v>
      </c>
      <c r="O213" s="239">
        <v>0</v>
      </c>
      <c r="P213" s="239">
        <v>0</v>
      </c>
      <c r="Q213" s="239">
        <v>0</v>
      </c>
      <c r="R213" s="239">
        <v>0</v>
      </c>
      <c r="S213" s="239">
        <v>0</v>
      </c>
      <c r="T213" s="239">
        <v>0</v>
      </c>
      <c r="U213" s="239">
        <v>0</v>
      </c>
      <c r="V213" s="239">
        <v>0</v>
      </c>
      <c r="W213" s="239">
        <v>0</v>
      </c>
      <c r="X213" s="239">
        <v>0</v>
      </c>
      <c r="Y213" s="239">
        <v>0</v>
      </c>
      <c r="Z213" s="239">
        <v>0</v>
      </c>
      <c r="AA213" s="239">
        <v>0</v>
      </c>
      <c r="AB213" s="239">
        <v>0</v>
      </c>
      <c r="AC213" s="239">
        <v>0</v>
      </c>
      <c r="AD213" s="239">
        <v>0</v>
      </c>
      <c r="AE213" s="239">
        <v>0</v>
      </c>
      <c r="AF213" s="239">
        <v>0</v>
      </c>
      <c r="AG213" s="239">
        <v>0</v>
      </c>
      <c r="AH213" s="239">
        <v>0</v>
      </c>
      <c r="AI213" s="239">
        <v>0</v>
      </c>
      <c r="AJ213" s="239">
        <v>0</v>
      </c>
      <c r="AK213" s="239">
        <v>416609.64504132234</v>
      </c>
      <c r="AL213" s="239">
        <v>104152.41126033058</v>
      </c>
      <c r="AM213" s="239">
        <v>0</v>
      </c>
      <c r="AN213" s="239">
        <v>404950</v>
      </c>
      <c r="AO213" s="239">
        <v>101238</v>
      </c>
      <c r="AP213" s="239">
        <v>0</v>
      </c>
      <c r="AQ213" s="239">
        <v>11660</v>
      </c>
      <c r="AR213" s="239">
        <v>2914</v>
      </c>
      <c r="AS213" s="239">
        <v>0</v>
      </c>
      <c r="AT213" s="239">
        <v>1760.2958677685956</v>
      </c>
      <c r="AU213" s="239">
        <v>440.0739669421489</v>
      </c>
      <c r="AV213" s="239">
        <v>0</v>
      </c>
      <c r="AW213" s="239">
        <v>0</v>
      </c>
      <c r="AX213" s="239">
        <v>0</v>
      </c>
      <c r="AY213" s="239">
        <v>0</v>
      </c>
      <c r="AZ213" s="239">
        <v>1760</v>
      </c>
      <c r="BA213" s="239">
        <v>440</v>
      </c>
      <c r="BB213" s="239">
        <v>0</v>
      </c>
      <c r="BC213" s="239">
        <v>36920.765289256196</v>
      </c>
      <c r="BD213" s="239">
        <v>9230.1913223140491</v>
      </c>
      <c r="BE213" s="239">
        <v>0</v>
      </c>
      <c r="BF213" s="239">
        <v>811</v>
      </c>
      <c r="BG213" s="239">
        <v>203</v>
      </c>
      <c r="BH213" s="239">
        <v>0</v>
      </c>
      <c r="BI213" s="239">
        <v>36110</v>
      </c>
      <c r="BJ213" s="239">
        <v>9027</v>
      </c>
      <c r="BK213" s="239">
        <v>0</v>
      </c>
      <c r="BL213" s="239">
        <v>11028.428099173554</v>
      </c>
      <c r="BM213" s="239">
        <v>2757.1070247933885</v>
      </c>
      <c r="BN213" s="239">
        <v>0</v>
      </c>
      <c r="BO213" s="239">
        <v>2029</v>
      </c>
      <c r="BP213" s="239">
        <v>507</v>
      </c>
      <c r="BQ213" s="239">
        <v>0</v>
      </c>
      <c r="BR213" s="239">
        <v>8999</v>
      </c>
      <c r="BS213" s="239">
        <v>2250</v>
      </c>
      <c r="BT213" s="239">
        <v>0</v>
      </c>
      <c r="BU213" s="239">
        <v>6342.4214876033066</v>
      </c>
      <c r="BV213" s="239">
        <v>1585.6053719008266</v>
      </c>
      <c r="BW213" s="239">
        <v>0</v>
      </c>
      <c r="BX213" s="239">
        <v>0</v>
      </c>
      <c r="BY213" s="239">
        <v>0</v>
      </c>
      <c r="BZ213" s="239">
        <v>0</v>
      </c>
      <c r="CA213" s="239">
        <v>6342</v>
      </c>
      <c r="CB213" s="239">
        <v>1586</v>
      </c>
      <c r="CC213" s="239">
        <v>0</v>
      </c>
      <c r="CD213" s="239">
        <v>0</v>
      </c>
      <c r="CE213" s="239">
        <v>0</v>
      </c>
      <c r="CF213" s="239">
        <v>0</v>
      </c>
      <c r="CG213" s="239">
        <v>0</v>
      </c>
      <c r="CH213" s="239">
        <v>0</v>
      </c>
      <c r="CI213" s="239">
        <v>0</v>
      </c>
      <c r="CJ213" s="239">
        <v>0</v>
      </c>
      <c r="CK213" s="239">
        <v>0</v>
      </c>
      <c r="CL213" s="239">
        <v>0</v>
      </c>
      <c r="CM213" s="239">
        <v>3515.3165289256199</v>
      </c>
      <c r="CN213" s="239">
        <v>878.82913223140497</v>
      </c>
      <c r="CO213" s="239">
        <v>0</v>
      </c>
      <c r="CP213" s="239">
        <v>6086</v>
      </c>
      <c r="CQ213" s="239">
        <v>1522</v>
      </c>
      <c r="CR213" s="239">
        <v>0</v>
      </c>
      <c r="CS213" s="239">
        <v>-2571</v>
      </c>
      <c r="CT213" s="239">
        <v>-643</v>
      </c>
      <c r="CU213" s="239">
        <v>0</v>
      </c>
      <c r="CV213" s="239">
        <v>287634.7553719008</v>
      </c>
      <c r="CW213" s="239">
        <v>71908.6888429752</v>
      </c>
      <c r="CX213" s="239">
        <v>0</v>
      </c>
      <c r="CY213" s="239">
        <v>282440</v>
      </c>
      <c r="CZ213" s="239">
        <v>70610</v>
      </c>
      <c r="DA213" s="239">
        <v>0</v>
      </c>
      <c r="DB213" s="239">
        <v>5195</v>
      </c>
      <c r="DC213" s="239">
        <v>1299</v>
      </c>
      <c r="DD213" s="239">
        <v>0</v>
      </c>
      <c r="DE213" s="641">
        <v>0.5</v>
      </c>
      <c r="DF213" s="641">
        <v>0.4</v>
      </c>
      <c r="DG213" s="641">
        <v>0.1</v>
      </c>
      <c r="DH213" s="641">
        <v>0</v>
      </c>
      <c r="DI213" s="214" t="s">
        <v>1190</v>
      </c>
    </row>
    <row r="214" spans="2:113" s="214" customFormat="1" x14ac:dyDescent="0.2">
      <c r="B214" s="609" t="s">
        <v>510</v>
      </c>
      <c r="C214" s="609" t="s">
        <v>509</v>
      </c>
      <c r="D214" s="239">
        <v>-96424</v>
      </c>
      <c r="E214" s="239">
        <v>0</v>
      </c>
      <c r="F214" s="239">
        <v>-96424</v>
      </c>
      <c r="G214" s="239">
        <v>0</v>
      </c>
      <c r="H214" s="239">
        <v>0</v>
      </c>
      <c r="I214" s="239">
        <v>0</v>
      </c>
      <c r="J214" s="239">
        <v>-96424</v>
      </c>
      <c r="K214" s="239">
        <v>0</v>
      </c>
      <c r="L214" s="239">
        <v>-96424</v>
      </c>
      <c r="M214" s="239">
        <v>89974</v>
      </c>
      <c r="N214" s="239">
        <v>89974</v>
      </c>
      <c r="O214" s="239">
        <v>0</v>
      </c>
      <c r="P214" s="239">
        <v>19530</v>
      </c>
      <c r="Q214" s="239">
        <v>16747</v>
      </c>
      <c r="R214" s="239">
        <v>2783</v>
      </c>
      <c r="S214" s="239">
        <v>32681</v>
      </c>
      <c r="T214" s="239">
        <v>0</v>
      </c>
      <c r="U214" s="239">
        <v>14974</v>
      </c>
      <c r="V214" s="239">
        <v>0</v>
      </c>
      <c r="W214" s="239">
        <v>17707</v>
      </c>
      <c r="X214" s="239">
        <v>0</v>
      </c>
      <c r="Y214" s="239">
        <v>0</v>
      </c>
      <c r="Z214" s="239">
        <v>0</v>
      </c>
      <c r="AA214" s="239">
        <v>0</v>
      </c>
      <c r="AB214" s="239">
        <v>0</v>
      </c>
      <c r="AC214" s="239">
        <v>0</v>
      </c>
      <c r="AD214" s="239">
        <v>0</v>
      </c>
      <c r="AE214" s="239">
        <v>0</v>
      </c>
      <c r="AF214" s="239">
        <v>0</v>
      </c>
      <c r="AG214" s="239">
        <v>0</v>
      </c>
      <c r="AH214" s="239">
        <v>0</v>
      </c>
      <c r="AI214" s="239">
        <v>0</v>
      </c>
      <c r="AJ214" s="239">
        <v>0</v>
      </c>
      <c r="AK214" s="239">
        <v>420254.40702479344</v>
      </c>
      <c r="AL214" s="239">
        <v>94557.241580578513</v>
      </c>
      <c r="AM214" s="239">
        <v>10506.360175619835</v>
      </c>
      <c r="AN214" s="239">
        <v>413449</v>
      </c>
      <c r="AO214" s="239">
        <v>93026</v>
      </c>
      <c r="AP214" s="239">
        <v>10336</v>
      </c>
      <c r="AQ214" s="239">
        <v>6805</v>
      </c>
      <c r="AR214" s="239">
        <v>1531</v>
      </c>
      <c r="AS214" s="239">
        <v>170</v>
      </c>
      <c r="AT214" s="239">
        <v>3351.7851239669421</v>
      </c>
      <c r="AU214" s="239">
        <v>754.15165289256197</v>
      </c>
      <c r="AV214" s="239">
        <v>83.794628099173551</v>
      </c>
      <c r="AW214" s="239">
        <v>4510</v>
      </c>
      <c r="AX214" s="239">
        <v>1015</v>
      </c>
      <c r="AY214" s="239">
        <v>113</v>
      </c>
      <c r="AZ214" s="239">
        <v>-1158</v>
      </c>
      <c r="BA214" s="239">
        <v>-261</v>
      </c>
      <c r="BB214" s="239">
        <v>-29</v>
      </c>
      <c r="BC214" s="239">
        <v>0</v>
      </c>
      <c r="BD214" s="239">
        <v>0</v>
      </c>
      <c r="BE214" s="239">
        <v>0</v>
      </c>
      <c r="BF214" s="239">
        <v>1990</v>
      </c>
      <c r="BG214" s="239">
        <v>448</v>
      </c>
      <c r="BH214" s="239">
        <v>50</v>
      </c>
      <c r="BI214" s="239">
        <v>-1990</v>
      </c>
      <c r="BJ214" s="239">
        <v>-448</v>
      </c>
      <c r="BK214" s="239">
        <v>-50</v>
      </c>
      <c r="BL214" s="239">
        <v>7724.9314049586783</v>
      </c>
      <c r="BM214" s="239">
        <v>1738.1095661157024</v>
      </c>
      <c r="BN214" s="239">
        <v>193.12328512396692</v>
      </c>
      <c r="BO214" s="239">
        <v>11207</v>
      </c>
      <c r="BP214" s="239">
        <v>2521</v>
      </c>
      <c r="BQ214" s="239">
        <v>280</v>
      </c>
      <c r="BR214" s="239">
        <v>-3482</v>
      </c>
      <c r="BS214" s="239">
        <v>-783</v>
      </c>
      <c r="BT214" s="239">
        <v>-87</v>
      </c>
      <c r="BU214" s="239">
        <v>-473.95702479338843</v>
      </c>
      <c r="BV214" s="239">
        <v>-106.64033057851239</v>
      </c>
      <c r="BW214" s="239">
        <v>-11.848925619834711</v>
      </c>
      <c r="BX214" s="239">
        <v>0</v>
      </c>
      <c r="BY214" s="239">
        <v>0</v>
      </c>
      <c r="BZ214" s="239">
        <v>0</v>
      </c>
      <c r="CA214" s="239">
        <v>-474</v>
      </c>
      <c r="CB214" s="239">
        <v>-107</v>
      </c>
      <c r="CC214" s="239">
        <v>-12</v>
      </c>
      <c r="CD214" s="239">
        <v>3234.1074380165292</v>
      </c>
      <c r="CE214" s="239">
        <v>727.6741735537189</v>
      </c>
      <c r="CF214" s="239">
        <v>80.852685950413218</v>
      </c>
      <c r="CG214" s="239">
        <v>0</v>
      </c>
      <c r="CH214" s="239">
        <v>0</v>
      </c>
      <c r="CI214" s="239">
        <v>0</v>
      </c>
      <c r="CJ214" s="239">
        <v>3234</v>
      </c>
      <c r="CK214" s="239">
        <v>728</v>
      </c>
      <c r="CL214" s="239">
        <v>81</v>
      </c>
      <c r="CM214" s="239">
        <v>4830.4661157024793</v>
      </c>
      <c r="CN214" s="239">
        <v>1086.8548760330577</v>
      </c>
      <c r="CO214" s="239">
        <v>120.76165289256198</v>
      </c>
      <c r="CP214" s="239">
        <v>11535</v>
      </c>
      <c r="CQ214" s="239">
        <v>2595</v>
      </c>
      <c r="CR214" s="239">
        <v>288</v>
      </c>
      <c r="CS214" s="239">
        <v>-6705</v>
      </c>
      <c r="CT214" s="239">
        <v>-1508</v>
      </c>
      <c r="CU214" s="239">
        <v>-167</v>
      </c>
      <c r="CV214" s="239">
        <v>86407.632644628102</v>
      </c>
      <c r="CW214" s="239">
        <v>19271.815847107435</v>
      </c>
      <c r="CX214" s="239">
        <v>2141.3128719008264</v>
      </c>
      <c r="CY214" s="239">
        <v>86370</v>
      </c>
      <c r="CZ214" s="239">
        <v>19330</v>
      </c>
      <c r="DA214" s="239">
        <v>2148</v>
      </c>
      <c r="DB214" s="239">
        <v>38</v>
      </c>
      <c r="DC214" s="239">
        <v>-58</v>
      </c>
      <c r="DD214" s="239">
        <v>-7</v>
      </c>
      <c r="DE214" s="641">
        <v>0.5</v>
      </c>
      <c r="DF214" s="641">
        <v>0.4</v>
      </c>
      <c r="DG214" s="641">
        <v>0.09</v>
      </c>
      <c r="DH214" s="641">
        <v>0.01</v>
      </c>
      <c r="DI214" s="214" t="s">
        <v>1190</v>
      </c>
    </row>
    <row r="215" spans="2:113" s="214" customFormat="1" x14ac:dyDescent="0.2">
      <c r="B215" s="609" t="s">
        <v>512</v>
      </c>
      <c r="C215" s="609" t="s">
        <v>511</v>
      </c>
      <c r="D215" s="239">
        <v>0</v>
      </c>
      <c r="E215" s="239">
        <v>0</v>
      </c>
      <c r="F215" s="239">
        <v>0</v>
      </c>
      <c r="G215" s="239">
        <v>0</v>
      </c>
      <c r="H215" s="239">
        <v>0</v>
      </c>
      <c r="I215" s="239">
        <v>0</v>
      </c>
      <c r="J215" s="239">
        <v>0</v>
      </c>
      <c r="K215" s="239">
        <v>0</v>
      </c>
      <c r="L215" s="239">
        <v>0</v>
      </c>
      <c r="M215" s="239">
        <v>292908</v>
      </c>
      <c r="N215" s="239">
        <v>292908</v>
      </c>
      <c r="O215" s="239">
        <v>0</v>
      </c>
      <c r="P215" s="239">
        <v>0</v>
      </c>
      <c r="Q215" s="239">
        <v>0</v>
      </c>
      <c r="R215" s="239">
        <v>0</v>
      </c>
      <c r="S215" s="239">
        <v>0</v>
      </c>
      <c r="T215" s="239">
        <v>0</v>
      </c>
      <c r="U215" s="239">
        <v>0</v>
      </c>
      <c r="V215" s="239">
        <v>0</v>
      </c>
      <c r="W215" s="239">
        <v>0</v>
      </c>
      <c r="X215" s="239">
        <v>0</v>
      </c>
      <c r="Y215" s="239">
        <v>0</v>
      </c>
      <c r="Z215" s="239">
        <v>0</v>
      </c>
      <c r="AA215" s="239">
        <v>0</v>
      </c>
      <c r="AB215" s="239">
        <v>0</v>
      </c>
      <c r="AC215" s="239">
        <v>0</v>
      </c>
      <c r="AD215" s="239">
        <v>0</v>
      </c>
      <c r="AE215" s="239">
        <v>0</v>
      </c>
      <c r="AF215" s="239">
        <v>0</v>
      </c>
      <c r="AG215" s="239">
        <v>0</v>
      </c>
      <c r="AH215" s="239">
        <v>0</v>
      </c>
      <c r="AI215" s="239">
        <v>0</v>
      </c>
      <c r="AJ215" s="239">
        <v>0</v>
      </c>
      <c r="AK215" s="239">
        <v>360295.6478305785</v>
      </c>
      <c r="AL215" s="239">
        <v>240197.098553719</v>
      </c>
      <c r="AM215" s="239">
        <v>0</v>
      </c>
      <c r="AN215" s="239">
        <v>349342</v>
      </c>
      <c r="AO215" s="239">
        <v>232894</v>
      </c>
      <c r="AP215" s="239">
        <v>0</v>
      </c>
      <c r="AQ215" s="239">
        <v>10954</v>
      </c>
      <c r="AR215" s="239">
        <v>7303</v>
      </c>
      <c r="AS215" s="239">
        <v>0</v>
      </c>
      <c r="AT215" s="239">
        <v>0</v>
      </c>
      <c r="AU215" s="239">
        <v>0</v>
      </c>
      <c r="AV215" s="239">
        <v>0</v>
      </c>
      <c r="AW215" s="239">
        <v>0</v>
      </c>
      <c r="AX215" s="239">
        <v>0</v>
      </c>
      <c r="AY215" s="239">
        <v>0</v>
      </c>
      <c r="AZ215" s="239">
        <v>0</v>
      </c>
      <c r="BA215" s="239">
        <v>0</v>
      </c>
      <c r="BB215" s="239">
        <v>0</v>
      </c>
      <c r="BC215" s="239">
        <v>11795.260537190081</v>
      </c>
      <c r="BD215" s="239">
        <v>7863.5070247933882</v>
      </c>
      <c r="BE215" s="239">
        <v>0</v>
      </c>
      <c r="BF215" s="239">
        <v>0</v>
      </c>
      <c r="BG215" s="239">
        <v>0</v>
      </c>
      <c r="BH215" s="239">
        <v>0</v>
      </c>
      <c r="BI215" s="239">
        <v>11795</v>
      </c>
      <c r="BJ215" s="239">
        <v>7864</v>
      </c>
      <c r="BK215" s="239">
        <v>0</v>
      </c>
      <c r="BL215" s="239">
        <v>18426.499586776859</v>
      </c>
      <c r="BM215" s="239">
        <v>12284.33305785124</v>
      </c>
      <c r="BN215" s="239">
        <v>0</v>
      </c>
      <c r="BO215" s="239">
        <v>23049</v>
      </c>
      <c r="BP215" s="239">
        <v>15366</v>
      </c>
      <c r="BQ215" s="239">
        <v>0</v>
      </c>
      <c r="BR215" s="239">
        <v>-4623</v>
      </c>
      <c r="BS215" s="239">
        <v>-3082</v>
      </c>
      <c r="BT215" s="239">
        <v>0</v>
      </c>
      <c r="BU215" s="239">
        <v>0</v>
      </c>
      <c r="BV215" s="239">
        <v>0</v>
      </c>
      <c r="BW215" s="239">
        <v>0</v>
      </c>
      <c r="BX215" s="239">
        <v>0</v>
      </c>
      <c r="BY215" s="239">
        <v>0</v>
      </c>
      <c r="BZ215" s="239">
        <v>0</v>
      </c>
      <c r="CA215" s="239">
        <v>0</v>
      </c>
      <c r="CB215" s="239">
        <v>0</v>
      </c>
      <c r="CC215" s="239">
        <v>0</v>
      </c>
      <c r="CD215" s="239">
        <v>-216.68925619834707</v>
      </c>
      <c r="CE215" s="239">
        <v>-144.45950413223142</v>
      </c>
      <c r="CF215" s="239">
        <v>0</v>
      </c>
      <c r="CG215" s="239">
        <v>0</v>
      </c>
      <c r="CH215" s="239">
        <v>0</v>
      </c>
      <c r="CI215" s="239">
        <v>0</v>
      </c>
      <c r="CJ215" s="239">
        <v>-217</v>
      </c>
      <c r="CK215" s="239">
        <v>-144</v>
      </c>
      <c r="CL215" s="239">
        <v>0</v>
      </c>
      <c r="CM215" s="239">
        <v>1626.0824380165288</v>
      </c>
      <c r="CN215" s="239">
        <v>1084.0549586776858</v>
      </c>
      <c r="CO215" s="239">
        <v>0</v>
      </c>
      <c r="CP215" s="239">
        <v>1829</v>
      </c>
      <c r="CQ215" s="239">
        <v>1219</v>
      </c>
      <c r="CR215" s="239">
        <v>0</v>
      </c>
      <c r="CS215" s="239">
        <v>-203</v>
      </c>
      <c r="CT215" s="239">
        <v>-135</v>
      </c>
      <c r="CU215" s="239">
        <v>0</v>
      </c>
      <c r="CV215" s="239">
        <v>360098.57603305782</v>
      </c>
      <c r="CW215" s="239">
        <v>240065.71735537195</v>
      </c>
      <c r="CX215" s="239">
        <v>0</v>
      </c>
      <c r="CY215" s="239">
        <v>366591</v>
      </c>
      <c r="CZ215" s="239">
        <v>244394</v>
      </c>
      <c r="DA215" s="239">
        <v>0</v>
      </c>
      <c r="DB215" s="239">
        <v>-6492</v>
      </c>
      <c r="DC215" s="239">
        <v>-4328</v>
      </c>
      <c r="DD215" s="239">
        <v>0</v>
      </c>
      <c r="DE215" s="641">
        <v>0.5</v>
      </c>
      <c r="DF215" s="641">
        <v>0.3</v>
      </c>
      <c r="DG215" s="641">
        <v>0.2</v>
      </c>
      <c r="DH215" s="641">
        <v>0</v>
      </c>
      <c r="DI215" s="214" t="s">
        <v>1191</v>
      </c>
    </row>
    <row r="216" spans="2:113" s="214" customFormat="1" x14ac:dyDescent="0.2">
      <c r="B216" s="609" t="s">
        <v>514</v>
      </c>
      <c r="C216" s="609" t="s">
        <v>513</v>
      </c>
      <c r="D216" s="239">
        <v>-123812</v>
      </c>
      <c r="E216" s="239">
        <v>0</v>
      </c>
      <c r="F216" s="239">
        <v>-123812</v>
      </c>
      <c r="G216" s="239">
        <v>0</v>
      </c>
      <c r="H216" s="239">
        <v>0</v>
      </c>
      <c r="I216" s="239">
        <v>0</v>
      </c>
      <c r="J216" s="239">
        <v>-123812</v>
      </c>
      <c r="K216" s="239">
        <v>0</v>
      </c>
      <c r="L216" s="239">
        <v>-123812</v>
      </c>
      <c r="M216" s="239">
        <v>97217</v>
      </c>
      <c r="N216" s="239">
        <v>97217</v>
      </c>
      <c r="O216" s="239">
        <v>0</v>
      </c>
      <c r="P216" s="239">
        <v>0</v>
      </c>
      <c r="Q216" s="239">
        <v>0</v>
      </c>
      <c r="R216" s="239">
        <v>0</v>
      </c>
      <c r="S216" s="239">
        <v>0</v>
      </c>
      <c r="T216" s="239">
        <v>0</v>
      </c>
      <c r="U216" s="239">
        <v>0</v>
      </c>
      <c r="V216" s="239">
        <v>0</v>
      </c>
      <c r="W216" s="239">
        <v>0</v>
      </c>
      <c r="X216" s="239">
        <v>0</v>
      </c>
      <c r="Y216" s="239">
        <v>0</v>
      </c>
      <c r="Z216" s="239">
        <v>0</v>
      </c>
      <c r="AA216" s="239">
        <v>0</v>
      </c>
      <c r="AB216" s="239">
        <v>0</v>
      </c>
      <c r="AC216" s="239">
        <v>0</v>
      </c>
      <c r="AD216" s="239">
        <v>0</v>
      </c>
      <c r="AE216" s="239">
        <v>0</v>
      </c>
      <c r="AF216" s="239">
        <v>0</v>
      </c>
      <c r="AG216" s="239">
        <v>0</v>
      </c>
      <c r="AH216" s="239">
        <v>0</v>
      </c>
      <c r="AI216" s="239">
        <v>0</v>
      </c>
      <c r="AJ216" s="239">
        <v>0</v>
      </c>
      <c r="AK216" s="239">
        <v>486676.35950413224</v>
      </c>
      <c r="AL216" s="239">
        <v>109502.18088842975</v>
      </c>
      <c r="AM216" s="239">
        <v>12166.908987603307</v>
      </c>
      <c r="AN216" s="239">
        <v>386878</v>
      </c>
      <c r="AO216" s="239">
        <v>87047</v>
      </c>
      <c r="AP216" s="239">
        <v>9672</v>
      </c>
      <c r="AQ216" s="239">
        <v>99798</v>
      </c>
      <c r="AR216" s="239">
        <v>22455</v>
      </c>
      <c r="AS216" s="239">
        <v>2495</v>
      </c>
      <c r="AT216" s="239">
        <v>0</v>
      </c>
      <c r="AU216" s="239">
        <v>0</v>
      </c>
      <c r="AV216" s="239">
        <v>0</v>
      </c>
      <c r="AW216" s="239">
        <v>0</v>
      </c>
      <c r="AX216" s="239">
        <v>0</v>
      </c>
      <c r="AY216" s="239">
        <v>0</v>
      </c>
      <c r="AZ216" s="239">
        <v>0</v>
      </c>
      <c r="BA216" s="239">
        <v>0</v>
      </c>
      <c r="BB216" s="239">
        <v>0</v>
      </c>
      <c r="BC216" s="239">
        <v>38961.864462809921</v>
      </c>
      <c r="BD216" s="239">
        <v>8766.4195041322309</v>
      </c>
      <c r="BE216" s="239">
        <v>974.04661157024793</v>
      </c>
      <c r="BF216" s="239">
        <v>2621</v>
      </c>
      <c r="BG216" s="239">
        <v>590</v>
      </c>
      <c r="BH216" s="239">
        <v>66</v>
      </c>
      <c r="BI216" s="239">
        <v>36341</v>
      </c>
      <c r="BJ216" s="239">
        <v>8176</v>
      </c>
      <c r="BK216" s="239">
        <v>908</v>
      </c>
      <c r="BL216" s="239">
        <v>0</v>
      </c>
      <c r="BM216" s="239">
        <v>0</v>
      </c>
      <c r="BN216" s="239">
        <v>0</v>
      </c>
      <c r="BO216" s="239">
        <v>0</v>
      </c>
      <c r="BP216" s="239">
        <v>0</v>
      </c>
      <c r="BQ216" s="239">
        <v>0</v>
      </c>
      <c r="BR216" s="239">
        <v>0</v>
      </c>
      <c r="BS216" s="239">
        <v>0</v>
      </c>
      <c r="BT216" s="239">
        <v>0</v>
      </c>
      <c r="BU216" s="239">
        <v>4587.4008264462818</v>
      </c>
      <c r="BV216" s="239">
        <v>1032.1651859504132</v>
      </c>
      <c r="BW216" s="239">
        <v>114.68502066115704</v>
      </c>
      <c r="BX216" s="239">
        <v>0</v>
      </c>
      <c r="BY216" s="239">
        <v>0</v>
      </c>
      <c r="BZ216" s="239">
        <v>0</v>
      </c>
      <c r="CA216" s="239">
        <v>4587</v>
      </c>
      <c r="CB216" s="239">
        <v>1032</v>
      </c>
      <c r="CC216" s="239">
        <v>115</v>
      </c>
      <c r="CD216" s="239">
        <v>0</v>
      </c>
      <c r="CE216" s="239">
        <v>0</v>
      </c>
      <c r="CF216" s="239">
        <v>0</v>
      </c>
      <c r="CG216" s="239">
        <v>0</v>
      </c>
      <c r="CH216" s="239">
        <v>0</v>
      </c>
      <c r="CI216" s="239">
        <v>0</v>
      </c>
      <c r="CJ216" s="239">
        <v>0</v>
      </c>
      <c r="CK216" s="239">
        <v>0</v>
      </c>
      <c r="CL216" s="239">
        <v>0</v>
      </c>
      <c r="CM216" s="239">
        <v>0</v>
      </c>
      <c r="CN216" s="239">
        <v>0</v>
      </c>
      <c r="CO216" s="239">
        <v>0</v>
      </c>
      <c r="CP216" s="239">
        <v>0</v>
      </c>
      <c r="CQ216" s="239">
        <v>0</v>
      </c>
      <c r="CR216" s="239">
        <v>0</v>
      </c>
      <c r="CS216" s="239">
        <v>0</v>
      </c>
      <c r="CT216" s="239">
        <v>0</v>
      </c>
      <c r="CU216" s="239">
        <v>0</v>
      </c>
      <c r="CV216" s="239">
        <v>72518.761983471079</v>
      </c>
      <c r="CW216" s="239">
        <v>16316.721446280992</v>
      </c>
      <c r="CX216" s="239">
        <v>1812.9690495867769</v>
      </c>
      <c r="CY216" s="239">
        <v>76767</v>
      </c>
      <c r="CZ216" s="239">
        <v>17273</v>
      </c>
      <c r="DA216" s="239">
        <v>1919</v>
      </c>
      <c r="DB216" s="239">
        <v>-4248</v>
      </c>
      <c r="DC216" s="239">
        <v>-956</v>
      </c>
      <c r="DD216" s="239">
        <v>-106</v>
      </c>
      <c r="DE216" s="641">
        <v>0.5</v>
      </c>
      <c r="DF216" s="641">
        <v>0.4</v>
      </c>
      <c r="DG216" s="641">
        <v>0.09</v>
      </c>
      <c r="DH216" s="641">
        <v>0.01</v>
      </c>
      <c r="DI216" s="214" t="s">
        <v>1190</v>
      </c>
    </row>
    <row r="217" spans="2:113" s="214" customFormat="1" x14ac:dyDescent="0.2">
      <c r="B217" s="609" t="s">
        <v>516</v>
      </c>
      <c r="C217" s="609" t="s">
        <v>515</v>
      </c>
      <c r="D217" s="239">
        <v>-3039</v>
      </c>
      <c r="E217" s="239">
        <v>0</v>
      </c>
      <c r="F217" s="239">
        <v>-3039</v>
      </c>
      <c r="G217" s="239">
        <v>0</v>
      </c>
      <c r="H217" s="239">
        <v>0</v>
      </c>
      <c r="I217" s="239">
        <v>0</v>
      </c>
      <c r="J217" s="239">
        <v>-3039</v>
      </c>
      <c r="K217" s="239">
        <v>0</v>
      </c>
      <c r="L217" s="239">
        <v>-3039</v>
      </c>
      <c r="M217" s="239">
        <v>287386</v>
      </c>
      <c r="N217" s="239">
        <v>287386</v>
      </c>
      <c r="O217" s="239">
        <v>0</v>
      </c>
      <c r="P217" s="239">
        <v>0</v>
      </c>
      <c r="Q217" s="239">
        <v>0</v>
      </c>
      <c r="R217" s="239">
        <v>0</v>
      </c>
      <c r="S217" s="239">
        <v>674022</v>
      </c>
      <c r="T217" s="239">
        <v>0</v>
      </c>
      <c r="U217" s="239">
        <v>0</v>
      </c>
      <c r="V217" s="239">
        <v>0</v>
      </c>
      <c r="W217" s="239">
        <v>674022</v>
      </c>
      <c r="X217" s="239">
        <v>0</v>
      </c>
      <c r="Y217" s="239">
        <v>0</v>
      </c>
      <c r="Z217" s="239">
        <v>0</v>
      </c>
      <c r="AA217" s="239">
        <v>0</v>
      </c>
      <c r="AB217" s="239">
        <v>0</v>
      </c>
      <c r="AC217" s="239">
        <v>0</v>
      </c>
      <c r="AD217" s="239">
        <v>0</v>
      </c>
      <c r="AE217" s="239">
        <v>0</v>
      </c>
      <c r="AF217" s="239">
        <v>0</v>
      </c>
      <c r="AG217" s="239">
        <v>0</v>
      </c>
      <c r="AH217" s="239">
        <v>0</v>
      </c>
      <c r="AI217" s="239">
        <v>0</v>
      </c>
      <c r="AJ217" s="239">
        <v>0</v>
      </c>
      <c r="AK217" s="239">
        <v>1423019.0151342975</v>
      </c>
      <c r="AL217" s="239">
        <v>0</v>
      </c>
      <c r="AM217" s="239">
        <v>29041.204390495866</v>
      </c>
      <c r="AN217" s="239">
        <v>1326079</v>
      </c>
      <c r="AO217" s="239">
        <v>0</v>
      </c>
      <c r="AP217" s="239">
        <v>27063</v>
      </c>
      <c r="AQ217" s="239">
        <v>96940</v>
      </c>
      <c r="AR217" s="239">
        <v>0</v>
      </c>
      <c r="AS217" s="239">
        <v>1978</v>
      </c>
      <c r="AT217" s="239">
        <v>2052.9683884297524</v>
      </c>
      <c r="AU217" s="239">
        <v>0</v>
      </c>
      <c r="AV217" s="239">
        <v>41.897314049586775</v>
      </c>
      <c r="AW217" s="239">
        <v>13645</v>
      </c>
      <c r="AX217" s="239">
        <v>0</v>
      </c>
      <c r="AY217" s="239">
        <v>278</v>
      </c>
      <c r="AZ217" s="239">
        <v>-11592</v>
      </c>
      <c r="BA217" s="239">
        <v>0</v>
      </c>
      <c r="BB217" s="239">
        <v>-236</v>
      </c>
      <c r="BC217" s="239">
        <v>40565.760599173555</v>
      </c>
      <c r="BD217" s="239">
        <v>0</v>
      </c>
      <c r="BE217" s="239">
        <v>827.87266528925625</v>
      </c>
      <c r="BF217" s="239">
        <v>2653</v>
      </c>
      <c r="BG217" s="239">
        <v>0</v>
      </c>
      <c r="BH217" s="239">
        <v>54</v>
      </c>
      <c r="BI217" s="239">
        <v>37913</v>
      </c>
      <c r="BJ217" s="239">
        <v>0</v>
      </c>
      <c r="BK217" s="239">
        <v>774</v>
      </c>
      <c r="BL217" s="239">
        <v>60806.139979338841</v>
      </c>
      <c r="BM217" s="239">
        <v>0</v>
      </c>
      <c r="BN217" s="239">
        <v>1240.941632231405</v>
      </c>
      <c r="BO217" s="239">
        <v>64121</v>
      </c>
      <c r="BP217" s="239">
        <v>0</v>
      </c>
      <c r="BQ217" s="239">
        <v>1309</v>
      </c>
      <c r="BR217" s="239">
        <v>-3315</v>
      </c>
      <c r="BS217" s="239">
        <v>0</v>
      </c>
      <c r="BT217" s="239">
        <v>-68</v>
      </c>
      <c r="BU217" s="239">
        <v>-6190.2216322314052</v>
      </c>
      <c r="BV217" s="239">
        <v>0</v>
      </c>
      <c r="BW217" s="239">
        <v>-126.33105371900827</v>
      </c>
      <c r="BX217" s="239">
        <v>0</v>
      </c>
      <c r="BY217" s="239">
        <v>0</v>
      </c>
      <c r="BZ217" s="239">
        <v>0</v>
      </c>
      <c r="CA217" s="239">
        <v>-6190</v>
      </c>
      <c r="CB217" s="239">
        <v>0</v>
      </c>
      <c r="CC217" s="239">
        <v>-126</v>
      </c>
      <c r="CD217" s="239">
        <v>3588.4694421487602</v>
      </c>
      <c r="CE217" s="239">
        <v>0</v>
      </c>
      <c r="CF217" s="239">
        <v>73.2340702479339</v>
      </c>
      <c r="CG217" s="239">
        <v>0</v>
      </c>
      <c r="CH217" s="239">
        <v>0</v>
      </c>
      <c r="CI217" s="239">
        <v>0</v>
      </c>
      <c r="CJ217" s="239">
        <v>3588</v>
      </c>
      <c r="CK217" s="239">
        <v>0</v>
      </c>
      <c r="CL217" s="239">
        <v>73</v>
      </c>
      <c r="CM217" s="239">
        <v>1128.386983471074</v>
      </c>
      <c r="CN217" s="239">
        <v>0</v>
      </c>
      <c r="CO217" s="239">
        <v>23.028305785123969</v>
      </c>
      <c r="CP217" s="239">
        <v>8531</v>
      </c>
      <c r="CQ217" s="239">
        <v>0</v>
      </c>
      <c r="CR217" s="239">
        <v>174</v>
      </c>
      <c r="CS217" s="239">
        <v>-7403</v>
      </c>
      <c r="CT217" s="239">
        <v>0</v>
      </c>
      <c r="CU217" s="239">
        <v>-151</v>
      </c>
      <c r="CV217" s="239">
        <v>451703.42607438017</v>
      </c>
      <c r="CW217" s="239">
        <v>0</v>
      </c>
      <c r="CX217" s="239">
        <v>9019.4933471074382</v>
      </c>
      <c r="CY217" s="239">
        <v>447161</v>
      </c>
      <c r="CZ217" s="239">
        <v>0</v>
      </c>
      <c r="DA217" s="239">
        <v>9126</v>
      </c>
      <c r="DB217" s="239">
        <v>4542</v>
      </c>
      <c r="DC217" s="239">
        <v>0</v>
      </c>
      <c r="DD217" s="239">
        <v>-107</v>
      </c>
      <c r="DE217" s="641">
        <v>0.5</v>
      </c>
      <c r="DF217" s="641">
        <v>0.49</v>
      </c>
      <c r="DG217" s="641">
        <v>0</v>
      </c>
      <c r="DH217" s="641">
        <v>0.01</v>
      </c>
      <c r="DI217" s="214" t="s">
        <v>1192</v>
      </c>
    </row>
    <row r="218" spans="2:113" s="214" customFormat="1" x14ac:dyDescent="0.2">
      <c r="B218" s="609" t="s">
        <v>518</v>
      </c>
      <c r="C218" s="609" t="s">
        <v>517</v>
      </c>
      <c r="D218" s="239">
        <v>-2581</v>
      </c>
      <c r="E218" s="239">
        <v>0</v>
      </c>
      <c r="F218" s="239">
        <v>-2581</v>
      </c>
      <c r="G218" s="239">
        <v>0</v>
      </c>
      <c r="H218" s="239">
        <v>0</v>
      </c>
      <c r="I218" s="239">
        <v>0</v>
      </c>
      <c r="J218" s="239">
        <v>-2581</v>
      </c>
      <c r="K218" s="239">
        <v>0</v>
      </c>
      <c r="L218" s="239">
        <v>-2581</v>
      </c>
      <c r="M218" s="239">
        <v>85715</v>
      </c>
      <c r="N218" s="239">
        <v>85715</v>
      </c>
      <c r="O218" s="239">
        <v>0</v>
      </c>
      <c r="P218" s="239">
        <v>0</v>
      </c>
      <c r="Q218" s="239">
        <v>0</v>
      </c>
      <c r="R218" s="239">
        <v>0</v>
      </c>
      <c r="S218" s="239">
        <v>35348</v>
      </c>
      <c r="T218" s="239">
        <v>0</v>
      </c>
      <c r="U218" s="239">
        <v>19880</v>
      </c>
      <c r="V218" s="239">
        <v>0</v>
      </c>
      <c r="W218" s="239">
        <v>15468</v>
      </c>
      <c r="X218" s="239">
        <v>0</v>
      </c>
      <c r="Y218" s="239">
        <v>0</v>
      </c>
      <c r="Z218" s="239">
        <v>0</v>
      </c>
      <c r="AA218" s="239">
        <v>0</v>
      </c>
      <c r="AB218" s="239">
        <v>0</v>
      </c>
      <c r="AC218" s="239">
        <v>0</v>
      </c>
      <c r="AD218" s="239">
        <v>0</v>
      </c>
      <c r="AE218" s="239">
        <v>0</v>
      </c>
      <c r="AF218" s="239">
        <v>0</v>
      </c>
      <c r="AG218" s="239">
        <v>0</v>
      </c>
      <c r="AH218" s="239">
        <v>0</v>
      </c>
      <c r="AI218" s="239">
        <v>0</v>
      </c>
      <c r="AJ218" s="239">
        <v>0</v>
      </c>
      <c r="AK218" s="239">
        <v>392020.68966942147</v>
      </c>
      <c r="AL218" s="239">
        <v>88204.655175619831</v>
      </c>
      <c r="AM218" s="239">
        <v>9800.517241735537</v>
      </c>
      <c r="AN218" s="239">
        <v>351737</v>
      </c>
      <c r="AO218" s="239">
        <v>79141</v>
      </c>
      <c r="AP218" s="239">
        <v>8793</v>
      </c>
      <c r="AQ218" s="239">
        <v>40284</v>
      </c>
      <c r="AR218" s="239">
        <v>9064</v>
      </c>
      <c r="AS218" s="239">
        <v>1008</v>
      </c>
      <c r="AT218" s="239">
        <v>1084.6636363636364</v>
      </c>
      <c r="AU218" s="239">
        <v>244.04931818181819</v>
      </c>
      <c r="AV218" s="239">
        <v>27.11659090909091</v>
      </c>
      <c r="AW218" s="239">
        <v>0</v>
      </c>
      <c r="AX218" s="239">
        <v>0</v>
      </c>
      <c r="AY218" s="239">
        <v>0</v>
      </c>
      <c r="AZ218" s="239">
        <v>1085</v>
      </c>
      <c r="BA218" s="239">
        <v>244</v>
      </c>
      <c r="BB218" s="239">
        <v>27</v>
      </c>
      <c r="BC218" s="239">
        <v>0</v>
      </c>
      <c r="BD218" s="239">
        <v>0</v>
      </c>
      <c r="BE218" s="239">
        <v>0</v>
      </c>
      <c r="BF218" s="239">
        <v>0</v>
      </c>
      <c r="BG218" s="239">
        <v>0</v>
      </c>
      <c r="BH218" s="239">
        <v>0</v>
      </c>
      <c r="BI218" s="239">
        <v>0</v>
      </c>
      <c r="BJ218" s="239">
        <v>0</v>
      </c>
      <c r="BK218" s="239">
        <v>0</v>
      </c>
      <c r="BL218" s="239">
        <v>2954.521487603306</v>
      </c>
      <c r="BM218" s="239">
        <v>664.76733471074374</v>
      </c>
      <c r="BN218" s="239">
        <v>73.863037190082636</v>
      </c>
      <c r="BO218" s="239">
        <v>0</v>
      </c>
      <c r="BP218" s="239">
        <v>0</v>
      </c>
      <c r="BQ218" s="239">
        <v>0</v>
      </c>
      <c r="BR218" s="239">
        <v>2955</v>
      </c>
      <c r="BS218" s="239">
        <v>665</v>
      </c>
      <c r="BT218" s="239">
        <v>74</v>
      </c>
      <c r="BU218" s="239">
        <v>1692.5297520661156</v>
      </c>
      <c r="BV218" s="239">
        <v>380.81919421487601</v>
      </c>
      <c r="BW218" s="239">
        <v>42.313243801652888</v>
      </c>
      <c r="BX218" s="239">
        <v>0</v>
      </c>
      <c r="BY218" s="239">
        <v>0</v>
      </c>
      <c r="BZ218" s="239">
        <v>0</v>
      </c>
      <c r="CA218" s="239">
        <v>1693</v>
      </c>
      <c r="CB218" s="239">
        <v>381</v>
      </c>
      <c r="CC218" s="239">
        <v>42</v>
      </c>
      <c r="CD218" s="239">
        <v>0</v>
      </c>
      <c r="CE218" s="239">
        <v>0</v>
      </c>
      <c r="CF218" s="239">
        <v>0</v>
      </c>
      <c r="CG218" s="239">
        <v>0</v>
      </c>
      <c r="CH218" s="239">
        <v>0</v>
      </c>
      <c r="CI218" s="239">
        <v>0</v>
      </c>
      <c r="CJ218" s="239">
        <v>0</v>
      </c>
      <c r="CK218" s="239">
        <v>0</v>
      </c>
      <c r="CL218" s="239">
        <v>0</v>
      </c>
      <c r="CM218" s="239">
        <v>346.13471074380169</v>
      </c>
      <c r="CN218" s="239">
        <v>77.880309917355376</v>
      </c>
      <c r="CO218" s="239">
        <v>8.653367768595043</v>
      </c>
      <c r="CP218" s="239">
        <v>2833</v>
      </c>
      <c r="CQ218" s="239">
        <v>637</v>
      </c>
      <c r="CR218" s="239">
        <v>71</v>
      </c>
      <c r="CS218" s="239">
        <v>-2487</v>
      </c>
      <c r="CT218" s="239">
        <v>-559</v>
      </c>
      <c r="CU218" s="239">
        <v>-62</v>
      </c>
      <c r="CV218" s="239">
        <v>89060.508264462813</v>
      </c>
      <c r="CW218" s="239">
        <v>19923.587293388431</v>
      </c>
      <c r="CX218" s="239">
        <v>2213.7319214876034</v>
      </c>
      <c r="CY218" s="239">
        <v>93562</v>
      </c>
      <c r="CZ218" s="239">
        <v>20987</v>
      </c>
      <c r="DA218" s="239">
        <v>2332</v>
      </c>
      <c r="DB218" s="239">
        <v>-4501</v>
      </c>
      <c r="DC218" s="239">
        <v>-1063</v>
      </c>
      <c r="DD218" s="239">
        <v>-118</v>
      </c>
      <c r="DE218" s="641">
        <v>0.5</v>
      </c>
      <c r="DF218" s="641">
        <v>0.4</v>
      </c>
      <c r="DG218" s="641">
        <v>0.09</v>
      </c>
      <c r="DH218" s="641">
        <v>0.01</v>
      </c>
      <c r="DI218" s="214" t="s">
        <v>1190</v>
      </c>
    </row>
    <row r="219" spans="2:113" s="214" customFormat="1" x14ac:dyDescent="0.2">
      <c r="B219" s="609" t="s">
        <v>520</v>
      </c>
      <c r="C219" s="609" t="s">
        <v>519</v>
      </c>
      <c r="D219" s="239">
        <v>-4249</v>
      </c>
      <c r="E219" s="239">
        <v>0</v>
      </c>
      <c r="F219" s="239">
        <v>-4249</v>
      </c>
      <c r="G219" s="239">
        <v>0</v>
      </c>
      <c r="H219" s="239">
        <v>0</v>
      </c>
      <c r="I219" s="239">
        <v>0</v>
      </c>
      <c r="J219" s="239">
        <v>-4249</v>
      </c>
      <c r="K219" s="239">
        <v>0</v>
      </c>
      <c r="L219" s="239">
        <v>-4249</v>
      </c>
      <c r="M219" s="239">
        <v>99066</v>
      </c>
      <c r="N219" s="239">
        <v>99066</v>
      </c>
      <c r="O219" s="239">
        <v>0</v>
      </c>
      <c r="P219" s="239">
        <v>0</v>
      </c>
      <c r="Q219" s="239">
        <v>0</v>
      </c>
      <c r="R219" s="239">
        <v>0</v>
      </c>
      <c r="S219" s="239">
        <v>241714</v>
      </c>
      <c r="T219" s="239">
        <v>0</v>
      </c>
      <c r="U219" s="239">
        <v>0</v>
      </c>
      <c r="V219" s="239">
        <v>0</v>
      </c>
      <c r="W219" s="239">
        <v>241714</v>
      </c>
      <c r="X219" s="239">
        <v>0</v>
      </c>
      <c r="Y219" s="239">
        <v>0</v>
      </c>
      <c r="Z219" s="239">
        <v>0</v>
      </c>
      <c r="AA219" s="239">
        <v>0</v>
      </c>
      <c r="AB219" s="239">
        <v>0</v>
      </c>
      <c r="AC219" s="239">
        <v>0</v>
      </c>
      <c r="AD219" s="239">
        <v>0</v>
      </c>
      <c r="AE219" s="239">
        <v>0</v>
      </c>
      <c r="AF219" s="239">
        <v>0</v>
      </c>
      <c r="AG219" s="239">
        <v>0</v>
      </c>
      <c r="AH219" s="239">
        <v>0</v>
      </c>
      <c r="AI219" s="239">
        <v>0</v>
      </c>
      <c r="AJ219" s="239">
        <v>0</v>
      </c>
      <c r="AK219" s="239">
        <v>467745.67190082645</v>
      </c>
      <c r="AL219" s="239">
        <v>105242.77617768594</v>
      </c>
      <c r="AM219" s="239">
        <v>11693.64179752066</v>
      </c>
      <c r="AN219" s="239">
        <v>418846</v>
      </c>
      <c r="AO219" s="239">
        <v>94241</v>
      </c>
      <c r="AP219" s="239">
        <v>10471</v>
      </c>
      <c r="AQ219" s="239">
        <v>48900</v>
      </c>
      <c r="AR219" s="239">
        <v>11002</v>
      </c>
      <c r="AS219" s="239">
        <v>1223</v>
      </c>
      <c r="AT219" s="239">
        <v>4420.2173553719012</v>
      </c>
      <c r="AU219" s="239">
        <v>994.54890495867744</v>
      </c>
      <c r="AV219" s="239">
        <v>110.50543388429752</v>
      </c>
      <c r="AW219" s="239">
        <v>1623</v>
      </c>
      <c r="AX219" s="239">
        <v>365</v>
      </c>
      <c r="AY219" s="239">
        <v>41</v>
      </c>
      <c r="AZ219" s="239">
        <v>2797</v>
      </c>
      <c r="BA219" s="239">
        <v>630</v>
      </c>
      <c r="BB219" s="239">
        <v>70</v>
      </c>
      <c r="BC219" s="239">
        <v>0</v>
      </c>
      <c r="BD219" s="239">
        <v>0</v>
      </c>
      <c r="BE219" s="239">
        <v>0</v>
      </c>
      <c r="BF219" s="239">
        <v>0</v>
      </c>
      <c r="BG219" s="239">
        <v>0</v>
      </c>
      <c r="BH219" s="239">
        <v>0</v>
      </c>
      <c r="BI219" s="239">
        <v>0</v>
      </c>
      <c r="BJ219" s="239">
        <v>0</v>
      </c>
      <c r="BK219" s="239">
        <v>0</v>
      </c>
      <c r="BL219" s="239">
        <v>0</v>
      </c>
      <c r="BM219" s="239">
        <v>0</v>
      </c>
      <c r="BN219" s="239">
        <v>0</v>
      </c>
      <c r="BO219" s="239">
        <v>1218</v>
      </c>
      <c r="BP219" s="239">
        <v>274</v>
      </c>
      <c r="BQ219" s="239">
        <v>30</v>
      </c>
      <c r="BR219" s="239">
        <v>-1218</v>
      </c>
      <c r="BS219" s="239">
        <v>-274</v>
      </c>
      <c r="BT219" s="239">
        <v>-30</v>
      </c>
      <c r="BU219" s="239">
        <v>0</v>
      </c>
      <c r="BV219" s="239">
        <v>0</v>
      </c>
      <c r="BW219" s="239">
        <v>0</v>
      </c>
      <c r="BX219" s="239">
        <v>0</v>
      </c>
      <c r="BY219" s="239">
        <v>0</v>
      </c>
      <c r="BZ219" s="239">
        <v>0</v>
      </c>
      <c r="CA219" s="239">
        <v>0</v>
      </c>
      <c r="CB219" s="239">
        <v>0</v>
      </c>
      <c r="CC219" s="239">
        <v>0</v>
      </c>
      <c r="CD219" s="239">
        <v>26664.952066115704</v>
      </c>
      <c r="CE219" s="239">
        <v>5999.6142148760327</v>
      </c>
      <c r="CF219" s="239">
        <v>666.62380165289255</v>
      </c>
      <c r="CG219" s="239">
        <v>0</v>
      </c>
      <c r="CH219" s="239">
        <v>0</v>
      </c>
      <c r="CI219" s="239">
        <v>0</v>
      </c>
      <c r="CJ219" s="239">
        <v>26665</v>
      </c>
      <c r="CK219" s="239">
        <v>6000</v>
      </c>
      <c r="CL219" s="239">
        <v>667</v>
      </c>
      <c r="CM219" s="239">
        <v>0</v>
      </c>
      <c r="CN219" s="239">
        <v>0</v>
      </c>
      <c r="CO219" s="239">
        <v>0</v>
      </c>
      <c r="CP219" s="239">
        <v>1907</v>
      </c>
      <c r="CQ219" s="239">
        <v>429</v>
      </c>
      <c r="CR219" s="239">
        <v>48</v>
      </c>
      <c r="CS219" s="239">
        <v>-1907</v>
      </c>
      <c r="CT219" s="239">
        <v>-429</v>
      </c>
      <c r="CU219" s="239">
        <v>-48</v>
      </c>
      <c r="CV219" s="239">
        <v>84670.235537190078</v>
      </c>
      <c r="CW219" s="239">
        <v>18264.233677685948</v>
      </c>
      <c r="CX219" s="239">
        <v>2029.3592975206614</v>
      </c>
      <c r="CY219" s="239">
        <v>80952</v>
      </c>
      <c r="CZ219" s="239">
        <v>18214</v>
      </c>
      <c r="DA219" s="239">
        <v>2024</v>
      </c>
      <c r="DB219" s="239">
        <v>3718</v>
      </c>
      <c r="DC219" s="239">
        <v>50</v>
      </c>
      <c r="DD219" s="239">
        <v>5</v>
      </c>
      <c r="DE219" s="641">
        <v>0.5</v>
      </c>
      <c r="DF219" s="641">
        <v>0.4</v>
      </c>
      <c r="DG219" s="641">
        <v>0.09</v>
      </c>
      <c r="DH219" s="641">
        <v>0.01</v>
      </c>
      <c r="DI219" s="214" t="s">
        <v>1190</v>
      </c>
    </row>
    <row r="220" spans="2:113" s="214" customFormat="1" x14ac:dyDescent="0.2">
      <c r="B220" s="609" t="s">
        <v>522</v>
      </c>
      <c r="C220" s="609" t="s">
        <v>521</v>
      </c>
      <c r="D220" s="239">
        <v>-48142</v>
      </c>
      <c r="E220" s="239">
        <v>0</v>
      </c>
      <c r="F220" s="239">
        <v>-48142</v>
      </c>
      <c r="G220" s="239">
        <v>0</v>
      </c>
      <c r="H220" s="239">
        <v>0</v>
      </c>
      <c r="I220" s="239">
        <v>0</v>
      </c>
      <c r="J220" s="239">
        <v>-48142</v>
      </c>
      <c r="K220" s="239">
        <v>0</v>
      </c>
      <c r="L220" s="239">
        <v>-48142</v>
      </c>
      <c r="M220" s="239">
        <v>146592</v>
      </c>
      <c r="N220" s="239">
        <v>146592</v>
      </c>
      <c r="O220" s="239">
        <v>0</v>
      </c>
      <c r="P220" s="239">
        <v>0</v>
      </c>
      <c r="Q220" s="239">
        <v>0</v>
      </c>
      <c r="R220" s="239">
        <v>0</v>
      </c>
      <c r="S220" s="239">
        <v>0</v>
      </c>
      <c r="T220" s="239">
        <v>0</v>
      </c>
      <c r="U220" s="239">
        <v>0</v>
      </c>
      <c r="V220" s="239">
        <v>0</v>
      </c>
      <c r="W220" s="239">
        <v>0</v>
      </c>
      <c r="X220" s="239">
        <v>0</v>
      </c>
      <c r="Y220" s="239">
        <v>0</v>
      </c>
      <c r="Z220" s="239">
        <v>0</v>
      </c>
      <c r="AA220" s="239">
        <v>0</v>
      </c>
      <c r="AB220" s="239">
        <v>0</v>
      </c>
      <c r="AC220" s="239">
        <v>0</v>
      </c>
      <c r="AD220" s="239">
        <v>0</v>
      </c>
      <c r="AE220" s="239">
        <v>0</v>
      </c>
      <c r="AF220" s="239">
        <v>0</v>
      </c>
      <c r="AG220" s="239">
        <v>0</v>
      </c>
      <c r="AH220" s="239">
        <v>0</v>
      </c>
      <c r="AI220" s="239">
        <v>0</v>
      </c>
      <c r="AJ220" s="239">
        <v>0</v>
      </c>
      <c r="AK220" s="239">
        <v>653646.18471074384</v>
      </c>
      <c r="AL220" s="239">
        <v>147070.39155991733</v>
      </c>
      <c r="AM220" s="239">
        <v>16341.154617768594</v>
      </c>
      <c r="AN220" s="239">
        <v>602304</v>
      </c>
      <c r="AO220" s="239">
        <v>135518</v>
      </c>
      <c r="AP220" s="239">
        <v>15058</v>
      </c>
      <c r="AQ220" s="239">
        <v>51342</v>
      </c>
      <c r="AR220" s="239">
        <v>11552</v>
      </c>
      <c r="AS220" s="239">
        <v>1283</v>
      </c>
      <c r="AT220" s="239">
        <v>1952.6380165289256</v>
      </c>
      <c r="AU220" s="239">
        <v>439.34355371900824</v>
      </c>
      <c r="AV220" s="239">
        <v>48.815950413223142</v>
      </c>
      <c r="AW220" s="239">
        <v>0</v>
      </c>
      <c r="AX220" s="239">
        <v>0</v>
      </c>
      <c r="AY220" s="239">
        <v>0</v>
      </c>
      <c r="AZ220" s="239">
        <v>1953</v>
      </c>
      <c r="BA220" s="239">
        <v>439</v>
      </c>
      <c r="BB220" s="239">
        <v>49</v>
      </c>
      <c r="BC220" s="239">
        <v>0</v>
      </c>
      <c r="BD220" s="239">
        <v>0</v>
      </c>
      <c r="BE220" s="239">
        <v>0</v>
      </c>
      <c r="BF220" s="239">
        <v>0</v>
      </c>
      <c r="BG220" s="239">
        <v>0</v>
      </c>
      <c r="BH220" s="239">
        <v>0</v>
      </c>
      <c r="BI220" s="239">
        <v>0</v>
      </c>
      <c r="BJ220" s="239">
        <v>0</v>
      </c>
      <c r="BK220" s="239">
        <v>0</v>
      </c>
      <c r="BL220" s="239">
        <v>9073.3553719008269</v>
      </c>
      <c r="BM220" s="239">
        <v>2041.5049586776859</v>
      </c>
      <c r="BN220" s="239">
        <v>226.83388429752068</v>
      </c>
      <c r="BO220" s="239">
        <v>3327</v>
      </c>
      <c r="BP220" s="239">
        <v>749</v>
      </c>
      <c r="BQ220" s="239">
        <v>83</v>
      </c>
      <c r="BR220" s="239">
        <v>5746</v>
      </c>
      <c r="BS220" s="239">
        <v>1293</v>
      </c>
      <c r="BT220" s="239">
        <v>144</v>
      </c>
      <c r="BU220" s="239">
        <v>7534.6181818181831</v>
      </c>
      <c r="BV220" s="239">
        <v>1695.2890909090909</v>
      </c>
      <c r="BW220" s="239">
        <v>188.36545454545455</v>
      </c>
      <c r="BX220" s="239">
        <v>0</v>
      </c>
      <c r="BY220" s="239">
        <v>0</v>
      </c>
      <c r="BZ220" s="239">
        <v>0</v>
      </c>
      <c r="CA220" s="239">
        <v>7535</v>
      </c>
      <c r="CB220" s="239">
        <v>1695</v>
      </c>
      <c r="CC220" s="239">
        <v>188</v>
      </c>
      <c r="CD220" s="239">
        <v>0</v>
      </c>
      <c r="CE220" s="239">
        <v>0</v>
      </c>
      <c r="CF220" s="239">
        <v>0</v>
      </c>
      <c r="CG220" s="239">
        <v>0</v>
      </c>
      <c r="CH220" s="239">
        <v>0</v>
      </c>
      <c r="CI220" s="239">
        <v>0</v>
      </c>
      <c r="CJ220" s="239">
        <v>0</v>
      </c>
      <c r="CK220" s="239">
        <v>0</v>
      </c>
      <c r="CL220" s="239">
        <v>0</v>
      </c>
      <c r="CM220" s="239">
        <v>3695.8909090909096</v>
      </c>
      <c r="CN220" s="239">
        <v>831.57545454545459</v>
      </c>
      <c r="CO220" s="239">
        <v>92.397272727272735</v>
      </c>
      <c r="CP220" s="239">
        <v>5497</v>
      </c>
      <c r="CQ220" s="239">
        <v>1237</v>
      </c>
      <c r="CR220" s="239">
        <v>137</v>
      </c>
      <c r="CS220" s="239">
        <v>-1801</v>
      </c>
      <c r="CT220" s="239">
        <v>-405</v>
      </c>
      <c r="CU220" s="239">
        <v>-45</v>
      </c>
      <c r="CV220" s="239">
        <v>100658.79669421489</v>
      </c>
      <c r="CW220" s="239">
        <v>22648.229256198349</v>
      </c>
      <c r="CX220" s="239">
        <v>2516.4699173553722</v>
      </c>
      <c r="CY220" s="239">
        <v>100836</v>
      </c>
      <c r="CZ220" s="239">
        <v>22688</v>
      </c>
      <c r="DA220" s="239">
        <v>2521</v>
      </c>
      <c r="DB220" s="239">
        <v>-177</v>
      </c>
      <c r="DC220" s="239">
        <v>-40</v>
      </c>
      <c r="DD220" s="239">
        <v>-5</v>
      </c>
      <c r="DE220" s="641">
        <v>0.5</v>
      </c>
      <c r="DF220" s="641">
        <v>0.4</v>
      </c>
      <c r="DG220" s="641">
        <v>0.09</v>
      </c>
      <c r="DH220" s="641">
        <v>0.01</v>
      </c>
      <c r="DI220" s="214" t="s">
        <v>1190</v>
      </c>
    </row>
    <row r="221" spans="2:113" s="214" customFormat="1" x14ac:dyDescent="0.2">
      <c r="B221" s="609" t="s">
        <v>524</v>
      </c>
      <c r="C221" s="609" t="s">
        <v>523</v>
      </c>
      <c r="D221" s="239">
        <v>-467721</v>
      </c>
      <c r="E221" s="239">
        <v>0</v>
      </c>
      <c r="F221" s="239">
        <v>-467721</v>
      </c>
      <c r="G221" s="239">
        <v>0</v>
      </c>
      <c r="H221" s="239">
        <v>0</v>
      </c>
      <c r="I221" s="239">
        <v>0</v>
      </c>
      <c r="J221" s="239">
        <v>-467721</v>
      </c>
      <c r="K221" s="239">
        <v>0</v>
      </c>
      <c r="L221" s="239">
        <v>-467721</v>
      </c>
      <c r="M221" s="239">
        <v>311541</v>
      </c>
      <c r="N221" s="239">
        <v>311541</v>
      </c>
      <c r="O221" s="239">
        <v>0</v>
      </c>
      <c r="P221" s="239">
        <v>0</v>
      </c>
      <c r="Q221" s="239">
        <v>0</v>
      </c>
      <c r="R221" s="239">
        <v>0</v>
      </c>
      <c r="S221" s="239">
        <v>169291</v>
      </c>
      <c r="T221" s="239">
        <v>0</v>
      </c>
      <c r="U221" s="239">
        <v>157798</v>
      </c>
      <c r="V221" s="239">
        <v>0</v>
      </c>
      <c r="W221" s="239">
        <v>11493</v>
      </c>
      <c r="X221" s="239">
        <v>0</v>
      </c>
      <c r="Y221" s="239">
        <v>403870.83264462813</v>
      </c>
      <c r="Z221" s="239">
        <v>403870.83264462813</v>
      </c>
      <c r="AA221" s="239">
        <v>0</v>
      </c>
      <c r="AB221" s="239">
        <v>0</v>
      </c>
      <c r="AC221" s="239">
        <v>356453</v>
      </c>
      <c r="AD221" s="239">
        <v>356453</v>
      </c>
      <c r="AE221" s="239">
        <v>0</v>
      </c>
      <c r="AF221" s="239">
        <v>0</v>
      </c>
      <c r="AG221" s="239">
        <v>47418</v>
      </c>
      <c r="AH221" s="239">
        <v>47418</v>
      </c>
      <c r="AI221" s="239">
        <v>0</v>
      </c>
      <c r="AJ221" s="239">
        <v>0</v>
      </c>
      <c r="AK221" s="239">
        <v>1353436.8537603305</v>
      </c>
      <c r="AL221" s="239">
        <v>0</v>
      </c>
      <c r="AM221" s="239">
        <v>27532.094586776857</v>
      </c>
      <c r="AN221" s="239">
        <v>1312644</v>
      </c>
      <c r="AO221" s="239">
        <v>0</v>
      </c>
      <c r="AP221" s="239">
        <v>26696</v>
      </c>
      <c r="AQ221" s="239">
        <v>40793</v>
      </c>
      <c r="AR221" s="239">
        <v>0</v>
      </c>
      <c r="AS221" s="239">
        <v>836</v>
      </c>
      <c r="AT221" s="239">
        <v>11294.805743801653</v>
      </c>
      <c r="AU221" s="239">
        <v>0</v>
      </c>
      <c r="AV221" s="239">
        <v>230.50623966942149</v>
      </c>
      <c r="AW221" s="239">
        <v>7561</v>
      </c>
      <c r="AX221" s="239">
        <v>0</v>
      </c>
      <c r="AY221" s="239">
        <v>154</v>
      </c>
      <c r="AZ221" s="239">
        <v>3734</v>
      </c>
      <c r="BA221" s="239">
        <v>0</v>
      </c>
      <c r="BB221" s="239">
        <v>77</v>
      </c>
      <c r="BC221" s="239">
        <v>10396.569938016528</v>
      </c>
      <c r="BD221" s="239">
        <v>0</v>
      </c>
      <c r="BE221" s="239">
        <v>212.17489669421488</v>
      </c>
      <c r="BF221" s="239">
        <v>9420</v>
      </c>
      <c r="BG221" s="239">
        <v>0</v>
      </c>
      <c r="BH221" s="239">
        <v>192</v>
      </c>
      <c r="BI221" s="239">
        <v>977</v>
      </c>
      <c r="BJ221" s="239">
        <v>0</v>
      </c>
      <c r="BK221" s="239">
        <v>20</v>
      </c>
      <c r="BL221" s="239">
        <v>13268.737334710744</v>
      </c>
      <c r="BM221" s="239">
        <v>0</v>
      </c>
      <c r="BN221" s="239">
        <v>270.79055785123967</v>
      </c>
      <c r="BO221" s="239">
        <v>83497</v>
      </c>
      <c r="BP221" s="239">
        <v>0</v>
      </c>
      <c r="BQ221" s="239">
        <v>1704</v>
      </c>
      <c r="BR221" s="239">
        <v>-70228</v>
      </c>
      <c r="BS221" s="239">
        <v>0</v>
      </c>
      <c r="BT221" s="239">
        <v>-1433</v>
      </c>
      <c r="BU221" s="239">
        <v>1015.548285123967</v>
      </c>
      <c r="BV221" s="239">
        <v>0</v>
      </c>
      <c r="BW221" s="239">
        <v>20.725475206611573</v>
      </c>
      <c r="BX221" s="239">
        <v>0</v>
      </c>
      <c r="BY221" s="239">
        <v>0</v>
      </c>
      <c r="BZ221" s="239">
        <v>0</v>
      </c>
      <c r="CA221" s="239">
        <v>1016</v>
      </c>
      <c r="CB221" s="239">
        <v>0</v>
      </c>
      <c r="CC221" s="239">
        <v>21</v>
      </c>
      <c r="CD221" s="239">
        <v>0</v>
      </c>
      <c r="CE221" s="239">
        <v>0</v>
      </c>
      <c r="CF221" s="239">
        <v>0</v>
      </c>
      <c r="CG221" s="239">
        <v>0</v>
      </c>
      <c r="CH221" s="239">
        <v>0</v>
      </c>
      <c r="CI221" s="239">
        <v>0</v>
      </c>
      <c r="CJ221" s="239">
        <v>0</v>
      </c>
      <c r="CK221" s="239">
        <v>0</v>
      </c>
      <c r="CL221" s="239">
        <v>0</v>
      </c>
      <c r="CM221" s="239">
        <v>16.403863636363894</v>
      </c>
      <c r="CN221" s="239">
        <v>0</v>
      </c>
      <c r="CO221" s="239">
        <v>0.33477272727273188</v>
      </c>
      <c r="CP221" s="239">
        <v>2919</v>
      </c>
      <c r="CQ221" s="239">
        <v>0</v>
      </c>
      <c r="CR221" s="239">
        <v>60</v>
      </c>
      <c r="CS221" s="239">
        <v>-2903</v>
      </c>
      <c r="CT221" s="239">
        <v>0</v>
      </c>
      <c r="CU221" s="239">
        <v>-60</v>
      </c>
      <c r="CV221" s="239">
        <v>548866.05469008267</v>
      </c>
      <c r="CW221" s="239">
        <v>0</v>
      </c>
      <c r="CX221" s="239">
        <v>11151.380227272728</v>
      </c>
      <c r="CY221" s="239">
        <v>531113</v>
      </c>
      <c r="CZ221" s="239">
        <v>0</v>
      </c>
      <c r="DA221" s="239">
        <v>10687</v>
      </c>
      <c r="DB221" s="239">
        <v>17753</v>
      </c>
      <c r="DC221" s="239">
        <v>0</v>
      </c>
      <c r="DD221" s="239">
        <v>464</v>
      </c>
      <c r="DE221" s="641">
        <v>0.5</v>
      </c>
      <c r="DF221" s="641">
        <v>0.49</v>
      </c>
      <c r="DG221" s="641">
        <v>0</v>
      </c>
      <c r="DH221" s="641">
        <v>0.01</v>
      </c>
      <c r="DI221" s="214" t="s">
        <v>1192</v>
      </c>
    </row>
    <row r="222" spans="2:113" s="214" customFormat="1" x14ac:dyDescent="0.2">
      <c r="B222" s="609" t="s">
        <v>526</v>
      </c>
      <c r="C222" s="609" t="s">
        <v>525</v>
      </c>
      <c r="D222" s="239">
        <v>-2979</v>
      </c>
      <c r="E222" s="239">
        <v>0</v>
      </c>
      <c r="F222" s="239">
        <v>-2979</v>
      </c>
      <c r="G222" s="239">
        <v>0</v>
      </c>
      <c r="H222" s="239">
        <v>0</v>
      </c>
      <c r="I222" s="239">
        <v>0</v>
      </c>
      <c r="J222" s="239">
        <v>-2979</v>
      </c>
      <c r="K222" s="239">
        <v>0</v>
      </c>
      <c r="L222" s="239">
        <v>-2979</v>
      </c>
      <c r="M222" s="239">
        <v>137063</v>
      </c>
      <c r="N222" s="239">
        <v>137063</v>
      </c>
      <c r="O222" s="239">
        <v>0</v>
      </c>
      <c r="P222" s="239">
        <v>0</v>
      </c>
      <c r="Q222" s="239">
        <v>0</v>
      </c>
      <c r="R222" s="239">
        <v>0</v>
      </c>
      <c r="S222" s="239">
        <v>0</v>
      </c>
      <c r="T222" s="239">
        <v>0</v>
      </c>
      <c r="U222" s="239">
        <v>0</v>
      </c>
      <c r="V222" s="239">
        <v>0</v>
      </c>
      <c r="W222" s="239">
        <v>0</v>
      </c>
      <c r="X222" s="239">
        <v>0</v>
      </c>
      <c r="Y222" s="239">
        <v>0</v>
      </c>
      <c r="Z222" s="239">
        <v>0</v>
      </c>
      <c r="AA222" s="239">
        <v>0</v>
      </c>
      <c r="AB222" s="239">
        <v>0</v>
      </c>
      <c r="AC222" s="239">
        <v>0</v>
      </c>
      <c r="AD222" s="239">
        <v>0</v>
      </c>
      <c r="AE222" s="239">
        <v>0</v>
      </c>
      <c r="AF222" s="239">
        <v>0</v>
      </c>
      <c r="AG222" s="239">
        <v>0</v>
      </c>
      <c r="AH222" s="239">
        <v>0</v>
      </c>
      <c r="AI222" s="239">
        <v>0</v>
      </c>
      <c r="AJ222" s="239">
        <v>0</v>
      </c>
      <c r="AK222" s="239">
        <v>409897.55330578511</v>
      </c>
      <c r="AL222" s="239">
        <v>102474.38832644628</v>
      </c>
      <c r="AM222" s="239">
        <v>0</v>
      </c>
      <c r="AN222" s="239">
        <v>382562</v>
      </c>
      <c r="AO222" s="239">
        <v>95640</v>
      </c>
      <c r="AP222" s="239">
        <v>0</v>
      </c>
      <c r="AQ222" s="239">
        <v>27336</v>
      </c>
      <c r="AR222" s="239">
        <v>6834</v>
      </c>
      <c r="AS222" s="239">
        <v>0</v>
      </c>
      <c r="AT222" s="239">
        <v>0</v>
      </c>
      <c r="AU222" s="239">
        <v>0</v>
      </c>
      <c r="AV222" s="239">
        <v>0</v>
      </c>
      <c r="AW222" s="239">
        <v>0</v>
      </c>
      <c r="AX222" s="239">
        <v>0</v>
      </c>
      <c r="AY222" s="239">
        <v>0</v>
      </c>
      <c r="AZ222" s="239">
        <v>0</v>
      </c>
      <c r="BA222" s="239">
        <v>0</v>
      </c>
      <c r="BB222" s="239">
        <v>0</v>
      </c>
      <c r="BC222" s="239">
        <v>25435.828925619837</v>
      </c>
      <c r="BD222" s="239">
        <v>6358.9572314049592</v>
      </c>
      <c r="BE222" s="239">
        <v>0</v>
      </c>
      <c r="BF222" s="239">
        <v>101039</v>
      </c>
      <c r="BG222" s="239">
        <v>25260</v>
      </c>
      <c r="BH222" s="239">
        <v>0</v>
      </c>
      <c r="BI222" s="239">
        <v>-75603</v>
      </c>
      <c r="BJ222" s="239">
        <v>-18901</v>
      </c>
      <c r="BK222" s="239">
        <v>0</v>
      </c>
      <c r="BL222" s="239">
        <v>18862.515702479341</v>
      </c>
      <c r="BM222" s="239">
        <v>4715.6289256198352</v>
      </c>
      <c r="BN222" s="239">
        <v>0</v>
      </c>
      <c r="BO222" s="239">
        <v>1645</v>
      </c>
      <c r="BP222" s="239">
        <v>411</v>
      </c>
      <c r="BQ222" s="239">
        <v>0</v>
      </c>
      <c r="BR222" s="239">
        <v>17218</v>
      </c>
      <c r="BS222" s="239">
        <v>4305</v>
      </c>
      <c r="BT222" s="239">
        <v>0</v>
      </c>
      <c r="BU222" s="239">
        <v>-986.4636363636364</v>
      </c>
      <c r="BV222" s="239">
        <v>-246.6159090909091</v>
      </c>
      <c r="BW222" s="239">
        <v>0</v>
      </c>
      <c r="BX222" s="239">
        <v>0</v>
      </c>
      <c r="BY222" s="239">
        <v>0</v>
      </c>
      <c r="BZ222" s="239">
        <v>0</v>
      </c>
      <c r="CA222" s="239">
        <v>-986</v>
      </c>
      <c r="CB222" s="239">
        <v>-247</v>
      </c>
      <c r="CC222" s="239">
        <v>0</v>
      </c>
      <c r="CD222" s="239">
        <v>0</v>
      </c>
      <c r="CE222" s="239">
        <v>0</v>
      </c>
      <c r="CF222" s="239">
        <v>0</v>
      </c>
      <c r="CG222" s="239">
        <v>0</v>
      </c>
      <c r="CH222" s="239">
        <v>0</v>
      </c>
      <c r="CI222" s="239">
        <v>0</v>
      </c>
      <c r="CJ222" s="239">
        <v>0</v>
      </c>
      <c r="CK222" s="239">
        <v>0</v>
      </c>
      <c r="CL222" s="239">
        <v>0</v>
      </c>
      <c r="CM222" s="239">
        <v>0</v>
      </c>
      <c r="CN222" s="239">
        <v>0</v>
      </c>
      <c r="CO222" s="239">
        <v>0</v>
      </c>
      <c r="CP222" s="239">
        <v>0</v>
      </c>
      <c r="CQ222" s="239">
        <v>0</v>
      </c>
      <c r="CR222" s="239">
        <v>0</v>
      </c>
      <c r="CS222" s="239">
        <v>0</v>
      </c>
      <c r="CT222" s="239">
        <v>0</v>
      </c>
      <c r="CU222" s="239">
        <v>0</v>
      </c>
      <c r="CV222" s="239">
        <v>276559.81239669427</v>
      </c>
      <c r="CW222" s="239">
        <v>69139.953099173566</v>
      </c>
      <c r="CX222" s="239">
        <v>0</v>
      </c>
      <c r="CY222" s="239">
        <v>274446</v>
      </c>
      <c r="CZ222" s="239">
        <v>68611</v>
      </c>
      <c r="DA222" s="239">
        <v>0</v>
      </c>
      <c r="DB222" s="239">
        <v>2114</v>
      </c>
      <c r="DC222" s="239">
        <v>529</v>
      </c>
      <c r="DD222" s="239">
        <v>0</v>
      </c>
      <c r="DE222" s="641">
        <v>0.5</v>
      </c>
      <c r="DF222" s="641">
        <v>0.4</v>
      </c>
      <c r="DG222" s="641">
        <v>0.1</v>
      </c>
      <c r="DH222" s="641">
        <v>0</v>
      </c>
      <c r="DI222" s="214" t="s">
        <v>1190</v>
      </c>
    </row>
    <row r="223" spans="2:113" s="214" customFormat="1" x14ac:dyDescent="0.2">
      <c r="B223" s="609" t="s">
        <v>528</v>
      </c>
      <c r="C223" s="609" t="s">
        <v>527</v>
      </c>
      <c r="D223" s="239">
        <v>7402</v>
      </c>
      <c r="E223" s="239">
        <v>0</v>
      </c>
      <c r="F223" s="239">
        <v>7402</v>
      </c>
      <c r="G223" s="239">
        <v>0</v>
      </c>
      <c r="H223" s="239">
        <v>0</v>
      </c>
      <c r="I223" s="239">
        <v>0</v>
      </c>
      <c r="J223" s="239">
        <v>7402</v>
      </c>
      <c r="K223" s="239">
        <v>0</v>
      </c>
      <c r="L223" s="239">
        <v>7402</v>
      </c>
      <c r="M223" s="239">
        <v>126790</v>
      </c>
      <c r="N223" s="239">
        <v>126790</v>
      </c>
      <c r="O223" s="239">
        <v>0</v>
      </c>
      <c r="P223" s="239">
        <v>0</v>
      </c>
      <c r="Q223" s="239">
        <v>0</v>
      </c>
      <c r="R223" s="239">
        <v>0</v>
      </c>
      <c r="S223" s="239">
        <v>0</v>
      </c>
      <c r="T223" s="239">
        <v>0</v>
      </c>
      <c r="U223" s="239">
        <v>0</v>
      </c>
      <c r="V223" s="239">
        <v>0</v>
      </c>
      <c r="W223" s="239">
        <v>0</v>
      </c>
      <c r="X223" s="239">
        <v>0</v>
      </c>
      <c r="Y223" s="239">
        <v>0</v>
      </c>
      <c r="Z223" s="239">
        <v>0</v>
      </c>
      <c r="AA223" s="239">
        <v>0</v>
      </c>
      <c r="AB223" s="239">
        <v>0</v>
      </c>
      <c r="AC223" s="239">
        <v>0</v>
      </c>
      <c r="AD223" s="239">
        <v>0</v>
      </c>
      <c r="AE223" s="239">
        <v>0</v>
      </c>
      <c r="AF223" s="239">
        <v>0</v>
      </c>
      <c r="AG223" s="239">
        <v>0</v>
      </c>
      <c r="AH223" s="239">
        <v>0</v>
      </c>
      <c r="AI223" s="239">
        <v>0</v>
      </c>
      <c r="AJ223" s="239">
        <v>0</v>
      </c>
      <c r="AK223" s="239">
        <v>293964.74338842975</v>
      </c>
      <c r="AL223" s="239">
        <v>73491.185847107437</v>
      </c>
      <c r="AM223" s="239">
        <v>0</v>
      </c>
      <c r="AN223" s="239">
        <v>261090</v>
      </c>
      <c r="AO223" s="239">
        <v>65272</v>
      </c>
      <c r="AP223" s="239">
        <v>0</v>
      </c>
      <c r="AQ223" s="239">
        <v>32875</v>
      </c>
      <c r="AR223" s="239">
        <v>8219</v>
      </c>
      <c r="AS223" s="239">
        <v>0</v>
      </c>
      <c r="AT223" s="239">
        <v>0</v>
      </c>
      <c r="AU223" s="239">
        <v>0</v>
      </c>
      <c r="AV223" s="239">
        <v>0</v>
      </c>
      <c r="AW223" s="239">
        <v>0</v>
      </c>
      <c r="AX223" s="239">
        <v>0</v>
      </c>
      <c r="AY223" s="239">
        <v>0</v>
      </c>
      <c r="AZ223" s="239">
        <v>0</v>
      </c>
      <c r="BA223" s="239">
        <v>0</v>
      </c>
      <c r="BB223" s="239">
        <v>0</v>
      </c>
      <c r="BC223" s="239">
        <v>-2358.017355371901</v>
      </c>
      <c r="BD223" s="239">
        <v>-589.50433884297524</v>
      </c>
      <c r="BE223" s="239">
        <v>0</v>
      </c>
      <c r="BF223" s="239">
        <v>0</v>
      </c>
      <c r="BG223" s="239">
        <v>0</v>
      </c>
      <c r="BH223" s="239">
        <v>0</v>
      </c>
      <c r="BI223" s="239">
        <v>-2358</v>
      </c>
      <c r="BJ223" s="239">
        <v>-590</v>
      </c>
      <c r="BK223" s="239">
        <v>0</v>
      </c>
      <c r="BL223" s="239">
        <v>0</v>
      </c>
      <c r="BM223" s="239">
        <v>0</v>
      </c>
      <c r="BN223" s="239">
        <v>0</v>
      </c>
      <c r="BO223" s="239">
        <v>0</v>
      </c>
      <c r="BP223" s="239">
        <v>0</v>
      </c>
      <c r="BQ223" s="239">
        <v>0</v>
      </c>
      <c r="BR223" s="239">
        <v>0</v>
      </c>
      <c r="BS223" s="239">
        <v>0</v>
      </c>
      <c r="BT223" s="239">
        <v>0</v>
      </c>
      <c r="BU223" s="239">
        <v>3751.203479338843</v>
      </c>
      <c r="BV223" s="239">
        <v>937.80086983471074</v>
      </c>
      <c r="BW223" s="239">
        <v>0</v>
      </c>
      <c r="BX223" s="239">
        <v>0</v>
      </c>
      <c r="BY223" s="239">
        <v>0</v>
      </c>
      <c r="BZ223" s="239">
        <v>0</v>
      </c>
      <c r="CA223" s="239">
        <v>3751</v>
      </c>
      <c r="CB223" s="239">
        <v>938</v>
      </c>
      <c r="CC223" s="239">
        <v>0</v>
      </c>
      <c r="CD223" s="239">
        <v>-306.36776859504135</v>
      </c>
      <c r="CE223" s="239">
        <v>-76.591942148760339</v>
      </c>
      <c r="CF223" s="239">
        <v>0</v>
      </c>
      <c r="CG223" s="239">
        <v>0</v>
      </c>
      <c r="CH223" s="239">
        <v>0</v>
      </c>
      <c r="CI223" s="239">
        <v>0</v>
      </c>
      <c r="CJ223" s="239">
        <v>-306</v>
      </c>
      <c r="CK223" s="239">
        <v>-77</v>
      </c>
      <c r="CL223" s="239">
        <v>0</v>
      </c>
      <c r="CM223" s="239">
        <v>0</v>
      </c>
      <c r="CN223" s="239">
        <v>0</v>
      </c>
      <c r="CO223" s="239">
        <v>0</v>
      </c>
      <c r="CP223" s="239">
        <v>0</v>
      </c>
      <c r="CQ223" s="239">
        <v>0</v>
      </c>
      <c r="CR223" s="239">
        <v>0</v>
      </c>
      <c r="CS223" s="239">
        <v>0</v>
      </c>
      <c r="CT223" s="239">
        <v>0</v>
      </c>
      <c r="CU223" s="239">
        <v>0</v>
      </c>
      <c r="CV223" s="239">
        <v>258579.87851239674</v>
      </c>
      <c r="CW223" s="239">
        <v>64644.969628099185</v>
      </c>
      <c r="CX223" s="239">
        <v>0</v>
      </c>
      <c r="CY223" s="239">
        <v>254226</v>
      </c>
      <c r="CZ223" s="239">
        <v>63556</v>
      </c>
      <c r="DA223" s="239">
        <v>0</v>
      </c>
      <c r="DB223" s="239">
        <v>4354</v>
      </c>
      <c r="DC223" s="239">
        <v>1089</v>
      </c>
      <c r="DD223" s="239">
        <v>0</v>
      </c>
      <c r="DE223" s="641">
        <v>0.5</v>
      </c>
      <c r="DF223" s="641">
        <v>0.4</v>
      </c>
      <c r="DG223" s="641">
        <v>0.1</v>
      </c>
      <c r="DH223" s="641">
        <v>0</v>
      </c>
      <c r="DI223" s="214" t="s">
        <v>1190</v>
      </c>
    </row>
    <row r="224" spans="2:113" s="214" customFormat="1" x14ac:dyDescent="0.2">
      <c r="B224" s="609" t="s">
        <v>530</v>
      </c>
      <c r="C224" s="609" t="s">
        <v>529</v>
      </c>
      <c r="D224" s="239">
        <v>-70571</v>
      </c>
      <c r="E224" s="239">
        <v>0</v>
      </c>
      <c r="F224" s="239">
        <v>-70571</v>
      </c>
      <c r="G224" s="239">
        <v>0</v>
      </c>
      <c r="H224" s="239">
        <v>0</v>
      </c>
      <c r="I224" s="239">
        <v>0</v>
      </c>
      <c r="J224" s="239">
        <v>-70571</v>
      </c>
      <c r="K224" s="239">
        <v>0</v>
      </c>
      <c r="L224" s="239">
        <v>-70571</v>
      </c>
      <c r="M224" s="239">
        <v>111538</v>
      </c>
      <c r="N224" s="239">
        <v>111538</v>
      </c>
      <c r="O224" s="239">
        <v>0</v>
      </c>
      <c r="P224" s="239">
        <v>0</v>
      </c>
      <c r="Q224" s="239">
        <v>0</v>
      </c>
      <c r="R224" s="239">
        <v>0</v>
      </c>
      <c r="S224" s="239">
        <v>144846</v>
      </c>
      <c r="T224" s="239">
        <v>0</v>
      </c>
      <c r="U224" s="239">
        <v>75000</v>
      </c>
      <c r="V224" s="239">
        <v>0</v>
      </c>
      <c r="W224" s="239">
        <v>69846</v>
      </c>
      <c r="X224" s="239">
        <v>0</v>
      </c>
      <c r="Y224" s="239">
        <v>0</v>
      </c>
      <c r="Z224" s="239">
        <v>0</v>
      </c>
      <c r="AA224" s="239">
        <v>0</v>
      </c>
      <c r="AB224" s="239">
        <v>0</v>
      </c>
      <c r="AC224" s="239">
        <v>0</v>
      </c>
      <c r="AD224" s="239">
        <v>0</v>
      </c>
      <c r="AE224" s="239">
        <v>0</v>
      </c>
      <c r="AF224" s="239">
        <v>0</v>
      </c>
      <c r="AG224" s="239">
        <v>0</v>
      </c>
      <c r="AH224" s="239">
        <v>0</v>
      </c>
      <c r="AI224" s="239">
        <v>0</v>
      </c>
      <c r="AJ224" s="239">
        <v>0</v>
      </c>
      <c r="AK224" s="239">
        <v>427095.13264462817</v>
      </c>
      <c r="AL224" s="239">
        <v>96096.404845041325</v>
      </c>
      <c r="AM224" s="239">
        <v>10677.378316115704</v>
      </c>
      <c r="AN224" s="239">
        <v>399294</v>
      </c>
      <c r="AO224" s="239">
        <v>89841</v>
      </c>
      <c r="AP224" s="239">
        <v>9982</v>
      </c>
      <c r="AQ224" s="239">
        <v>27801</v>
      </c>
      <c r="AR224" s="239">
        <v>6255</v>
      </c>
      <c r="AS224" s="239">
        <v>695</v>
      </c>
      <c r="AT224" s="239">
        <v>3516.9396694214884</v>
      </c>
      <c r="AU224" s="239">
        <v>791.31142561983472</v>
      </c>
      <c r="AV224" s="239">
        <v>87.923491735537198</v>
      </c>
      <c r="AW224" s="239">
        <v>5058</v>
      </c>
      <c r="AX224" s="239">
        <v>1138</v>
      </c>
      <c r="AY224" s="239">
        <v>126</v>
      </c>
      <c r="AZ224" s="239">
        <v>-1541</v>
      </c>
      <c r="BA224" s="239">
        <v>-347</v>
      </c>
      <c r="BB224" s="239">
        <v>-38</v>
      </c>
      <c r="BC224" s="239">
        <v>1019.3322314049587</v>
      </c>
      <c r="BD224" s="239">
        <v>229.34975206611568</v>
      </c>
      <c r="BE224" s="239">
        <v>25.483305785123967</v>
      </c>
      <c r="BF224" s="239">
        <v>4058</v>
      </c>
      <c r="BG224" s="239">
        <v>913</v>
      </c>
      <c r="BH224" s="239">
        <v>101</v>
      </c>
      <c r="BI224" s="239">
        <v>-3039</v>
      </c>
      <c r="BJ224" s="239">
        <v>-684</v>
      </c>
      <c r="BK224" s="239">
        <v>-76</v>
      </c>
      <c r="BL224" s="239">
        <v>464.21818181818185</v>
      </c>
      <c r="BM224" s="239">
        <v>104.4490909090909</v>
      </c>
      <c r="BN224" s="239">
        <v>11.605454545454545</v>
      </c>
      <c r="BO224" s="239">
        <v>4058</v>
      </c>
      <c r="BP224" s="239">
        <v>913</v>
      </c>
      <c r="BQ224" s="239">
        <v>101</v>
      </c>
      <c r="BR224" s="239">
        <v>-3594</v>
      </c>
      <c r="BS224" s="239">
        <v>-809</v>
      </c>
      <c r="BT224" s="239">
        <v>-89</v>
      </c>
      <c r="BU224" s="239">
        <v>1722.5578512396694</v>
      </c>
      <c r="BV224" s="239">
        <v>387.57551652892556</v>
      </c>
      <c r="BW224" s="239">
        <v>43.063946280991729</v>
      </c>
      <c r="BX224" s="239">
        <v>0</v>
      </c>
      <c r="BY224" s="239">
        <v>0</v>
      </c>
      <c r="BZ224" s="239">
        <v>0</v>
      </c>
      <c r="CA224" s="239">
        <v>1723</v>
      </c>
      <c r="CB224" s="239">
        <v>388</v>
      </c>
      <c r="CC224" s="239">
        <v>43</v>
      </c>
      <c r="CD224" s="239">
        <v>0</v>
      </c>
      <c r="CE224" s="239">
        <v>0</v>
      </c>
      <c r="CF224" s="239">
        <v>0</v>
      </c>
      <c r="CG224" s="239">
        <v>0</v>
      </c>
      <c r="CH224" s="239">
        <v>0</v>
      </c>
      <c r="CI224" s="239">
        <v>0</v>
      </c>
      <c r="CJ224" s="239">
        <v>0</v>
      </c>
      <c r="CK224" s="239">
        <v>0</v>
      </c>
      <c r="CL224" s="239">
        <v>0</v>
      </c>
      <c r="CM224" s="239">
        <v>837.54049586776864</v>
      </c>
      <c r="CN224" s="239">
        <v>188.44661157024791</v>
      </c>
      <c r="CO224" s="239">
        <v>20.938512396694215</v>
      </c>
      <c r="CP224" s="239">
        <v>1092</v>
      </c>
      <c r="CQ224" s="239">
        <v>246</v>
      </c>
      <c r="CR224" s="239">
        <v>27</v>
      </c>
      <c r="CS224" s="239">
        <v>-254</v>
      </c>
      <c r="CT224" s="239">
        <v>-58</v>
      </c>
      <c r="CU224" s="239">
        <v>-6</v>
      </c>
      <c r="CV224" s="239">
        <v>159748.67768595042</v>
      </c>
      <c r="CW224" s="239">
        <v>35472.10444214876</v>
      </c>
      <c r="CX224" s="239">
        <v>3941.3449380165284</v>
      </c>
      <c r="CY224" s="239">
        <v>156015</v>
      </c>
      <c r="CZ224" s="239">
        <v>34859</v>
      </c>
      <c r="DA224" s="239">
        <v>3873</v>
      </c>
      <c r="DB224" s="239">
        <v>3734</v>
      </c>
      <c r="DC224" s="239">
        <v>613</v>
      </c>
      <c r="DD224" s="239">
        <v>68</v>
      </c>
      <c r="DE224" s="641">
        <v>0.5</v>
      </c>
      <c r="DF224" s="641">
        <v>0.4</v>
      </c>
      <c r="DG224" s="641">
        <v>0.09</v>
      </c>
      <c r="DH224" s="641">
        <v>0.01</v>
      </c>
      <c r="DI224" s="214" t="s">
        <v>1190</v>
      </c>
    </row>
    <row r="225" spans="2:113" s="214" customFormat="1" x14ac:dyDescent="0.2">
      <c r="B225" s="609" t="s">
        <v>532</v>
      </c>
      <c r="C225" s="609" t="s">
        <v>531</v>
      </c>
      <c r="D225" s="239">
        <v>-36836</v>
      </c>
      <c r="E225" s="239">
        <v>0</v>
      </c>
      <c r="F225" s="239">
        <v>-36836</v>
      </c>
      <c r="G225" s="239">
        <v>0</v>
      </c>
      <c r="H225" s="239">
        <v>0</v>
      </c>
      <c r="I225" s="239">
        <v>0</v>
      </c>
      <c r="J225" s="239">
        <v>-36836</v>
      </c>
      <c r="K225" s="239">
        <v>0</v>
      </c>
      <c r="L225" s="239">
        <v>-36836</v>
      </c>
      <c r="M225" s="239">
        <v>121838</v>
      </c>
      <c r="N225" s="239">
        <v>121838</v>
      </c>
      <c r="O225" s="239">
        <v>0</v>
      </c>
      <c r="P225" s="239">
        <v>0</v>
      </c>
      <c r="Q225" s="239">
        <v>0</v>
      </c>
      <c r="R225" s="239">
        <v>0</v>
      </c>
      <c r="S225" s="239">
        <v>0</v>
      </c>
      <c r="T225" s="239">
        <v>0</v>
      </c>
      <c r="U225" s="239">
        <v>0</v>
      </c>
      <c r="V225" s="239">
        <v>0</v>
      </c>
      <c r="W225" s="239">
        <v>0</v>
      </c>
      <c r="X225" s="239">
        <v>0</v>
      </c>
      <c r="Y225" s="239">
        <v>0</v>
      </c>
      <c r="Z225" s="239">
        <v>0</v>
      </c>
      <c r="AA225" s="239">
        <v>0</v>
      </c>
      <c r="AB225" s="239">
        <v>0</v>
      </c>
      <c r="AC225" s="239">
        <v>0</v>
      </c>
      <c r="AD225" s="239">
        <v>0</v>
      </c>
      <c r="AE225" s="239">
        <v>0</v>
      </c>
      <c r="AF225" s="239">
        <v>0</v>
      </c>
      <c r="AG225" s="239">
        <v>0</v>
      </c>
      <c r="AH225" s="239">
        <v>0</v>
      </c>
      <c r="AI225" s="239">
        <v>0</v>
      </c>
      <c r="AJ225" s="239">
        <v>0</v>
      </c>
      <c r="AK225" s="239">
        <v>267784.09586776857</v>
      </c>
      <c r="AL225" s="239">
        <v>60251.421570247934</v>
      </c>
      <c r="AM225" s="239">
        <v>6694.6023966942148</v>
      </c>
      <c r="AN225" s="239">
        <v>253995</v>
      </c>
      <c r="AO225" s="239">
        <v>57149</v>
      </c>
      <c r="AP225" s="239">
        <v>6350</v>
      </c>
      <c r="AQ225" s="239">
        <v>13789</v>
      </c>
      <c r="AR225" s="239">
        <v>3102</v>
      </c>
      <c r="AS225" s="239">
        <v>345</v>
      </c>
      <c r="AT225" s="239">
        <v>5223.2661157024795</v>
      </c>
      <c r="AU225" s="239">
        <v>1175.2348760330578</v>
      </c>
      <c r="AV225" s="239">
        <v>130.58165289256198</v>
      </c>
      <c r="AW225" s="239">
        <v>1689</v>
      </c>
      <c r="AX225" s="239">
        <v>380</v>
      </c>
      <c r="AY225" s="239">
        <v>42</v>
      </c>
      <c r="AZ225" s="239">
        <v>3534</v>
      </c>
      <c r="BA225" s="239">
        <v>795</v>
      </c>
      <c r="BB225" s="239">
        <v>89</v>
      </c>
      <c r="BC225" s="239">
        <v>0</v>
      </c>
      <c r="BD225" s="239">
        <v>0</v>
      </c>
      <c r="BE225" s="239">
        <v>0</v>
      </c>
      <c r="BF225" s="239">
        <v>0</v>
      </c>
      <c r="BG225" s="239">
        <v>0</v>
      </c>
      <c r="BH225" s="239">
        <v>0</v>
      </c>
      <c r="BI225" s="239">
        <v>0</v>
      </c>
      <c r="BJ225" s="239">
        <v>0</v>
      </c>
      <c r="BK225" s="239">
        <v>0</v>
      </c>
      <c r="BL225" s="239">
        <v>2825.887603305785</v>
      </c>
      <c r="BM225" s="239">
        <v>635.82471074380157</v>
      </c>
      <c r="BN225" s="239">
        <v>70.647190082644627</v>
      </c>
      <c r="BO225" s="239">
        <v>22891</v>
      </c>
      <c r="BP225" s="239">
        <v>5150</v>
      </c>
      <c r="BQ225" s="239">
        <v>572</v>
      </c>
      <c r="BR225" s="239">
        <v>-20065</v>
      </c>
      <c r="BS225" s="239">
        <v>-4514</v>
      </c>
      <c r="BT225" s="239">
        <v>-501</v>
      </c>
      <c r="BU225" s="239">
        <v>595.69256198347114</v>
      </c>
      <c r="BV225" s="239">
        <v>134.030826446281</v>
      </c>
      <c r="BW225" s="239">
        <v>14.892314049586778</v>
      </c>
      <c r="BX225" s="239">
        <v>0</v>
      </c>
      <c r="BY225" s="239">
        <v>0</v>
      </c>
      <c r="BZ225" s="239">
        <v>0</v>
      </c>
      <c r="CA225" s="239">
        <v>596</v>
      </c>
      <c r="CB225" s="239">
        <v>134</v>
      </c>
      <c r="CC225" s="239">
        <v>15</v>
      </c>
      <c r="CD225" s="239">
        <v>0</v>
      </c>
      <c r="CE225" s="239">
        <v>0</v>
      </c>
      <c r="CF225" s="239">
        <v>0</v>
      </c>
      <c r="CG225" s="239">
        <v>0</v>
      </c>
      <c r="CH225" s="239">
        <v>0</v>
      </c>
      <c r="CI225" s="239">
        <v>0</v>
      </c>
      <c r="CJ225" s="239">
        <v>0</v>
      </c>
      <c r="CK225" s="239">
        <v>0</v>
      </c>
      <c r="CL225" s="239">
        <v>0</v>
      </c>
      <c r="CM225" s="239">
        <v>678.4727272727273</v>
      </c>
      <c r="CN225" s="239">
        <v>152.65636363636364</v>
      </c>
      <c r="CO225" s="239">
        <v>16.961818181818181</v>
      </c>
      <c r="CP225" s="239">
        <v>980</v>
      </c>
      <c r="CQ225" s="239">
        <v>221</v>
      </c>
      <c r="CR225" s="239">
        <v>25</v>
      </c>
      <c r="CS225" s="239">
        <v>-302</v>
      </c>
      <c r="CT225" s="239">
        <v>-68</v>
      </c>
      <c r="CU225" s="239">
        <v>-8</v>
      </c>
      <c r="CV225" s="239">
        <v>269603.08512396697</v>
      </c>
      <c r="CW225" s="239">
        <v>60660.69415289256</v>
      </c>
      <c r="CX225" s="239">
        <v>6740.0771280991739</v>
      </c>
      <c r="CY225" s="239">
        <v>275053</v>
      </c>
      <c r="CZ225" s="239">
        <v>61887</v>
      </c>
      <c r="DA225" s="239">
        <v>6876</v>
      </c>
      <c r="DB225" s="239">
        <v>-5450</v>
      </c>
      <c r="DC225" s="239">
        <v>-1226</v>
      </c>
      <c r="DD225" s="239">
        <v>-136</v>
      </c>
      <c r="DE225" s="641">
        <v>0.5</v>
      </c>
      <c r="DF225" s="641">
        <v>0.4</v>
      </c>
      <c r="DG225" s="641">
        <v>0.09</v>
      </c>
      <c r="DH225" s="641">
        <v>0.01</v>
      </c>
      <c r="DI225" s="214" t="s">
        <v>1190</v>
      </c>
    </row>
    <row r="226" spans="2:113" s="214" customFormat="1" x14ac:dyDescent="0.2">
      <c r="B226" s="609" t="s">
        <v>534</v>
      </c>
      <c r="C226" s="609" t="s">
        <v>533</v>
      </c>
      <c r="D226" s="239">
        <v>13799</v>
      </c>
      <c r="E226" s="239">
        <v>0</v>
      </c>
      <c r="F226" s="239">
        <v>13799</v>
      </c>
      <c r="G226" s="239">
        <v>0</v>
      </c>
      <c r="H226" s="239">
        <v>0</v>
      </c>
      <c r="I226" s="239">
        <v>0</v>
      </c>
      <c r="J226" s="239">
        <v>13799</v>
      </c>
      <c r="K226" s="239">
        <v>0</v>
      </c>
      <c r="L226" s="239">
        <v>13799</v>
      </c>
      <c r="M226" s="239">
        <v>57455</v>
      </c>
      <c r="N226" s="239">
        <v>57455</v>
      </c>
      <c r="O226" s="239">
        <v>0</v>
      </c>
      <c r="P226" s="239">
        <v>0</v>
      </c>
      <c r="Q226" s="239">
        <v>0</v>
      </c>
      <c r="R226" s="239">
        <v>0</v>
      </c>
      <c r="S226" s="239">
        <v>35908</v>
      </c>
      <c r="T226" s="239">
        <v>0</v>
      </c>
      <c r="U226" s="239">
        <v>35908</v>
      </c>
      <c r="V226" s="239">
        <v>0</v>
      </c>
      <c r="W226" s="239">
        <v>0</v>
      </c>
      <c r="X226" s="239">
        <v>0</v>
      </c>
      <c r="Y226" s="239">
        <v>0</v>
      </c>
      <c r="Z226" s="239">
        <v>0</v>
      </c>
      <c r="AA226" s="239">
        <v>0</v>
      </c>
      <c r="AB226" s="239">
        <v>0</v>
      </c>
      <c r="AC226" s="239">
        <v>0</v>
      </c>
      <c r="AD226" s="239">
        <v>0</v>
      </c>
      <c r="AE226" s="239">
        <v>0</v>
      </c>
      <c r="AF226" s="239">
        <v>0</v>
      </c>
      <c r="AG226" s="239">
        <v>0</v>
      </c>
      <c r="AH226" s="239">
        <v>0</v>
      </c>
      <c r="AI226" s="239">
        <v>0</v>
      </c>
      <c r="AJ226" s="239">
        <v>0</v>
      </c>
      <c r="AK226" s="239">
        <v>276760.76786157023</v>
      </c>
      <c r="AL226" s="239">
        <v>0</v>
      </c>
      <c r="AM226" s="239">
        <v>5648.1789359504137</v>
      </c>
      <c r="AN226" s="239">
        <v>257667</v>
      </c>
      <c r="AO226" s="239">
        <v>0</v>
      </c>
      <c r="AP226" s="239">
        <v>5259</v>
      </c>
      <c r="AQ226" s="239">
        <v>19094</v>
      </c>
      <c r="AR226" s="239">
        <v>0</v>
      </c>
      <c r="AS226" s="239">
        <v>389</v>
      </c>
      <c r="AT226" s="239">
        <v>0</v>
      </c>
      <c r="AU226" s="239">
        <v>0</v>
      </c>
      <c r="AV226" s="239">
        <v>0</v>
      </c>
      <c r="AW226" s="239">
        <v>0</v>
      </c>
      <c r="AX226" s="239">
        <v>0</v>
      </c>
      <c r="AY226" s="239">
        <v>0</v>
      </c>
      <c r="AZ226" s="239">
        <v>0</v>
      </c>
      <c r="BA226" s="239">
        <v>0</v>
      </c>
      <c r="BB226" s="239">
        <v>0</v>
      </c>
      <c r="BC226" s="239">
        <v>4309.7423553719009</v>
      </c>
      <c r="BD226" s="239">
        <v>0</v>
      </c>
      <c r="BE226" s="239">
        <v>87.95392561983472</v>
      </c>
      <c r="BF226" s="239">
        <v>0</v>
      </c>
      <c r="BG226" s="239">
        <v>0</v>
      </c>
      <c r="BH226" s="239">
        <v>0</v>
      </c>
      <c r="BI226" s="239">
        <v>4310</v>
      </c>
      <c r="BJ226" s="239">
        <v>0</v>
      </c>
      <c r="BK226" s="239">
        <v>88</v>
      </c>
      <c r="BL226" s="239">
        <v>4365.9131611570247</v>
      </c>
      <c r="BM226" s="239">
        <v>0</v>
      </c>
      <c r="BN226" s="239">
        <v>89.100268595041328</v>
      </c>
      <c r="BO226" s="239">
        <v>3679</v>
      </c>
      <c r="BP226" s="239">
        <v>0</v>
      </c>
      <c r="BQ226" s="239">
        <v>75</v>
      </c>
      <c r="BR226" s="239">
        <v>687</v>
      </c>
      <c r="BS226" s="239">
        <v>0</v>
      </c>
      <c r="BT226" s="239">
        <v>14</v>
      </c>
      <c r="BU226" s="239">
        <v>-4414.6276652892566</v>
      </c>
      <c r="BV226" s="239">
        <v>0</v>
      </c>
      <c r="BW226" s="239">
        <v>-90.094442148760336</v>
      </c>
      <c r="BX226" s="239">
        <v>0</v>
      </c>
      <c r="BY226" s="239">
        <v>0</v>
      </c>
      <c r="BZ226" s="239">
        <v>0</v>
      </c>
      <c r="CA226" s="239">
        <v>-4415</v>
      </c>
      <c r="CB226" s="239">
        <v>0</v>
      </c>
      <c r="CC226" s="239">
        <v>-90</v>
      </c>
      <c r="CD226" s="239">
        <v>0</v>
      </c>
      <c r="CE226" s="239">
        <v>0</v>
      </c>
      <c r="CF226" s="239">
        <v>0</v>
      </c>
      <c r="CG226" s="239">
        <v>0</v>
      </c>
      <c r="CH226" s="239">
        <v>0</v>
      </c>
      <c r="CI226" s="239">
        <v>0</v>
      </c>
      <c r="CJ226" s="239">
        <v>0</v>
      </c>
      <c r="CK226" s="239">
        <v>0</v>
      </c>
      <c r="CL226" s="239">
        <v>0</v>
      </c>
      <c r="CM226" s="239">
        <v>6314.4933264462816</v>
      </c>
      <c r="CN226" s="239">
        <v>0</v>
      </c>
      <c r="CO226" s="239">
        <v>128.86721074380165</v>
      </c>
      <c r="CP226" s="239">
        <v>0</v>
      </c>
      <c r="CQ226" s="239">
        <v>0</v>
      </c>
      <c r="CR226" s="239">
        <v>0</v>
      </c>
      <c r="CS226" s="239">
        <v>6314</v>
      </c>
      <c r="CT226" s="239">
        <v>0</v>
      </c>
      <c r="CU226" s="239">
        <v>129</v>
      </c>
      <c r="CV226" s="239">
        <v>75764.941404958678</v>
      </c>
      <c r="CW226" s="239">
        <v>0</v>
      </c>
      <c r="CX226" s="239">
        <v>1535.6247107438016</v>
      </c>
      <c r="CY226" s="239">
        <v>75509</v>
      </c>
      <c r="CZ226" s="239">
        <v>0</v>
      </c>
      <c r="DA226" s="239">
        <v>1530</v>
      </c>
      <c r="DB226" s="239">
        <v>256</v>
      </c>
      <c r="DC226" s="239">
        <v>0</v>
      </c>
      <c r="DD226" s="239">
        <v>6</v>
      </c>
      <c r="DE226" s="641">
        <v>0.5</v>
      </c>
      <c r="DF226" s="641">
        <v>0.49</v>
      </c>
      <c r="DG226" s="641">
        <v>0</v>
      </c>
      <c r="DH226" s="641">
        <v>0.01</v>
      </c>
      <c r="DI226" s="214" t="s">
        <v>747</v>
      </c>
    </row>
    <row r="227" spans="2:113" s="214" customFormat="1" x14ac:dyDescent="0.2">
      <c r="B227" s="609" t="s">
        <v>536</v>
      </c>
      <c r="C227" s="609" t="s">
        <v>535</v>
      </c>
      <c r="D227" s="239">
        <v>-142201</v>
      </c>
      <c r="E227" s="239">
        <v>0</v>
      </c>
      <c r="F227" s="239">
        <v>-142201</v>
      </c>
      <c r="G227" s="239">
        <v>0</v>
      </c>
      <c r="H227" s="239">
        <v>0</v>
      </c>
      <c r="I227" s="239">
        <v>0</v>
      </c>
      <c r="J227" s="239">
        <v>-142201</v>
      </c>
      <c r="K227" s="239">
        <v>0</v>
      </c>
      <c r="L227" s="239">
        <v>-142201</v>
      </c>
      <c r="M227" s="239">
        <v>110406</v>
      </c>
      <c r="N227" s="239">
        <v>110406</v>
      </c>
      <c r="O227" s="239">
        <v>0</v>
      </c>
      <c r="P227" s="239">
        <v>0</v>
      </c>
      <c r="Q227" s="239">
        <v>0</v>
      </c>
      <c r="R227" s="239">
        <v>0</v>
      </c>
      <c r="S227" s="239">
        <v>40891</v>
      </c>
      <c r="T227" s="239">
        <v>0</v>
      </c>
      <c r="U227" s="239">
        <v>19720</v>
      </c>
      <c r="V227" s="239">
        <v>0</v>
      </c>
      <c r="W227" s="239">
        <v>21171</v>
      </c>
      <c r="X227" s="239">
        <v>0</v>
      </c>
      <c r="Y227" s="239">
        <v>0</v>
      </c>
      <c r="Z227" s="239">
        <v>0</v>
      </c>
      <c r="AA227" s="239">
        <v>0</v>
      </c>
      <c r="AB227" s="239">
        <v>0</v>
      </c>
      <c r="AC227" s="239">
        <v>0</v>
      </c>
      <c r="AD227" s="239">
        <v>0</v>
      </c>
      <c r="AE227" s="239">
        <v>0</v>
      </c>
      <c r="AF227" s="239">
        <v>0</v>
      </c>
      <c r="AG227" s="239">
        <v>0</v>
      </c>
      <c r="AH227" s="239">
        <v>0</v>
      </c>
      <c r="AI227" s="239">
        <v>0</v>
      </c>
      <c r="AJ227" s="239">
        <v>0</v>
      </c>
      <c r="AK227" s="239">
        <v>485723.17024793389</v>
      </c>
      <c r="AL227" s="239">
        <v>109287.7133057851</v>
      </c>
      <c r="AM227" s="239">
        <v>12143.079256198347</v>
      </c>
      <c r="AN227" s="239">
        <v>447986</v>
      </c>
      <c r="AO227" s="239">
        <v>100797</v>
      </c>
      <c r="AP227" s="239">
        <v>11200</v>
      </c>
      <c r="AQ227" s="239">
        <v>37737</v>
      </c>
      <c r="AR227" s="239">
        <v>8491</v>
      </c>
      <c r="AS227" s="239">
        <v>943</v>
      </c>
      <c r="AT227" s="239">
        <v>7800.4074380165293</v>
      </c>
      <c r="AU227" s="239">
        <v>1755.0916735537189</v>
      </c>
      <c r="AV227" s="239">
        <v>195.01018595041322</v>
      </c>
      <c r="AW227" s="239">
        <v>4869</v>
      </c>
      <c r="AX227" s="239">
        <v>1096</v>
      </c>
      <c r="AY227" s="239">
        <v>122</v>
      </c>
      <c r="AZ227" s="239">
        <v>2931</v>
      </c>
      <c r="BA227" s="239">
        <v>659</v>
      </c>
      <c r="BB227" s="239">
        <v>73</v>
      </c>
      <c r="BC227" s="239">
        <v>0</v>
      </c>
      <c r="BD227" s="239">
        <v>0</v>
      </c>
      <c r="BE227" s="239">
        <v>0</v>
      </c>
      <c r="BF227" s="239">
        <v>0</v>
      </c>
      <c r="BG227" s="239">
        <v>0</v>
      </c>
      <c r="BH227" s="239">
        <v>0</v>
      </c>
      <c r="BI227" s="239">
        <v>0</v>
      </c>
      <c r="BJ227" s="239">
        <v>0</v>
      </c>
      <c r="BK227" s="239">
        <v>0</v>
      </c>
      <c r="BL227" s="239">
        <v>7005.0685950413226</v>
      </c>
      <c r="BM227" s="239">
        <v>1576.1404338842974</v>
      </c>
      <c r="BN227" s="239">
        <v>175.12671487603305</v>
      </c>
      <c r="BO227" s="239">
        <v>4869</v>
      </c>
      <c r="BP227" s="239">
        <v>1096</v>
      </c>
      <c r="BQ227" s="239">
        <v>122</v>
      </c>
      <c r="BR227" s="239">
        <v>2136</v>
      </c>
      <c r="BS227" s="239">
        <v>480</v>
      </c>
      <c r="BT227" s="239">
        <v>53</v>
      </c>
      <c r="BU227" s="239">
        <v>10760.204132231405</v>
      </c>
      <c r="BV227" s="239">
        <v>2421.0459297520661</v>
      </c>
      <c r="BW227" s="239">
        <v>269.00510330578516</v>
      </c>
      <c r="BX227" s="239">
        <v>0</v>
      </c>
      <c r="BY227" s="239">
        <v>0</v>
      </c>
      <c r="BZ227" s="239">
        <v>0</v>
      </c>
      <c r="CA227" s="239">
        <v>10760</v>
      </c>
      <c r="CB227" s="239">
        <v>2421</v>
      </c>
      <c r="CC227" s="239">
        <v>269</v>
      </c>
      <c r="CD227" s="239">
        <v>0</v>
      </c>
      <c r="CE227" s="239">
        <v>0</v>
      </c>
      <c r="CF227" s="239">
        <v>0</v>
      </c>
      <c r="CG227" s="239">
        <v>0</v>
      </c>
      <c r="CH227" s="239">
        <v>0</v>
      </c>
      <c r="CI227" s="239">
        <v>0</v>
      </c>
      <c r="CJ227" s="239">
        <v>0</v>
      </c>
      <c r="CK227" s="239">
        <v>0</v>
      </c>
      <c r="CL227" s="239">
        <v>0</v>
      </c>
      <c r="CM227" s="239">
        <v>0</v>
      </c>
      <c r="CN227" s="239">
        <v>0</v>
      </c>
      <c r="CO227" s="239">
        <v>0</v>
      </c>
      <c r="CP227" s="239">
        <v>0</v>
      </c>
      <c r="CQ227" s="239">
        <v>0</v>
      </c>
      <c r="CR227" s="239">
        <v>0</v>
      </c>
      <c r="CS227" s="239">
        <v>0</v>
      </c>
      <c r="CT227" s="239">
        <v>0</v>
      </c>
      <c r="CU227" s="239">
        <v>0</v>
      </c>
      <c r="CV227" s="239">
        <v>95172.905371900837</v>
      </c>
      <c r="CW227" s="239">
        <v>21280.838987603307</v>
      </c>
      <c r="CX227" s="239">
        <v>2364.537665289256</v>
      </c>
      <c r="CY227" s="239">
        <v>98171</v>
      </c>
      <c r="CZ227" s="239">
        <v>22024</v>
      </c>
      <c r="DA227" s="239">
        <v>2447</v>
      </c>
      <c r="DB227" s="239">
        <v>-2998</v>
      </c>
      <c r="DC227" s="239">
        <v>-743</v>
      </c>
      <c r="DD227" s="239">
        <v>-82</v>
      </c>
      <c r="DE227" s="641">
        <v>0.5</v>
      </c>
      <c r="DF227" s="641">
        <v>0.4</v>
      </c>
      <c r="DG227" s="641">
        <v>0.09</v>
      </c>
      <c r="DH227" s="641">
        <v>0.01</v>
      </c>
      <c r="DI227" s="214" t="s">
        <v>1190</v>
      </c>
    </row>
    <row r="228" spans="2:113" s="214" customFormat="1" x14ac:dyDescent="0.2">
      <c r="B228" s="609" t="s">
        <v>538</v>
      </c>
      <c r="C228" s="609" t="s">
        <v>537</v>
      </c>
      <c r="D228" s="239">
        <v>-549093</v>
      </c>
      <c r="E228" s="239">
        <v>0</v>
      </c>
      <c r="F228" s="239">
        <v>-549093</v>
      </c>
      <c r="G228" s="239">
        <v>0</v>
      </c>
      <c r="H228" s="239">
        <v>0</v>
      </c>
      <c r="I228" s="239">
        <v>0</v>
      </c>
      <c r="J228" s="239">
        <v>-549093</v>
      </c>
      <c r="K228" s="239">
        <v>0</v>
      </c>
      <c r="L228" s="239">
        <v>-549093</v>
      </c>
      <c r="M228" s="239">
        <v>447971</v>
      </c>
      <c r="N228" s="239">
        <v>447971</v>
      </c>
      <c r="O228" s="239">
        <v>0</v>
      </c>
      <c r="P228" s="239">
        <v>0</v>
      </c>
      <c r="Q228" s="239">
        <v>0</v>
      </c>
      <c r="R228" s="239">
        <v>0</v>
      </c>
      <c r="S228" s="239">
        <v>0</v>
      </c>
      <c r="T228" s="239">
        <v>0</v>
      </c>
      <c r="U228" s="239">
        <v>0</v>
      </c>
      <c r="V228" s="239">
        <v>0</v>
      </c>
      <c r="W228" s="239">
        <v>0</v>
      </c>
      <c r="X228" s="239">
        <v>0</v>
      </c>
      <c r="Y228" s="239">
        <v>0</v>
      </c>
      <c r="Z228" s="239">
        <v>0</v>
      </c>
      <c r="AA228" s="239">
        <v>0</v>
      </c>
      <c r="AB228" s="239">
        <v>0</v>
      </c>
      <c r="AC228" s="239">
        <v>0</v>
      </c>
      <c r="AD228" s="239">
        <v>0</v>
      </c>
      <c r="AE228" s="239">
        <v>0</v>
      </c>
      <c r="AF228" s="239">
        <v>0</v>
      </c>
      <c r="AG228" s="239">
        <v>0</v>
      </c>
      <c r="AH228" s="239">
        <v>0</v>
      </c>
      <c r="AI228" s="239">
        <v>0</v>
      </c>
      <c r="AJ228" s="239">
        <v>0</v>
      </c>
      <c r="AK228" s="239">
        <v>1335035.1527169421</v>
      </c>
      <c r="AL228" s="239">
        <v>0</v>
      </c>
      <c r="AM228" s="239">
        <v>27245.61536157025</v>
      </c>
      <c r="AN228" s="239">
        <v>1159096</v>
      </c>
      <c r="AO228" s="239">
        <v>0</v>
      </c>
      <c r="AP228" s="239">
        <v>23655</v>
      </c>
      <c r="AQ228" s="239">
        <v>175939</v>
      </c>
      <c r="AR228" s="239">
        <v>0</v>
      </c>
      <c r="AS228" s="239">
        <v>3591</v>
      </c>
      <c r="AT228" s="239">
        <v>5486.8438429752059</v>
      </c>
      <c r="AU228" s="239">
        <v>0</v>
      </c>
      <c r="AV228" s="239">
        <v>111.97640495867769</v>
      </c>
      <c r="AW228" s="239">
        <v>0</v>
      </c>
      <c r="AX228" s="239">
        <v>0</v>
      </c>
      <c r="AY228" s="239">
        <v>0</v>
      </c>
      <c r="AZ228" s="239">
        <v>5487</v>
      </c>
      <c r="BA228" s="239">
        <v>0</v>
      </c>
      <c r="BB228" s="239">
        <v>112</v>
      </c>
      <c r="BC228" s="239">
        <v>51244.675826446284</v>
      </c>
      <c r="BD228" s="239">
        <v>0</v>
      </c>
      <c r="BE228" s="239">
        <v>1045.8097107438018</v>
      </c>
      <c r="BF228" s="239">
        <v>0</v>
      </c>
      <c r="BG228" s="239">
        <v>0</v>
      </c>
      <c r="BH228" s="239">
        <v>0</v>
      </c>
      <c r="BI228" s="239">
        <v>51245</v>
      </c>
      <c r="BJ228" s="239">
        <v>0</v>
      </c>
      <c r="BK228" s="239">
        <v>1046</v>
      </c>
      <c r="BL228" s="239">
        <v>-196.84636363636361</v>
      </c>
      <c r="BM228" s="239">
        <v>0</v>
      </c>
      <c r="BN228" s="239">
        <v>-4.0172727272727276</v>
      </c>
      <c r="BO228" s="239">
        <v>0</v>
      </c>
      <c r="BP228" s="239">
        <v>0</v>
      </c>
      <c r="BQ228" s="239">
        <v>0</v>
      </c>
      <c r="BR228" s="239">
        <v>-197</v>
      </c>
      <c r="BS228" s="239">
        <v>0</v>
      </c>
      <c r="BT228" s="239">
        <v>-4</v>
      </c>
      <c r="BU228" s="239">
        <v>17995.535495867767</v>
      </c>
      <c r="BV228" s="239">
        <v>0</v>
      </c>
      <c r="BW228" s="239">
        <v>367.25582644628099</v>
      </c>
      <c r="BX228" s="239">
        <v>0</v>
      </c>
      <c r="BY228" s="239">
        <v>0</v>
      </c>
      <c r="BZ228" s="239">
        <v>0</v>
      </c>
      <c r="CA228" s="239">
        <v>17996</v>
      </c>
      <c r="CB228" s="239">
        <v>0</v>
      </c>
      <c r="CC228" s="239">
        <v>367</v>
      </c>
      <c r="CD228" s="239">
        <v>61625.836074380168</v>
      </c>
      <c r="CE228" s="239">
        <v>0</v>
      </c>
      <c r="CF228" s="239">
        <v>1257.6701239669421</v>
      </c>
      <c r="CG228" s="239">
        <v>0</v>
      </c>
      <c r="CH228" s="239">
        <v>0</v>
      </c>
      <c r="CI228" s="239">
        <v>0</v>
      </c>
      <c r="CJ228" s="239">
        <v>61626</v>
      </c>
      <c r="CK228" s="239">
        <v>0</v>
      </c>
      <c r="CL228" s="239">
        <v>1258</v>
      </c>
      <c r="CM228" s="239">
        <v>4466.3246900826443</v>
      </c>
      <c r="CN228" s="239">
        <v>0</v>
      </c>
      <c r="CO228" s="239">
        <v>91.149483471074376</v>
      </c>
      <c r="CP228" s="239">
        <v>0</v>
      </c>
      <c r="CQ228" s="239">
        <v>0</v>
      </c>
      <c r="CR228" s="239">
        <v>0</v>
      </c>
      <c r="CS228" s="239">
        <v>4466</v>
      </c>
      <c r="CT228" s="239">
        <v>0</v>
      </c>
      <c r="CU228" s="239">
        <v>91</v>
      </c>
      <c r="CV228" s="239">
        <v>652747.22010330576</v>
      </c>
      <c r="CW228" s="239">
        <v>0</v>
      </c>
      <c r="CX228" s="239">
        <v>13321.371838842975</v>
      </c>
      <c r="CY228" s="239">
        <v>676109</v>
      </c>
      <c r="CZ228" s="239">
        <v>0</v>
      </c>
      <c r="DA228" s="239">
        <v>13798</v>
      </c>
      <c r="DB228" s="239">
        <v>-23362</v>
      </c>
      <c r="DC228" s="239">
        <v>0</v>
      </c>
      <c r="DD228" s="239">
        <v>-477</v>
      </c>
      <c r="DE228" s="641">
        <v>0.5</v>
      </c>
      <c r="DF228" s="641">
        <v>0.49</v>
      </c>
      <c r="DG228" s="641">
        <v>0</v>
      </c>
      <c r="DH228" s="641">
        <v>0.01</v>
      </c>
      <c r="DI228" s="214" t="s">
        <v>1192</v>
      </c>
    </row>
    <row r="229" spans="2:113" s="214" customFormat="1" x14ac:dyDescent="0.2">
      <c r="B229" s="609" t="s">
        <v>540</v>
      </c>
      <c r="C229" s="609" t="s">
        <v>539</v>
      </c>
      <c r="D229" s="239">
        <v>-343981</v>
      </c>
      <c r="E229" s="239">
        <v>0</v>
      </c>
      <c r="F229" s="239">
        <v>-343981</v>
      </c>
      <c r="G229" s="239">
        <v>0</v>
      </c>
      <c r="H229" s="239">
        <v>0</v>
      </c>
      <c r="I229" s="239">
        <v>0</v>
      </c>
      <c r="J229" s="239">
        <v>-343981</v>
      </c>
      <c r="K229" s="239">
        <v>0</v>
      </c>
      <c r="L229" s="239">
        <v>-343981</v>
      </c>
      <c r="M229" s="239">
        <v>452663</v>
      </c>
      <c r="N229" s="239">
        <v>452663</v>
      </c>
      <c r="O229" s="239">
        <v>0</v>
      </c>
      <c r="P229" s="239">
        <v>0</v>
      </c>
      <c r="Q229" s="239">
        <v>0</v>
      </c>
      <c r="R229" s="239">
        <v>0</v>
      </c>
      <c r="S229" s="239">
        <v>0</v>
      </c>
      <c r="T229" s="239">
        <v>0</v>
      </c>
      <c r="U229" s="239">
        <v>0</v>
      </c>
      <c r="V229" s="239">
        <v>0</v>
      </c>
      <c r="W229" s="239">
        <v>0</v>
      </c>
      <c r="X229" s="239">
        <v>0</v>
      </c>
      <c r="Y229" s="239">
        <v>0</v>
      </c>
      <c r="Z229" s="239">
        <v>0</v>
      </c>
      <c r="AA229" s="239">
        <v>0</v>
      </c>
      <c r="AB229" s="239">
        <v>0</v>
      </c>
      <c r="AC229" s="239">
        <v>0</v>
      </c>
      <c r="AD229" s="239">
        <v>0</v>
      </c>
      <c r="AE229" s="239">
        <v>0</v>
      </c>
      <c r="AF229" s="239">
        <v>0</v>
      </c>
      <c r="AG229" s="239">
        <v>0</v>
      </c>
      <c r="AH229" s="239">
        <v>0</v>
      </c>
      <c r="AI229" s="239">
        <v>0</v>
      </c>
      <c r="AJ229" s="239">
        <v>0</v>
      </c>
      <c r="AK229" s="239">
        <v>2165120.3613946284</v>
      </c>
      <c r="AL229" s="239">
        <v>0</v>
      </c>
      <c r="AM229" s="239">
        <v>44186.129824380165</v>
      </c>
      <c r="AN229" s="239">
        <v>2015992</v>
      </c>
      <c r="AO229" s="239">
        <v>0</v>
      </c>
      <c r="AP229" s="239">
        <v>41143</v>
      </c>
      <c r="AQ229" s="239">
        <v>149128</v>
      </c>
      <c r="AR229" s="239">
        <v>0</v>
      </c>
      <c r="AS229" s="239">
        <v>3043</v>
      </c>
      <c r="AT229" s="239">
        <v>13342.803264462809</v>
      </c>
      <c r="AU229" s="239">
        <v>0</v>
      </c>
      <c r="AV229" s="239">
        <v>272.30210743801655</v>
      </c>
      <c r="AW229" s="239">
        <v>10428</v>
      </c>
      <c r="AX229" s="239">
        <v>0</v>
      </c>
      <c r="AY229" s="239">
        <v>213</v>
      </c>
      <c r="AZ229" s="239">
        <v>2915</v>
      </c>
      <c r="BA229" s="239">
        <v>0</v>
      </c>
      <c r="BB229" s="239">
        <v>59</v>
      </c>
      <c r="BC229" s="239">
        <v>0</v>
      </c>
      <c r="BD229" s="239">
        <v>0</v>
      </c>
      <c r="BE229" s="239">
        <v>0</v>
      </c>
      <c r="BF229" s="239">
        <v>9894</v>
      </c>
      <c r="BG229" s="239">
        <v>0</v>
      </c>
      <c r="BH229" s="239">
        <v>202</v>
      </c>
      <c r="BI229" s="239">
        <v>-9894</v>
      </c>
      <c r="BJ229" s="239">
        <v>0</v>
      </c>
      <c r="BK229" s="239">
        <v>-202</v>
      </c>
      <c r="BL229" s="239">
        <v>1354.561466942152</v>
      </c>
      <c r="BM229" s="239">
        <v>0</v>
      </c>
      <c r="BN229" s="239">
        <v>27.644111570247958</v>
      </c>
      <c r="BO229" s="239">
        <v>58717</v>
      </c>
      <c r="BP229" s="239">
        <v>0</v>
      </c>
      <c r="BQ229" s="239">
        <v>1198</v>
      </c>
      <c r="BR229" s="239">
        <v>-57362</v>
      </c>
      <c r="BS229" s="239">
        <v>0</v>
      </c>
      <c r="BT229" s="239">
        <v>-1170</v>
      </c>
      <c r="BU229" s="239">
        <v>-8721.8845867768596</v>
      </c>
      <c r="BV229" s="239">
        <v>0</v>
      </c>
      <c r="BW229" s="239">
        <v>-177.99764462809918</v>
      </c>
      <c r="BX229" s="239">
        <v>0</v>
      </c>
      <c r="BY229" s="239">
        <v>0</v>
      </c>
      <c r="BZ229" s="239">
        <v>0</v>
      </c>
      <c r="CA229" s="239">
        <v>-8722</v>
      </c>
      <c r="CB229" s="239">
        <v>0</v>
      </c>
      <c r="CC229" s="239">
        <v>-178</v>
      </c>
      <c r="CD229" s="239">
        <v>0</v>
      </c>
      <c r="CE229" s="239">
        <v>0</v>
      </c>
      <c r="CF229" s="239">
        <v>0</v>
      </c>
      <c r="CG229" s="239">
        <v>0</v>
      </c>
      <c r="CH229" s="239">
        <v>0</v>
      </c>
      <c r="CI229" s="239">
        <v>0</v>
      </c>
      <c r="CJ229" s="239">
        <v>0</v>
      </c>
      <c r="CK229" s="239">
        <v>0</v>
      </c>
      <c r="CL229" s="239">
        <v>0</v>
      </c>
      <c r="CM229" s="239">
        <v>2280.6341322314051</v>
      </c>
      <c r="CN229" s="239">
        <v>0</v>
      </c>
      <c r="CO229" s="239">
        <v>46.543553719008273</v>
      </c>
      <c r="CP229" s="239">
        <v>5766</v>
      </c>
      <c r="CQ229" s="239">
        <v>0</v>
      </c>
      <c r="CR229" s="239">
        <v>118</v>
      </c>
      <c r="CS229" s="239">
        <v>-3485</v>
      </c>
      <c r="CT229" s="239">
        <v>0</v>
      </c>
      <c r="CU229" s="239">
        <v>-71</v>
      </c>
      <c r="CV229" s="239">
        <v>715977.30706611567</v>
      </c>
      <c r="CW229" s="239">
        <v>0</v>
      </c>
      <c r="CX229" s="239">
        <v>14611.781776859503</v>
      </c>
      <c r="CY229" s="239">
        <v>747288</v>
      </c>
      <c r="CZ229" s="239">
        <v>0</v>
      </c>
      <c r="DA229" s="239">
        <v>15251</v>
      </c>
      <c r="DB229" s="239">
        <v>-31311</v>
      </c>
      <c r="DC229" s="239">
        <v>0</v>
      </c>
      <c r="DD229" s="239">
        <v>-639</v>
      </c>
      <c r="DE229" s="641">
        <v>0.5</v>
      </c>
      <c r="DF229" s="641">
        <v>0.49</v>
      </c>
      <c r="DG229" s="641">
        <v>0</v>
      </c>
      <c r="DH229" s="641">
        <v>0.01</v>
      </c>
      <c r="DI229" s="214" t="s">
        <v>1192</v>
      </c>
    </row>
    <row r="230" spans="2:113" s="214" customFormat="1" x14ac:dyDescent="0.2">
      <c r="B230" s="609" t="s">
        <v>542</v>
      </c>
      <c r="C230" s="609" t="s">
        <v>541</v>
      </c>
      <c r="D230" s="239">
        <v>-136015</v>
      </c>
      <c r="E230" s="239">
        <v>0</v>
      </c>
      <c r="F230" s="239">
        <v>-136015</v>
      </c>
      <c r="G230" s="239">
        <v>0</v>
      </c>
      <c r="H230" s="239">
        <v>0</v>
      </c>
      <c r="I230" s="239">
        <v>0</v>
      </c>
      <c r="J230" s="239">
        <v>-136015</v>
      </c>
      <c r="K230" s="239">
        <v>0</v>
      </c>
      <c r="L230" s="239">
        <v>-136015</v>
      </c>
      <c r="M230" s="239">
        <v>257962</v>
      </c>
      <c r="N230" s="239">
        <v>257962</v>
      </c>
      <c r="O230" s="239">
        <v>0</v>
      </c>
      <c r="P230" s="239">
        <v>0</v>
      </c>
      <c r="Q230" s="239">
        <v>0</v>
      </c>
      <c r="R230" s="239">
        <v>0</v>
      </c>
      <c r="S230" s="239">
        <v>0</v>
      </c>
      <c r="T230" s="239">
        <v>0</v>
      </c>
      <c r="U230" s="239">
        <v>0</v>
      </c>
      <c r="V230" s="239">
        <v>0</v>
      </c>
      <c r="W230" s="239">
        <v>0</v>
      </c>
      <c r="X230" s="239">
        <v>0</v>
      </c>
      <c r="Y230" s="239">
        <v>0</v>
      </c>
      <c r="Z230" s="239">
        <v>0</v>
      </c>
      <c r="AA230" s="239">
        <v>0</v>
      </c>
      <c r="AB230" s="239">
        <v>0</v>
      </c>
      <c r="AC230" s="239">
        <v>0</v>
      </c>
      <c r="AD230" s="239">
        <v>0</v>
      </c>
      <c r="AE230" s="239">
        <v>0</v>
      </c>
      <c r="AF230" s="239">
        <v>0</v>
      </c>
      <c r="AG230" s="239">
        <v>0</v>
      </c>
      <c r="AH230" s="239">
        <v>0</v>
      </c>
      <c r="AI230" s="239">
        <v>0</v>
      </c>
      <c r="AJ230" s="239">
        <v>0</v>
      </c>
      <c r="AK230" s="239">
        <v>1163935.9921487602</v>
      </c>
      <c r="AL230" s="239">
        <v>261885.59823347107</v>
      </c>
      <c r="AM230" s="239">
        <v>29098.399803719007</v>
      </c>
      <c r="AN230" s="239">
        <v>1162591</v>
      </c>
      <c r="AO230" s="239">
        <v>261583</v>
      </c>
      <c r="AP230" s="239">
        <v>29065</v>
      </c>
      <c r="AQ230" s="239">
        <v>1345</v>
      </c>
      <c r="AR230" s="239">
        <v>303</v>
      </c>
      <c r="AS230" s="239">
        <v>33</v>
      </c>
      <c r="AT230" s="239">
        <v>7296.0165289256202</v>
      </c>
      <c r="AU230" s="239">
        <v>1641.6037190082643</v>
      </c>
      <c r="AV230" s="239">
        <v>182.4004132231405</v>
      </c>
      <c r="AW230" s="239">
        <v>8927</v>
      </c>
      <c r="AX230" s="239">
        <v>2009</v>
      </c>
      <c r="AY230" s="239">
        <v>223</v>
      </c>
      <c r="AZ230" s="239">
        <v>-1631</v>
      </c>
      <c r="BA230" s="239">
        <v>-367</v>
      </c>
      <c r="BB230" s="239">
        <v>-41</v>
      </c>
      <c r="BC230" s="239">
        <v>297.84628099173557</v>
      </c>
      <c r="BD230" s="239">
        <v>67.015413223140499</v>
      </c>
      <c r="BE230" s="239">
        <v>7.446157024793389</v>
      </c>
      <c r="BF230" s="239">
        <v>12174</v>
      </c>
      <c r="BG230" s="239">
        <v>2739</v>
      </c>
      <c r="BH230" s="239">
        <v>304</v>
      </c>
      <c r="BI230" s="239">
        <v>-11876</v>
      </c>
      <c r="BJ230" s="239">
        <v>-2672</v>
      </c>
      <c r="BK230" s="239">
        <v>-297</v>
      </c>
      <c r="BL230" s="239">
        <v>3470.2743801652896</v>
      </c>
      <c r="BM230" s="239">
        <v>780.81173553719009</v>
      </c>
      <c r="BN230" s="239">
        <v>86.756859504132237</v>
      </c>
      <c r="BO230" s="239">
        <v>12174</v>
      </c>
      <c r="BP230" s="239">
        <v>2739</v>
      </c>
      <c r="BQ230" s="239">
        <v>304</v>
      </c>
      <c r="BR230" s="239">
        <v>-8704</v>
      </c>
      <c r="BS230" s="239">
        <v>-1958</v>
      </c>
      <c r="BT230" s="239">
        <v>-217</v>
      </c>
      <c r="BU230" s="239">
        <v>-3216.2528925619836</v>
      </c>
      <c r="BV230" s="239">
        <v>-723.65690082644619</v>
      </c>
      <c r="BW230" s="239">
        <v>-80.406322314049589</v>
      </c>
      <c r="BX230" s="239">
        <v>0</v>
      </c>
      <c r="BY230" s="239">
        <v>0</v>
      </c>
      <c r="BZ230" s="239">
        <v>0</v>
      </c>
      <c r="CA230" s="239">
        <v>-3216</v>
      </c>
      <c r="CB230" s="239">
        <v>-724</v>
      </c>
      <c r="CC230" s="239">
        <v>-80</v>
      </c>
      <c r="CD230" s="239">
        <v>0</v>
      </c>
      <c r="CE230" s="239">
        <v>0</v>
      </c>
      <c r="CF230" s="239">
        <v>0</v>
      </c>
      <c r="CG230" s="239">
        <v>0</v>
      </c>
      <c r="CH230" s="239">
        <v>0</v>
      </c>
      <c r="CI230" s="239">
        <v>0</v>
      </c>
      <c r="CJ230" s="239">
        <v>0</v>
      </c>
      <c r="CK230" s="239">
        <v>0</v>
      </c>
      <c r="CL230" s="239">
        <v>0</v>
      </c>
      <c r="CM230" s="239">
        <v>6141.5578512396696</v>
      </c>
      <c r="CN230" s="239">
        <v>1381.8505165289255</v>
      </c>
      <c r="CO230" s="239">
        <v>153.53894628099172</v>
      </c>
      <c r="CP230" s="239">
        <v>10347</v>
      </c>
      <c r="CQ230" s="239">
        <v>2328</v>
      </c>
      <c r="CR230" s="239">
        <v>259</v>
      </c>
      <c r="CS230" s="239">
        <v>-4205</v>
      </c>
      <c r="CT230" s="239">
        <v>-946</v>
      </c>
      <c r="CU230" s="239">
        <v>-105</v>
      </c>
      <c r="CV230" s="239">
        <v>195498.66694214876</v>
      </c>
      <c r="CW230" s="239">
        <v>43987.200061983465</v>
      </c>
      <c r="CX230" s="239">
        <v>4887.4666735537194</v>
      </c>
      <c r="CY230" s="239">
        <v>191235</v>
      </c>
      <c r="CZ230" s="239">
        <v>43028</v>
      </c>
      <c r="DA230" s="239">
        <v>4781</v>
      </c>
      <c r="DB230" s="239">
        <v>4264</v>
      </c>
      <c r="DC230" s="239">
        <v>959</v>
      </c>
      <c r="DD230" s="239">
        <v>106</v>
      </c>
      <c r="DE230" s="641">
        <v>0.5</v>
      </c>
      <c r="DF230" s="641">
        <v>0.4</v>
      </c>
      <c r="DG230" s="641">
        <v>0.09</v>
      </c>
      <c r="DH230" s="641">
        <v>0.01</v>
      </c>
      <c r="DI230" s="214" t="s">
        <v>1190</v>
      </c>
    </row>
    <row r="231" spans="2:113" s="214" customFormat="1" x14ac:dyDescent="0.2">
      <c r="B231" s="609" t="s">
        <v>544</v>
      </c>
      <c r="C231" s="609" t="s">
        <v>543</v>
      </c>
      <c r="D231" s="239">
        <v>-157871</v>
      </c>
      <c r="E231" s="239">
        <v>0</v>
      </c>
      <c r="F231" s="239">
        <v>-157871</v>
      </c>
      <c r="G231" s="239">
        <v>0</v>
      </c>
      <c r="H231" s="239">
        <v>0</v>
      </c>
      <c r="I231" s="239">
        <v>0</v>
      </c>
      <c r="J231" s="239">
        <v>-157871</v>
      </c>
      <c r="K231" s="239">
        <v>0</v>
      </c>
      <c r="L231" s="239">
        <v>-157871</v>
      </c>
      <c r="M231" s="239">
        <v>161084</v>
      </c>
      <c r="N231" s="239">
        <v>161084</v>
      </c>
      <c r="O231" s="239">
        <v>0</v>
      </c>
      <c r="P231" s="239">
        <v>0</v>
      </c>
      <c r="Q231" s="239">
        <v>0</v>
      </c>
      <c r="R231" s="239">
        <v>0</v>
      </c>
      <c r="S231" s="239">
        <v>227233</v>
      </c>
      <c r="T231" s="239">
        <v>0</v>
      </c>
      <c r="U231" s="239">
        <v>182775</v>
      </c>
      <c r="V231" s="239">
        <v>0</v>
      </c>
      <c r="W231" s="239">
        <v>44458</v>
      </c>
      <c r="X231" s="239">
        <v>0</v>
      </c>
      <c r="Y231" s="239">
        <v>0</v>
      </c>
      <c r="Z231" s="239">
        <v>0</v>
      </c>
      <c r="AA231" s="239">
        <v>0</v>
      </c>
      <c r="AB231" s="239">
        <v>0</v>
      </c>
      <c r="AC231" s="239">
        <v>0</v>
      </c>
      <c r="AD231" s="239">
        <v>0</v>
      </c>
      <c r="AE231" s="239">
        <v>0</v>
      </c>
      <c r="AF231" s="239">
        <v>0</v>
      </c>
      <c r="AG231" s="239">
        <v>0</v>
      </c>
      <c r="AH231" s="239">
        <v>0</v>
      </c>
      <c r="AI231" s="239">
        <v>0</v>
      </c>
      <c r="AJ231" s="239">
        <v>0</v>
      </c>
      <c r="AK231" s="239">
        <v>631961.43347107444</v>
      </c>
      <c r="AL231" s="239">
        <v>142191.32253099172</v>
      </c>
      <c r="AM231" s="239">
        <v>15799.03583677686</v>
      </c>
      <c r="AN231" s="239">
        <v>579287</v>
      </c>
      <c r="AO231" s="239">
        <v>130339</v>
      </c>
      <c r="AP231" s="239">
        <v>14482</v>
      </c>
      <c r="AQ231" s="239">
        <v>52674</v>
      </c>
      <c r="AR231" s="239">
        <v>11852</v>
      </c>
      <c r="AS231" s="239">
        <v>1317</v>
      </c>
      <c r="AT231" s="239">
        <v>4648.2685950413224</v>
      </c>
      <c r="AU231" s="239">
        <v>1045.8604338842974</v>
      </c>
      <c r="AV231" s="239">
        <v>116.20671487603306</v>
      </c>
      <c r="AW231" s="239">
        <v>4941</v>
      </c>
      <c r="AX231" s="239">
        <v>1112</v>
      </c>
      <c r="AY231" s="239">
        <v>124</v>
      </c>
      <c r="AZ231" s="239">
        <v>-293</v>
      </c>
      <c r="BA231" s="239">
        <v>-66</v>
      </c>
      <c r="BB231" s="239">
        <v>-8</v>
      </c>
      <c r="BC231" s="239">
        <v>20220.678512396698</v>
      </c>
      <c r="BD231" s="239">
        <v>4549.6526652892562</v>
      </c>
      <c r="BE231" s="239">
        <v>505.5169628099174</v>
      </c>
      <c r="BF231" s="239">
        <v>0</v>
      </c>
      <c r="BG231" s="239">
        <v>0</v>
      </c>
      <c r="BH231" s="239">
        <v>0</v>
      </c>
      <c r="BI231" s="239">
        <v>20221</v>
      </c>
      <c r="BJ231" s="239">
        <v>4550</v>
      </c>
      <c r="BK231" s="239">
        <v>506</v>
      </c>
      <c r="BL231" s="239">
        <v>4472.9694214876035</v>
      </c>
      <c r="BM231" s="239">
        <v>1006.4181198347106</v>
      </c>
      <c r="BN231" s="239">
        <v>111.82423553719008</v>
      </c>
      <c r="BO231" s="239">
        <v>2790</v>
      </c>
      <c r="BP231" s="239">
        <v>628</v>
      </c>
      <c r="BQ231" s="239">
        <v>70</v>
      </c>
      <c r="BR231" s="239">
        <v>1683</v>
      </c>
      <c r="BS231" s="239">
        <v>378</v>
      </c>
      <c r="BT231" s="239">
        <v>42</v>
      </c>
      <c r="BU231" s="239">
        <v>684.5595041322315</v>
      </c>
      <c r="BV231" s="239">
        <v>154.02588842975206</v>
      </c>
      <c r="BW231" s="239">
        <v>17.113987603305787</v>
      </c>
      <c r="BX231" s="239">
        <v>0</v>
      </c>
      <c r="BY231" s="239">
        <v>0</v>
      </c>
      <c r="BZ231" s="239">
        <v>0</v>
      </c>
      <c r="CA231" s="239">
        <v>685</v>
      </c>
      <c r="CB231" s="239">
        <v>154</v>
      </c>
      <c r="CC231" s="239">
        <v>17</v>
      </c>
      <c r="CD231" s="239">
        <v>432.1611570247934</v>
      </c>
      <c r="CE231" s="239">
        <v>97.236260330578503</v>
      </c>
      <c r="CF231" s="239">
        <v>10.804028925619834</v>
      </c>
      <c r="CG231" s="239">
        <v>0</v>
      </c>
      <c r="CH231" s="239">
        <v>0</v>
      </c>
      <c r="CI231" s="239">
        <v>0</v>
      </c>
      <c r="CJ231" s="239">
        <v>432</v>
      </c>
      <c r="CK231" s="239">
        <v>97</v>
      </c>
      <c r="CL231" s="239">
        <v>11</v>
      </c>
      <c r="CM231" s="239">
        <v>7741.9743801652894</v>
      </c>
      <c r="CN231" s="239">
        <v>1741.94423553719</v>
      </c>
      <c r="CO231" s="239">
        <v>193.54935950413224</v>
      </c>
      <c r="CP231" s="239">
        <v>10317</v>
      </c>
      <c r="CQ231" s="239">
        <v>2321</v>
      </c>
      <c r="CR231" s="239">
        <v>258</v>
      </c>
      <c r="CS231" s="239">
        <v>-2575</v>
      </c>
      <c r="CT231" s="239">
        <v>-579</v>
      </c>
      <c r="CU231" s="239">
        <v>-64</v>
      </c>
      <c r="CV231" s="239">
        <v>228614.56487603308</v>
      </c>
      <c r="CW231" s="239">
        <v>50698.830867768593</v>
      </c>
      <c r="CX231" s="239">
        <v>5633.2034297520659</v>
      </c>
      <c r="CY231" s="239">
        <v>224414</v>
      </c>
      <c r="CZ231" s="239">
        <v>49898</v>
      </c>
      <c r="DA231" s="239">
        <v>5544</v>
      </c>
      <c r="DB231" s="239">
        <v>4201</v>
      </c>
      <c r="DC231" s="239">
        <v>801</v>
      </c>
      <c r="DD231" s="239">
        <v>89</v>
      </c>
      <c r="DE231" s="641">
        <v>0.5</v>
      </c>
      <c r="DF231" s="641">
        <v>0.4</v>
      </c>
      <c r="DG231" s="641">
        <v>0.09</v>
      </c>
      <c r="DH231" s="641">
        <v>0.01</v>
      </c>
      <c r="DI231" s="214" t="s">
        <v>1190</v>
      </c>
    </row>
    <row r="232" spans="2:113" s="214" customFormat="1" x14ac:dyDescent="0.2">
      <c r="B232" s="609" t="s">
        <v>546</v>
      </c>
      <c r="C232" s="609" t="s">
        <v>545</v>
      </c>
      <c r="D232" s="239">
        <v>-69945</v>
      </c>
      <c r="E232" s="239">
        <v>0</v>
      </c>
      <c r="F232" s="239">
        <v>-69945</v>
      </c>
      <c r="G232" s="239">
        <v>0</v>
      </c>
      <c r="H232" s="239">
        <v>0</v>
      </c>
      <c r="I232" s="239">
        <v>0</v>
      </c>
      <c r="J232" s="239">
        <v>-69945</v>
      </c>
      <c r="K232" s="239">
        <v>0</v>
      </c>
      <c r="L232" s="239">
        <v>-69945</v>
      </c>
      <c r="M232" s="239">
        <v>328553</v>
      </c>
      <c r="N232" s="239">
        <v>328553</v>
      </c>
      <c r="O232" s="239">
        <v>0</v>
      </c>
      <c r="P232" s="239">
        <v>0</v>
      </c>
      <c r="Q232" s="239">
        <v>0</v>
      </c>
      <c r="R232" s="239">
        <v>0</v>
      </c>
      <c r="S232" s="239">
        <v>0</v>
      </c>
      <c r="T232" s="239">
        <v>0</v>
      </c>
      <c r="U232" s="239">
        <v>0</v>
      </c>
      <c r="V232" s="239">
        <v>0</v>
      </c>
      <c r="W232" s="239">
        <v>0</v>
      </c>
      <c r="X232" s="239">
        <v>0</v>
      </c>
      <c r="Y232" s="239">
        <v>0</v>
      </c>
      <c r="Z232" s="239">
        <v>0</v>
      </c>
      <c r="AA232" s="239">
        <v>0</v>
      </c>
      <c r="AB232" s="239">
        <v>0</v>
      </c>
      <c r="AC232" s="239">
        <v>0</v>
      </c>
      <c r="AD232" s="239">
        <v>0</v>
      </c>
      <c r="AE232" s="239">
        <v>0</v>
      </c>
      <c r="AF232" s="239">
        <v>0</v>
      </c>
      <c r="AG232" s="239">
        <v>0</v>
      </c>
      <c r="AH232" s="239">
        <v>0</v>
      </c>
      <c r="AI232" s="239">
        <v>0</v>
      </c>
      <c r="AJ232" s="239">
        <v>0</v>
      </c>
      <c r="AK232" s="239">
        <v>1520466.912696281</v>
      </c>
      <c r="AL232" s="239">
        <v>0</v>
      </c>
      <c r="AM232" s="239">
        <v>31029.936993801653</v>
      </c>
      <c r="AN232" s="239">
        <v>1465886</v>
      </c>
      <c r="AO232" s="239">
        <v>0</v>
      </c>
      <c r="AP232" s="239">
        <v>29916</v>
      </c>
      <c r="AQ232" s="239">
        <v>54581</v>
      </c>
      <c r="AR232" s="239">
        <v>0</v>
      </c>
      <c r="AS232" s="239">
        <v>1114</v>
      </c>
      <c r="AT232" s="239">
        <v>6339.3476652892559</v>
      </c>
      <c r="AU232" s="239">
        <v>0</v>
      </c>
      <c r="AV232" s="239">
        <v>129.37444214876035</v>
      </c>
      <c r="AW232" s="239">
        <v>0</v>
      </c>
      <c r="AX232" s="239">
        <v>0</v>
      </c>
      <c r="AY232" s="239">
        <v>0</v>
      </c>
      <c r="AZ232" s="239">
        <v>6339</v>
      </c>
      <c r="BA232" s="239">
        <v>0</v>
      </c>
      <c r="BB232" s="239">
        <v>129</v>
      </c>
      <c r="BC232" s="239">
        <v>32502.515991735538</v>
      </c>
      <c r="BD232" s="239">
        <v>0</v>
      </c>
      <c r="BE232" s="239">
        <v>663.31665289256193</v>
      </c>
      <c r="BF232" s="239">
        <v>46726</v>
      </c>
      <c r="BG232" s="239">
        <v>0</v>
      </c>
      <c r="BH232" s="239">
        <v>954</v>
      </c>
      <c r="BI232" s="239">
        <v>-14223</v>
      </c>
      <c r="BJ232" s="239">
        <v>0</v>
      </c>
      <c r="BK232" s="239">
        <v>-291</v>
      </c>
      <c r="BL232" s="239">
        <v>47420.090165289257</v>
      </c>
      <c r="BM232" s="239">
        <v>0</v>
      </c>
      <c r="BN232" s="239">
        <v>967.75694214876034</v>
      </c>
      <c r="BO232" s="239">
        <v>29825</v>
      </c>
      <c r="BP232" s="239">
        <v>0</v>
      </c>
      <c r="BQ232" s="239">
        <v>609</v>
      </c>
      <c r="BR232" s="239">
        <v>17595</v>
      </c>
      <c r="BS232" s="239">
        <v>0</v>
      </c>
      <c r="BT232" s="239">
        <v>359</v>
      </c>
      <c r="BU232" s="239">
        <v>5453.5390289256193</v>
      </c>
      <c r="BV232" s="239">
        <v>0</v>
      </c>
      <c r="BW232" s="239">
        <v>111.29671487603306</v>
      </c>
      <c r="BX232" s="239">
        <v>0</v>
      </c>
      <c r="BY232" s="239">
        <v>0</v>
      </c>
      <c r="BZ232" s="239">
        <v>0</v>
      </c>
      <c r="CA232" s="239">
        <v>5454</v>
      </c>
      <c r="CB232" s="239">
        <v>0</v>
      </c>
      <c r="CC232" s="239">
        <v>111</v>
      </c>
      <c r="CD232" s="239">
        <v>0</v>
      </c>
      <c r="CE232" s="239">
        <v>0</v>
      </c>
      <c r="CF232" s="239">
        <v>0</v>
      </c>
      <c r="CG232" s="239">
        <v>0</v>
      </c>
      <c r="CH232" s="239">
        <v>0</v>
      </c>
      <c r="CI232" s="239">
        <v>0</v>
      </c>
      <c r="CJ232" s="239">
        <v>0</v>
      </c>
      <c r="CK232" s="239">
        <v>0</v>
      </c>
      <c r="CL232" s="239">
        <v>0</v>
      </c>
      <c r="CM232" s="239">
        <v>3198.7534090909089</v>
      </c>
      <c r="CN232" s="239">
        <v>0</v>
      </c>
      <c r="CO232" s="239">
        <v>65.280681818181819</v>
      </c>
      <c r="CP232" s="239">
        <v>3199</v>
      </c>
      <c r="CQ232" s="239">
        <v>0</v>
      </c>
      <c r="CR232" s="239">
        <v>65</v>
      </c>
      <c r="CS232" s="239">
        <v>0</v>
      </c>
      <c r="CT232" s="239">
        <v>0</v>
      </c>
      <c r="CU232" s="239">
        <v>0</v>
      </c>
      <c r="CV232" s="239">
        <v>468300.68510330579</v>
      </c>
      <c r="CW232" s="239">
        <v>0</v>
      </c>
      <c r="CX232" s="239">
        <v>9557.156838842975</v>
      </c>
      <c r="CY232" s="239">
        <v>476912</v>
      </c>
      <c r="CZ232" s="239">
        <v>0</v>
      </c>
      <c r="DA232" s="239">
        <v>9733</v>
      </c>
      <c r="DB232" s="239">
        <v>-8611</v>
      </c>
      <c r="DC232" s="239">
        <v>0</v>
      </c>
      <c r="DD232" s="239">
        <v>-176</v>
      </c>
      <c r="DE232" s="641">
        <v>0.5</v>
      </c>
      <c r="DF232" s="641">
        <v>0.49</v>
      </c>
      <c r="DG232" s="641">
        <v>0</v>
      </c>
      <c r="DH232" s="641">
        <v>0.01</v>
      </c>
      <c r="DI232" s="214" t="s">
        <v>1192</v>
      </c>
    </row>
    <row r="233" spans="2:113" s="214" customFormat="1" x14ac:dyDescent="0.2">
      <c r="B233" s="609" t="s">
        <v>548</v>
      </c>
      <c r="C233" s="609" t="s">
        <v>547</v>
      </c>
      <c r="D233" s="239">
        <v>-106312</v>
      </c>
      <c r="E233" s="239">
        <v>0</v>
      </c>
      <c r="F233" s="239">
        <v>-106312</v>
      </c>
      <c r="G233" s="239">
        <v>0</v>
      </c>
      <c r="H233" s="239">
        <v>0</v>
      </c>
      <c r="I233" s="239">
        <v>0</v>
      </c>
      <c r="J233" s="239">
        <v>-106312</v>
      </c>
      <c r="K233" s="239">
        <v>0</v>
      </c>
      <c r="L233" s="239">
        <v>-106312</v>
      </c>
      <c r="M233" s="239">
        <v>118443</v>
      </c>
      <c r="N233" s="239">
        <v>118443</v>
      </c>
      <c r="O233" s="239">
        <v>0</v>
      </c>
      <c r="P233" s="239">
        <v>0</v>
      </c>
      <c r="Q233" s="239">
        <v>0</v>
      </c>
      <c r="R233" s="239">
        <v>0</v>
      </c>
      <c r="S233" s="239">
        <v>6421601</v>
      </c>
      <c r="T233" s="239">
        <v>0</v>
      </c>
      <c r="U233" s="239">
        <v>7416100</v>
      </c>
      <c r="V233" s="239">
        <v>0</v>
      </c>
      <c r="W233" s="239">
        <v>-994499</v>
      </c>
      <c r="X233" s="239">
        <v>0</v>
      </c>
      <c r="Y233" s="239">
        <v>0</v>
      </c>
      <c r="Z233" s="239">
        <v>0</v>
      </c>
      <c r="AA233" s="239">
        <v>0</v>
      </c>
      <c r="AB233" s="239">
        <v>0</v>
      </c>
      <c r="AC233" s="239">
        <v>0</v>
      </c>
      <c r="AD233" s="239">
        <v>0</v>
      </c>
      <c r="AE233" s="239">
        <v>0</v>
      </c>
      <c r="AF233" s="239">
        <v>0</v>
      </c>
      <c r="AG233" s="239">
        <v>0</v>
      </c>
      <c r="AH233" s="239">
        <v>0</v>
      </c>
      <c r="AI233" s="239">
        <v>0</v>
      </c>
      <c r="AJ233" s="239">
        <v>0</v>
      </c>
      <c r="AK233" s="239">
        <v>385976.11446280993</v>
      </c>
      <c r="AL233" s="239">
        <v>86844.625754132227</v>
      </c>
      <c r="AM233" s="239">
        <v>9649.4028615702482</v>
      </c>
      <c r="AN233" s="239">
        <v>341495</v>
      </c>
      <c r="AO233" s="239">
        <v>76836</v>
      </c>
      <c r="AP233" s="239">
        <v>8537</v>
      </c>
      <c r="AQ233" s="239">
        <v>44481</v>
      </c>
      <c r="AR233" s="239">
        <v>10009</v>
      </c>
      <c r="AS233" s="239">
        <v>1112</v>
      </c>
      <c r="AT233" s="239">
        <v>6486.4752066115707</v>
      </c>
      <c r="AU233" s="239">
        <v>1459.4569214876033</v>
      </c>
      <c r="AV233" s="239">
        <v>162.16188016528926</v>
      </c>
      <c r="AW233" s="239">
        <v>3363</v>
      </c>
      <c r="AX233" s="239">
        <v>757</v>
      </c>
      <c r="AY233" s="239">
        <v>84</v>
      </c>
      <c r="AZ233" s="239">
        <v>3123</v>
      </c>
      <c r="BA233" s="239">
        <v>702</v>
      </c>
      <c r="BB233" s="239">
        <v>78</v>
      </c>
      <c r="BC233" s="239">
        <v>0</v>
      </c>
      <c r="BD233" s="239">
        <v>0</v>
      </c>
      <c r="BE233" s="239">
        <v>0</v>
      </c>
      <c r="BF233" s="239">
        <v>2060</v>
      </c>
      <c r="BG233" s="239">
        <v>463</v>
      </c>
      <c r="BH233" s="239">
        <v>51</v>
      </c>
      <c r="BI233" s="239">
        <v>-2060</v>
      </c>
      <c r="BJ233" s="239">
        <v>-463</v>
      </c>
      <c r="BK233" s="239">
        <v>-51</v>
      </c>
      <c r="BL233" s="239">
        <v>5930.1438016528928</v>
      </c>
      <c r="BM233" s="239">
        <v>1334.2823553719008</v>
      </c>
      <c r="BN233" s="239">
        <v>148.25359504132231</v>
      </c>
      <c r="BO233" s="239">
        <v>5779</v>
      </c>
      <c r="BP233" s="239">
        <v>1300</v>
      </c>
      <c r="BQ233" s="239">
        <v>144</v>
      </c>
      <c r="BR233" s="239">
        <v>151</v>
      </c>
      <c r="BS233" s="239">
        <v>34</v>
      </c>
      <c r="BT233" s="239">
        <v>4</v>
      </c>
      <c r="BU233" s="239">
        <v>491</v>
      </c>
      <c r="BV233" s="239">
        <v>110.47499999999999</v>
      </c>
      <c r="BW233" s="239">
        <v>12.275</v>
      </c>
      <c r="BX233" s="239">
        <v>0</v>
      </c>
      <c r="BY233" s="239">
        <v>0</v>
      </c>
      <c r="BZ233" s="239">
        <v>0</v>
      </c>
      <c r="CA233" s="239">
        <v>491</v>
      </c>
      <c r="CB233" s="239">
        <v>110</v>
      </c>
      <c r="CC233" s="239">
        <v>12</v>
      </c>
      <c r="CD233" s="239">
        <v>7386.1008264462807</v>
      </c>
      <c r="CE233" s="239">
        <v>1661.8726859504131</v>
      </c>
      <c r="CF233" s="239">
        <v>184.65252066115701</v>
      </c>
      <c r="CG233" s="239">
        <v>0</v>
      </c>
      <c r="CH233" s="239">
        <v>0</v>
      </c>
      <c r="CI233" s="239">
        <v>0</v>
      </c>
      <c r="CJ233" s="239">
        <v>7386</v>
      </c>
      <c r="CK233" s="239">
        <v>1662</v>
      </c>
      <c r="CL233" s="239">
        <v>185</v>
      </c>
      <c r="CM233" s="239">
        <v>5553.5752066115701</v>
      </c>
      <c r="CN233" s="239">
        <v>1249.5544214876031</v>
      </c>
      <c r="CO233" s="239">
        <v>138.83938016528924</v>
      </c>
      <c r="CP233" s="239">
        <v>0</v>
      </c>
      <c r="CQ233" s="239">
        <v>0</v>
      </c>
      <c r="CR233" s="239">
        <v>0</v>
      </c>
      <c r="CS233" s="239">
        <v>5554</v>
      </c>
      <c r="CT233" s="239">
        <v>1250</v>
      </c>
      <c r="CU233" s="239">
        <v>139</v>
      </c>
      <c r="CV233" s="239">
        <v>291909.52520661161</v>
      </c>
      <c r="CW233" s="239">
        <v>44782.904380165288</v>
      </c>
      <c r="CX233" s="239">
        <v>4975.87826446281</v>
      </c>
      <c r="CY233" s="239">
        <v>295921</v>
      </c>
      <c r="CZ233" s="239">
        <v>42449</v>
      </c>
      <c r="DA233" s="239">
        <v>4717</v>
      </c>
      <c r="DB233" s="239">
        <v>-4011</v>
      </c>
      <c r="DC233" s="239">
        <v>2334</v>
      </c>
      <c r="DD233" s="239">
        <v>259</v>
      </c>
      <c r="DE233" s="641">
        <v>0.5</v>
      </c>
      <c r="DF233" s="641">
        <v>0.4</v>
      </c>
      <c r="DG233" s="641">
        <v>0.09</v>
      </c>
      <c r="DH233" s="641">
        <v>0.01</v>
      </c>
      <c r="DI233" s="214" t="s">
        <v>1190</v>
      </c>
    </row>
    <row r="234" spans="2:113" s="214" customFormat="1" x14ac:dyDescent="0.2">
      <c r="B234" s="609" t="s">
        <v>550</v>
      </c>
      <c r="C234" s="609" t="s">
        <v>549</v>
      </c>
      <c r="D234" s="239">
        <v>-30854</v>
      </c>
      <c r="E234" s="239">
        <v>0</v>
      </c>
      <c r="F234" s="239">
        <v>-30854</v>
      </c>
      <c r="G234" s="239">
        <v>0</v>
      </c>
      <c r="H234" s="239">
        <v>0</v>
      </c>
      <c r="I234" s="239">
        <v>0</v>
      </c>
      <c r="J234" s="239">
        <v>-30854</v>
      </c>
      <c r="K234" s="239">
        <v>0</v>
      </c>
      <c r="L234" s="239">
        <v>-30854</v>
      </c>
      <c r="M234" s="239">
        <v>165079</v>
      </c>
      <c r="N234" s="239">
        <v>165079</v>
      </c>
      <c r="O234" s="239">
        <v>0</v>
      </c>
      <c r="P234" s="239">
        <v>0</v>
      </c>
      <c r="Q234" s="239">
        <v>0</v>
      </c>
      <c r="R234" s="239">
        <v>0</v>
      </c>
      <c r="S234" s="239">
        <v>0</v>
      </c>
      <c r="T234" s="239">
        <v>0</v>
      </c>
      <c r="U234" s="239">
        <v>0</v>
      </c>
      <c r="V234" s="239">
        <v>0</v>
      </c>
      <c r="W234" s="239">
        <v>0</v>
      </c>
      <c r="X234" s="239">
        <v>0</v>
      </c>
      <c r="Y234" s="239">
        <v>0</v>
      </c>
      <c r="Z234" s="239">
        <v>0</v>
      </c>
      <c r="AA234" s="239">
        <v>0</v>
      </c>
      <c r="AB234" s="239">
        <v>0</v>
      </c>
      <c r="AC234" s="239">
        <v>0</v>
      </c>
      <c r="AD234" s="239">
        <v>0</v>
      </c>
      <c r="AE234" s="239">
        <v>0</v>
      </c>
      <c r="AF234" s="239">
        <v>0</v>
      </c>
      <c r="AG234" s="239">
        <v>0</v>
      </c>
      <c r="AH234" s="239">
        <v>0</v>
      </c>
      <c r="AI234" s="239">
        <v>0</v>
      </c>
      <c r="AJ234" s="239">
        <v>0</v>
      </c>
      <c r="AK234" s="239">
        <v>553951.67809917359</v>
      </c>
      <c r="AL234" s="239">
        <v>124639.12757231406</v>
      </c>
      <c r="AM234" s="239">
        <v>13848.79195247934</v>
      </c>
      <c r="AN234" s="239">
        <v>459353</v>
      </c>
      <c r="AO234" s="239">
        <v>103354</v>
      </c>
      <c r="AP234" s="239">
        <v>11484</v>
      </c>
      <c r="AQ234" s="239">
        <v>94599</v>
      </c>
      <c r="AR234" s="239">
        <v>21285</v>
      </c>
      <c r="AS234" s="239">
        <v>2365</v>
      </c>
      <c r="AT234" s="239">
        <v>4058.6628099173558</v>
      </c>
      <c r="AU234" s="239">
        <v>913.19913223140497</v>
      </c>
      <c r="AV234" s="239">
        <v>101.46657024793387</v>
      </c>
      <c r="AW234" s="239">
        <v>3021</v>
      </c>
      <c r="AX234" s="239">
        <v>680</v>
      </c>
      <c r="AY234" s="239">
        <v>76</v>
      </c>
      <c r="AZ234" s="239">
        <v>1038</v>
      </c>
      <c r="BA234" s="239">
        <v>233</v>
      </c>
      <c r="BB234" s="239">
        <v>25</v>
      </c>
      <c r="BC234" s="239">
        <v>5487.4322314049587</v>
      </c>
      <c r="BD234" s="239">
        <v>1234.6722520661156</v>
      </c>
      <c r="BE234" s="239">
        <v>137.18580578512396</v>
      </c>
      <c r="BF234" s="239">
        <v>0</v>
      </c>
      <c r="BG234" s="239">
        <v>0</v>
      </c>
      <c r="BH234" s="239">
        <v>0</v>
      </c>
      <c r="BI234" s="239">
        <v>5487</v>
      </c>
      <c r="BJ234" s="239">
        <v>1235</v>
      </c>
      <c r="BK234" s="239">
        <v>137</v>
      </c>
      <c r="BL234" s="239">
        <v>1637.7487603305785</v>
      </c>
      <c r="BM234" s="239">
        <v>368.49347107438012</v>
      </c>
      <c r="BN234" s="239">
        <v>40.943719008264466</v>
      </c>
      <c r="BO234" s="239">
        <v>0</v>
      </c>
      <c r="BP234" s="239">
        <v>0</v>
      </c>
      <c r="BQ234" s="239">
        <v>0</v>
      </c>
      <c r="BR234" s="239">
        <v>1638</v>
      </c>
      <c r="BS234" s="239">
        <v>368</v>
      </c>
      <c r="BT234" s="239">
        <v>41</v>
      </c>
      <c r="BU234" s="239">
        <v>5335.2628099173562</v>
      </c>
      <c r="BV234" s="239">
        <v>1200.4341322314049</v>
      </c>
      <c r="BW234" s="239">
        <v>133.38157024793389</v>
      </c>
      <c r="BX234" s="239">
        <v>0</v>
      </c>
      <c r="BY234" s="239">
        <v>0</v>
      </c>
      <c r="BZ234" s="239">
        <v>0</v>
      </c>
      <c r="CA234" s="239">
        <v>5335</v>
      </c>
      <c r="CB234" s="239">
        <v>1200</v>
      </c>
      <c r="CC234" s="239">
        <v>133</v>
      </c>
      <c r="CD234" s="239">
        <v>0</v>
      </c>
      <c r="CE234" s="239">
        <v>0</v>
      </c>
      <c r="CF234" s="239">
        <v>0</v>
      </c>
      <c r="CG234" s="239">
        <v>0</v>
      </c>
      <c r="CH234" s="239">
        <v>0</v>
      </c>
      <c r="CI234" s="239">
        <v>0</v>
      </c>
      <c r="CJ234" s="239">
        <v>0</v>
      </c>
      <c r="CK234" s="239">
        <v>0</v>
      </c>
      <c r="CL234" s="239">
        <v>0</v>
      </c>
      <c r="CM234" s="239">
        <v>945.07355371900837</v>
      </c>
      <c r="CN234" s="239">
        <v>212.64154958677685</v>
      </c>
      <c r="CO234" s="239">
        <v>23.626838842975207</v>
      </c>
      <c r="CP234" s="239">
        <v>831</v>
      </c>
      <c r="CQ234" s="239">
        <v>187</v>
      </c>
      <c r="CR234" s="239">
        <v>21</v>
      </c>
      <c r="CS234" s="239">
        <v>114</v>
      </c>
      <c r="CT234" s="239">
        <v>26</v>
      </c>
      <c r="CU234" s="239">
        <v>3</v>
      </c>
      <c r="CV234" s="239">
        <v>208845.97768595046</v>
      </c>
      <c r="CW234" s="239">
        <v>46990.344979338843</v>
      </c>
      <c r="CX234" s="239">
        <v>5221.1494421487605</v>
      </c>
      <c r="CY234" s="239">
        <v>212518</v>
      </c>
      <c r="CZ234" s="239">
        <v>47816</v>
      </c>
      <c r="DA234" s="239">
        <v>5313</v>
      </c>
      <c r="DB234" s="239">
        <v>-3672</v>
      </c>
      <c r="DC234" s="239">
        <v>-826</v>
      </c>
      <c r="DD234" s="239">
        <v>-92</v>
      </c>
      <c r="DE234" s="641">
        <v>0.5</v>
      </c>
      <c r="DF234" s="641">
        <v>0.4</v>
      </c>
      <c r="DG234" s="641">
        <v>0.09</v>
      </c>
      <c r="DH234" s="641">
        <v>0.01</v>
      </c>
      <c r="DI234" s="214" t="s">
        <v>1190</v>
      </c>
    </row>
    <row r="235" spans="2:113" s="214" customFormat="1" x14ac:dyDescent="0.2">
      <c r="B235" s="609" t="s">
        <v>552</v>
      </c>
      <c r="C235" s="609" t="s">
        <v>551</v>
      </c>
      <c r="D235" s="239">
        <v>-507519</v>
      </c>
      <c r="E235" s="239">
        <v>1182</v>
      </c>
      <c r="F235" s="239">
        <v>-506337</v>
      </c>
      <c r="G235" s="239">
        <v>0</v>
      </c>
      <c r="H235" s="239">
        <v>0</v>
      </c>
      <c r="I235" s="239">
        <v>0</v>
      </c>
      <c r="J235" s="239">
        <v>-507519</v>
      </c>
      <c r="K235" s="239">
        <v>1182</v>
      </c>
      <c r="L235" s="239">
        <v>-506337</v>
      </c>
      <c r="M235" s="239">
        <v>777710</v>
      </c>
      <c r="N235" s="239">
        <v>777710</v>
      </c>
      <c r="O235" s="239">
        <v>0</v>
      </c>
      <c r="P235" s="239">
        <v>783107</v>
      </c>
      <c r="Q235" s="239">
        <v>1196391</v>
      </c>
      <c r="R235" s="239">
        <v>-413284</v>
      </c>
      <c r="S235" s="239">
        <v>1068550</v>
      </c>
      <c r="T235" s="239">
        <v>0</v>
      </c>
      <c r="U235" s="239">
        <v>868197</v>
      </c>
      <c r="V235" s="239">
        <v>0</v>
      </c>
      <c r="W235" s="239">
        <v>200353</v>
      </c>
      <c r="X235" s="239">
        <v>0</v>
      </c>
      <c r="Y235" s="239">
        <v>55795.454545454544</v>
      </c>
      <c r="Z235" s="239">
        <v>55795.454545454544</v>
      </c>
      <c r="AA235" s="239">
        <v>0</v>
      </c>
      <c r="AB235" s="239">
        <v>0</v>
      </c>
      <c r="AC235" s="239">
        <v>56076</v>
      </c>
      <c r="AD235" s="239">
        <v>56076</v>
      </c>
      <c r="AE235" s="239">
        <v>0</v>
      </c>
      <c r="AF235" s="239">
        <v>0</v>
      </c>
      <c r="AG235" s="239">
        <v>-281</v>
      </c>
      <c r="AH235" s="239">
        <v>-281</v>
      </c>
      <c r="AI235" s="239">
        <v>0</v>
      </c>
      <c r="AJ235" s="239">
        <v>0</v>
      </c>
      <c r="AK235" s="239">
        <v>3066996.9575413228</v>
      </c>
      <c r="AL235" s="239">
        <v>0</v>
      </c>
      <c r="AM235" s="239">
        <v>62418.425723140492</v>
      </c>
      <c r="AN235" s="239">
        <v>2880788</v>
      </c>
      <c r="AO235" s="239">
        <v>0</v>
      </c>
      <c r="AP235" s="239">
        <v>58469</v>
      </c>
      <c r="AQ235" s="239">
        <v>186209</v>
      </c>
      <c r="AR235" s="239">
        <v>0</v>
      </c>
      <c r="AS235" s="239">
        <v>3949</v>
      </c>
      <c r="AT235" s="239">
        <v>0</v>
      </c>
      <c r="AU235" s="239">
        <v>0</v>
      </c>
      <c r="AV235" s="239">
        <v>0</v>
      </c>
      <c r="AW235" s="239">
        <v>27200</v>
      </c>
      <c r="AX235" s="239">
        <v>0</v>
      </c>
      <c r="AY235" s="239">
        <v>555</v>
      </c>
      <c r="AZ235" s="239">
        <v>-27200</v>
      </c>
      <c r="BA235" s="239">
        <v>0</v>
      </c>
      <c r="BB235" s="239">
        <v>-555</v>
      </c>
      <c r="BC235" s="239">
        <v>0</v>
      </c>
      <c r="BD235" s="239">
        <v>0</v>
      </c>
      <c r="BE235" s="239">
        <v>0</v>
      </c>
      <c r="BF235" s="239">
        <v>0</v>
      </c>
      <c r="BG235" s="239">
        <v>0</v>
      </c>
      <c r="BH235" s="239">
        <v>0</v>
      </c>
      <c r="BI235" s="239">
        <v>0</v>
      </c>
      <c r="BJ235" s="239">
        <v>0</v>
      </c>
      <c r="BK235" s="239">
        <v>0</v>
      </c>
      <c r="BL235" s="239">
        <v>66398.964752066124</v>
      </c>
      <c r="BM235" s="239">
        <v>0</v>
      </c>
      <c r="BN235" s="239">
        <v>1406.7150000000001</v>
      </c>
      <c r="BO235" s="239">
        <v>38472</v>
      </c>
      <c r="BP235" s="239">
        <v>0</v>
      </c>
      <c r="BQ235" s="239">
        <v>686</v>
      </c>
      <c r="BR235" s="239">
        <v>27927</v>
      </c>
      <c r="BS235" s="239">
        <v>0</v>
      </c>
      <c r="BT235" s="239">
        <v>721</v>
      </c>
      <c r="BU235" s="239">
        <v>10851.901425619833</v>
      </c>
      <c r="BV235" s="239">
        <v>0</v>
      </c>
      <c r="BW235" s="239">
        <v>221.46737603305786</v>
      </c>
      <c r="BX235" s="239">
        <v>0</v>
      </c>
      <c r="BY235" s="239">
        <v>0</v>
      </c>
      <c r="BZ235" s="239">
        <v>0</v>
      </c>
      <c r="CA235" s="239">
        <v>10852</v>
      </c>
      <c r="CB235" s="239">
        <v>0</v>
      </c>
      <c r="CC235" s="239">
        <v>221</v>
      </c>
      <c r="CD235" s="239">
        <v>0</v>
      </c>
      <c r="CE235" s="239">
        <v>0</v>
      </c>
      <c r="CF235" s="239">
        <v>0</v>
      </c>
      <c r="CG235" s="239">
        <v>0</v>
      </c>
      <c r="CH235" s="239">
        <v>0</v>
      </c>
      <c r="CI235" s="239">
        <v>0</v>
      </c>
      <c r="CJ235" s="239">
        <v>0</v>
      </c>
      <c r="CK235" s="239">
        <v>0</v>
      </c>
      <c r="CL235" s="239">
        <v>0</v>
      </c>
      <c r="CM235" s="239">
        <v>0</v>
      </c>
      <c r="CN235" s="239">
        <v>0</v>
      </c>
      <c r="CO235" s="239">
        <v>0</v>
      </c>
      <c r="CP235" s="239">
        <v>0</v>
      </c>
      <c r="CQ235" s="239">
        <v>0</v>
      </c>
      <c r="CR235" s="239">
        <v>0</v>
      </c>
      <c r="CS235" s="239">
        <v>0</v>
      </c>
      <c r="CT235" s="239">
        <v>0</v>
      </c>
      <c r="CU235" s="239">
        <v>0</v>
      </c>
      <c r="CV235" s="239">
        <v>1497536.0712396696</v>
      </c>
      <c r="CW235" s="239">
        <v>0</v>
      </c>
      <c r="CX235" s="239">
        <v>30015.426694214879</v>
      </c>
      <c r="CY235" s="239">
        <v>1555242</v>
      </c>
      <c r="CZ235" s="239">
        <v>0</v>
      </c>
      <c r="DA235" s="239">
        <v>31114</v>
      </c>
      <c r="DB235" s="239">
        <v>-57706</v>
      </c>
      <c r="DC235" s="239">
        <v>0</v>
      </c>
      <c r="DD235" s="239">
        <v>-1099</v>
      </c>
      <c r="DE235" s="641">
        <v>0.5</v>
      </c>
      <c r="DF235" s="641">
        <v>0.49</v>
      </c>
      <c r="DG235" s="641">
        <v>0</v>
      </c>
      <c r="DH235" s="641">
        <v>0.01</v>
      </c>
      <c r="DI235" s="214" t="s">
        <v>1192</v>
      </c>
    </row>
    <row r="236" spans="2:113" s="214" customFormat="1" x14ac:dyDescent="0.2">
      <c r="B236" s="609" t="s">
        <v>554</v>
      </c>
      <c r="C236" s="609" t="s">
        <v>553</v>
      </c>
      <c r="D236" s="239">
        <v>-66138</v>
      </c>
      <c r="E236" s="239">
        <v>0</v>
      </c>
      <c r="F236" s="239">
        <v>-66138</v>
      </c>
      <c r="G236" s="239">
        <v>0</v>
      </c>
      <c r="H236" s="239">
        <v>0</v>
      </c>
      <c r="I236" s="239">
        <v>0</v>
      </c>
      <c r="J236" s="239">
        <v>-66138</v>
      </c>
      <c r="K236" s="239">
        <v>0</v>
      </c>
      <c r="L236" s="239">
        <v>-66138</v>
      </c>
      <c r="M236" s="239">
        <v>149886</v>
      </c>
      <c r="N236" s="239">
        <v>149886</v>
      </c>
      <c r="O236" s="239">
        <v>0</v>
      </c>
      <c r="P236" s="239">
        <v>0</v>
      </c>
      <c r="Q236" s="239">
        <v>0</v>
      </c>
      <c r="R236" s="239">
        <v>0</v>
      </c>
      <c r="S236" s="239">
        <v>0</v>
      </c>
      <c r="T236" s="239">
        <v>0</v>
      </c>
      <c r="U236" s="239">
        <v>0</v>
      </c>
      <c r="V236" s="239">
        <v>0</v>
      </c>
      <c r="W236" s="239">
        <v>0</v>
      </c>
      <c r="X236" s="239">
        <v>0</v>
      </c>
      <c r="Y236" s="239">
        <v>0</v>
      </c>
      <c r="Z236" s="239">
        <v>0</v>
      </c>
      <c r="AA236" s="239">
        <v>0</v>
      </c>
      <c r="AB236" s="239">
        <v>0</v>
      </c>
      <c r="AC236" s="239">
        <v>0</v>
      </c>
      <c r="AD236" s="239">
        <v>0</v>
      </c>
      <c r="AE236" s="239">
        <v>0</v>
      </c>
      <c r="AF236" s="239">
        <v>0</v>
      </c>
      <c r="AG236" s="239">
        <v>0</v>
      </c>
      <c r="AH236" s="239">
        <v>0</v>
      </c>
      <c r="AI236" s="239">
        <v>0</v>
      </c>
      <c r="AJ236" s="239">
        <v>0</v>
      </c>
      <c r="AK236" s="239">
        <v>619928.48429752071</v>
      </c>
      <c r="AL236" s="239">
        <v>139483.90896694214</v>
      </c>
      <c r="AM236" s="239">
        <v>15498.212107438017</v>
      </c>
      <c r="AN236" s="239">
        <v>554929</v>
      </c>
      <c r="AO236" s="239">
        <v>124859</v>
      </c>
      <c r="AP236" s="239">
        <v>13873</v>
      </c>
      <c r="AQ236" s="239">
        <v>64999</v>
      </c>
      <c r="AR236" s="239">
        <v>14625</v>
      </c>
      <c r="AS236" s="239">
        <v>1625</v>
      </c>
      <c r="AT236" s="239">
        <v>5269.9314049586774</v>
      </c>
      <c r="AU236" s="239">
        <v>1185.7345661157024</v>
      </c>
      <c r="AV236" s="239">
        <v>131.74828512396692</v>
      </c>
      <c r="AW236" s="239">
        <v>16901</v>
      </c>
      <c r="AX236" s="239">
        <v>3803</v>
      </c>
      <c r="AY236" s="239">
        <v>423</v>
      </c>
      <c r="AZ236" s="239">
        <v>-11631</v>
      </c>
      <c r="BA236" s="239">
        <v>-2617</v>
      </c>
      <c r="BB236" s="239">
        <v>-291</v>
      </c>
      <c r="BC236" s="239">
        <v>1023.3900826446281</v>
      </c>
      <c r="BD236" s="239">
        <v>230.26276859504131</v>
      </c>
      <c r="BE236" s="239">
        <v>25.584752066115701</v>
      </c>
      <c r="BF236" s="239">
        <v>203</v>
      </c>
      <c r="BG236" s="239">
        <v>46</v>
      </c>
      <c r="BH236" s="239">
        <v>5</v>
      </c>
      <c r="BI236" s="239">
        <v>820</v>
      </c>
      <c r="BJ236" s="239">
        <v>184</v>
      </c>
      <c r="BK236" s="239">
        <v>21</v>
      </c>
      <c r="BL236" s="239">
        <v>8981.6479338842983</v>
      </c>
      <c r="BM236" s="239">
        <v>2020.8707851239669</v>
      </c>
      <c r="BN236" s="239">
        <v>224.54119834710744</v>
      </c>
      <c r="BO236" s="239">
        <v>17189</v>
      </c>
      <c r="BP236" s="239">
        <v>3867</v>
      </c>
      <c r="BQ236" s="239">
        <v>430</v>
      </c>
      <c r="BR236" s="239">
        <v>-8207</v>
      </c>
      <c r="BS236" s="239">
        <v>-1846</v>
      </c>
      <c r="BT236" s="239">
        <v>-205</v>
      </c>
      <c r="BU236" s="239">
        <v>-1542.3892561983473</v>
      </c>
      <c r="BV236" s="239">
        <v>-347.03758264462812</v>
      </c>
      <c r="BW236" s="239">
        <v>-38.559731404958683</v>
      </c>
      <c r="BX236" s="239">
        <v>0</v>
      </c>
      <c r="BY236" s="239">
        <v>0</v>
      </c>
      <c r="BZ236" s="239">
        <v>0</v>
      </c>
      <c r="CA236" s="239">
        <v>-1542</v>
      </c>
      <c r="CB236" s="239">
        <v>-347</v>
      </c>
      <c r="CC236" s="239">
        <v>-39</v>
      </c>
      <c r="CD236" s="239">
        <v>0</v>
      </c>
      <c r="CE236" s="239">
        <v>0</v>
      </c>
      <c r="CF236" s="239">
        <v>0</v>
      </c>
      <c r="CG236" s="239">
        <v>0</v>
      </c>
      <c r="CH236" s="239">
        <v>0</v>
      </c>
      <c r="CI236" s="239">
        <v>0</v>
      </c>
      <c r="CJ236" s="239">
        <v>0</v>
      </c>
      <c r="CK236" s="239">
        <v>0</v>
      </c>
      <c r="CL236" s="239">
        <v>0</v>
      </c>
      <c r="CM236" s="239">
        <v>3441.8694214876036</v>
      </c>
      <c r="CN236" s="239">
        <v>774.42061983471069</v>
      </c>
      <c r="CO236" s="239">
        <v>86.046735537190088</v>
      </c>
      <c r="CP236" s="239">
        <v>3678</v>
      </c>
      <c r="CQ236" s="239">
        <v>827</v>
      </c>
      <c r="CR236" s="239">
        <v>92</v>
      </c>
      <c r="CS236" s="239">
        <v>-236</v>
      </c>
      <c r="CT236" s="239">
        <v>-53</v>
      </c>
      <c r="CU236" s="239">
        <v>-6</v>
      </c>
      <c r="CV236" s="239">
        <v>164608.08925619838</v>
      </c>
      <c r="CW236" s="239">
        <v>37036.820082644634</v>
      </c>
      <c r="CX236" s="239">
        <v>4115.2022314049591</v>
      </c>
      <c r="CY236" s="239">
        <v>162323</v>
      </c>
      <c r="CZ236" s="239">
        <v>36523</v>
      </c>
      <c r="DA236" s="239">
        <v>4058</v>
      </c>
      <c r="DB236" s="239">
        <v>2285</v>
      </c>
      <c r="DC236" s="239">
        <v>514</v>
      </c>
      <c r="DD236" s="239">
        <v>57</v>
      </c>
      <c r="DE236" s="641">
        <v>0.5</v>
      </c>
      <c r="DF236" s="641">
        <v>0.4</v>
      </c>
      <c r="DG236" s="641">
        <v>0.09</v>
      </c>
      <c r="DH236" s="641">
        <v>0.01</v>
      </c>
      <c r="DI236" s="214" t="s">
        <v>1190</v>
      </c>
    </row>
    <row r="237" spans="2:113" s="214" customFormat="1" x14ac:dyDescent="0.2">
      <c r="B237" s="609" t="s">
        <v>556</v>
      </c>
      <c r="C237" s="609" t="s">
        <v>555</v>
      </c>
      <c r="D237" s="239">
        <v>-25693</v>
      </c>
      <c r="E237" s="239">
        <v>0</v>
      </c>
      <c r="F237" s="239">
        <v>-25693</v>
      </c>
      <c r="G237" s="239">
        <v>0</v>
      </c>
      <c r="H237" s="239">
        <v>0</v>
      </c>
      <c r="I237" s="239">
        <v>0</v>
      </c>
      <c r="J237" s="239">
        <v>-25693</v>
      </c>
      <c r="K237" s="239">
        <v>0</v>
      </c>
      <c r="L237" s="239">
        <v>-25693</v>
      </c>
      <c r="M237" s="239">
        <v>462718</v>
      </c>
      <c r="N237" s="239">
        <v>462718</v>
      </c>
      <c r="O237" s="239">
        <v>0</v>
      </c>
      <c r="P237" s="239">
        <v>0</v>
      </c>
      <c r="Q237" s="239">
        <v>0</v>
      </c>
      <c r="R237" s="239">
        <v>0</v>
      </c>
      <c r="S237" s="239">
        <v>481243</v>
      </c>
      <c r="T237" s="239">
        <v>0</v>
      </c>
      <c r="U237" s="239">
        <v>202776</v>
      </c>
      <c r="V237" s="239">
        <v>0</v>
      </c>
      <c r="W237" s="239">
        <v>278467</v>
      </c>
      <c r="X237" s="239">
        <v>0</v>
      </c>
      <c r="Y237" s="239">
        <v>0</v>
      </c>
      <c r="Z237" s="239">
        <v>0</v>
      </c>
      <c r="AA237" s="239">
        <v>0</v>
      </c>
      <c r="AB237" s="239">
        <v>0</v>
      </c>
      <c r="AC237" s="239">
        <v>0</v>
      </c>
      <c r="AD237" s="239">
        <v>0</v>
      </c>
      <c r="AE237" s="239">
        <v>0</v>
      </c>
      <c r="AF237" s="239">
        <v>0</v>
      </c>
      <c r="AG237" s="239">
        <v>0</v>
      </c>
      <c r="AH237" s="239">
        <v>0</v>
      </c>
      <c r="AI237" s="239">
        <v>0</v>
      </c>
      <c r="AJ237" s="239">
        <v>0</v>
      </c>
      <c r="AK237" s="239">
        <v>2291184.5505268597</v>
      </c>
      <c r="AL237" s="239">
        <v>0</v>
      </c>
      <c r="AM237" s="239">
        <v>46758.868378099178</v>
      </c>
      <c r="AN237" s="239">
        <v>2079549</v>
      </c>
      <c r="AO237" s="239">
        <v>0</v>
      </c>
      <c r="AP237" s="239">
        <v>42440</v>
      </c>
      <c r="AQ237" s="239">
        <v>211636</v>
      </c>
      <c r="AR237" s="239">
        <v>0</v>
      </c>
      <c r="AS237" s="239">
        <v>4319</v>
      </c>
      <c r="AT237" s="239">
        <v>10147.032376033058</v>
      </c>
      <c r="AU237" s="239">
        <v>0</v>
      </c>
      <c r="AV237" s="239">
        <v>207.08229338842978</v>
      </c>
      <c r="AW237" s="239">
        <v>10061</v>
      </c>
      <c r="AX237" s="239">
        <v>0</v>
      </c>
      <c r="AY237" s="239">
        <v>205</v>
      </c>
      <c r="AZ237" s="239">
        <v>86</v>
      </c>
      <c r="BA237" s="239">
        <v>0</v>
      </c>
      <c r="BB237" s="239">
        <v>2</v>
      </c>
      <c r="BC237" s="239">
        <v>-18251.038099173555</v>
      </c>
      <c r="BD237" s="239">
        <v>0</v>
      </c>
      <c r="BE237" s="239">
        <v>-372.47016528925622</v>
      </c>
      <c r="BF237" s="239">
        <v>55772</v>
      </c>
      <c r="BG237" s="239">
        <v>0</v>
      </c>
      <c r="BH237" s="239">
        <v>1138</v>
      </c>
      <c r="BI237" s="239">
        <v>-74023</v>
      </c>
      <c r="BJ237" s="239">
        <v>0</v>
      </c>
      <c r="BK237" s="239">
        <v>-1510</v>
      </c>
      <c r="BL237" s="239">
        <v>13042.06576446281</v>
      </c>
      <c r="BM237" s="239">
        <v>0</v>
      </c>
      <c r="BN237" s="239">
        <v>266.1646074380165</v>
      </c>
      <c r="BO237" s="239">
        <v>28704</v>
      </c>
      <c r="BP237" s="239">
        <v>0</v>
      </c>
      <c r="BQ237" s="239">
        <v>586</v>
      </c>
      <c r="BR237" s="239">
        <v>-15662</v>
      </c>
      <c r="BS237" s="239">
        <v>0</v>
      </c>
      <c r="BT237" s="239">
        <v>-320</v>
      </c>
      <c r="BU237" s="239">
        <v>7563.6723966942145</v>
      </c>
      <c r="BV237" s="239">
        <v>0</v>
      </c>
      <c r="BW237" s="239">
        <v>154.36066115702479</v>
      </c>
      <c r="BX237" s="239">
        <v>0</v>
      </c>
      <c r="BY237" s="239">
        <v>0</v>
      </c>
      <c r="BZ237" s="239">
        <v>0</v>
      </c>
      <c r="CA237" s="239">
        <v>7564</v>
      </c>
      <c r="CB237" s="239">
        <v>0</v>
      </c>
      <c r="CC237" s="239">
        <v>154</v>
      </c>
      <c r="CD237" s="239">
        <v>0</v>
      </c>
      <c r="CE237" s="239">
        <v>0</v>
      </c>
      <c r="CF237" s="239">
        <v>0</v>
      </c>
      <c r="CG237" s="239">
        <v>0</v>
      </c>
      <c r="CH237" s="239">
        <v>0</v>
      </c>
      <c r="CI237" s="239">
        <v>0</v>
      </c>
      <c r="CJ237" s="239">
        <v>0</v>
      </c>
      <c r="CK237" s="239">
        <v>0</v>
      </c>
      <c r="CL237" s="239">
        <v>0</v>
      </c>
      <c r="CM237" s="239">
        <v>8899.344566115702</v>
      </c>
      <c r="CN237" s="239">
        <v>0</v>
      </c>
      <c r="CO237" s="239">
        <v>181.61927685950414</v>
      </c>
      <c r="CP237" s="239">
        <v>12945</v>
      </c>
      <c r="CQ237" s="239">
        <v>0</v>
      </c>
      <c r="CR237" s="239">
        <v>264</v>
      </c>
      <c r="CS237" s="239">
        <v>-4046</v>
      </c>
      <c r="CT237" s="239">
        <v>0</v>
      </c>
      <c r="CU237" s="239">
        <v>-82</v>
      </c>
      <c r="CV237" s="239">
        <v>574073.37084710749</v>
      </c>
      <c r="CW237" s="239">
        <v>0</v>
      </c>
      <c r="CX237" s="239">
        <v>11573.739690082646</v>
      </c>
      <c r="CY237" s="239">
        <v>563319</v>
      </c>
      <c r="CZ237" s="239">
        <v>0</v>
      </c>
      <c r="DA237" s="239">
        <v>11436</v>
      </c>
      <c r="DB237" s="239">
        <v>10754</v>
      </c>
      <c r="DC237" s="239">
        <v>0</v>
      </c>
      <c r="DD237" s="239">
        <v>138</v>
      </c>
      <c r="DE237" s="641">
        <v>0.5</v>
      </c>
      <c r="DF237" s="641">
        <v>0.49</v>
      </c>
      <c r="DG237" s="641">
        <v>0</v>
      </c>
      <c r="DH237" s="641">
        <v>0.01</v>
      </c>
      <c r="DI237" s="214" t="s">
        <v>747</v>
      </c>
    </row>
    <row r="238" spans="2:113" s="214" customFormat="1" x14ac:dyDescent="0.2">
      <c r="B238" s="609" t="s">
        <v>558</v>
      </c>
      <c r="C238" s="609" t="s">
        <v>557</v>
      </c>
      <c r="D238" s="239">
        <v>1102</v>
      </c>
      <c r="E238" s="239">
        <v>0</v>
      </c>
      <c r="F238" s="239">
        <v>1102</v>
      </c>
      <c r="G238" s="239">
        <v>0</v>
      </c>
      <c r="H238" s="239">
        <v>0</v>
      </c>
      <c r="I238" s="239">
        <v>0</v>
      </c>
      <c r="J238" s="239">
        <v>1102</v>
      </c>
      <c r="K238" s="239">
        <v>0</v>
      </c>
      <c r="L238" s="239">
        <v>1102</v>
      </c>
      <c r="M238" s="239">
        <v>210222</v>
      </c>
      <c r="N238" s="239">
        <v>210222</v>
      </c>
      <c r="O238" s="239">
        <v>0</v>
      </c>
      <c r="P238" s="239">
        <v>0</v>
      </c>
      <c r="Q238" s="239">
        <v>0</v>
      </c>
      <c r="R238" s="239">
        <v>0</v>
      </c>
      <c r="S238" s="239">
        <v>0</v>
      </c>
      <c r="T238" s="239">
        <v>0</v>
      </c>
      <c r="U238" s="239">
        <v>0</v>
      </c>
      <c r="V238" s="239">
        <v>0</v>
      </c>
      <c r="W238" s="239">
        <v>0</v>
      </c>
      <c r="X238" s="239">
        <v>0</v>
      </c>
      <c r="Y238" s="239">
        <v>0</v>
      </c>
      <c r="Z238" s="239">
        <v>0</v>
      </c>
      <c r="AA238" s="239">
        <v>0</v>
      </c>
      <c r="AB238" s="239">
        <v>0</v>
      </c>
      <c r="AC238" s="239">
        <v>0</v>
      </c>
      <c r="AD238" s="239">
        <v>0</v>
      </c>
      <c r="AE238" s="239">
        <v>0</v>
      </c>
      <c r="AF238" s="239">
        <v>0</v>
      </c>
      <c r="AG238" s="239">
        <v>0</v>
      </c>
      <c r="AH238" s="239">
        <v>0</v>
      </c>
      <c r="AI238" s="239">
        <v>0</v>
      </c>
      <c r="AJ238" s="239">
        <v>0</v>
      </c>
      <c r="AK238" s="239">
        <v>361098.99585743801</v>
      </c>
      <c r="AL238" s="239">
        <v>0</v>
      </c>
      <c r="AM238" s="239">
        <v>7369.367262396695</v>
      </c>
      <c r="AN238" s="239">
        <v>336164</v>
      </c>
      <c r="AO238" s="239">
        <v>0</v>
      </c>
      <c r="AP238" s="239">
        <v>6860</v>
      </c>
      <c r="AQ238" s="239">
        <v>24935</v>
      </c>
      <c r="AR238" s="239">
        <v>0</v>
      </c>
      <c r="AS238" s="239">
        <v>509</v>
      </c>
      <c r="AT238" s="239">
        <v>3626.2480371900829</v>
      </c>
      <c r="AU238" s="239">
        <v>0</v>
      </c>
      <c r="AV238" s="239">
        <v>74.00506198347108</v>
      </c>
      <c r="AW238" s="239">
        <v>3626</v>
      </c>
      <c r="AX238" s="239">
        <v>0</v>
      </c>
      <c r="AY238" s="239">
        <v>74</v>
      </c>
      <c r="AZ238" s="239">
        <v>0</v>
      </c>
      <c r="BA238" s="239">
        <v>0</v>
      </c>
      <c r="BB238" s="239">
        <v>0</v>
      </c>
      <c r="BC238" s="239">
        <v>5217.4228099173552</v>
      </c>
      <c r="BD238" s="239">
        <v>0</v>
      </c>
      <c r="BE238" s="239">
        <v>106.47801652892562</v>
      </c>
      <c r="BF238" s="239">
        <v>40516</v>
      </c>
      <c r="BG238" s="239">
        <v>0</v>
      </c>
      <c r="BH238" s="239">
        <v>827</v>
      </c>
      <c r="BI238" s="239">
        <v>-35299</v>
      </c>
      <c r="BJ238" s="239">
        <v>0</v>
      </c>
      <c r="BK238" s="239">
        <v>-721</v>
      </c>
      <c r="BL238" s="239">
        <v>16286.551157024793</v>
      </c>
      <c r="BM238" s="239">
        <v>0</v>
      </c>
      <c r="BN238" s="239">
        <v>332.37859504132234</v>
      </c>
      <c r="BO238" s="239">
        <v>16609</v>
      </c>
      <c r="BP238" s="239">
        <v>0</v>
      </c>
      <c r="BQ238" s="239">
        <v>339</v>
      </c>
      <c r="BR238" s="239">
        <v>-322</v>
      </c>
      <c r="BS238" s="239">
        <v>0</v>
      </c>
      <c r="BT238" s="239">
        <v>-7</v>
      </c>
      <c r="BU238" s="239">
        <v>4869.9591528925621</v>
      </c>
      <c r="BV238" s="239">
        <v>0</v>
      </c>
      <c r="BW238" s="239">
        <v>99.386921487603303</v>
      </c>
      <c r="BX238" s="239">
        <v>0</v>
      </c>
      <c r="BY238" s="239">
        <v>0</v>
      </c>
      <c r="BZ238" s="239">
        <v>0</v>
      </c>
      <c r="CA238" s="239">
        <v>4870</v>
      </c>
      <c r="CB238" s="239">
        <v>0</v>
      </c>
      <c r="CC238" s="239">
        <v>99</v>
      </c>
      <c r="CD238" s="239">
        <v>0</v>
      </c>
      <c r="CE238" s="239">
        <v>0</v>
      </c>
      <c r="CF238" s="239">
        <v>0</v>
      </c>
      <c r="CG238" s="239">
        <v>0</v>
      </c>
      <c r="CH238" s="239">
        <v>0</v>
      </c>
      <c r="CI238" s="239">
        <v>0</v>
      </c>
      <c r="CJ238" s="239">
        <v>0</v>
      </c>
      <c r="CK238" s="239">
        <v>0</v>
      </c>
      <c r="CL238" s="239">
        <v>0</v>
      </c>
      <c r="CM238" s="239">
        <v>0</v>
      </c>
      <c r="CN238" s="239">
        <v>0</v>
      </c>
      <c r="CO238" s="239">
        <v>0</v>
      </c>
      <c r="CP238" s="239">
        <v>0</v>
      </c>
      <c r="CQ238" s="239">
        <v>0</v>
      </c>
      <c r="CR238" s="239">
        <v>0</v>
      </c>
      <c r="CS238" s="239">
        <v>0</v>
      </c>
      <c r="CT238" s="239">
        <v>0</v>
      </c>
      <c r="CU238" s="239">
        <v>0</v>
      </c>
      <c r="CV238" s="239">
        <v>691693.22597107443</v>
      </c>
      <c r="CW238" s="239">
        <v>0</v>
      </c>
      <c r="CX238" s="239">
        <v>14116.188285123966</v>
      </c>
      <c r="CY238" s="239">
        <v>699550</v>
      </c>
      <c r="CZ238" s="239">
        <v>0</v>
      </c>
      <c r="DA238" s="239">
        <v>14277</v>
      </c>
      <c r="DB238" s="239">
        <v>-7857</v>
      </c>
      <c r="DC238" s="239">
        <v>0</v>
      </c>
      <c r="DD238" s="239">
        <v>-161</v>
      </c>
      <c r="DE238" s="641">
        <v>0.5</v>
      </c>
      <c r="DF238" s="641">
        <v>0.49</v>
      </c>
      <c r="DG238" s="641">
        <v>0</v>
      </c>
      <c r="DH238" s="641">
        <v>0.01</v>
      </c>
      <c r="DI238" s="214" t="s">
        <v>747</v>
      </c>
    </row>
    <row r="239" spans="2:113" s="214" customFormat="1" x14ac:dyDescent="0.2">
      <c r="B239" s="609" t="s">
        <v>560</v>
      </c>
      <c r="C239" s="609" t="s">
        <v>559</v>
      </c>
      <c r="D239" s="239">
        <v>-1953463</v>
      </c>
      <c r="E239" s="239">
        <v>0</v>
      </c>
      <c r="F239" s="239">
        <v>-1953463</v>
      </c>
      <c r="G239" s="239">
        <v>0</v>
      </c>
      <c r="H239" s="239">
        <v>0</v>
      </c>
      <c r="I239" s="239">
        <v>0</v>
      </c>
      <c r="J239" s="239">
        <v>-1953463</v>
      </c>
      <c r="K239" s="239">
        <v>0</v>
      </c>
      <c r="L239" s="239">
        <v>-1953463</v>
      </c>
      <c r="M239" s="239">
        <v>252068</v>
      </c>
      <c r="N239" s="239">
        <v>252068</v>
      </c>
      <c r="O239" s="239">
        <v>0</v>
      </c>
      <c r="P239" s="239">
        <v>0</v>
      </c>
      <c r="Q239" s="239">
        <v>0</v>
      </c>
      <c r="R239" s="239">
        <v>0</v>
      </c>
      <c r="S239" s="239">
        <v>0</v>
      </c>
      <c r="T239" s="239">
        <v>0</v>
      </c>
      <c r="U239" s="239">
        <v>0</v>
      </c>
      <c r="V239" s="239">
        <v>0</v>
      </c>
      <c r="W239" s="239">
        <v>0</v>
      </c>
      <c r="X239" s="239">
        <v>0</v>
      </c>
      <c r="Y239" s="239">
        <v>0</v>
      </c>
      <c r="Z239" s="239">
        <v>0</v>
      </c>
      <c r="AA239" s="239">
        <v>0</v>
      </c>
      <c r="AB239" s="239">
        <v>0</v>
      </c>
      <c r="AC239" s="239">
        <v>0</v>
      </c>
      <c r="AD239" s="239">
        <v>0</v>
      </c>
      <c r="AE239" s="239">
        <v>0</v>
      </c>
      <c r="AF239" s="239">
        <v>0</v>
      </c>
      <c r="AG239" s="239">
        <v>0</v>
      </c>
      <c r="AH239" s="239">
        <v>0</v>
      </c>
      <c r="AI239" s="239">
        <v>0</v>
      </c>
      <c r="AJ239" s="239">
        <v>0</v>
      </c>
      <c r="AK239" s="239">
        <v>620761.22131198354</v>
      </c>
      <c r="AL239" s="239">
        <v>0</v>
      </c>
      <c r="AM239" s="239">
        <v>12668.596353305787</v>
      </c>
      <c r="AN239" s="239">
        <v>569821</v>
      </c>
      <c r="AO239" s="239">
        <v>0</v>
      </c>
      <c r="AP239" s="239">
        <v>11629</v>
      </c>
      <c r="AQ239" s="239">
        <v>50940</v>
      </c>
      <c r="AR239" s="239">
        <v>0</v>
      </c>
      <c r="AS239" s="239">
        <v>1040</v>
      </c>
      <c r="AT239" s="239">
        <v>1156.2238429752065</v>
      </c>
      <c r="AU239" s="239">
        <v>0</v>
      </c>
      <c r="AV239" s="239">
        <v>23.596404958677685</v>
      </c>
      <c r="AW239" s="239">
        <v>994</v>
      </c>
      <c r="AX239" s="239">
        <v>0</v>
      </c>
      <c r="AY239" s="239">
        <v>20</v>
      </c>
      <c r="AZ239" s="239">
        <v>162</v>
      </c>
      <c r="BA239" s="239">
        <v>0</v>
      </c>
      <c r="BB239" s="239">
        <v>4</v>
      </c>
      <c r="BC239" s="239">
        <v>72366.390061983475</v>
      </c>
      <c r="BD239" s="239">
        <v>0</v>
      </c>
      <c r="BE239" s="239">
        <v>1476.8651033057849</v>
      </c>
      <c r="BF239" s="239">
        <v>216190</v>
      </c>
      <c r="BG239" s="239">
        <v>0</v>
      </c>
      <c r="BH239" s="239">
        <v>4412</v>
      </c>
      <c r="BI239" s="239">
        <v>-143824</v>
      </c>
      <c r="BJ239" s="239">
        <v>0</v>
      </c>
      <c r="BK239" s="239">
        <v>-2935</v>
      </c>
      <c r="BL239" s="239">
        <v>16473.952871900827</v>
      </c>
      <c r="BM239" s="239">
        <v>0</v>
      </c>
      <c r="BN239" s="239">
        <v>336.20311983471072</v>
      </c>
      <c r="BO239" s="239">
        <v>12789</v>
      </c>
      <c r="BP239" s="239">
        <v>0</v>
      </c>
      <c r="BQ239" s="239">
        <v>261</v>
      </c>
      <c r="BR239" s="239">
        <v>3685</v>
      </c>
      <c r="BS239" s="239">
        <v>0</v>
      </c>
      <c r="BT239" s="239">
        <v>75</v>
      </c>
      <c r="BU239" s="239">
        <v>-280.85402892561984</v>
      </c>
      <c r="BV239" s="239">
        <v>0</v>
      </c>
      <c r="BW239" s="239">
        <v>-5.7317148760330578</v>
      </c>
      <c r="BX239" s="239">
        <v>0</v>
      </c>
      <c r="BY239" s="239">
        <v>0</v>
      </c>
      <c r="BZ239" s="239">
        <v>0</v>
      </c>
      <c r="CA239" s="239">
        <v>-281</v>
      </c>
      <c r="CB239" s="239">
        <v>0</v>
      </c>
      <c r="CC239" s="239">
        <v>-6</v>
      </c>
      <c r="CD239" s="239">
        <v>0</v>
      </c>
      <c r="CE239" s="239">
        <v>0</v>
      </c>
      <c r="CF239" s="239">
        <v>0</v>
      </c>
      <c r="CG239" s="239">
        <v>0</v>
      </c>
      <c r="CH239" s="239">
        <v>0</v>
      </c>
      <c r="CI239" s="239">
        <v>0</v>
      </c>
      <c r="CJ239" s="239">
        <v>0</v>
      </c>
      <c r="CK239" s="239">
        <v>0</v>
      </c>
      <c r="CL239" s="239">
        <v>0</v>
      </c>
      <c r="CM239" s="239">
        <v>0</v>
      </c>
      <c r="CN239" s="239">
        <v>0</v>
      </c>
      <c r="CO239" s="239">
        <v>0</v>
      </c>
      <c r="CP239" s="239">
        <v>42</v>
      </c>
      <c r="CQ239" s="239">
        <v>0</v>
      </c>
      <c r="CR239" s="239">
        <v>1</v>
      </c>
      <c r="CS239" s="239">
        <v>-42</v>
      </c>
      <c r="CT239" s="239">
        <v>0</v>
      </c>
      <c r="CU239" s="239">
        <v>-1</v>
      </c>
      <c r="CV239" s="239">
        <v>792289.54159090912</v>
      </c>
      <c r="CW239" s="239">
        <v>0</v>
      </c>
      <c r="CX239" s="239">
        <v>16169.174318181816</v>
      </c>
      <c r="CY239" s="239">
        <v>851911</v>
      </c>
      <c r="CZ239" s="239">
        <v>0</v>
      </c>
      <c r="DA239" s="239">
        <v>17386</v>
      </c>
      <c r="DB239" s="239">
        <v>-59621</v>
      </c>
      <c r="DC239" s="239">
        <v>0</v>
      </c>
      <c r="DD239" s="239">
        <v>-1217</v>
      </c>
      <c r="DE239" s="641">
        <v>0.5</v>
      </c>
      <c r="DF239" s="641">
        <v>0.49</v>
      </c>
      <c r="DG239" s="641">
        <v>0</v>
      </c>
      <c r="DH239" s="641">
        <v>0.01</v>
      </c>
      <c r="DI239" s="214" t="s">
        <v>1192</v>
      </c>
    </row>
    <row r="240" spans="2:113" s="214" customFormat="1" x14ac:dyDescent="0.2">
      <c r="B240" s="609" t="s">
        <v>562</v>
      </c>
      <c r="C240" s="609" t="s">
        <v>561</v>
      </c>
      <c r="D240" s="239">
        <v>541</v>
      </c>
      <c r="E240" s="239">
        <v>0</v>
      </c>
      <c r="F240" s="239">
        <v>541</v>
      </c>
      <c r="G240" s="239">
        <v>0</v>
      </c>
      <c r="H240" s="239">
        <v>0</v>
      </c>
      <c r="I240" s="239">
        <v>0</v>
      </c>
      <c r="J240" s="239">
        <v>541</v>
      </c>
      <c r="K240" s="239">
        <v>0</v>
      </c>
      <c r="L240" s="239">
        <v>541</v>
      </c>
      <c r="M240" s="239">
        <v>97762</v>
      </c>
      <c r="N240" s="239">
        <v>97762</v>
      </c>
      <c r="O240" s="239">
        <v>0</v>
      </c>
      <c r="P240" s="239">
        <v>0</v>
      </c>
      <c r="Q240" s="239">
        <v>0</v>
      </c>
      <c r="R240" s="239">
        <v>0</v>
      </c>
      <c r="S240" s="239">
        <v>0</v>
      </c>
      <c r="T240" s="239">
        <v>0</v>
      </c>
      <c r="U240" s="239">
        <v>0</v>
      </c>
      <c r="V240" s="239">
        <v>0</v>
      </c>
      <c r="W240" s="239">
        <v>0</v>
      </c>
      <c r="X240" s="239">
        <v>0</v>
      </c>
      <c r="Y240" s="239">
        <v>0</v>
      </c>
      <c r="Z240" s="239">
        <v>0</v>
      </c>
      <c r="AA240" s="239">
        <v>0</v>
      </c>
      <c r="AB240" s="239">
        <v>0</v>
      </c>
      <c r="AC240" s="239">
        <v>0</v>
      </c>
      <c r="AD240" s="239">
        <v>0</v>
      </c>
      <c r="AE240" s="239">
        <v>0</v>
      </c>
      <c r="AF240" s="239">
        <v>0</v>
      </c>
      <c r="AG240" s="239">
        <v>0</v>
      </c>
      <c r="AH240" s="239">
        <v>0</v>
      </c>
      <c r="AI240" s="239">
        <v>0</v>
      </c>
      <c r="AJ240" s="239">
        <v>0</v>
      </c>
      <c r="AK240" s="239">
        <v>194621.84958677687</v>
      </c>
      <c r="AL240" s="239">
        <v>43789.916157024789</v>
      </c>
      <c r="AM240" s="239">
        <v>4865.5462396694211</v>
      </c>
      <c r="AN240" s="239">
        <v>182222</v>
      </c>
      <c r="AO240" s="239">
        <v>41000</v>
      </c>
      <c r="AP240" s="239">
        <v>4556</v>
      </c>
      <c r="AQ240" s="239">
        <v>12400</v>
      </c>
      <c r="AR240" s="239">
        <v>2790</v>
      </c>
      <c r="AS240" s="239">
        <v>310</v>
      </c>
      <c r="AT240" s="239">
        <v>302.71570247933886</v>
      </c>
      <c r="AU240" s="239">
        <v>68.11103305785123</v>
      </c>
      <c r="AV240" s="239">
        <v>7.5678925619834709</v>
      </c>
      <c r="AW240" s="239">
        <v>0</v>
      </c>
      <c r="AX240" s="239">
        <v>0</v>
      </c>
      <c r="AY240" s="239">
        <v>0</v>
      </c>
      <c r="AZ240" s="239">
        <v>303</v>
      </c>
      <c r="BA240" s="239">
        <v>68</v>
      </c>
      <c r="BB240" s="239">
        <v>8</v>
      </c>
      <c r="BC240" s="239">
        <v>0</v>
      </c>
      <c r="BD240" s="239">
        <v>0</v>
      </c>
      <c r="BE240" s="239">
        <v>0</v>
      </c>
      <c r="BF240" s="239">
        <v>0</v>
      </c>
      <c r="BG240" s="239">
        <v>0</v>
      </c>
      <c r="BH240" s="239">
        <v>0</v>
      </c>
      <c r="BI240" s="239">
        <v>0</v>
      </c>
      <c r="BJ240" s="239">
        <v>0</v>
      </c>
      <c r="BK240" s="239">
        <v>0</v>
      </c>
      <c r="BL240" s="239">
        <v>0</v>
      </c>
      <c r="BM240" s="239">
        <v>0</v>
      </c>
      <c r="BN240" s="239">
        <v>0</v>
      </c>
      <c r="BO240" s="239">
        <v>0</v>
      </c>
      <c r="BP240" s="239">
        <v>0</v>
      </c>
      <c r="BQ240" s="239">
        <v>0</v>
      </c>
      <c r="BR240" s="239">
        <v>0</v>
      </c>
      <c r="BS240" s="239">
        <v>0</v>
      </c>
      <c r="BT240" s="239">
        <v>0</v>
      </c>
      <c r="BU240" s="239">
        <v>0</v>
      </c>
      <c r="BV240" s="239">
        <v>0</v>
      </c>
      <c r="BW240" s="239">
        <v>0</v>
      </c>
      <c r="BX240" s="239">
        <v>0</v>
      </c>
      <c r="BY240" s="239">
        <v>0</v>
      </c>
      <c r="BZ240" s="239">
        <v>0</v>
      </c>
      <c r="CA240" s="239">
        <v>0</v>
      </c>
      <c r="CB240" s="239">
        <v>0</v>
      </c>
      <c r="CC240" s="239">
        <v>0</v>
      </c>
      <c r="CD240" s="239">
        <v>0</v>
      </c>
      <c r="CE240" s="239">
        <v>0</v>
      </c>
      <c r="CF240" s="239">
        <v>0</v>
      </c>
      <c r="CG240" s="239">
        <v>0</v>
      </c>
      <c r="CH240" s="239">
        <v>0</v>
      </c>
      <c r="CI240" s="239">
        <v>0</v>
      </c>
      <c r="CJ240" s="239">
        <v>0</v>
      </c>
      <c r="CK240" s="239">
        <v>0</v>
      </c>
      <c r="CL240" s="239">
        <v>0</v>
      </c>
      <c r="CM240" s="239">
        <v>0</v>
      </c>
      <c r="CN240" s="239">
        <v>0</v>
      </c>
      <c r="CO240" s="239">
        <v>0</v>
      </c>
      <c r="CP240" s="239">
        <v>0</v>
      </c>
      <c r="CQ240" s="239">
        <v>0</v>
      </c>
      <c r="CR240" s="239">
        <v>0</v>
      </c>
      <c r="CS240" s="239">
        <v>0</v>
      </c>
      <c r="CT240" s="239">
        <v>0</v>
      </c>
      <c r="CU240" s="239">
        <v>0</v>
      </c>
      <c r="CV240" s="239">
        <v>178465.89669421487</v>
      </c>
      <c r="CW240" s="239">
        <v>40154.826756198345</v>
      </c>
      <c r="CX240" s="239">
        <v>4461.6474173553725</v>
      </c>
      <c r="CY240" s="239">
        <v>190865</v>
      </c>
      <c r="CZ240" s="239">
        <v>42945</v>
      </c>
      <c r="DA240" s="239">
        <v>4772</v>
      </c>
      <c r="DB240" s="239">
        <v>-12399</v>
      </c>
      <c r="DC240" s="239">
        <v>-2790</v>
      </c>
      <c r="DD240" s="239">
        <v>-310</v>
      </c>
      <c r="DE240" s="641">
        <v>0.5</v>
      </c>
      <c r="DF240" s="641">
        <v>0.4</v>
      </c>
      <c r="DG240" s="641">
        <v>0.09</v>
      </c>
      <c r="DH240" s="641">
        <v>0.01</v>
      </c>
      <c r="DI240" s="214" t="s">
        <v>1190</v>
      </c>
    </row>
    <row r="241" spans="2:113" s="214" customFormat="1" x14ac:dyDescent="0.2">
      <c r="B241" s="609" t="s">
        <v>564</v>
      </c>
      <c r="C241" s="609" t="s">
        <v>563</v>
      </c>
      <c r="D241" s="239">
        <v>-362776</v>
      </c>
      <c r="E241" s="239">
        <v>0</v>
      </c>
      <c r="F241" s="239">
        <v>-362776</v>
      </c>
      <c r="G241" s="239">
        <v>0</v>
      </c>
      <c r="H241" s="239">
        <v>0</v>
      </c>
      <c r="I241" s="239">
        <v>0</v>
      </c>
      <c r="J241" s="239">
        <v>-362776</v>
      </c>
      <c r="K241" s="239">
        <v>0</v>
      </c>
      <c r="L241" s="239">
        <v>-362776</v>
      </c>
      <c r="M241" s="239">
        <v>223204</v>
      </c>
      <c r="N241" s="239">
        <v>223204</v>
      </c>
      <c r="O241" s="239">
        <v>0</v>
      </c>
      <c r="P241" s="239">
        <v>500157</v>
      </c>
      <c r="Q241" s="239">
        <v>0</v>
      </c>
      <c r="R241" s="239">
        <v>500157</v>
      </c>
      <c r="S241" s="239">
        <v>1009805</v>
      </c>
      <c r="T241" s="239">
        <v>0</v>
      </c>
      <c r="U241" s="239">
        <v>548372</v>
      </c>
      <c r="V241" s="239">
        <v>0</v>
      </c>
      <c r="W241" s="239">
        <v>461433</v>
      </c>
      <c r="X241" s="239">
        <v>0</v>
      </c>
      <c r="Y241" s="239">
        <v>0</v>
      </c>
      <c r="Z241" s="239">
        <v>0</v>
      </c>
      <c r="AA241" s="239">
        <v>0</v>
      </c>
      <c r="AB241" s="239">
        <v>0</v>
      </c>
      <c r="AC241" s="239">
        <v>0</v>
      </c>
      <c r="AD241" s="239">
        <v>0</v>
      </c>
      <c r="AE241" s="239">
        <v>0</v>
      </c>
      <c r="AF241" s="239">
        <v>0</v>
      </c>
      <c r="AG241" s="239">
        <v>0</v>
      </c>
      <c r="AH241" s="239">
        <v>0</v>
      </c>
      <c r="AI241" s="239">
        <v>0</v>
      </c>
      <c r="AJ241" s="239">
        <v>0</v>
      </c>
      <c r="AK241" s="239">
        <v>596889.62809917354</v>
      </c>
      <c r="AL241" s="239">
        <v>134300.16632231403</v>
      </c>
      <c r="AM241" s="239">
        <v>14922.240702479339</v>
      </c>
      <c r="AN241" s="239">
        <v>524206</v>
      </c>
      <c r="AO241" s="239">
        <v>117946</v>
      </c>
      <c r="AP241" s="239">
        <v>13105</v>
      </c>
      <c r="AQ241" s="239">
        <v>72684</v>
      </c>
      <c r="AR241" s="239">
        <v>16354</v>
      </c>
      <c r="AS241" s="239">
        <v>1817</v>
      </c>
      <c r="AT241" s="239">
        <v>9014.9223140495869</v>
      </c>
      <c r="AU241" s="239">
        <v>2028.357520661157</v>
      </c>
      <c r="AV241" s="239">
        <v>225.37305785123968</v>
      </c>
      <c r="AW241" s="239">
        <v>4601</v>
      </c>
      <c r="AX241" s="239">
        <v>1035</v>
      </c>
      <c r="AY241" s="239">
        <v>115</v>
      </c>
      <c r="AZ241" s="239">
        <v>4414</v>
      </c>
      <c r="BA241" s="239">
        <v>993</v>
      </c>
      <c r="BB241" s="239">
        <v>110</v>
      </c>
      <c r="BC241" s="239">
        <v>129496.78636363636</v>
      </c>
      <c r="BD241" s="239">
        <v>3262.5732644628097</v>
      </c>
      <c r="BE241" s="239">
        <v>362.50814049586779</v>
      </c>
      <c r="BF241" s="239">
        <v>10286</v>
      </c>
      <c r="BG241" s="239">
        <v>2314</v>
      </c>
      <c r="BH241" s="239">
        <v>257</v>
      </c>
      <c r="BI241" s="239">
        <v>119211</v>
      </c>
      <c r="BJ241" s="239">
        <v>949</v>
      </c>
      <c r="BK241" s="239">
        <v>106</v>
      </c>
      <c r="BL241" s="239">
        <v>1630.8504132231405</v>
      </c>
      <c r="BM241" s="239">
        <v>366.94134297520657</v>
      </c>
      <c r="BN241" s="239">
        <v>40.771260330578514</v>
      </c>
      <c r="BO241" s="239">
        <v>3209</v>
      </c>
      <c r="BP241" s="239">
        <v>722</v>
      </c>
      <c r="BQ241" s="239">
        <v>80</v>
      </c>
      <c r="BR241" s="239">
        <v>-1578</v>
      </c>
      <c r="BS241" s="239">
        <v>-355</v>
      </c>
      <c r="BT241" s="239">
        <v>-39</v>
      </c>
      <c r="BU241" s="239">
        <v>-1945.3338842975206</v>
      </c>
      <c r="BV241" s="239">
        <v>-437.7001239669421</v>
      </c>
      <c r="BW241" s="239">
        <v>-48.633347107438013</v>
      </c>
      <c r="BX241" s="239">
        <v>0</v>
      </c>
      <c r="BY241" s="239">
        <v>0</v>
      </c>
      <c r="BZ241" s="239">
        <v>0</v>
      </c>
      <c r="CA241" s="239">
        <v>-1945</v>
      </c>
      <c r="CB241" s="239">
        <v>-438</v>
      </c>
      <c r="CC241" s="239">
        <v>-49</v>
      </c>
      <c r="CD241" s="239">
        <v>0</v>
      </c>
      <c r="CE241" s="239">
        <v>0</v>
      </c>
      <c r="CF241" s="239">
        <v>0</v>
      </c>
      <c r="CG241" s="239">
        <v>0</v>
      </c>
      <c r="CH241" s="239">
        <v>0</v>
      </c>
      <c r="CI241" s="239">
        <v>0</v>
      </c>
      <c r="CJ241" s="239">
        <v>0</v>
      </c>
      <c r="CK241" s="239">
        <v>0</v>
      </c>
      <c r="CL241" s="239">
        <v>0</v>
      </c>
      <c r="CM241" s="239">
        <v>5165.644628099174</v>
      </c>
      <c r="CN241" s="239">
        <v>1162.2700413223142</v>
      </c>
      <c r="CO241" s="239">
        <v>129.14111570247934</v>
      </c>
      <c r="CP241" s="239">
        <v>8556</v>
      </c>
      <c r="CQ241" s="239">
        <v>1925</v>
      </c>
      <c r="CR241" s="239">
        <v>214</v>
      </c>
      <c r="CS241" s="239">
        <v>-3390</v>
      </c>
      <c r="CT241" s="239">
        <v>-763</v>
      </c>
      <c r="CU241" s="239">
        <v>-85</v>
      </c>
      <c r="CV241" s="239">
        <v>463190.94297520671</v>
      </c>
      <c r="CW241" s="239">
        <v>99304.346157024789</v>
      </c>
      <c r="CX241" s="239">
        <v>11033.816239669421</v>
      </c>
      <c r="CY241" s="239">
        <v>427876</v>
      </c>
      <c r="CZ241" s="239">
        <v>94488</v>
      </c>
      <c r="DA241" s="239">
        <v>10499</v>
      </c>
      <c r="DB241" s="239">
        <v>35315</v>
      </c>
      <c r="DC241" s="239">
        <v>4816</v>
      </c>
      <c r="DD241" s="239">
        <v>535</v>
      </c>
      <c r="DE241" s="641">
        <v>0.5</v>
      </c>
      <c r="DF241" s="641">
        <v>0.4</v>
      </c>
      <c r="DG241" s="641">
        <v>0.09</v>
      </c>
      <c r="DH241" s="641">
        <v>0.01</v>
      </c>
      <c r="DI241" s="214" t="s">
        <v>1190</v>
      </c>
    </row>
    <row r="242" spans="2:113" s="214" customFormat="1" x14ac:dyDescent="0.2">
      <c r="B242" s="609" t="s">
        <v>566</v>
      </c>
      <c r="C242" s="609" t="s">
        <v>565</v>
      </c>
      <c r="D242" s="239">
        <v>-14857</v>
      </c>
      <c r="E242" s="239">
        <v>0</v>
      </c>
      <c r="F242" s="239">
        <v>-14857</v>
      </c>
      <c r="G242" s="239">
        <v>0</v>
      </c>
      <c r="H242" s="239">
        <v>0</v>
      </c>
      <c r="I242" s="239">
        <v>0</v>
      </c>
      <c r="J242" s="239">
        <v>-14857</v>
      </c>
      <c r="K242" s="239">
        <v>0</v>
      </c>
      <c r="L242" s="239">
        <v>-14857</v>
      </c>
      <c r="M242" s="239">
        <v>91482</v>
      </c>
      <c r="N242" s="239">
        <v>91482</v>
      </c>
      <c r="O242" s="239">
        <v>0</v>
      </c>
      <c r="P242" s="239">
        <v>0</v>
      </c>
      <c r="Q242" s="239">
        <v>0</v>
      </c>
      <c r="R242" s="239">
        <v>0</v>
      </c>
      <c r="S242" s="239">
        <v>0</v>
      </c>
      <c r="T242" s="239">
        <v>0</v>
      </c>
      <c r="U242" s="239">
        <v>0</v>
      </c>
      <c r="V242" s="239">
        <v>0</v>
      </c>
      <c r="W242" s="239">
        <v>0</v>
      </c>
      <c r="X242" s="239">
        <v>0</v>
      </c>
      <c r="Y242" s="239">
        <v>0</v>
      </c>
      <c r="Z242" s="239">
        <v>0</v>
      </c>
      <c r="AA242" s="239">
        <v>0</v>
      </c>
      <c r="AB242" s="239">
        <v>0</v>
      </c>
      <c r="AC242" s="239">
        <v>0</v>
      </c>
      <c r="AD242" s="239">
        <v>0</v>
      </c>
      <c r="AE242" s="239">
        <v>0</v>
      </c>
      <c r="AF242" s="239">
        <v>0</v>
      </c>
      <c r="AG242" s="239">
        <v>0</v>
      </c>
      <c r="AH242" s="239">
        <v>0</v>
      </c>
      <c r="AI242" s="239">
        <v>0</v>
      </c>
      <c r="AJ242" s="239">
        <v>0</v>
      </c>
      <c r="AK242" s="239">
        <v>322626.3611570248</v>
      </c>
      <c r="AL242" s="239">
        <v>72590.931260330573</v>
      </c>
      <c r="AM242" s="239">
        <v>8065.6590289256201</v>
      </c>
      <c r="AN242" s="239">
        <v>299696</v>
      </c>
      <c r="AO242" s="239">
        <v>67431</v>
      </c>
      <c r="AP242" s="239">
        <v>7492</v>
      </c>
      <c r="AQ242" s="239">
        <v>22930</v>
      </c>
      <c r="AR242" s="239">
        <v>5160</v>
      </c>
      <c r="AS242" s="239">
        <v>574</v>
      </c>
      <c r="AT242" s="239">
        <v>1632.4735537190084</v>
      </c>
      <c r="AU242" s="239">
        <v>367.30654958677684</v>
      </c>
      <c r="AV242" s="239">
        <v>40.811838842975206</v>
      </c>
      <c r="AW242" s="239">
        <v>1956</v>
      </c>
      <c r="AX242" s="239">
        <v>440</v>
      </c>
      <c r="AY242" s="239">
        <v>49</v>
      </c>
      <c r="AZ242" s="239">
        <v>-324</v>
      </c>
      <c r="BA242" s="239">
        <v>-73</v>
      </c>
      <c r="BB242" s="239">
        <v>-8</v>
      </c>
      <c r="BC242" s="239">
        <v>0</v>
      </c>
      <c r="BD242" s="239">
        <v>0</v>
      </c>
      <c r="BE242" s="239">
        <v>0</v>
      </c>
      <c r="BF242" s="239">
        <v>2434</v>
      </c>
      <c r="BG242" s="239">
        <v>548</v>
      </c>
      <c r="BH242" s="239">
        <v>61</v>
      </c>
      <c r="BI242" s="239">
        <v>-2434</v>
      </c>
      <c r="BJ242" s="239">
        <v>-548</v>
      </c>
      <c r="BK242" s="239">
        <v>-61</v>
      </c>
      <c r="BL242" s="239">
        <v>0</v>
      </c>
      <c r="BM242" s="239">
        <v>0</v>
      </c>
      <c r="BN242" s="239">
        <v>0</v>
      </c>
      <c r="BO242" s="239">
        <v>4058</v>
      </c>
      <c r="BP242" s="239">
        <v>913</v>
      </c>
      <c r="BQ242" s="239">
        <v>101</v>
      </c>
      <c r="BR242" s="239">
        <v>-4058</v>
      </c>
      <c r="BS242" s="239">
        <v>-913</v>
      </c>
      <c r="BT242" s="239">
        <v>-101</v>
      </c>
      <c r="BU242" s="239">
        <v>5565.3429752066113</v>
      </c>
      <c r="BV242" s="239">
        <v>1252.2021694214875</v>
      </c>
      <c r="BW242" s="239">
        <v>139.1335743801653</v>
      </c>
      <c r="BX242" s="239">
        <v>0</v>
      </c>
      <c r="BY242" s="239">
        <v>0</v>
      </c>
      <c r="BZ242" s="239">
        <v>0</v>
      </c>
      <c r="CA242" s="239">
        <v>5565</v>
      </c>
      <c r="CB242" s="239">
        <v>1252</v>
      </c>
      <c r="CC242" s="239">
        <v>139</v>
      </c>
      <c r="CD242" s="239">
        <v>0</v>
      </c>
      <c r="CE242" s="239">
        <v>0</v>
      </c>
      <c r="CF242" s="239">
        <v>0</v>
      </c>
      <c r="CG242" s="239">
        <v>0</v>
      </c>
      <c r="CH242" s="239">
        <v>0</v>
      </c>
      <c r="CI242" s="239">
        <v>0</v>
      </c>
      <c r="CJ242" s="239">
        <v>0</v>
      </c>
      <c r="CK242" s="239">
        <v>0</v>
      </c>
      <c r="CL242" s="239">
        <v>0</v>
      </c>
      <c r="CM242" s="239">
        <v>1797.2223140495867</v>
      </c>
      <c r="CN242" s="239">
        <v>404.37502066115695</v>
      </c>
      <c r="CO242" s="239">
        <v>44.930557851239669</v>
      </c>
      <c r="CP242" s="239">
        <v>0</v>
      </c>
      <c r="CQ242" s="239">
        <v>0</v>
      </c>
      <c r="CR242" s="239">
        <v>0</v>
      </c>
      <c r="CS242" s="239">
        <v>1797</v>
      </c>
      <c r="CT242" s="239">
        <v>404</v>
      </c>
      <c r="CU242" s="239">
        <v>45</v>
      </c>
      <c r="CV242" s="239">
        <v>133884.53388429753</v>
      </c>
      <c r="CW242" s="239">
        <v>30124.02012396694</v>
      </c>
      <c r="CX242" s="239">
        <v>3347.1133471074381</v>
      </c>
      <c r="CY242" s="239">
        <v>136148</v>
      </c>
      <c r="CZ242" s="239">
        <v>30633</v>
      </c>
      <c r="DA242" s="239">
        <v>3404</v>
      </c>
      <c r="DB242" s="239">
        <v>-2263</v>
      </c>
      <c r="DC242" s="239">
        <v>-509</v>
      </c>
      <c r="DD242" s="239">
        <v>-57</v>
      </c>
      <c r="DE242" s="641">
        <v>0.5</v>
      </c>
      <c r="DF242" s="641">
        <v>0.4</v>
      </c>
      <c r="DG242" s="641">
        <v>0.09</v>
      </c>
      <c r="DH242" s="641">
        <v>0.01</v>
      </c>
      <c r="DI242" s="214" t="s">
        <v>1190</v>
      </c>
    </row>
    <row r="243" spans="2:113" s="214" customFormat="1" x14ac:dyDescent="0.2">
      <c r="B243" s="609" t="s">
        <v>568</v>
      </c>
      <c r="C243" s="609" t="s">
        <v>567</v>
      </c>
      <c r="D243" s="239">
        <v>-450366</v>
      </c>
      <c r="E243" s="239">
        <v>0</v>
      </c>
      <c r="F243" s="239">
        <v>-450366</v>
      </c>
      <c r="G243" s="239">
        <v>0</v>
      </c>
      <c r="H243" s="239">
        <v>0</v>
      </c>
      <c r="I243" s="239">
        <v>0</v>
      </c>
      <c r="J243" s="239">
        <v>-450366</v>
      </c>
      <c r="K243" s="239">
        <v>0</v>
      </c>
      <c r="L243" s="239">
        <v>-450366</v>
      </c>
      <c r="M243" s="239">
        <v>336111</v>
      </c>
      <c r="N243" s="239">
        <v>336111</v>
      </c>
      <c r="O243" s="239">
        <v>0</v>
      </c>
      <c r="P243" s="239">
        <v>4617815</v>
      </c>
      <c r="Q243" s="239">
        <v>4905143</v>
      </c>
      <c r="R243" s="239">
        <v>-287328</v>
      </c>
      <c r="S243" s="239">
        <v>239306</v>
      </c>
      <c r="T243" s="239">
        <v>0</v>
      </c>
      <c r="U243" s="239">
        <v>196898</v>
      </c>
      <c r="V243" s="239">
        <v>0</v>
      </c>
      <c r="W243" s="239">
        <v>42408</v>
      </c>
      <c r="X243" s="239">
        <v>0</v>
      </c>
      <c r="Y243" s="239">
        <v>0</v>
      </c>
      <c r="Z243" s="239">
        <v>0</v>
      </c>
      <c r="AA243" s="239">
        <v>0</v>
      </c>
      <c r="AB243" s="239">
        <v>0</v>
      </c>
      <c r="AC243" s="239">
        <v>0</v>
      </c>
      <c r="AD243" s="239">
        <v>0</v>
      </c>
      <c r="AE243" s="239">
        <v>0</v>
      </c>
      <c r="AF243" s="239">
        <v>0</v>
      </c>
      <c r="AG243" s="239">
        <v>0</v>
      </c>
      <c r="AH243" s="239">
        <v>0</v>
      </c>
      <c r="AI243" s="239">
        <v>0</v>
      </c>
      <c r="AJ243" s="239">
        <v>0</v>
      </c>
      <c r="AK243" s="239">
        <v>1100247.4589876032</v>
      </c>
      <c r="AL243" s="239">
        <v>0</v>
      </c>
      <c r="AM243" s="239">
        <v>22380.92634297521</v>
      </c>
      <c r="AN243" s="239">
        <v>924053</v>
      </c>
      <c r="AO243" s="239">
        <v>0</v>
      </c>
      <c r="AP243" s="239">
        <v>18760</v>
      </c>
      <c r="AQ243" s="239">
        <v>176194</v>
      </c>
      <c r="AR243" s="239">
        <v>0</v>
      </c>
      <c r="AS243" s="239">
        <v>3621</v>
      </c>
      <c r="AT243" s="239">
        <v>24131.077582644626</v>
      </c>
      <c r="AU243" s="239">
        <v>0</v>
      </c>
      <c r="AV243" s="239">
        <v>492.4709710743802</v>
      </c>
      <c r="AW243" s="239">
        <v>9745</v>
      </c>
      <c r="AX243" s="239">
        <v>0</v>
      </c>
      <c r="AY243" s="239">
        <v>199</v>
      </c>
      <c r="AZ243" s="239">
        <v>14386</v>
      </c>
      <c r="BA243" s="239">
        <v>0</v>
      </c>
      <c r="BB243" s="239">
        <v>293</v>
      </c>
      <c r="BC243" s="239">
        <v>0</v>
      </c>
      <c r="BD243" s="239">
        <v>0</v>
      </c>
      <c r="BE243" s="239">
        <v>0</v>
      </c>
      <c r="BF243" s="239">
        <v>0</v>
      </c>
      <c r="BG243" s="239">
        <v>0</v>
      </c>
      <c r="BH243" s="239">
        <v>0</v>
      </c>
      <c r="BI243" s="239">
        <v>0</v>
      </c>
      <c r="BJ243" s="239">
        <v>0</v>
      </c>
      <c r="BK243" s="239">
        <v>0</v>
      </c>
      <c r="BL243" s="239">
        <v>6835.4402685950408</v>
      </c>
      <c r="BM243" s="239">
        <v>0</v>
      </c>
      <c r="BN243" s="239">
        <v>139.49878099173554</v>
      </c>
      <c r="BO243" s="239">
        <v>2065</v>
      </c>
      <c r="BP243" s="239">
        <v>0</v>
      </c>
      <c r="BQ243" s="239">
        <v>42</v>
      </c>
      <c r="BR243" s="239">
        <v>4770</v>
      </c>
      <c r="BS243" s="239">
        <v>0</v>
      </c>
      <c r="BT243" s="239">
        <v>97</v>
      </c>
      <c r="BU243" s="239">
        <v>20116.107685950414</v>
      </c>
      <c r="BV243" s="239">
        <v>0</v>
      </c>
      <c r="BW243" s="239">
        <v>410.53280991735539</v>
      </c>
      <c r="BX243" s="239">
        <v>0</v>
      </c>
      <c r="BY243" s="239">
        <v>0</v>
      </c>
      <c r="BZ243" s="239">
        <v>0</v>
      </c>
      <c r="CA243" s="239">
        <v>20116</v>
      </c>
      <c r="CB243" s="239">
        <v>0</v>
      </c>
      <c r="CC243" s="239">
        <v>411</v>
      </c>
      <c r="CD243" s="239">
        <v>0</v>
      </c>
      <c r="CE243" s="239">
        <v>0</v>
      </c>
      <c r="CF243" s="239">
        <v>0</v>
      </c>
      <c r="CG243" s="239">
        <v>0</v>
      </c>
      <c r="CH243" s="239">
        <v>0</v>
      </c>
      <c r="CI243" s="239">
        <v>0</v>
      </c>
      <c r="CJ243" s="239">
        <v>0</v>
      </c>
      <c r="CK243" s="239">
        <v>0</v>
      </c>
      <c r="CL243" s="239">
        <v>0</v>
      </c>
      <c r="CM243" s="239">
        <v>5281.5470041322315</v>
      </c>
      <c r="CN243" s="239">
        <v>0</v>
      </c>
      <c r="CO243" s="239">
        <v>107.78667355371901</v>
      </c>
      <c r="CP243" s="239">
        <v>11299</v>
      </c>
      <c r="CQ243" s="239">
        <v>0</v>
      </c>
      <c r="CR243" s="239">
        <v>231</v>
      </c>
      <c r="CS243" s="239">
        <v>-6017</v>
      </c>
      <c r="CT243" s="239">
        <v>0</v>
      </c>
      <c r="CU243" s="239">
        <v>-123</v>
      </c>
      <c r="CV243" s="239">
        <v>1025213.9379132229</v>
      </c>
      <c r="CW243" s="239">
        <v>0</v>
      </c>
      <c r="CX243" s="239">
        <v>19489.108574380167</v>
      </c>
      <c r="CY243" s="239">
        <v>1093155</v>
      </c>
      <c r="CZ243" s="239">
        <v>0</v>
      </c>
      <c r="DA243" s="239">
        <v>20803</v>
      </c>
      <c r="DB243" s="239">
        <v>-67941</v>
      </c>
      <c r="DC243" s="239">
        <v>0</v>
      </c>
      <c r="DD243" s="239">
        <v>-1314</v>
      </c>
      <c r="DE243" s="641">
        <v>0.5</v>
      </c>
      <c r="DF243" s="641">
        <v>0.49</v>
      </c>
      <c r="DG243" s="641">
        <v>0</v>
      </c>
      <c r="DH243" s="641">
        <v>0.01</v>
      </c>
      <c r="DI243" s="214" t="s">
        <v>747</v>
      </c>
    </row>
    <row r="244" spans="2:113" s="214" customFormat="1" x14ac:dyDescent="0.2">
      <c r="B244" s="609" t="s">
        <v>570</v>
      </c>
      <c r="C244" s="609" t="s">
        <v>569</v>
      </c>
      <c r="D244" s="239">
        <v>-835153</v>
      </c>
      <c r="E244" s="239">
        <v>0</v>
      </c>
      <c r="F244" s="239">
        <v>-835153</v>
      </c>
      <c r="G244" s="239">
        <v>0</v>
      </c>
      <c r="H244" s="239">
        <v>0</v>
      </c>
      <c r="I244" s="239">
        <v>0</v>
      </c>
      <c r="J244" s="239">
        <v>-835153</v>
      </c>
      <c r="K244" s="239">
        <v>0</v>
      </c>
      <c r="L244" s="239">
        <v>-835153</v>
      </c>
      <c r="M244" s="239">
        <v>208295</v>
      </c>
      <c r="N244" s="239">
        <v>208295</v>
      </c>
      <c r="O244" s="239">
        <v>0</v>
      </c>
      <c r="P244" s="239">
        <v>0</v>
      </c>
      <c r="Q244" s="239">
        <v>0</v>
      </c>
      <c r="R244" s="239">
        <v>0</v>
      </c>
      <c r="S244" s="239">
        <v>0</v>
      </c>
      <c r="T244" s="239">
        <v>0</v>
      </c>
      <c r="U244" s="239">
        <v>0</v>
      </c>
      <c r="V244" s="239">
        <v>0</v>
      </c>
      <c r="W244" s="239">
        <v>0</v>
      </c>
      <c r="X244" s="239">
        <v>0</v>
      </c>
      <c r="Y244" s="239">
        <v>0</v>
      </c>
      <c r="Z244" s="239">
        <v>0</v>
      </c>
      <c r="AA244" s="239">
        <v>0</v>
      </c>
      <c r="AB244" s="239">
        <v>0</v>
      </c>
      <c r="AC244" s="239">
        <v>0</v>
      </c>
      <c r="AD244" s="239">
        <v>0</v>
      </c>
      <c r="AE244" s="239">
        <v>0</v>
      </c>
      <c r="AF244" s="239">
        <v>0</v>
      </c>
      <c r="AG244" s="239">
        <v>0</v>
      </c>
      <c r="AH244" s="239">
        <v>0</v>
      </c>
      <c r="AI244" s="239">
        <v>0</v>
      </c>
      <c r="AJ244" s="239">
        <v>0</v>
      </c>
      <c r="AK244" s="239">
        <v>967608.22190082644</v>
      </c>
      <c r="AL244" s="239">
        <v>217711.84992768595</v>
      </c>
      <c r="AM244" s="239">
        <v>24190.205547520665</v>
      </c>
      <c r="AN244" s="239">
        <v>1007277</v>
      </c>
      <c r="AO244" s="239">
        <v>226637</v>
      </c>
      <c r="AP244" s="239">
        <v>25182</v>
      </c>
      <c r="AQ244" s="239">
        <v>-39669</v>
      </c>
      <c r="AR244" s="239">
        <v>-8925</v>
      </c>
      <c r="AS244" s="239">
        <v>-992</v>
      </c>
      <c r="AT244" s="239">
        <v>0</v>
      </c>
      <c r="AU244" s="239">
        <v>0</v>
      </c>
      <c r="AV244" s="239">
        <v>0</v>
      </c>
      <c r="AW244" s="239">
        <v>0</v>
      </c>
      <c r="AX244" s="239">
        <v>0</v>
      </c>
      <c r="AY244" s="239">
        <v>0</v>
      </c>
      <c r="AZ244" s="239">
        <v>0</v>
      </c>
      <c r="BA244" s="239">
        <v>0</v>
      </c>
      <c r="BB244" s="239">
        <v>0</v>
      </c>
      <c r="BC244" s="239">
        <v>14919.501652892564</v>
      </c>
      <c r="BD244" s="239">
        <v>3356.8878719008267</v>
      </c>
      <c r="BE244" s="239">
        <v>372.98754132231409</v>
      </c>
      <c r="BF244" s="239">
        <v>8116</v>
      </c>
      <c r="BG244" s="239">
        <v>1826</v>
      </c>
      <c r="BH244" s="239">
        <v>203</v>
      </c>
      <c r="BI244" s="239">
        <v>6804</v>
      </c>
      <c r="BJ244" s="239">
        <v>1531</v>
      </c>
      <c r="BK244" s="239">
        <v>170</v>
      </c>
      <c r="BL244" s="239">
        <v>2508.9694214876035</v>
      </c>
      <c r="BM244" s="239">
        <v>564.51811983471066</v>
      </c>
      <c r="BN244" s="239">
        <v>62.724235537190083</v>
      </c>
      <c r="BO244" s="239">
        <v>2873</v>
      </c>
      <c r="BP244" s="239">
        <v>646</v>
      </c>
      <c r="BQ244" s="239">
        <v>72</v>
      </c>
      <c r="BR244" s="239">
        <v>-364</v>
      </c>
      <c r="BS244" s="239">
        <v>-81</v>
      </c>
      <c r="BT244" s="239">
        <v>-9</v>
      </c>
      <c r="BU244" s="239">
        <v>4430.7677685950412</v>
      </c>
      <c r="BV244" s="239">
        <v>996.92274793388424</v>
      </c>
      <c r="BW244" s="239">
        <v>110.76919421487602</v>
      </c>
      <c r="BX244" s="239">
        <v>0</v>
      </c>
      <c r="BY244" s="239">
        <v>0</v>
      </c>
      <c r="BZ244" s="239">
        <v>0</v>
      </c>
      <c r="CA244" s="239">
        <v>4431</v>
      </c>
      <c r="CB244" s="239">
        <v>997</v>
      </c>
      <c r="CC244" s="239">
        <v>111</v>
      </c>
      <c r="CD244" s="239">
        <v>0</v>
      </c>
      <c r="CE244" s="239">
        <v>0</v>
      </c>
      <c r="CF244" s="239">
        <v>0</v>
      </c>
      <c r="CG244" s="239">
        <v>0</v>
      </c>
      <c r="CH244" s="239">
        <v>0</v>
      </c>
      <c r="CI244" s="239">
        <v>0</v>
      </c>
      <c r="CJ244" s="239">
        <v>0</v>
      </c>
      <c r="CK244" s="239">
        <v>0</v>
      </c>
      <c r="CL244" s="239">
        <v>0</v>
      </c>
      <c r="CM244" s="239">
        <v>11673.626446280992</v>
      </c>
      <c r="CN244" s="239">
        <v>2626.5659504132232</v>
      </c>
      <c r="CO244" s="239">
        <v>291.84066115702478</v>
      </c>
      <c r="CP244" s="239">
        <v>18724</v>
      </c>
      <c r="CQ244" s="239">
        <v>4213</v>
      </c>
      <c r="CR244" s="239">
        <v>468</v>
      </c>
      <c r="CS244" s="239">
        <v>-7050</v>
      </c>
      <c r="CT244" s="239">
        <v>-1586</v>
      </c>
      <c r="CU244" s="239">
        <v>-176</v>
      </c>
      <c r="CV244" s="239">
        <v>327475.28429752064</v>
      </c>
      <c r="CW244" s="239">
        <v>73681.938966942151</v>
      </c>
      <c r="CX244" s="239">
        <v>8186.8821074380176</v>
      </c>
      <c r="CY244" s="239">
        <v>176618</v>
      </c>
      <c r="CZ244" s="239">
        <v>39739</v>
      </c>
      <c r="DA244" s="239">
        <v>4415</v>
      </c>
      <c r="DB244" s="239">
        <v>150857</v>
      </c>
      <c r="DC244" s="239">
        <v>33943</v>
      </c>
      <c r="DD244" s="239">
        <v>3772</v>
      </c>
      <c r="DE244" s="641">
        <v>0.5</v>
      </c>
      <c r="DF244" s="641">
        <v>0.4</v>
      </c>
      <c r="DG244" s="641">
        <v>0.09</v>
      </c>
      <c r="DH244" s="641">
        <v>0.01</v>
      </c>
      <c r="DI244" s="214" t="s">
        <v>1190</v>
      </c>
    </row>
    <row r="245" spans="2:113" s="214" customFormat="1" x14ac:dyDescent="0.2">
      <c r="B245" s="609" t="s">
        <v>572</v>
      </c>
      <c r="C245" s="609" t="s">
        <v>571</v>
      </c>
      <c r="D245" s="239">
        <v>-2413739</v>
      </c>
      <c r="E245" s="239">
        <v>0</v>
      </c>
      <c r="F245" s="239">
        <v>-2413739</v>
      </c>
      <c r="G245" s="239">
        <v>0</v>
      </c>
      <c r="H245" s="239">
        <v>0</v>
      </c>
      <c r="I245" s="239">
        <v>0</v>
      </c>
      <c r="J245" s="239">
        <v>-2413739</v>
      </c>
      <c r="K245" s="239">
        <v>0</v>
      </c>
      <c r="L245" s="239">
        <v>-2413739</v>
      </c>
      <c r="M245" s="239">
        <v>111638</v>
      </c>
      <c r="N245" s="239">
        <v>111638</v>
      </c>
      <c r="O245" s="239">
        <v>0</v>
      </c>
      <c r="P245" s="239">
        <v>0</v>
      </c>
      <c r="Q245" s="239">
        <v>0</v>
      </c>
      <c r="R245" s="239">
        <v>0</v>
      </c>
      <c r="S245" s="239">
        <v>242898</v>
      </c>
      <c r="T245" s="239">
        <v>0</v>
      </c>
      <c r="U245" s="239">
        <v>208777</v>
      </c>
      <c r="V245" s="239">
        <v>0</v>
      </c>
      <c r="W245" s="239">
        <v>34121</v>
      </c>
      <c r="X245" s="239">
        <v>0</v>
      </c>
      <c r="Y245" s="239">
        <v>0</v>
      </c>
      <c r="Z245" s="239">
        <v>0</v>
      </c>
      <c r="AA245" s="239">
        <v>0</v>
      </c>
      <c r="AB245" s="239">
        <v>0</v>
      </c>
      <c r="AC245" s="239">
        <v>0</v>
      </c>
      <c r="AD245" s="239">
        <v>0</v>
      </c>
      <c r="AE245" s="239">
        <v>0</v>
      </c>
      <c r="AF245" s="239">
        <v>0</v>
      </c>
      <c r="AG245" s="239">
        <v>0</v>
      </c>
      <c r="AH245" s="239">
        <v>0</v>
      </c>
      <c r="AI245" s="239">
        <v>0</v>
      </c>
      <c r="AJ245" s="239">
        <v>0</v>
      </c>
      <c r="AK245" s="239">
        <v>394017.76115702483</v>
      </c>
      <c r="AL245" s="239">
        <v>98504.440289256207</v>
      </c>
      <c r="AM245" s="239">
        <v>0</v>
      </c>
      <c r="AN245" s="239">
        <v>369440</v>
      </c>
      <c r="AO245" s="239">
        <v>92360</v>
      </c>
      <c r="AP245" s="239">
        <v>0</v>
      </c>
      <c r="AQ245" s="239">
        <v>24578</v>
      </c>
      <c r="AR245" s="239">
        <v>6144</v>
      </c>
      <c r="AS245" s="239">
        <v>0</v>
      </c>
      <c r="AT245" s="239">
        <v>2466.7677685950412</v>
      </c>
      <c r="AU245" s="239">
        <v>616.69194214876029</v>
      </c>
      <c r="AV245" s="239">
        <v>0</v>
      </c>
      <c r="AW245" s="239">
        <v>0</v>
      </c>
      <c r="AX245" s="239">
        <v>0</v>
      </c>
      <c r="AY245" s="239">
        <v>0</v>
      </c>
      <c r="AZ245" s="239">
        <v>2467</v>
      </c>
      <c r="BA245" s="239">
        <v>617</v>
      </c>
      <c r="BB245" s="239">
        <v>0</v>
      </c>
      <c r="BC245" s="239">
        <v>0</v>
      </c>
      <c r="BD245" s="239">
        <v>0</v>
      </c>
      <c r="BE245" s="239">
        <v>0</v>
      </c>
      <c r="BF245" s="239">
        <v>0</v>
      </c>
      <c r="BG245" s="239">
        <v>0</v>
      </c>
      <c r="BH245" s="239">
        <v>0</v>
      </c>
      <c r="BI245" s="239">
        <v>0</v>
      </c>
      <c r="BJ245" s="239">
        <v>0</v>
      </c>
      <c r="BK245" s="239">
        <v>0</v>
      </c>
      <c r="BL245" s="239">
        <v>601.77933884297522</v>
      </c>
      <c r="BM245" s="239">
        <v>150.44483471074381</v>
      </c>
      <c r="BN245" s="239">
        <v>0</v>
      </c>
      <c r="BO245" s="239">
        <v>0</v>
      </c>
      <c r="BP245" s="239">
        <v>0</v>
      </c>
      <c r="BQ245" s="239">
        <v>0</v>
      </c>
      <c r="BR245" s="239">
        <v>602</v>
      </c>
      <c r="BS245" s="239">
        <v>150</v>
      </c>
      <c r="BT245" s="239">
        <v>0</v>
      </c>
      <c r="BU245" s="239">
        <v>3928</v>
      </c>
      <c r="BV245" s="239">
        <v>982</v>
      </c>
      <c r="BW245" s="239">
        <v>0</v>
      </c>
      <c r="BX245" s="239">
        <v>0</v>
      </c>
      <c r="BY245" s="239">
        <v>0</v>
      </c>
      <c r="BZ245" s="239">
        <v>0</v>
      </c>
      <c r="CA245" s="239">
        <v>3928</v>
      </c>
      <c r="CB245" s="239">
        <v>982</v>
      </c>
      <c r="CC245" s="239">
        <v>0</v>
      </c>
      <c r="CD245" s="239">
        <v>0</v>
      </c>
      <c r="CE245" s="239">
        <v>0</v>
      </c>
      <c r="CF245" s="239">
        <v>0</v>
      </c>
      <c r="CG245" s="239">
        <v>0</v>
      </c>
      <c r="CH245" s="239">
        <v>0</v>
      </c>
      <c r="CI245" s="239">
        <v>0</v>
      </c>
      <c r="CJ245" s="239">
        <v>0</v>
      </c>
      <c r="CK245" s="239">
        <v>0</v>
      </c>
      <c r="CL245" s="239">
        <v>0</v>
      </c>
      <c r="CM245" s="239">
        <v>2675.3413223140496</v>
      </c>
      <c r="CN245" s="239">
        <v>668.83533057851241</v>
      </c>
      <c r="CO245" s="239">
        <v>0</v>
      </c>
      <c r="CP245" s="239">
        <v>2436</v>
      </c>
      <c r="CQ245" s="239">
        <v>609</v>
      </c>
      <c r="CR245" s="239">
        <v>0</v>
      </c>
      <c r="CS245" s="239">
        <v>239</v>
      </c>
      <c r="CT245" s="239">
        <v>60</v>
      </c>
      <c r="CU245" s="239">
        <v>0</v>
      </c>
      <c r="CV245" s="239">
        <v>138099.55785123966</v>
      </c>
      <c r="CW245" s="239">
        <v>33646.64256198347</v>
      </c>
      <c r="CX245" s="239">
        <v>0</v>
      </c>
      <c r="CY245" s="239">
        <v>151331</v>
      </c>
      <c r="CZ245" s="239">
        <v>37078</v>
      </c>
      <c r="DA245" s="239">
        <v>0</v>
      </c>
      <c r="DB245" s="239">
        <v>-13231</v>
      </c>
      <c r="DC245" s="239">
        <v>-3431</v>
      </c>
      <c r="DD245" s="239">
        <v>0</v>
      </c>
      <c r="DE245" s="641">
        <v>0.5</v>
      </c>
      <c r="DF245" s="641">
        <v>0.4</v>
      </c>
      <c r="DG245" s="641">
        <v>0.1</v>
      </c>
      <c r="DH245" s="641">
        <v>0</v>
      </c>
      <c r="DI245" s="214" t="s">
        <v>1190</v>
      </c>
    </row>
    <row r="246" spans="2:113" s="214" customFormat="1" x14ac:dyDescent="0.2">
      <c r="B246" s="609" t="s">
        <v>574</v>
      </c>
      <c r="C246" s="609" t="s">
        <v>573</v>
      </c>
      <c r="D246" s="239">
        <v>59373</v>
      </c>
      <c r="E246" s="239">
        <v>0</v>
      </c>
      <c r="F246" s="239">
        <v>59373</v>
      </c>
      <c r="G246" s="239">
        <v>0</v>
      </c>
      <c r="H246" s="239">
        <v>0</v>
      </c>
      <c r="I246" s="239">
        <v>0</v>
      </c>
      <c r="J246" s="239">
        <v>59373</v>
      </c>
      <c r="K246" s="239">
        <v>0</v>
      </c>
      <c r="L246" s="239">
        <v>59373</v>
      </c>
      <c r="M246" s="239">
        <v>178909</v>
      </c>
      <c r="N246" s="239">
        <v>178909</v>
      </c>
      <c r="O246" s="239">
        <v>0</v>
      </c>
      <c r="P246" s="239">
        <v>0</v>
      </c>
      <c r="Q246" s="239">
        <v>0</v>
      </c>
      <c r="R246" s="239">
        <v>0</v>
      </c>
      <c r="S246" s="239">
        <v>21517</v>
      </c>
      <c r="T246" s="239">
        <v>0</v>
      </c>
      <c r="U246" s="239">
        <v>0</v>
      </c>
      <c r="V246" s="239">
        <v>0</v>
      </c>
      <c r="W246" s="239">
        <v>21517</v>
      </c>
      <c r="X246" s="239">
        <v>0</v>
      </c>
      <c r="Y246" s="239">
        <v>0</v>
      </c>
      <c r="Z246" s="239">
        <v>0</v>
      </c>
      <c r="AA246" s="239">
        <v>0</v>
      </c>
      <c r="AB246" s="239">
        <v>0</v>
      </c>
      <c r="AC246" s="239">
        <v>0</v>
      </c>
      <c r="AD246" s="239">
        <v>0</v>
      </c>
      <c r="AE246" s="239">
        <v>0</v>
      </c>
      <c r="AF246" s="239">
        <v>0</v>
      </c>
      <c r="AG246" s="239">
        <v>0</v>
      </c>
      <c r="AH246" s="239">
        <v>0</v>
      </c>
      <c r="AI246" s="239">
        <v>0</v>
      </c>
      <c r="AJ246" s="239">
        <v>0</v>
      </c>
      <c r="AK246" s="239">
        <v>616420.67479338846</v>
      </c>
      <c r="AL246" s="239">
        <v>154105.16869834712</v>
      </c>
      <c r="AM246" s="239">
        <v>0</v>
      </c>
      <c r="AN246" s="239">
        <v>585680</v>
      </c>
      <c r="AO246" s="239">
        <v>146420</v>
      </c>
      <c r="AP246" s="239">
        <v>0</v>
      </c>
      <c r="AQ246" s="239">
        <v>30741</v>
      </c>
      <c r="AR246" s="239">
        <v>7685</v>
      </c>
      <c r="AS246" s="239">
        <v>0</v>
      </c>
      <c r="AT246" s="239">
        <v>0</v>
      </c>
      <c r="AU246" s="239">
        <v>0</v>
      </c>
      <c r="AV246" s="239">
        <v>0</v>
      </c>
      <c r="AW246" s="239">
        <v>0</v>
      </c>
      <c r="AX246" s="239">
        <v>0</v>
      </c>
      <c r="AY246" s="239">
        <v>0</v>
      </c>
      <c r="AZ246" s="239">
        <v>0</v>
      </c>
      <c r="BA246" s="239">
        <v>0</v>
      </c>
      <c r="BB246" s="239">
        <v>0</v>
      </c>
      <c r="BC246" s="239">
        <v>-2397.3785123966927</v>
      </c>
      <c r="BD246" s="239">
        <v>-599.34462809917318</v>
      </c>
      <c r="BE246" s="239">
        <v>0</v>
      </c>
      <c r="BF246" s="239">
        <v>14118</v>
      </c>
      <c r="BG246" s="239">
        <v>3529</v>
      </c>
      <c r="BH246" s="239">
        <v>0</v>
      </c>
      <c r="BI246" s="239">
        <v>-16515</v>
      </c>
      <c r="BJ246" s="239">
        <v>-4128</v>
      </c>
      <c r="BK246" s="239">
        <v>0</v>
      </c>
      <c r="BL246" s="239">
        <v>19865.616528925621</v>
      </c>
      <c r="BM246" s="239">
        <v>4966.4041322314051</v>
      </c>
      <c r="BN246" s="239">
        <v>0</v>
      </c>
      <c r="BO246" s="239">
        <v>16443</v>
      </c>
      <c r="BP246" s="239">
        <v>4111</v>
      </c>
      <c r="BQ246" s="239">
        <v>0</v>
      </c>
      <c r="BR246" s="239">
        <v>3423</v>
      </c>
      <c r="BS246" s="239">
        <v>855</v>
      </c>
      <c r="BT246" s="239">
        <v>0</v>
      </c>
      <c r="BU246" s="239">
        <v>-2247.238016528926</v>
      </c>
      <c r="BV246" s="239">
        <v>-561.8095041322315</v>
      </c>
      <c r="BW246" s="239">
        <v>0</v>
      </c>
      <c r="BX246" s="239">
        <v>0</v>
      </c>
      <c r="BY246" s="239">
        <v>0</v>
      </c>
      <c r="BZ246" s="239">
        <v>0</v>
      </c>
      <c r="CA246" s="239">
        <v>-2247</v>
      </c>
      <c r="CB246" s="239">
        <v>-562</v>
      </c>
      <c r="CC246" s="239">
        <v>0</v>
      </c>
      <c r="CD246" s="239">
        <v>0</v>
      </c>
      <c r="CE246" s="239">
        <v>0</v>
      </c>
      <c r="CF246" s="239">
        <v>0</v>
      </c>
      <c r="CG246" s="239">
        <v>0</v>
      </c>
      <c r="CH246" s="239">
        <v>0</v>
      </c>
      <c r="CI246" s="239">
        <v>0</v>
      </c>
      <c r="CJ246" s="239">
        <v>0</v>
      </c>
      <c r="CK246" s="239">
        <v>0</v>
      </c>
      <c r="CL246" s="239">
        <v>0</v>
      </c>
      <c r="CM246" s="239">
        <v>1262.8033057851242</v>
      </c>
      <c r="CN246" s="239">
        <v>315.70082644628104</v>
      </c>
      <c r="CO246" s="239">
        <v>0</v>
      </c>
      <c r="CP246" s="239">
        <v>1154</v>
      </c>
      <c r="CQ246" s="239">
        <v>289</v>
      </c>
      <c r="CR246" s="239">
        <v>0</v>
      </c>
      <c r="CS246" s="239">
        <v>109</v>
      </c>
      <c r="CT246" s="239">
        <v>27</v>
      </c>
      <c r="CU246" s="239">
        <v>0</v>
      </c>
      <c r="CV246" s="239">
        <v>237777.55330578511</v>
      </c>
      <c r="CW246" s="239">
        <v>59366.589256198349</v>
      </c>
      <c r="CX246" s="239">
        <v>0</v>
      </c>
      <c r="CY246" s="239">
        <v>239168</v>
      </c>
      <c r="CZ246" s="239">
        <v>59792</v>
      </c>
      <c r="DA246" s="239">
        <v>0</v>
      </c>
      <c r="DB246" s="239">
        <v>-1390</v>
      </c>
      <c r="DC246" s="239">
        <v>-425</v>
      </c>
      <c r="DD246" s="239">
        <v>0</v>
      </c>
      <c r="DE246" s="641">
        <v>0.5</v>
      </c>
      <c r="DF246" s="641">
        <v>0.4</v>
      </c>
      <c r="DG246" s="641">
        <v>0.1</v>
      </c>
      <c r="DH246" s="641">
        <v>0</v>
      </c>
      <c r="DI246" s="214" t="s">
        <v>1190</v>
      </c>
    </row>
    <row r="247" spans="2:113" s="214" customFormat="1" x14ac:dyDescent="0.2">
      <c r="B247" s="609" t="s">
        <v>576</v>
      </c>
      <c r="C247" s="609" t="s">
        <v>575</v>
      </c>
      <c r="D247" s="239">
        <v>-25671</v>
      </c>
      <c r="E247" s="239">
        <v>0</v>
      </c>
      <c r="F247" s="239">
        <v>-25671</v>
      </c>
      <c r="G247" s="239">
        <v>0</v>
      </c>
      <c r="H247" s="239">
        <v>0</v>
      </c>
      <c r="I247" s="239">
        <v>0</v>
      </c>
      <c r="J247" s="239">
        <v>-25671</v>
      </c>
      <c r="K247" s="239">
        <v>0</v>
      </c>
      <c r="L247" s="239">
        <v>-25671</v>
      </c>
      <c r="M247" s="239">
        <v>301317</v>
      </c>
      <c r="N247" s="239">
        <v>301317</v>
      </c>
      <c r="O247" s="239">
        <v>0</v>
      </c>
      <c r="P247" s="239">
        <v>0</v>
      </c>
      <c r="Q247" s="239">
        <v>0</v>
      </c>
      <c r="R247" s="239">
        <v>0</v>
      </c>
      <c r="S247" s="239">
        <v>0</v>
      </c>
      <c r="T247" s="239">
        <v>0</v>
      </c>
      <c r="U247" s="239">
        <v>0</v>
      </c>
      <c r="V247" s="239">
        <v>0</v>
      </c>
      <c r="W247" s="239">
        <v>0</v>
      </c>
      <c r="X247" s="239">
        <v>0</v>
      </c>
      <c r="Y247" s="239">
        <v>0</v>
      </c>
      <c r="Z247" s="239">
        <v>0</v>
      </c>
      <c r="AA247" s="239">
        <v>0</v>
      </c>
      <c r="AB247" s="239">
        <v>0</v>
      </c>
      <c r="AC247" s="239">
        <v>0</v>
      </c>
      <c r="AD247" s="239">
        <v>0</v>
      </c>
      <c r="AE247" s="239">
        <v>0</v>
      </c>
      <c r="AF247" s="239">
        <v>0</v>
      </c>
      <c r="AG247" s="239">
        <v>0</v>
      </c>
      <c r="AH247" s="239">
        <v>0</v>
      </c>
      <c r="AI247" s="239">
        <v>0</v>
      </c>
      <c r="AJ247" s="239">
        <v>0</v>
      </c>
      <c r="AK247" s="239">
        <v>1384334.9359504133</v>
      </c>
      <c r="AL247" s="239">
        <v>346083.73398760334</v>
      </c>
      <c r="AM247" s="239">
        <v>0</v>
      </c>
      <c r="AN247" s="239">
        <v>1254079</v>
      </c>
      <c r="AO247" s="239">
        <v>313520</v>
      </c>
      <c r="AP247" s="239">
        <v>0</v>
      </c>
      <c r="AQ247" s="239">
        <v>130256</v>
      </c>
      <c r="AR247" s="239">
        <v>32564</v>
      </c>
      <c r="AS247" s="239">
        <v>0</v>
      </c>
      <c r="AT247" s="239">
        <v>5143.7322314049597</v>
      </c>
      <c r="AU247" s="239">
        <v>1285.9330578512399</v>
      </c>
      <c r="AV247" s="239">
        <v>0</v>
      </c>
      <c r="AW247" s="239">
        <v>10922</v>
      </c>
      <c r="AX247" s="239">
        <v>2730</v>
      </c>
      <c r="AY247" s="239">
        <v>0</v>
      </c>
      <c r="AZ247" s="239">
        <v>-5778</v>
      </c>
      <c r="BA247" s="239">
        <v>-1444</v>
      </c>
      <c r="BB247" s="239">
        <v>0</v>
      </c>
      <c r="BC247" s="239">
        <v>6316.045454545455</v>
      </c>
      <c r="BD247" s="239">
        <v>1579.0113636363637</v>
      </c>
      <c r="BE247" s="239">
        <v>0</v>
      </c>
      <c r="BF247" s="239">
        <v>1267</v>
      </c>
      <c r="BG247" s="239">
        <v>317</v>
      </c>
      <c r="BH247" s="239">
        <v>0</v>
      </c>
      <c r="BI247" s="239">
        <v>5049</v>
      </c>
      <c r="BJ247" s="239">
        <v>1262</v>
      </c>
      <c r="BK247" s="239">
        <v>0</v>
      </c>
      <c r="BL247" s="239">
        <v>16175.000826446281</v>
      </c>
      <c r="BM247" s="239">
        <v>4043.7502066115703</v>
      </c>
      <c r="BN247" s="239">
        <v>0</v>
      </c>
      <c r="BO247" s="239">
        <v>3050</v>
      </c>
      <c r="BP247" s="239">
        <v>763</v>
      </c>
      <c r="BQ247" s="239">
        <v>0</v>
      </c>
      <c r="BR247" s="239">
        <v>13125</v>
      </c>
      <c r="BS247" s="239">
        <v>3281</v>
      </c>
      <c r="BT247" s="239">
        <v>0</v>
      </c>
      <c r="BU247" s="239">
        <v>-1711.1958677685952</v>
      </c>
      <c r="BV247" s="239">
        <v>-427.79896694214881</v>
      </c>
      <c r="BW247" s="239">
        <v>0</v>
      </c>
      <c r="BX247" s="239">
        <v>0</v>
      </c>
      <c r="BY247" s="239">
        <v>0</v>
      </c>
      <c r="BZ247" s="239">
        <v>0</v>
      </c>
      <c r="CA247" s="239">
        <v>-1711</v>
      </c>
      <c r="CB247" s="239">
        <v>-428</v>
      </c>
      <c r="CC247" s="239">
        <v>0</v>
      </c>
      <c r="CD247" s="239">
        <v>141670.54297520663</v>
      </c>
      <c r="CE247" s="239">
        <v>35417.635743801657</v>
      </c>
      <c r="CF247" s="239">
        <v>0</v>
      </c>
      <c r="CG247" s="239">
        <v>0</v>
      </c>
      <c r="CH247" s="239">
        <v>0</v>
      </c>
      <c r="CI247" s="239">
        <v>0</v>
      </c>
      <c r="CJ247" s="239">
        <v>141671</v>
      </c>
      <c r="CK247" s="239">
        <v>35418</v>
      </c>
      <c r="CL247" s="239">
        <v>0</v>
      </c>
      <c r="CM247" s="239">
        <v>1463.6669421487604</v>
      </c>
      <c r="CN247" s="239">
        <v>365.91673553719011</v>
      </c>
      <c r="CO247" s="239">
        <v>0</v>
      </c>
      <c r="CP247" s="239">
        <v>2609</v>
      </c>
      <c r="CQ247" s="239">
        <v>652</v>
      </c>
      <c r="CR247" s="239">
        <v>0</v>
      </c>
      <c r="CS247" s="239">
        <v>-1145</v>
      </c>
      <c r="CT247" s="239">
        <v>-286</v>
      </c>
      <c r="CU247" s="239">
        <v>0</v>
      </c>
      <c r="CV247" s="239">
        <v>229722.03140495872</v>
      </c>
      <c r="CW247" s="239">
        <v>57430.507851239679</v>
      </c>
      <c r="CX247" s="239">
        <v>0</v>
      </c>
      <c r="CY247" s="239">
        <v>242932</v>
      </c>
      <c r="CZ247" s="239">
        <v>60733</v>
      </c>
      <c r="DA247" s="239">
        <v>0</v>
      </c>
      <c r="DB247" s="239">
        <v>-13210</v>
      </c>
      <c r="DC247" s="239">
        <v>-3302</v>
      </c>
      <c r="DD247" s="239">
        <v>0</v>
      </c>
      <c r="DE247" s="641">
        <v>0.5</v>
      </c>
      <c r="DF247" s="641">
        <v>0.4</v>
      </c>
      <c r="DG247" s="641">
        <v>0.1</v>
      </c>
      <c r="DH247" s="641">
        <v>0</v>
      </c>
      <c r="DI247" s="214" t="s">
        <v>1190</v>
      </c>
    </row>
    <row r="248" spans="2:113" s="214" customFormat="1" x14ac:dyDescent="0.2">
      <c r="B248" s="609" t="s">
        <v>578</v>
      </c>
      <c r="C248" s="609" t="s">
        <v>577</v>
      </c>
      <c r="D248" s="239">
        <v>2718</v>
      </c>
      <c r="E248" s="239">
        <v>0</v>
      </c>
      <c r="F248" s="239">
        <v>2718</v>
      </c>
      <c r="G248" s="239">
        <v>0</v>
      </c>
      <c r="H248" s="239">
        <v>0</v>
      </c>
      <c r="I248" s="239">
        <v>0</v>
      </c>
      <c r="J248" s="239">
        <v>2718</v>
      </c>
      <c r="K248" s="239">
        <v>0</v>
      </c>
      <c r="L248" s="239">
        <v>2718</v>
      </c>
      <c r="M248" s="239">
        <v>161387</v>
      </c>
      <c r="N248" s="239">
        <v>161387</v>
      </c>
      <c r="O248" s="239">
        <v>0</v>
      </c>
      <c r="P248" s="239">
        <v>0</v>
      </c>
      <c r="Q248" s="239">
        <v>0</v>
      </c>
      <c r="R248" s="239">
        <v>0</v>
      </c>
      <c r="S248" s="239">
        <v>160655</v>
      </c>
      <c r="T248" s="239">
        <v>0</v>
      </c>
      <c r="U248" s="239">
        <v>101554</v>
      </c>
      <c r="V248" s="239">
        <v>0</v>
      </c>
      <c r="W248" s="239">
        <v>59101</v>
      </c>
      <c r="X248" s="239">
        <v>0</v>
      </c>
      <c r="Y248" s="239">
        <v>121638.14876033057</v>
      </c>
      <c r="Z248" s="239">
        <v>121638.14876033057</v>
      </c>
      <c r="AA248" s="239">
        <v>0</v>
      </c>
      <c r="AB248" s="239">
        <v>0</v>
      </c>
      <c r="AC248" s="239">
        <v>0</v>
      </c>
      <c r="AD248" s="239">
        <v>0</v>
      </c>
      <c r="AE248" s="239">
        <v>0</v>
      </c>
      <c r="AF248" s="239">
        <v>0</v>
      </c>
      <c r="AG248" s="239">
        <v>121638</v>
      </c>
      <c r="AH248" s="239">
        <v>121638</v>
      </c>
      <c r="AI248" s="239">
        <v>0</v>
      </c>
      <c r="AJ248" s="239">
        <v>0</v>
      </c>
      <c r="AK248" s="239">
        <v>595279.47272727266</v>
      </c>
      <c r="AL248" s="239">
        <v>147923.84390495866</v>
      </c>
      <c r="AM248" s="239">
        <v>0</v>
      </c>
      <c r="AN248" s="239">
        <v>560918</v>
      </c>
      <c r="AO248" s="239">
        <v>139267</v>
      </c>
      <c r="AP248" s="239">
        <v>0</v>
      </c>
      <c r="AQ248" s="239">
        <v>34361</v>
      </c>
      <c r="AR248" s="239">
        <v>8657</v>
      </c>
      <c r="AS248" s="239">
        <v>0</v>
      </c>
      <c r="AT248" s="239">
        <v>0</v>
      </c>
      <c r="AU248" s="239">
        <v>0</v>
      </c>
      <c r="AV248" s="239">
        <v>0</v>
      </c>
      <c r="AW248" s="239">
        <v>0</v>
      </c>
      <c r="AX248" s="239">
        <v>0</v>
      </c>
      <c r="AY248" s="239">
        <v>0</v>
      </c>
      <c r="AZ248" s="239">
        <v>0</v>
      </c>
      <c r="BA248" s="239">
        <v>0</v>
      </c>
      <c r="BB248" s="239">
        <v>0</v>
      </c>
      <c r="BC248" s="239">
        <v>93604.483471074374</v>
      </c>
      <c r="BD248" s="239">
        <v>23401.120867768594</v>
      </c>
      <c r="BE248" s="239">
        <v>0</v>
      </c>
      <c r="BF248" s="239">
        <v>0</v>
      </c>
      <c r="BG248" s="239">
        <v>0</v>
      </c>
      <c r="BH248" s="239">
        <v>0</v>
      </c>
      <c r="BI248" s="239">
        <v>93604</v>
      </c>
      <c r="BJ248" s="239">
        <v>23401</v>
      </c>
      <c r="BK248" s="239">
        <v>0</v>
      </c>
      <c r="BL248" s="239">
        <v>3481.6363636363635</v>
      </c>
      <c r="BM248" s="239">
        <v>870.40909090909088</v>
      </c>
      <c r="BN248" s="239">
        <v>0</v>
      </c>
      <c r="BO248" s="239">
        <v>3086</v>
      </c>
      <c r="BP248" s="239">
        <v>771</v>
      </c>
      <c r="BQ248" s="239">
        <v>0</v>
      </c>
      <c r="BR248" s="239">
        <v>396</v>
      </c>
      <c r="BS248" s="239">
        <v>99</v>
      </c>
      <c r="BT248" s="239">
        <v>0</v>
      </c>
      <c r="BU248" s="239">
        <v>1165.4148760330579</v>
      </c>
      <c r="BV248" s="239">
        <v>291.35371900826448</v>
      </c>
      <c r="BW248" s="239">
        <v>0</v>
      </c>
      <c r="BX248" s="239">
        <v>0</v>
      </c>
      <c r="BY248" s="239">
        <v>0</v>
      </c>
      <c r="BZ248" s="239">
        <v>0</v>
      </c>
      <c r="CA248" s="239">
        <v>1165</v>
      </c>
      <c r="CB248" s="239">
        <v>291</v>
      </c>
      <c r="CC248" s="239">
        <v>0</v>
      </c>
      <c r="CD248" s="239">
        <v>0</v>
      </c>
      <c r="CE248" s="239">
        <v>0</v>
      </c>
      <c r="CF248" s="239">
        <v>0</v>
      </c>
      <c r="CG248" s="239">
        <v>0</v>
      </c>
      <c r="CH248" s="239">
        <v>0</v>
      </c>
      <c r="CI248" s="239">
        <v>0</v>
      </c>
      <c r="CJ248" s="239">
        <v>0</v>
      </c>
      <c r="CK248" s="239">
        <v>0</v>
      </c>
      <c r="CL248" s="239">
        <v>0</v>
      </c>
      <c r="CM248" s="239">
        <v>3144.8347107438021</v>
      </c>
      <c r="CN248" s="239">
        <v>786.20867768595053</v>
      </c>
      <c r="CO248" s="239">
        <v>0</v>
      </c>
      <c r="CP248" s="239">
        <v>2948</v>
      </c>
      <c r="CQ248" s="239">
        <v>737</v>
      </c>
      <c r="CR248" s="239">
        <v>0</v>
      </c>
      <c r="CS248" s="239">
        <v>197</v>
      </c>
      <c r="CT248" s="239">
        <v>49</v>
      </c>
      <c r="CU248" s="239">
        <v>0</v>
      </c>
      <c r="CV248" s="239">
        <v>173509.21694214875</v>
      </c>
      <c r="CW248" s="239">
        <v>42796.423553719011</v>
      </c>
      <c r="CX248" s="239">
        <v>0</v>
      </c>
      <c r="CY248" s="239">
        <v>182847</v>
      </c>
      <c r="CZ248" s="239">
        <v>45345</v>
      </c>
      <c r="DA248" s="239">
        <v>0</v>
      </c>
      <c r="DB248" s="239">
        <v>-9338</v>
      </c>
      <c r="DC248" s="239">
        <v>-2549</v>
      </c>
      <c r="DD248" s="239">
        <v>0</v>
      </c>
      <c r="DE248" s="641">
        <v>0.5</v>
      </c>
      <c r="DF248" s="641">
        <v>0.4</v>
      </c>
      <c r="DG248" s="641">
        <v>0.1</v>
      </c>
      <c r="DH248" s="641">
        <v>0</v>
      </c>
      <c r="DI248" s="214" t="s">
        <v>1190</v>
      </c>
    </row>
    <row r="249" spans="2:113" s="214" customFormat="1" x14ac:dyDescent="0.2">
      <c r="B249" s="609" t="s">
        <v>580</v>
      </c>
      <c r="C249" s="609" t="s">
        <v>579</v>
      </c>
      <c r="D249" s="239">
        <v>41985</v>
      </c>
      <c r="E249" s="239">
        <v>0</v>
      </c>
      <c r="F249" s="239">
        <v>41985</v>
      </c>
      <c r="G249" s="239">
        <v>0</v>
      </c>
      <c r="H249" s="239">
        <v>0</v>
      </c>
      <c r="I249" s="239">
        <v>0</v>
      </c>
      <c r="J249" s="239">
        <v>41985</v>
      </c>
      <c r="K249" s="239">
        <v>0</v>
      </c>
      <c r="L249" s="239">
        <v>41985</v>
      </c>
      <c r="M249" s="239">
        <v>106539</v>
      </c>
      <c r="N249" s="239">
        <v>106539</v>
      </c>
      <c r="O249" s="239">
        <v>0</v>
      </c>
      <c r="P249" s="239">
        <v>0</v>
      </c>
      <c r="Q249" s="239">
        <v>0</v>
      </c>
      <c r="R249" s="239">
        <v>0</v>
      </c>
      <c r="S249" s="239">
        <v>363983</v>
      </c>
      <c r="T249" s="239">
        <v>0</v>
      </c>
      <c r="U249" s="239">
        <v>257868</v>
      </c>
      <c r="V249" s="239">
        <v>0</v>
      </c>
      <c r="W249" s="239">
        <v>106115</v>
      </c>
      <c r="X249" s="239">
        <v>0</v>
      </c>
      <c r="Y249" s="239">
        <v>0</v>
      </c>
      <c r="Z249" s="239">
        <v>0</v>
      </c>
      <c r="AA249" s="239">
        <v>0</v>
      </c>
      <c r="AB249" s="239">
        <v>0</v>
      </c>
      <c r="AC249" s="239">
        <v>0</v>
      </c>
      <c r="AD249" s="239">
        <v>0</v>
      </c>
      <c r="AE249" s="239">
        <v>0</v>
      </c>
      <c r="AF249" s="239">
        <v>0</v>
      </c>
      <c r="AG249" s="239">
        <v>0</v>
      </c>
      <c r="AH249" s="239">
        <v>0</v>
      </c>
      <c r="AI249" s="239">
        <v>0</v>
      </c>
      <c r="AJ249" s="239">
        <v>0</v>
      </c>
      <c r="AK249" s="239">
        <v>430080.69669421489</v>
      </c>
      <c r="AL249" s="239">
        <v>107520.17417355372</v>
      </c>
      <c r="AM249" s="239">
        <v>0</v>
      </c>
      <c r="AN249" s="239">
        <v>383417</v>
      </c>
      <c r="AO249" s="239">
        <v>95854</v>
      </c>
      <c r="AP249" s="239">
        <v>0</v>
      </c>
      <c r="AQ249" s="239">
        <v>46664</v>
      </c>
      <c r="AR249" s="239">
        <v>11666</v>
      </c>
      <c r="AS249" s="239">
        <v>0</v>
      </c>
      <c r="AT249" s="239">
        <v>943.85619834710747</v>
      </c>
      <c r="AU249" s="239">
        <v>235.96404958677687</v>
      </c>
      <c r="AV249" s="239">
        <v>0</v>
      </c>
      <c r="AW249" s="239">
        <v>0</v>
      </c>
      <c r="AX249" s="239">
        <v>0</v>
      </c>
      <c r="AY249" s="239">
        <v>0</v>
      </c>
      <c r="AZ249" s="239">
        <v>944</v>
      </c>
      <c r="BA249" s="239">
        <v>236</v>
      </c>
      <c r="BB249" s="239">
        <v>0</v>
      </c>
      <c r="BC249" s="239">
        <v>0</v>
      </c>
      <c r="BD249" s="239">
        <v>0</v>
      </c>
      <c r="BE249" s="239">
        <v>0</v>
      </c>
      <c r="BF249" s="239">
        <v>0</v>
      </c>
      <c r="BG249" s="239">
        <v>0</v>
      </c>
      <c r="BH249" s="239">
        <v>0</v>
      </c>
      <c r="BI249" s="239">
        <v>0</v>
      </c>
      <c r="BJ249" s="239">
        <v>0</v>
      </c>
      <c r="BK249" s="239">
        <v>0</v>
      </c>
      <c r="BL249" s="239">
        <v>46.259504132231413</v>
      </c>
      <c r="BM249" s="239">
        <v>11.564876033057853</v>
      </c>
      <c r="BN249" s="239">
        <v>0</v>
      </c>
      <c r="BO249" s="239">
        <v>255</v>
      </c>
      <c r="BP249" s="239">
        <v>64</v>
      </c>
      <c r="BQ249" s="239">
        <v>0</v>
      </c>
      <c r="BR249" s="239">
        <v>-209</v>
      </c>
      <c r="BS249" s="239">
        <v>-52</v>
      </c>
      <c r="BT249" s="239">
        <v>0</v>
      </c>
      <c r="BU249" s="239">
        <v>-4179.1809917355376</v>
      </c>
      <c r="BV249" s="239">
        <v>-1044.7952479338844</v>
      </c>
      <c r="BW249" s="239">
        <v>0</v>
      </c>
      <c r="BX249" s="239">
        <v>0</v>
      </c>
      <c r="BY249" s="239">
        <v>0</v>
      </c>
      <c r="BZ249" s="239">
        <v>0</v>
      </c>
      <c r="CA249" s="239">
        <v>-4179</v>
      </c>
      <c r="CB249" s="239">
        <v>-1045</v>
      </c>
      <c r="CC249" s="239">
        <v>0</v>
      </c>
      <c r="CD249" s="239">
        <v>0</v>
      </c>
      <c r="CE249" s="239">
        <v>0</v>
      </c>
      <c r="CF249" s="239">
        <v>0</v>
      </c>
      <c r="CG249" s="239">
        <v>0</v>
      </c>
      <c r="CH249" s="239">
        <v>0</v>
      </c>
      <c r="CI249" s="239">
        <v>0</v>
      </c>
      <c r="CJ249" s="239">
        <v>0</v>
      </c>
      <c r="CK249" s="239">
        <v>0</v>
      </c>
      <c r="CL249" s="239">
        <v>0</v>
      </c>
      <c r="CM249" s="239">
        <v>27.187603305785132</v>
      </c>
      <c r="CN249" s="239">
        <v>6.7969008264462829</v>
      </c>
      <c r="CO249" s="239">
        <v>0</v>
      </c>
      <c r="CP249" s="239">
        <v>263</v>
      </c>
      <c r="CQ249" s="239">
        <v>66</v>
      </c>
      <c r="CR249" s="239">
        <v>0</v>
      </c>
      <c r="CS249" s="239">
        <v>-236</v>
      </c>
      <c r="CT249" s="239">
        <v>-59</v>
      </c>
      <c r="CU249" s="239">
        <v>0</v>
      </c>
      <c r="CV249" s="239">
        <v>136289.58636363636</v>
      </c>
      <c r="CW249" s="239">
        <v>32756.342355371904</v>
      </c>
      <c r="CX249" s="239">
        <v>0</v>
      </c>
      <c r="CY249" s="239">
        <v>134557</v>
      </c>
      <c r="CZ249" s="239">
        <v>32707</v>
      </c>
      <c r="DA249" s="239">
        <v>0</v>
      </c>
      <c r="DB249" s="239">
        <v>1733</v>
      </c>
      <c r="DC249" s="239">
        <v>49</v>
      </c>
      <c r="DD249" s="239">
        <v>0</v>
      </c>
      <c r="DE249" s="641">
        <v>0.5</v>
      </c>
      <c r="DF249" s="641">
        <v>0.4</v>
      </c>
      <c r="DG249" s="641">
        <v>0.1</v>
      </c>
      <c r="DH249" s="641">
        <v>0</v>
      </c>
      <c r="DI249" s="214" t="s">
        <v>1190</v>
      </c>
    </row>
    <row r="250" spans="2:113" s="214" customFormat="1" x14ac:dyDescent="0.2">
      <c r="B250" s="609" t="s">
        <v>582</v>
      </c>
      <c r="C250" s="609" t="s">
        <v>581</v>
      </c>
      <c r="D250" s="239">
        <v>132125</v>
      </c>
      <c r="E250" s="239">
        <v>0</v>
      </c>
      <c r="F250" s="239">
        <v>132125</v>
      </c>
      <c r="G250" s="239">
        <v>0</v>
      </c>
      <c r="H250" s="239">
        <v>0</v>
      </c>
      <c r="I250" s="239">
        <v>0</v>
      </c>
      <c r="J250" s="239">
        <v>132125</v>
      </c>
      <c r="K250" s="239">
        <v>0</v>
      </c>
      <c r="L250" s="239">
        <v>132125</v>
      </c>
      <c r="M250" s="239">
        <v>185761</v>
      </c>
      <c r="N250" s="239">
        <v>185761</v>
      </c>
      <c r="O250" s="239">
        <v>0</v>
      </c>
      <c r="P250" s="239">
        <v>49058</v>
      </c>
      <c r="Q250" s="239">
        <v>240037</v>
      </c>
      <c r="R250" s="239">
        <v>-190979</v>
      </c>
      <c r="S250" s="239">
        <v>187803</v>
      </c>
      <c r="T250" s="239">
        <v>0</v>
      </c>
      <c r="U250" s="239">
        <v>90605</v>
      </c>
      <c r="V250" s="239">
        <v>0</v>
      </c>
      <c r="W250" s="239">
        <v>97198</v>
      </c>
      <c r="X250" s="239">
        <v>0</v>
      </c>
      <c r="Y250" s="239">
        <v>0</v>
      </c>
      <c r="Z250" s="239">
        <v>0</v>
      </c>
      <c r="AA250" s="239">
        <v>0</v>
      </c>
      <c r="AB250" s="239">
        <v>0</v>
      </c>
      <c r="AC250" s="239">
        <v>0</v>
      </c>
      <c r="AD250" s="239">
        <v>0</v>
      </c>
      <c r="AE250" s="239">
        <v>0</v>
      </c>
      <c r="AF250" s="239">
        <v>0</v>
      </c>
      <c r="AG250" s="239">
        <v>0</v>
      </c>
      <c r="AH250" s="239">
        <v>0</v>
      </c>
      <c r="AI250" s="239">
        <v>0</v>
      </c>
      <c r="AJ250" s="239">
        <v>0</v>
      </c>
      <c r="AK250" s="239">
        <v>562167.6095041323</v>
      </c>
      <c r="AL250" s="239">
        <v>140541.90237603307</v>
      </c>
      <c r="AM250" s="239">
        <v>0</v>
      </c>
      <c r="AN250" s="239">
        <v>513282</v>
      </c>
      <c r="AO250" s="239">
        <v>128320</v>
      </c>
      <c r="AP250" s="239">
        <v>0</v>
      </c>
      <c r="AQ250" s="239">
        <v>48886</v>
      </c>
      <c r="AR250" s="239">
        <v>12222</v>
      </c>
      <c r="AS250" s="239">
        <v>0</v>
      </c>
      <c r="AT250" s="239">
        <v>0</v>
      </c>
      <c r="AU250" s="239">
        <v>0</v>
      </c>
      <c r="AV250" s="239">
        <v>0</v>
      </c>
      <c r="AW250" s="239">
        <v>0</v>
      </c>
      <c r="AX250" s="239">
        <v>0</v>
      </c>
      <c r="AY250" s="239">
        <v>0</v>
      </c>
      <c r="AZ250" s="239">
        <v>0</v>
      </c>
      <c r="BA250" s="239">
        <v>0</v>
      </c>
      <c r="BB250" s="239">
        <v>0</v>
      </c>
      <c r="BC250" s="239">
        <v>0</v>
      </c>
      <c r="BD250" s="239">
        <v>0</v>
      </c>
      <c r="BE250" s="239">
        <v>0</v>
      </c>
      <c r="BF250" s="239">
        <v>0</v>
      </c>
      <c r="BG250" s="239">
        <v>0</v>
      </c>
      <c r="BH250" s="239">
        <v>0</v>
      </c>
      <c r="BI250" s="239">
        <v>0</v>
      </c>
      <c r="BJ250" s="239">
        <v>0</v>
      </c>
      <c r="BK250" s="239">
        <v>0</v>
      </c>
      <c r="BL250" s="239">
        <v>2500.0421487603307</v>
      </c>
      <c r="BM250" s="239">
        <v>625.01053719008269</v>
      </c>
      <c r="BN250" s="239">
        <v>0</v>
      </c>
      <c r="BO250" s="239">
        <v>1623</v>
      </c>
      <c r="BP250" s="239">
        <v>406</v>
      </c>
      <c r="BQ250" s="239">
        <v>0</v>
      </c>
      <c r="BR250" s="239">
        <v>877</v>
      </c>
      <c r="BS250" s="239">
        <v>219</v>
      </c>
      <c r="BT250" s="239">
        <v>0</v>
      </c>
      <c r="BU250" s="239">
        <v>1470.9710743801654</v>
      </c>
      <c r="BV250" s="239">
        <v>367.74276859504135</v>
      </c>
      <c r="BW250" s="239">
        <v>0</v>
      </c>
      <c r="BX250" s="239">
        <v>0</v>
      </c>
      <c r="BY250" s="239">
        <v>0</v>
      </c>
      <c r="BZ250" s="239">
        <v>0</v>
      </c>
      <c r="CA250" s="239">
        <v>1471</v>
      </c>
      <c r="CB250" s="239">
        <v>368</v>
      </c>
      <c r="CC250" s="239">
        <v>0</v>
      </c>
      <c r="CD250" s="239">
        <v>0</v>
      </c>
      <c r="CE250" s="239">
        <v>0</v>
      </c>
      <c r="CF250" s="239">
        <v>0</v>
      </c>
      <c r="CG250" s="239">
        <v>0</v>
      </c>
      <c r="CH250" s="239">
        <v>0</v>
      </c>
      <c r="CI250" s="239">
        <v>0</v>
      </c>
      <c r="CJ250" s="239">
        <v>0</v>
      </c>
      <c r="CK250" s="239">
        <v>0</v>
      </c>
      <c r="CL250" s="239">
        <v>0</v>
      </c>
      <c r="CM250" s="239">
        <v>407.40826446280994</v>
      </c>
      <c r="CN250" s="239">
        <v>101.85206611570248</v>
      </c>
      <c r="CO250" s="239">
        <v>0</v>
      </c>
      <c r="CP250" s="239">
        <v>0</v>
      </c>
      <c r="CQ250" s="239">
        <v>0</v>
      </c>
      <c r="CR250" s="239">
        <v>0</v>
      </c>
      <c r="CS250" s="239">
        <v>407</v>
      </c>
      <c r="CT250" s="239">
        <v>102</v>
      </c>
      <c r="CU250" s="239">
        <v>0</v>
      </c>
      <c r="CV250" s="239">
        <v>250367.22107438016</v>
      </c>
      <c r="CW250" s="239">
        <v>61735.38636363636</v>
      </c>
      <c r="CX250" s="239">
        <v>0</v>
      </c>
      <c r="CY250" s="239">
        <v>254651</v>
      </c>
      <c r="CZ250" s="239">
        <v>62467</v>
      </c>
      <c r="DA250" s="239">
        <v>0</v>
      </c>
      <c r="DB250" s="239">
        <v>-4284</v>
      </c>
      <c r="DC250" s="239">
        <v>-732</v>
      </c>
      <c r="DD250" s="239">
        <v>0</v>
      </c>
      <c r="DE250" s="641">
        <v>0.5</v>
      </c>
      <c r="DF250" s="641">
        <v>0.4</v>
      </c>
      <c r="DG250" s="641">
        <v>0.1</v>
      </c>
      <c r="DH250" s="641">
        <v>0</v>
      </c>
      <c r="DI250" s="214" t="s">
        <v>1190</v>
      </c>
    </row>
    <row r="251" spans="2:113" s="214" customFormat="1" x14ac:dyDescent="0.2">
      <c r="B251" s="609" t="s">
        <v>584</v>
      </c>
      <c r="C251" s="609" t="s">
        <v>583</v>
      </c>
      <c r="D251" s="239">
        <v>25777</v>
      </c>
      <c r="E251" s="239">
        <v>0</v>
      </c>
      <c r="F251" s="239">
        <v>25777</v>
      </c>
      <c r="G251" s="239">
        <v>0</v>
      </c>
      <c r="H251" s="239">
        <v>0</v>
      </c>
      <c r="I251" s="239">
        <v>0</v>
      </c>
      <c r="J251" s="239">
        <v>25777</v>
      </c>
      <c r="K251" s="239">
        <v>0</v>
      </c>
      <c r="L251" s="239">
        <v>25777</v>
      </c>
      <c r="M251" s="239">
        <v>127679</v>
      </c>
      <c r="N251" s="239">
        <v>127679</v>
      </c>
      <c r="O251" s="239">
        <v>0</v>
      </c>
      <c r="P251" s="239">
        <v>0</v>
      </c>
      <c r="Q251" s="239">
        <v>0</v>
      </c>
      <c r="R251" s="239">
        <v>0</v>
      </c>
      <c r="S251" s="239">
        <v>0</v>
      </c>
      <c r="T251" s="239">
        <v>0</v>
      </c>
      <c r="U251" s="239">
        <v>0</v>
      </c>
      <c r="V251" s="239">
        <v>0</v>
      </c>
      <c r="W251" s="239">
        <v>0</v>
      </c>
      <c r="X251" s="239">
        <v>0</v>
      </c>
      <c r="Y251" s="239">
        <v>0</v>
      </c>
      <c r="Z251" s="239">
        <v>0</v>
      </c>
      <c r="AA251" s="239">
        <v>0</v>
      </c>
      <c r="AB251" s="239">
        <v>0</v>
      </c>
      <c r="AC251" s="239">
        <v>0</v>
      </c>
      <c r="AD251" s="239">
        <v>0</v>
      </c>
      <c r="AE251" s="239">
        <v>0</v>
      </c>
      <c r="AF251" s="239">
        <v>0</v>
      </c>
      <c r="AG251" s="239">
        <v>0</v>
      </c>
      <c r="AH251" s="239">
        <v>0</v>
      </c>
      <c r="AI251" s="239">
        <v>0</v>
      </c>
      <c r="AJ251" s="239">
        <v>0</v>
      </c>
      <c r="AK251" s="239">
        <v>493392.71198347112</v>
      </c>
      <c r="AL251" s="239">
        <v>111013.36019628099</v>
      </c>
      <c r="AM251" s="239">
        <v>12334.817799586777</v>
      </c>
      <c r="AN251" s="239">
        <v>448687</v>
      </c>
      <c r="AO251" s="239">
        <v>100955</v>
      </c>
      <c r="AP251" s="239">
        <v>11217</v>
      </c>
      <c r="AQ251" s="239">
        <v>44706</v>
      </c>
      <c r="AR251" s="239">
        <v>10058</v>
      </c>
      <c r="AS251" s="239">
        <v>1118</v>
      </c>
      <c r="AT251" s="239">
        <v>2439.5801652892565</v>
      </c>
      <c r="AU251" s="239">
        <v>548.90553719008267</v>
      </c>
      <c r="AV251" s="239">
        <v>60.98950413223141</v>
      </c>
      <c r="AW251" s="239">
        <v>3040</v>
      </c>
      <c r="AX251" s="239">
        <v>684</v>
      </c>
      <c r="AY251" s="239">
        <v>76</v>
      </c>
      <c r="AZ251" s="239">
        <v>-600</v>
      </c>
      <c r="BA251" s="239">
        <v>-135</v>
      </c>
      <c r="BB251" s="239">
        <v>-15</v>
      </c>
      <c r="BC251" s="239">
        <v>1203.5586776859504</v>
      </c>
      <c r="BD251" s="239">
        <v>270.80070247933884</v>
      </c>
      <c r="BE251" s="239">
        <v>30.088966942148758</v>
      </c>
      <c r="BF251" s="239">
        <v>0</v>
      </c>
      <c r="BG251" s="239">
        <v>0</v>
      </c>
      <c r="BH251" s="239">
        <v>0</v>
      </c>
      <c r="BI251" s="239">
        <v>1204</v>
      </c>
      <c r="BJ251" s="239">
        <v>271</v>
      </c>
      <c r="BK251" s="239">
        <v>30</v>
      </c>
      <c r="BL251" s="239">
        <v>4819.9157024793394</v>
      </c>
      <c r="BM251" s="239">
        <v>1084.4810330578512</v>
      </c>
      <c r="BN251" s="239">
        <v>120.49789256198348</v>
      </c>
      <c r="BO251" s="239">
        <v>2354</v>
      </c>
      <c r="BP251" s="239">
        <v>530</v>
      </c>
      <c r="BQ251" s="239">
        <v>59</v>
      </c>
      <c r="BR251" s="239">
        <v>2466</v>
      </c>
      <c r="BS251" s="239">
        <v>554</v>
      </c>
      <c r="BT251" s="239">
        <v>61</v>
      </c>
      <c r="BU251" s="239">
        <v>2263.4694214876031</v>
      </c>
      <c r="BV251" s="239">
        <v>509.28061983471071</v>
      </c>
      <c r="BW251" s="239">
        <v>56.58673553719008</v>
      </c>
      <c r="BX251" s="239">
        <v>0</v>
      </c>
      <c r="BY251" s="239">
        <v>0</v>
      </c>
      <c r="BZ251" s="239">
        <v>0</v>
      </c>
      <c r="CA251" s="239">
        <v>2263</v>
      </c>
      <c r="CB251" s="239">
        <v>509</v>
      </c>
      <c r="CC251" s="239">
        <v>57</v>
      </c>
      <c r="CD251" s="239">
        <v>298.65785123966947</v>
      </c>
      <c r="CE251" s="239">
        <v>67.198016528925621</v>
      </c>
      <c r="CF251" s="239">
        <v>7.466446280991736</v>
      </c>
      <c r="CG251" s="239">
        <v>0</v>
      </c>
      <c r="CH251" s="239">
        <v>0</v>
      </c>
      <c r="CI251" s="239">
        <v>0</v>
      </c>
      <c r="CJ251" s="239">
        <v>299</v>
      </c>
      <c r="CK251" s="239">
        <v>67</v>
      </c>
      <c r="CL251" s="239">
        <v>7</v>
      </c>
      <c r="CM251" s="239">
        <v>816.84545454545457</v>
      </c>
      <c r="CN251" s="239">
        <v>183.79022727272726</v>
      </c>
      <c r="CO251" s="239">
        <v>20.421136363636364</v>
      </c>
      <c r="CP251" s="239">
        <v>1536</v>
      </c>
      <c r="CQ251" s="239">
        <v>345</v>
      </c>
      <c r="CR251" s="239">
        <v>38</v>
      </c>
      <c r="CS251" s="239">
        <v>-719</v>
      </c>
      <c r="CT251" s="239">
        <v>-161</v>
      </c>
      <c r="CU251" s="239">
        <v>-18</v>
      </c>
      <c r="CV251" s="239">
        <v>229062.40000000002</v>
      </c>
      <c r="CW251" s="239">
        <v>51539.040000000001</v>
      </c>
      <c r="CX251" s="239">
        <v>5726.56</v>
      </c>
      <c r="CY251" s="239">
        <v>225303</v>
      </c>
      <c r="CZ251" s="239">
        <v>50693</v>
      </c>
      <c r="DA251" s="239">
        <v>5633</v>
      </c>
      <c r="DB251" s="239">
        <v>3759</v>
      </c>
      <c r="DC251" s="239">
        <v>846</v>
      </c>
      <c r="DD251" s="239">
        <v>94</v>
      </c>
      <c r="DE251" s="641">
        <v>0.5</v>
      </c>
      <c r="DF251" s="641">
        <v>0.4</v>
      </c>
      <c r="DG251" s="641">
        <v>0.09</v>
      </c>
      <c r="DH251" s="641">
        <v>0.01</v>
      </c>
      <c r="DI251" s="214" t="s">
        <v>1190</v>
      </c>
    </row>
    <row r="252" spans="2:113" s="214" customFormat="1" x14ac:dyDescent="0.2">
      <c r="B252" s="609" t="s">
        <v>586</v>
      </c>
      <c r="C252" s="609" t="s">
        <v>585</v>
      </c>
      <c r="D252" s="239">
        <v>-101938</v>
      </c>
      <c r="E252" s="239">
        <v>0</v>
      </c>
      <c r="F252" s="239">
        <v>-101938</v>
      </c>
      <c r="G252" s="239">
        <v>0</v>
      </c>
      <c r="H252" s="239">
        <v>0</v>
      </c>
      <c r="I252" s="239">
        <v>0</v>
      </c>
      <c r="J252" s="239">
        <v>-101938</v>
      </c>
      <c r="K252" s="239">
        <v>0</v>
      </c>
      <c r="L252" s="239">
        <v>-101938</v>
      </c>
      <c r="M252" s="239">
        <v>224152</v>
      </c>
      <c r="N252" s="239">
        <v>224152</v>
      </c>
      <c r="O252" s="239">
        <v>0</v>
      </c>
      <c r="P252" s="239">
        <v>0</v>
      </c>
      <c r="Q252" s="239">
        <v>0</v>
      </c>
      <c r="R252" s="239">
        <v>0</v>
      </c>
      <c r="S252" s="239">
        <v>306877</v>
      </c>
      <c r="T252" s="239">
        <v>0</v>
      </c>
      <c r="U252" s="239">
        <v>246782</v>
      </c>
      <c r="V252" s="239">
        <v>0</v>
      </c>
      <c r="W252" s="239">
        <v>60095</v>
      </c>
      <c r="X252" s="239">
        <v>0</v>
      </c>
      <c r="Y252" s="239">
        <v>0</v>
      </c>
      <c r="Z252" s="239">
        <v>0</v>
      </c>
      <c r="AA252" s="239">
        <v>0</v>
      </c>
      <c r="AB252" s="239">
        <v>0</v>
      </c>
      <c r="AC252" s="239">
        <v>0</v>
      </c>
      <c r="AD252" s="239">
        <v>0</v>
      </c>
      <c r="AE252" s="239">
        <v>0</v>
      </c>
      <c r="AF252" s="239">
        <v>0</v>
      </c>
      <c r="AG252" s="239">
        <v>0</v>
      </c>
      <c r="AH252" s="239">
        <v>0</v>
      </c>
      <c r="AI252" s="239">
        <v>0</v>
      </c>
      <c r="AJ252" s="239">
        <v>0</v>
      </c>
      <c r="AK252" s="239">
        <v>896046.39214876026</v>
      </c>
      <c r="AL252" s="239">
        <v>201610.43823347107</v>
      </c>
      <c r="AM252" s="239">
        <v>22401.159803719009</v>
      </c>
      <c r="AN252" s="239">
        <v>774847</v>
      </c>
      <c r="AO252" s="239">
        <v>174340</v>
      </c>
      <c r="AP252" s="239">
        <v>19371</v>
      </c>
      <c r="AQ252" s="239">
        <v>121199</v>
      </c>
      <c r="AR252" s="239">
        <v>27270</v>
      </c>
      <c r="AS252" s="239">
        <v>3030</v>
      </c>
      <c r="AT252" s="239">
        <v>10670.119834710744</v>
      </c>
      <c r="AU252" s="239">
        <v>2400.7769628099172</v>
      </c>
      <c r="AV252" s="239">
        <v>266.75299586776862</v>
      </c>
      <c r="AW252" s="239">
        <v>10275</v>
      </c>
      <c r="AX252" s="239">
        <v>2312</v>
      </c>
      <c r="AY252" s="239">
        <v>257</v>
      </c>
      <c r="AZ252" s="239">
        <v>395</v>
      </c>
      <c r="BA252" s="239">
        <v>89</v>
      </c>
      <c r="BB252" s="239">
        <v>10</v>
      </c>
      <c r="BC252" s="239">
        <v>0</v>
      </c>
      <c r="BD252" s="239">
        <v>0</v>
      </c>
      <c r="BE252" s="239">
        <v>0</v>
      </c>
      <c r="BF252" s="239">
        <v>0</v>
      </c>
      <c r="BG252" s="239">
        <v>0</v>
      </c>
      <c r="BH252" s="239">
        <v>0</v>
      </c>
      <c r="BI252" s="239">
        <v>0</v>
      </c>
      <c r="BJ252" s="239">
        <v>0</v>
      </c>
      <c r="BK252" s="239">
        <v>0</v>
      </c>
      <c r="BL252" s="239">
        <v>9017.3570247933894</v>
      </c>
      <c r="BM252" s="239">
        <v>2028.9053305785123</v>
      </c>
      <c r="BN252" s="239">
        <v>225.4339256198347</v>
      </c>
      <c r="BO252" s="239">
        <v>5913</v>
      </c>
      <c r="BP252" s="239">
        <v>1331</v>
      </c>
      <c r="BQ252" s="239">
        <v>148</v>
      </c>
      <c r="BR252" s="239">
        <v>3104</v>
      </c>
      <c r="BS252" s="239">
        <v>698</v>
      </c>
      <c r="BT252" s="239">
        <v>77</v>
      </c>
      <c r="BU252" s="239">
        <v>6080.690082644629</v>
      </c>
      <c r="BV252" s="239">
        <v>1368.1552685950412</v>
      </c>
      <c r="BW252" s="239">
        <v>152.0172520661157</v>
      </c>
      <c r="BX252" s="239">
        <v>0</v>
      </c>
      <c r="BY252" s="239">
        <v>0</v>
      </c>
      <c r="BZ252" s="239">
        <v>0</v>
      </c>
      <c r="CA252" s="239">
        <v>6081</v>
      </c>
      <c r="CB252" s="239">
        <v>1368</v>
      </c>
      <c r="CC252" s="239">
        <v>152</v>
      </c>
      <c r="CD252" s="239">
        <v>-138.37272727272727</v>
      </c>
      <c r="CE252" s="239">
        <v>-31.133863636363635</v>
      </c>
      <c r="CF252" s="239">
        <v>-3.459318181818182</v>
      </c>
      <c r="CG252" s="239">
        <v>0</v>
      </c>
      <c r="CH252" s="239">
        <v>0</v>
      </c>
      <c r="CI252" s="239">
        <v>0</v>
      </c>
      <c r="CJ252" s="239">
        <v>-138</v>
      </c>
      <c r="CK252" s="239">
        <v>-31</v>
      </c>
      <c r="CL252" s="239">
        <v>-3</v>
      </c>
      <c r="CM252" s="239">
        <v>2718.3545454545456</v>
      </c>
      <c r="CN252" s="239">
        <v>611.62977272727267</v>
      </c>
      <c r="CO252" s="239">
        <v>67.958863636363645</v>
      </c>
      <c r="CP252" s="239">
        <v>3929</v>
      </c>
      <c r="CQ252" s="239">
        <v>884</v>
      </c>
      <c r="CR252" s="239">
        <v>98</v>
      </c>
      <c r="CS252" s="239">
        <v>-1211</v>
      </c>
      <c r="CT252" s="239">
        <v>-272</v>
      </c>
      <c r="CU252" s="239">
        <v>-30</v>
      </c>
      <c r="CV252" s="239">
        <v>263642.30454545451</v>
      </c>
      <c r="CW252" s="239">
        <v>58320.900185950406</v>
      </c>
      <c r="CX252" s="239">
        <v>6480.100020661157</v>
      </c>
      <c r="CY252" s="239">
        <v>256996</v>
      </c>
      <c r="CZ252" s="239">
        <v>57021</v>
      </c>
      <c r="DA252" s="239">
        <v>6336</v>
      </c>
      <c r="DB252" s="239">
        <v>6646</v>
      </c>
      <c r="DC252" s="239">
        <v>1300</v>
      </c>
      <c r="DD252" s="239">
        <v>144</v>
      </c>
      <c r="DE252" s="641">
        <v>0.5</v>
      </c>
      <c r="DF252" s="641">
        <v>0.4</v>
      </c>
      <c r="DG252" s="641">
        <v>0.09</v>
      </c>
      <c r="DH252" s="641">
        <v>0.01</v>
      </c>
      <c r="DI252" s="214" t="s">
        <v>1190</v>
      </c>
    </row>
    <row r="253" spans="2:113" s="214" customFormat="1" x14ac:dyDescent="0.2">
      <c r="B253" s="609" t="s">
        <v>588</v>
      </c>
      <c r="C253" s="609" t="s">
        <v>587</v>
      </c>
      <c r="D253" s="239">
        <v>-36181</v>
      </c>
      <c r="E253" s="239">
        <v>0</v>
      </c>
      <c r="F253" s="239">
        <v>-36181</v>
      </c>
      <c r="G253" s="239">
        <v>0</v>
      </c>
      <c r="H253" s="239">
        <v>0</v>
      </c>
      <c r="I253" s="239">
        <v>0</v>
      </c>
      <c r="J253" s="239">
        <v>-36181</v>
      </c>
      <c r="K253" s="239">
        <v>0</v>
      </c>
      <c r="L253" s="239">
        <v>-36181</v>
      </c>
      <c r="M253" s="239">
        <v>104360</v>
      </c>
      <c r="N253" s="239">
        <v>104360</v>
      </c>
      <c r="O253" s="239">
        <v>0</v>
      </c>
      <c r="P253" s="239">
        <v>2699665</v>
      </c>
      <c r="Q253" s="239">
        <v>2778137</v>
      </c>
      <c r="R253" s="239">
        <v>-78472</v>
      </c>
      <c r="S253" s="239">
        <v>37654</v>
      </c>
      <c r="T253" s="239">
        <v>217437</v>
      </c>
      <c r="U253" s="239">
        <v>0</v>
      </c>
      <c r="V253" s="239">
        <v>217438</v>
      </c>
      <c r="W253" s="239">
        <v>37654</v>
      </c>
      <c r="X253" s="239">
        <v>-1</v>
      </c>
      <c r="Y253" s="239">
        <v>107961.16115702479</v>
      </c>
      <c r="Z253" s="239">
        <v>107961.16115702479</v>
      </c>
      <c r="AA253" s="239">
        <v>0</v>
      </c>
      <c r="AB253" s="239">
        <v>0</v>
      </c>
      <c r="AC253" s="239">
        <v>54035</v>
      </c>
      <c r="AD253" s="239">
        <v>54035</v>
      </c>
      <c r="AE253" s="239">
        <v>0</v>
      </c>
      <c r="AF253" s="239">
        <v>0</v>
      </c>
      <c r="AG253" s="239">
        <v>53926</v>
      </c>
      <c r="AH253" s="239">
        <v>53926</v>
      </c>
      <c r="AI253" s="239">
        <v>0</v>
      </c>
      <c r="AJ253" s="239">
        <v>0</v>
      </c>
      <c r="AK253" s="239">
        <v>466161.89256198349</v>
      </c>
      <c r="AL253" s="239">
        <v>104886.42582644628</v>
      </c>
      <c r="AM253" s="239">
        <v>11654.047314049587</v>
      </c>
      <c r="AN253" s="239">
        <v>424186</v>
      </c>
      <c r="AO253" s="239">
        <v>95442</v>
      </c>
      <c r="AP253" s="239">
        <v>10605</v>
      </c>
      <c r="AQ253" s="239">
        <v>41976</v>
      </c>
      <c r="AR253" s="239">
        <v>9444</v>
      </c>
      <c r="AS253" s="239">
        <v>1049</v>
      </c>
      <c r="AT253" s="239">
        <v>1077.3595041322315</v>
      </c>
      <c r="AU253" s="239">
        <v>242.40588842975205</v>
      </c>
      <c r="AV253" s="239">
        <v>26.933987603305788</v>
      </c>
      <c r="AW253" s="239">
        <v>0</v>
      </c>
      <c r="AX253" s="239">
        <v>0</v>
      </c>
      <c r="AY253" s="239">
        <v>0</v>
      </c>
      <c r="AZ253" s="239">
        <v>1077</v>
      </c>
      <c r="BA253" s="239">
        <v>242</v>
      </c>
      <c r="BB253" s="239">
        <v>27</v>
      </c>
      <c r="BC253" s="239">
        <v>0</v>
      </c>
      <c r="BD253" s="239">
        <v>0</v>
      </c>
      <c r="BE253" s="239">
        <v>0</v>
      </c>
      <c r="BF253" s="239">
        <v>0</v>
      </c>
      <c r="BG253" s="239">
        <v>0</v>
      </c>
      <c r="BH253" s="239">
        <v>0</v>
      </c>
      <c r="BI253" s="239">
        <v>0</v>
      </c>
      <c r="BJ253" s="239">
        <v>0</v>
      </c>
      <c r="BK253" s="239">
        <v>0</v>
      </c>
      <c r="BL253" s="239">
        <v>0</v>
      </c>
      <c r="BM253" s="239">
        <v>0</v>
      </c>
      <c r="BN253" s="239">
        <v>0</v>
      </c>
      <c r="BO253" s="239">
        <v>1623</v>
      </c>
      <c r="BP253" s="239">
        <v>365</v>
      </c>
      <c r="BQ253" s="239">
        <v>41</v>
      </c>
      <c r="BR253" s="239">
        <v>-1623</v>
      </c>
      <c r="BS253" s="239">
        <v>-365</v>
      </c>
      <c r="BT253" s="239">
        <v>-41</v>
      </c>
      <c r="BU253" s="239">
        <v>-4505.0264462809919</v>
      </c>
      <c r="BV253" s="239">
        <v>-1013.6309504132231</v>
      </c>
      <c r="BW253" s="239">
        <v>-112.62566115702479</v>
      </c>
      <c r="BX253" s="239">
        <v>0</v>
      </c>
      <c r="BY253" s="239">
        <v>0</v>
      </c>
      <c r="BZ253" s="239">
        <v>0</v>
      </c>
      <c r="CA253" s="239">
        <v>-4505</v>
      </c>
      <c r="CB253" s="239">
        <v>-1014</v>
      </c>
      <c r="CC253" s="239">
        <v>-113</v>
      </c>
      <c r="CD253" s="239">
        <v>0</v>
      </c>
      <c r="CE253" s="239">
        <v>0</v>
      </c>
      <c r="CF253" s="239">
        <v>0</v>
      </c>
      <c r="CG253" s="239">
        <v>0</v>
      </c>
      <c r="CH253" s="239">
        <v>0</v>
      </c>
      <c r="CI253" s="239">
        <v>0</v>
      </c>
      <c r="CJ253" s="239">
        <v>0</v>
      </c>
      <c r="CK253" s="239">
        <v>0</v>
      </c>
      <c r="CL253" s="239">
        <v>0</v>
      </c>
      <c r="CM253" s="239">
        <v>686.99421487603308</v>
      </c>
      <c r="CN253" s="239">
        <v>154.57369834710744</v>
      </c>
      <c r="CO253" s="239">
        <v>17.174855371900826</v>
      </c>
      <c r="CP253" s="239">
        <v>683</v>
      </c>
      <c r="CQ253" s="239">
        <v>153</v>
      </c>
      <c r="CR253" s="239">
        <v>17</v>
      </c>
      <c r="CS253" s="239">
        <v>4</v>
      </c>
      <c r="CT253" s="239">
        <v>2</v>
      </c>
      <c r="CU253" s="239">
        <v>0</v>
      </c>
      <c r="CV253" s="239">
        <v>165777.11528925618</v>
      </c>
      <c r="CW253" s="239">
        <v>31537.002954545456</v>
      </c>
      <c r="CX253" s="239">
        <v>3154.6947727272727</v>
      </c>
      <c r="CY253" s="239">
        <v>169506</v>
      </c>
      <c r="CZ253" s="239">
        <v>32067</v>
      </c>
      <c r="DA253" s="239">
        <v>3214</v>
      </c>
      <c r="DB253" s="239">
        <v>-3729</v>
      </c>
      <c r="DC253" s="239">
        <v>-530</v>
      </c>
      <c r="DD253" s="239">
        <v>-59</v>
      </c>
      <c r="DE253" s="641">
        <v>0.5</v>
      </c>
      <c r="DF253" s="641">
        <v>0.4</v>
      </c>
      <c r="DG253" s="641">
        <v>0.09</v>
      </c>
      <c r="DH253" s="641">
        <v>0.01</v>
      </c>
      <c r="DI253" s="214" t="s">
        <v>1190</v>
      </c>
    </row>
    <row r="254" spans="2:113" s="214" customFormat="1" x14ac:dyDescent="0.2">
      <c r="B254" s="609" t="s">
        <v>590</v>
      </c>
      <c r="C254" s="609" t="s">
        <v>589</v>
      </c>
      <c r="D254" s="239">
        <v>-34214</v>
      </c>
      <c r="E254" s="239">
        <v>0</v>
      </c>
      <c r="F254" s="239">
        <v>-34214</v>
      </c>
      <c r="G254" s="239">
        <v>0</v>
      </c>
      <c r="H254" s="239">
        <v>0</v>
      </c>
      <c r="I254" s="239">
        <v>0</v>
      </c>
      <c r="J254" s="239">
        <v>-34214</v>
      </c>
      <c r="K254" s="239">
        <v>0</v>
      </c>
      <c r="L254" s="239">
        <v>-34214</v>
      </c>
      <c r="M254" s="239">
        <v>153992</v>
      </c>
      <c r="N254" s="239">
        <v>153992</v>
      </c>
      <c r="O254" s="239">
        <v>0</v>
      </c>
      <c r="P254" s="239">
        <v>0</v>
      </c>
      <c r="Q254" s="239">
        <v>0</v>
      </c>
      <c r="R254" s="239">
        <v>0</v>
      </c>
      <c r="S254" s="239">
        <v>0</v>
      </c>
      <c r="T254" s="239">
        <v>0</v>
      </c>
      <c r="U254" s="239">
        <v>0</v>
      </c>
      <c r="V254" s="239">
        <v>0</v>
      </c>
      <c r="W254" s="239">
        <v>0</v>
      </c>
      <c r="X254" s="239">
        <v>0</v>
      </c>
      <c r="Y254" s="239">
        <v>0</v>
      </c>
      <c r="Z254" s="239">
        <v>0</v>
      </c>
      <c r="AA254" s="239">
        <v>0</v>
      </c>
      <c r="AB254" s="239">
        <v>0</v>
      </c>
      <c r="AC254" s="239">
        <v>0</v>
      </c>
      <c r="AD254" s="239">
        <v>0</v>
      </c>
      <c r="AE254" s="239">
        <v>0</v>
      </c>
      <c r="AF254" s="239">
        <v>0</v>
      </c>
      <c r="AG254" s="239">
        <v>0</v>
      </c>
      <c r="AH254" s="239">
        <v>0</v>
      </c>
      <c r="AI254" s="239">
        <v>0</v>
      </c>
      <c r="AJ254" s="239">
        <v>0</v>
      </c>
      <c r="AK254" s="239">
        <v>708595.95769628102</v>
      </c>
      <c r="AL254" s="239">
        <v>0</v>
      </c>
      <c r="AM254" s="239">
        <v>14461.141993801653</v>
      </c>
      <c r="AN254" s="239">
        <v>703377</v>
      </c>
      <c r="AO254" s="239">
        <v>0</v>
      </c>
      <c r="AP254" s="239">
        <v>14355</v>
      </c>
      <c r="AQ254" s="239">
        <v>5219</v>
      </c>
      <c r="AR254" s="239">
        <v>0</v>
      </c>
      <c r="AS254" s="239">
        <v>106</v>
      </c>
      <c r="AT254" s="239">
        <v>6082.3538016528919</v>
      </c>
      <c r="AU254" s="239">
        <v>0</v>
      </c>
      <c r="AV254" s="239">
        <v>124.12966942148761</v>
      </c>
      <c r="AW254" s="239">
        <v>0</v>
      </c>
      <c r="AX254" s="239">
        <v>0</v>
      </c>
      <c r="AY254" s="239">
        <v>0</v>
      </c>
      <c r="AZ254" s="239">
        <v>6082</v>
      </c>
      <c r="BA254" s="239">
        <v>0</v>
      </c>
      <c r="BB254" s="239">
        <v>124</v>
      </c>
      <c r="BC254" s="239">
        <v>0</v>
      </c>
      <c r="BD254" s="239">
        <v>0</v>
      </c>
      <c r="BE254" s="239">
        <v>0</v>
      </c>
      <c r="BF254" s="239">
        <v>0</v>
      </c>
      <c r="BG254" s="239">
        <v>0</v>
      </c>
      <c r="BH254" s="239">
        <v>0</v>
      </c>
      <c r="BI254" s="239">
        <v>0</v>
      </c>
      <c r="BJ254" s="239">
        <v>0</v>
      </c>
      <c r="BK254" s="239">
        <v>0</v>
      </c>
      <c r="BL254" s="239">
        <v>14151.563450413223</v>
      </c>
      <c r="BM254" s="239">
        <v>0</v>
      </c>
      <c r="BN254" s="239">
        <v>288.80741735537191</v>
      </c>
      <c r="BO254" s="239">
        <v>25848</v>
      </c>
      <c r="BP254" s="239">
        <v>0</v>
      </c>
      <c r="BQ254" s="239">
        <v>528</v>
      </c>
      <c r="BR254" s="239">
        <v>-11696</v>
      </c>
      <c r="BS254" s="239">
        <v>0</v>
      </c>
      <c r="BT254" s="239">
        <v>-239</v>
      </c>
      <c r="BU254" s="239">
        <v>2263.7331818181815</v>
      </c>
      <c r="BV254" s="239">
        <v>0</v>
      </c>
      <c r="BW254" s="239">
        <v>46.198636363636361</v>
      </c>
      <c r="BX254" s="239">
        <v>0</v>
      </c>
      <c r="BY254" s="239">
        <v>0</v>
      </c>
      <c r="BZ254" s="239">
        <v>0</v>
      </c>
      <c r="CA254" s="239">
        <v>2264</v>
      </c>
      <c r="CB254" s="239">
        <v>0</v>
      </c>
      <c r="CC254" s="239">
        <v>46</v>
      </c>
      <c r="CD254" s="239">
        <v>0</v>
      </c>
      <c r="CE254" s="239">
        <v>0</v>
      </c>
      <c r="CF254" s="239">
        <v>0</v>
      </c>
      <c r="CG254" s="239">
        <v>0</v>
      </c>
      <c r="CH254" s="239">
        <v>0</v>
      </c>
      <c r="CI254" s="239">
        <v>0</v>
      </c>
      <c r="CJ254" s="239">
        <v>0</v>
      </c>
      <c r="CK254" s="239">
        <v>0</v>
      </c>
      <c r="CL254" s="239">
        <v>0</v>
      </c>
      <c r="CM254" s="239">
        <v>0</v>
      </c>
      <c r="CN254" s="239">
        <v>0</v>
      </c>
      <c r="CO254" s="239">
        <v>0</v>
      </c>
      <c r="CP254" s="239">
        <v>0</v>
      </c>
      <c r="CQ254" s="239">
        <v>0</v>
      </c>
      <c r="CR254" s="239">
        <v>0</v>
      </c>
      <c r="CS254" s="239">
        <v>0</v>
      </c>
      <c r="CT254" s="239">
        <v>0</v>
      </c>
      <c r="CU254" s="239">
        <v>0</v>
      </c>
      <c r="CV254" s="239">
        <v>219087.28849173553</v>
      </c>
      <c r="CW254" s="239">
        <v>0</v>
      </c>
      <c r="CX254" s="239">
        <v>4471.1691528925621</v>
      </c>
      <c r="CY254" s="239">
        <v>223036</v>
      </c>
      <c r="CZ254" s="239">
        <v>0</v>
      </c>
      <c r="DA254" s="239">
        <v>4552</v>
      </c>
      <c r="DB254" s="239">
        <v>-3949</v>
      </c>
      <c r="DC254" s="239">
        <v>0</v>
      </c>
      <c r="DD254" s="239">
        <v>-81</v>
      </c>
      <c r="DE254" s="641">
        <v>0.5</v>
      </c>
      <c r="DF254" s="641">
        <v>0.49</v>
      </c>
      <c r="DG254" s="641">
        <v>0</v>
      </c>
      <c r="DH254" s="641">
        <v>0.01</v>
      </c>
      <c r="DI254" s="214" t="s">
        <v>1192</v>
      </c>
    </row>
    <row r="255" spans="2:113" s="214" customFormat="1" x14ac:dyDescent="0.2">
      <c r="B255" s="609" t="s">
        <v>592</v>
      </c>
      <c r="C255" s="609" t="s">
        <v>591</v>
      </c>
      <c r="D255" s="239">
        <v>218087</v>
      </c>
      <c r="E255" s="239">
        <v>0</v>
      </c>
      <c r="F255" s="239">
        <v>218087</v>
      </c>
      <c r="G255" s="239">
        <v>0</v>
      </c>
      <c r="H255" s="239">
        <v>0</v>
      </c>
      <c r="I255" s="239">
        <v>0</v>
      </c>
      <c r="J255" s="239">
        <v>218087</v>
      </c>
      <c r="K255" s="239">
        <v>0</v>
      </c>
      <c r="L255" s="239">
        <v>218087</v>
      </c>
      <c r="M255" s="239">
        <v>315452</v>
      </c>
      <c r="N255" s="239">
        <v>315452</v>
      </c>
      <c r="O255" s="239">
        <v>0</v>
      </c>
      <c r="P255" s="239">
        <v>0</v>
      </c>
      <c r="Q255" s="239">
        <v>0</v>
      </c>
      <c r="R255" s="239">
        <v>0</v>
      </c>
      <c r="S255" s="239">
        <v>0</v>
      </c>
      <c r="T255" s="239">
        <v>0</v>
      </c>
      <c r="U255" s="239">
        <v>0</v>
      </c>
      <c r="V255" s="239">
        <v>0</v>
      </c>
      <c r="W255" s="239">
        <v>0</v>
      </c>
      <c r="X255" s="239">
        <v>0</v>
      </c>
      <c r="Y255" s="239">
        <v>0</v>
      </c>
      <c r="Z255" s="239">
        <v>0</v>
      </c>
      <c r="AA255" s="239">
        <v>0</v>
      </c>
      <c r="AB255" s="239">
        <v>0</v>
      </c>
      <c r="AC255" s="239">
        <v>0</v>
      </c>
      <c r="AD255" s="239">
        <v>0</v>
      </c>
      <c r="AE255" s="239">
        <v>0</v>
      </c>
      <c r="AF255" s="239">
        <v>0</v>
      </c>
      <c r="AG255" s="239">
        <v>0</v>
      </c>
      <c r="AH255" s="239">
        <v>0</v>
      </c>
      <c r="AI255" s="239">
        <v>0</v>
      </c>
      <c r="AJ255" s="239">
        <v>0</v>
      </c>
      <c r="AK255" s="239">
        <v>919197.70662190078</v>
      </c>
      <c r="AL255" s="239">
        <v>0</v>
      </c>
      <c r="AM255" s="239">
        <v>18759.136869834711</v>
      </c>
      <c r="AN255" s="239">
        <v>866762</v>
      </c>
      <c r="AO255" s="239">
        <v>0</v>
      </c>
      <c r="AP255" s="239">
        <v>17689</v>
      </c>
      <c r="AQ255" s="239">
        <v>52436</v>
      </c>
      <c r="AR255" s="239">
        <v>0</v>
      </c>
      <c r="AS255" s="239">
        <v>1070</v>
      </c>
      <c r="AT255" s="239">
        <v>5000.1958884297519</v>
      </c>
      <c r="AU255" s="239">
        <v>0</v>
      </c>
      <c r="AV255" s="239">
        <v>102.04481404958679</v>
      </c>
      <c r="AW255" s="239">
        <v>17468</v>
      </c>
      <c r="AX255" s="239">
        <v>0</v>
      </c>
      <c r="AY255" s="239">
        <v>356</v>
      </c>
      <c r="AZ255" s="239">
        <v>-12468</v>
      </c>
      <c r="BA255" s="239">
        <v>0</v>
      </c>
      <c r="BB255" s="239">
        <v>-254</v>
      </c>
      <c r="BC255" s="239">
        <v>8888.4086570247928</v>
      </c>
      <c r="BD255" s="239">
        <v>0</v>
      </c>
      <c r="BE255" s="239">
        <v>181.3960950413223</v>
      </c>
      <c r="BF255" s="239">
        <v>0</v>
      </c>
      <c r="BG255" s="239">
        <v>0</v>
      </c>
      <c r="BH255" s="239">
        <v>0</v>
      </c>
      <c r="BI255" s="239">
        <v>8888</v>
      </c>
      <c r="BJ255" s="239">
        <v>0</v>
      </c>
      <c r="BK255" s="239">
        <v>181</v>
      </c>
      <c r="BL255" s="239">
        <v>35775.335330578513</v>
      </c>
      <c r="BM255" s="239">
        <v>0</v>
      </c>
      <c r="BN255" s="239">
        <v>730.10888429752072</v>
      </c>
      <c r="BO255" s="239">
        <v>24449</v>
      </c>
      <c r="BP255" s="239">
        <v>0</v>
      </c>
      <c r="BQ255" s="239">
        <v>499</v>
      </c>
      <c r="BR255" s="239">
        <v>11326</v>
      </c>
      <c r="BS255" s="239">
        <v>0</v>
      </c>
      <c r="BT255" s="239">
        <v>231</v>
      </c>
      <c r="BU255" s="239">
        <v>-5820.8861570247936</v>
      </c>
      <c r="BV255" s="239">
        <v>0</v>
      </c>
      <c r="BW255" s="239">
        <v>-118.79359504132232</v>
      </c>
      <c r="BX255" s="239">
        <v>0</v>
      </c>
      <c r="BY255" s="239">
        <v>0</v>
      </c>
      <c r="BZ255" s="239">
        <v>0</v>
      </c>
      <c r="CA255" s="239">
        <v>-5821</v>
      </c>
      <c r="CB255" s="239">
        <v>0</v>
      </c>
      <c r="CC255" s="239">
        <v>-119</v>
      </c>
      <c r="CD255" s="239">
        <v>0</v>
      </c>
      <c r="CE255" s="239">
        <v>0</v>
      </c>
      <c r="CF255" s="239">
        <v>0</v>
      </c>
      <c r="CG255" s="239">
        <v>0</v>
      </c>
      <c r="CH255" s="239">
        <v>0</v>
      </c>
      <c r="CI255" s="239">
        <v>0</v>
      </c>
      <c r="CJ255" s="239">
        <v>0</v>
      </c>
      <c r="CK255" s="239">
        <v>0</v>
      </c>
      <c r="CL255" s="239">
        <v>0</v>
      </c>
      <c r="CM255" s="239">
        <v>4095.4979545454544</v>
      </c>
      <c r="CN255" s="239">
        <v>0</v>
      </c>
      <c r="CO255" s="239">
        <v>83.581590909090906</v>
      </c>
      <c r="CP255" s="239">
        <v>4971</v>
      </c>
      <c r="CQ255" s="239">
        <v>0</v>
      </c>
      <c r="CR255" s="239">
        <v>101</v>
      </c>
      <c r="CS255" s="239">
        <v>-876</v>
      </c>
      <c r="CT255" s="239">
        <v>0</v>
      </c>
      <c r="CU255" s="239">
        <v>-17</v>
      </c>
      <c r="CV255" s="239">
        <v>718539.9918801653</v>
      </c>
      <c r="CW255" s="239">
        <v>0</v>
      </c>
      <c r="CX255" s="239">
        <v>14664.081466942149</v>
      </c>
      <c r="CY255" s="239">
        <v>686698</v>
      </c>
      <c r="CZ255" s="239">
        <v>0</v>
      </c>
      <c r="DA255" s="239">
        <v>14014</v>
      </c>
      <c r="DB255" s="239">
        <v>31842</v>
      </c>
      <c r="DC255" s="239">
        <v>0</v>
      </c>
      <c r="DD255" s="239">
        <v>650</v>
      </c>
      <c r="DE255" s="641">
        <v>0.5</v>
      </c>
      <c r="DF255" s="641">
        <v>0.49</v>
      </c>
      <c r="DG255" s="641">
        <v>0</v>
      </c>
      <c r="DH255" s="641">
        <v>0.01</v>
      </c>
      <c r="DI255" s="214" t="s">
        <v>747</v>
      </c>
    </row>
    <row r="256" spans="2:113" s="214" customFormat="1" x14ac:dyDescent="0.2">
      <c r="B256" s="609" t="s">
        <v>594</v>
      </c>
      <c r="C256" s="609" t="s">
        <v>593</v>
      </c>
      <c r="D256" s="239">
        <v>-68934</v>
      </c>
      <c r="E256" s="239">
        <v>0</v>
      </c>
      <c r="F256" s="239">
        <v>-68934</v>
      </c>
      <c r="G256" s="239">
        <v>0</v>
      </c>
      <c r="H256" s="239">
        <v>0</v>
      </c>
      <c r="I256" s="239">
        <v>0</v>
      </c>
      <c r="J256" s="239">
        <v>-68934</v>
      </c>
      <c r="K256" s="239">
        <v>0</v>
      </c>
      <c r="L256" s="239">
        <v>-68934</v>
      </c>
      <c r="M256" s="239">
        <v>238425</v>
      </c>
      <c r="N256" s="239">
        <v>238425</v>
      </c>
      <c r="O256" s="239">
        <v>0</v>
      </c>
      <c r="P256" s="239">
        <v>0</v>
      </c>
      <c r="Q256" s="239">
        <v>0</v>
      </c>
      <c r="R256" s="239">
        <v>0</v>
      </c>
      <c r="S256" s="239">
        <v>0</v>
      </c>
      <c r="T256" s="239">
        <v>0</v>
      </c>
      <c r="U256" s="239">
        <v>0</v>
      </c>
      <c r="V256" s="239">
        <v>0</v>
      </c>
      <c r="W256" s="239">
        <v>0</v>
      </c>
      <c r="X256" s="239">
        <v>0</v>
      </c>
      <c r="Y256" s="239">
        <v>0</v>
      </c>
      <c r="Z256" s="239">
        <v>0</v>
      </c>
      <c r="AA256" s="239">
        <v>0</v>
      </c>
      <c r="AB256" s="239">
        <v>0</v>
      </c>
      <c r="AC256" s="239">
        <v>0</v>
      </c>
      <c r="AD256" s="239">
        <v>0</v>
      </c>
      <c r="AE256" s="239">
        <v>0</v>
      </c>
      <c r="AF256" s="239">
        <v>0</v>
      </c>
      <c r="AG256" s="239">
        <v>0</v>
      </c>
      <c r="AH256" s="239">
        <v>0</v>
      </c>
      <c r="AI256" s="239">
        <v>0</v>
      </c>
      <c r="AJ256" s="239">
        <v>0</v>
      </c>
      <c r="AK256" s="239">
        <v>1218174.5252582645</v>
      </c>
      <c r="AL256" s="239">
        <v>0</v>
      </c>
      <c r="AM256" s="239">
        <v>24860.70459710744</v>
      </c>
      <c r="AN256" s="239">
        <v>1218578</v>
      </c>
      <c r="AO256" s="239">
        <v>0</v>
      </c>
      <c r="AP256" s="239">
        <v>24869</v>
      </c>
      <c r="AQ256" s="239">
        <v>-403</v>
      </c>
      <c r="AR256" s="239">
        <v>0</v>
      </c>
      <c r="AS256" s="239">
        <v>-8</v>
      </c>
      <c r="AT256" s="239">
        <v>16063.359194214876</v>
      </c>
      <c r="AU256" s="239">
        <v>0</v>
      </c>
      <c r="AV256" s="239">
        <v>327.82365702479336</v>
      </c>
      <c r="AW256" s="239">
        <v>5051</v>
      </c>
      <c r="AX256" s="239">
        <v>0</v>
      </c>
      <c r="AY256" s="239">
        <v>103</v>
      </c>
      <c r="AZ256" s="239">
        <v>11012</v>
      </c>
      <c r="BA256" s="239">
        <v>0</v>
      </c>
      <c r="BB256" s="239">
        <v>225</v>
      </c>
      <c r="BC256" s="239">
        <v>1376.9303719008267</v>
      </c>
      <c r="BD256" s="239">
        <v>0</v>
      </c>
      <c r="BE256" s="239">
        <v>28.100619834710756</v>
      </c>
      <c r="BF256" s="239">
        <v>0</v>
      </c>
      <c r="BG256" s="239">
        <v>0</v>
      </c>
      <c r="BH256" s="239">
        <v>0</v>
      </c>
      <c r="BI256" s="239">
        <v>1377</v>
      </c>
      <c r="BJ256" s="239">
        <v>0</v>
      </c>
      <c r="BK256" s="239">
        <v>28</v>
      </c>
      <c r="BL256" s="239">
        <v>21075.982252066118</v>
      </c>
      <c r="BM256" s="239">
        <v>0</v>
      </c>
      <c r="BN256" s="239">
        <v>430.12208677685953</v>
      </c>
      <c r="BO256" s="239">
        <v>9942</v>
      </c>
      <c r="BP256" s="239">
        <v>0</v>
      </c>
      <c r="BQ256" s="239">
        <v>203</v>
      </c>
      <c r="BR256" s="239">
        <v>11134</v>
      </c>
      <c r="BS256" s="239">
        <v>0</v>
      </c>
      <c r="BT256" s="239">
        <v>227</v>
      </c>
      <c r="BU256" s="239">
        <v>5978.4626652892566</v>
      </c>
      <c r="BV256" s="239">
        <v>0</v>
      </c>
      <c r="BW256" s="239">
        <v>122.00944214876034</v>
      </c>
      <c r="BX256" s="239">
        <v>0</v>
      </c>
      <c r="BY256" s="239">
        <v>0</v>
      </c>
      <c r="BZ256" s="239">
        <v>0</v>
      </c>
      <c r="CA256" s="239">
        <v>5978</v>
      </c>
      <c r="CB256" s="239">
        <v>0</v>
      </c>
      <c r="CC256" s="239">
        <v>122</v>
      </c>
      <c r="CD256" s="239">
        <v>0</v>
      </c>
      <c r="CE256" s="239">
        <v>0</v>
      </c>
      <c r="CF256" s="239">
        <v>0</v>
      </c>
      <c r="CG256" s="239">
        <v>0</v>
      </c>
      <c r="CH256" s="239">
        <v>0</v>
      </c>
      <c r="CI256" s="239">
        <v>0</v>
      </c>
      <c r="CJ256" s="239">
        <v>0</v>
      </c>
      <c r="CK256" s="239">
        <v>0</v>
      </c>
      <c r="CL256" s="239">
        <v>0</v>
      </c>
      <c r="CM256" s="239">
        <v>1746.265847107438</v>
      </c>
      <c r="CN256" s="239">
        <v>0</v>
      </c>
      <c r="CO256" s="239">
        <v>35.638078512396696</v>
      </c>
      <c r="CP256" s="239">
        <v>1746</v>
      </c>
      <c r="CQ256" s="239">
        <v>0</v>
      </c>
      <c r="CR256" s="239">
        <v>36</v>
      </c>
      <c r="CS256" s="239">
        <v>0</v>
      </c>
      <c r="CT256" s="239">
        <v>0</v>
      </c>
      <c r="CU256" s="239">
        <v>0</v>
      </c>
      <c r="CV256" s="239">
        <v>329653.23219008261</v>
      </c>
      <c r="CW256" s="239">
        <v>0</v>
      </c>
      <c r="CX256" s="239">
        <v>6727.6169834710745</v>
      </c>
      <c r="CY256" s="239">
        <v>338063</v>
      </c>
      <c r="CZ256" s="239">
        <v>0</v>
      </c>
      <c r="DA256" s="239">
        <v>6899</v>
      </c>
      <c r="DB256" s="239">
        <v>-8410</v>
      </c>
      <c r="DC256" s="239">
        <v>0</v>
      </c>
      <c r="DD256" s="239">
        <v>-171</v>
      </c>
      <c r="DE256" s="641">
        <v>0.5</v>
      </c>
      <c r="DF256" s="641">
        <v>0.49</v>
      </c>
      <c r="DG256" s="641">
        <v>0</v>
      </c>
      <c r="DH256" s="641">
        <v>0.01</v>
      </c>
      <c r="DI256" s="214" t="s">
        <v>747</v>
      </c>
    </row>
    <row r="257" spans="2:113" s="214" customFormat="1" x14ac:dyDescent="0.2">
      <c r="B257" s="609" t="s">
        <v>596</v>
      </c>
      <c r="C257" s="609" t="s">
        <v>595</v>
      </c>
      <c r="D257" s="239">
        <v>-446346</v>
      </c>
      <c r="E257" s="239">
        <v>0</v>
      </c>
      <c r="F257" s="239">
        <v>-446346</v>
      </c>
      <c r="G257" s="239">
        <v>0</v>
      </c>
      <c r="H257" s="239">
        <v>0</v>
      </c>
      <c r="I257" s="239">
        <v>0</v>
      </c>
      <c r="J257" s="239">
        <v>-446346</v>
      </c>
      <c r="K257" s="239">
        <v>0</v>
      </c>
      <c r="L257" s="239">
        <v>-446346</v>
      </c>
      <c r="M257" s="239">
        <v>659318</v>
      </c>
      <c r="N257" s="239">
        <v>659318</v>
      </c>
      <c r="O257" s="239">
        <v>0</v>
      </c>
      <c r="P257" s="239">
        <v>0</v>
      </c>
      <c r="Q257" s="239">
        <v>0</v>
      </c>
      <c r="R257" s="239">
        <v>0</v>
      </c>
      <c r="S257" s="239">
        <v>0</v>
      </c>
      <c r="T257" s="239">
        <v>0</v>
      </c>
      <c r="U257" s="239">
        <v>0</v>
      </c>
      <c r="V257" s="239">
        <v>0</v>
      </c>
      <c r="W257" s="239">
        <v>0</v>
      </c>
      <c r="X257" s="239">
        <v>0</v>
      </c>
      <c r="Y257" s="239">
        <v>0</v>
      </c>
      <c r="Z257" s="239">
        <v>0</v>
      </c>
      <c r="AA257" s="239">
        <v>0</v>
      </c>
      <c r="AB257" s="239">
        <v>0</v>
      </c>
      <c r="AC257" s="239">
        <v>0</v>
      </c>
      <c r="AD257" s="239">
        <v>0</v>
      </c>
      <c r="AE257" s="239">
        <v>0</v>
      </c>
      <c r="AF257" s="239">
        <v>0</v>
      </c>
      <c r="AG257" s="239">
        <v>0</v>
      </c>
      <c r="AH257" s="239">
        <v>0</v>
      </c>
      <c r="AI257" s="239">
        <v>0</v>
      </c>
      <c r="AJ257" s="239">
        <v>0</v>
      </c>
      <c r="AK257" s="239">
        <v>935335.06580578513</v>
      </c>
      <c r="AL257" s="239">
        <v>623556.7105371902</v>
      </c>
      <c r="AM257" s="239">
        <v>0</v>
      </c>
      <c r="AN257" s="239">
        <v>866720</v>
      </c>
      <c r="AO257" s="239">
        <v>577813</v>
      </c>
      <c r="AP257" s="239">
        <v>0</v>
      </c>
      <c r="AQ257" s="239">
        <v>68615</v>
      </c>
      <c r="AR257" s="239">
        <v>45744</v>
      </c>
      <c r="AS257" s="239">
        <v>0</v>
      </c>
      <c r="AT257" s="239">
        <v>1372.2638429752064</v>
      </c>
      <c r="AU257" s="239">
        <v>914.84256198347111</v>
      </c>
      <c r="AV257" s="239">
        <v>0</v>
      </c>
      <c r="AW257" s="239">
        <v>1441</v>
      </c>
      <c r="AX257" s="239">
        <v>960</v>
      </c>
      <c r="AY257" s="239">
        <v>0</v>
      </c>
      <c r="AZ257" s="239">
        <v>-69</v>
      </c>
      <c r="BA257" s="239">
        <v>-45</v>
      </c>
      <c r="BB257" s="239">
        <v>0</v>
      </c>
      <c r="BC257" s="239">
        <v>0</v>
      </c>
      <c r="BD257" s="239">
        <v>0</v>
      </c>
      <c r="BE257" s="239">
        <v>0</v>
      </c>
      <c r="BF257" s="239">
        <v>0</v>
      </c>
      <c r="BG257" s="239">
        <v>0</v>
      </c>
      <c r="BH257" s="239">
        <v>0</v>
      </c>
      <c r="BI257" s="239">
        <v>0</v>
      </c>
      <c r="BJ257" s="239">
        <v>0</v>
      </c>
      <c r="BK257" s="239">
        <v>0</v>
      </c>
      <c r="BL257" s="239">
        <v>3073.8223140495866</v>
      </c>
      <c r="BM257" s="239">
        <v>2049.2148760330579</v>
      </c>
      <c r="BN257" s="239">
        <v>0</v>
      </c>
      <c r="BO257" s="239">
        <v>0</v>
      </c>
      <c r="BP257" s="239">
        <v>0</v>
      </c>
      <c r="BQ257" s="239">
        <v>0</v>
      </c>
      <c r="BR257" s="239">
        <v>3074</v>
      </c>
      <c r="BS257" s="239">
        <v>2049</v>
      </c>
      <c r="BT257" s="239">
        <v>0</v>
      </c>
      <c r="BU257" s="239">
        <v>-525.59318181818185</v>
      </c>
      <c r="BV257" s="239">
        <v>-350.39545454545458</v>
      </c>
      <c r="BW257" s="239">
        <v>0</v>
      </c>
      <c r="BX257" s="239">
        <v>0</v>
      </c>
      <c r="BY257" s="239">
        <v>0</v>
      </c>
      <c r="BZ257" s="239">
        <v>0</v>
      </c>
      <c r="CA257" s="239">
        <v>-526</v>
      </c>
      <c r="CB257" s="239">
        <v>-350</v>
      </c>
      <c r="CC257" s="239">
        <v>0</v>
      </c>
      <c r="CD257" s="239">
        <v>0</v>
      </c>
      <c r="CE257" s="239">
        <v>0</v>
      </c>
      <c r="CF257" s="239">
        <v>0</v>
      </c>
      <c r="CG257" s="239">
        <v>0</v>
      </c>
      <c r="CH257" s="239">
        <v>0</v>
      </c>
      <c r="CI257" s="239">
        <v>0</v>
      </c>
      <c r="CJ257" s="239">
        <v>0</v>
      </c>
      <c r="CK257" s="239">
        <v>0</v>
      </c>
      <c r="CL257" s="239">
        <v>0</v>
      </c>
      <c r="CM257" s="239">
        <v>0</v>
      </c>
      <c r="CN257" s="239">
        <v>0</v>
      </c>
      <c r="CO257" s="239">
        <v>0</v>
      </c>
      <c r="CP257" s="239">
        <v>0</v>
      </c>
      <c r="CQ257" s="239">
        <v>0</v>
      </c>
      <c r="CR257" s="239">
        <v>0</v>
      </c>
      <c r="CS257" s="239">
        <v>0</v>
      </c>
      <c r="CT257" s="239">
        <v>0</v>
      </c>
      <c r="CU257" s="239">
        <v>0</v>
      </c>
      <c r="CV257" s="239">
        <v>1002879.4407024792</v>
      </c>
      <c r="CW257" s="239">
        <v>668586.29380165285</v>
      </c>
      <c r="CX257" s="239">
        <v>0</v>
      </c>
      <c r="CY257" s="239">
        <v>999601</v>
      </c>
      <c r="CZ257" s="239">
        <v>666400</v>
      </c>
      <c r="DA257" s="239">
        <v>0</v>
      </c>
      <c r="DB257" s="239">
        <v>3278</v>
      </c>
      <c r="DC257" s="239">
        <v>2186</v>
      </c>
      <c r="DD257" s="239">
        <v>0</v>
      </c>
      <c r="DE257" s="641">
        <v>0.5</v>
      </c>
      <c r="DF257" s="641">
        <v>0.3</v>
      </c>
      <c r="DG257" s="641">
        <v>0.2</v>
      </c>
      <c r="DH257" s="641">
        <v>0</v>
      </c>
      <c r="DI257" s="214" t="s">
        <v>1193</v>
      </c>
    </row>
    <row r="258" spans="2:113" s="214" customFormat="1" x14ac:dyDescent="0.2">
      <c r="B258" s="609" t="s">
        <v>598</v>
      </c>
      <c r="C258" s="609" t="s">
        <v>597</v>
      </c>
      <c r="D258" s="239">
        <v>13800</v>
      </c>
      <c r="E258" s="239">
        <v>0</v>
      </c>
      <c r="F258" s="239">
        <v>13800</v>
      </c>
      <c r="G258" s="239">
        <v>0</v>
      </c>
      <c r="H258" s="239">
        <v>0</v>
      </c>
      <c r="I258" s="239">
        <v>0</v>
      </c>
      <c r="J258" s="239">
        <v>13800</v>
      </c>
      <c r="K258" s="239">
        <v>0</v>
      </c>
      <c r="L258" s="239">
        <v>13800</v>
      </c>
      <c r="M258" s="239">
        <v>128984</v>
      </c>
      <c r="N258" s="239">
        <v>128984</v>
      </c>
      <c r="O258" s="239">
        <v>0</v>
      </c>
      <c r="P258" s="239">
        <v>0</v>
      </c>
      <c r="Q258" s="239">
        <v>0</v>
      </c>
      <c r="R258" s="239">
        <v>0</v>
      </c>
      <c r="S258" s="239">
        <v>0</v>
      </c>
      <c r="T258" s="239">
        <v>0</v>
      </c>
      <c r="U258" s="239">
        <v>0</v>
      </c>
      <c r="V258" s="239">
        <v>0</v>
      </c>
      <c r="W258" s="239">
        <v>0</v>
      </c>
      <c r="X258" s="239">
        <v>0</v>
      </c>
      <c r="Y258" s="239">
        <v>0</v>
      </c>
      <c r="Z258" s="239">
        <v>0</v>
      </c>
      <c r="AA258" s="239">
        <v>0</v>
      </c>
      <c r="AB258" s="239">
        <v>0</v>
      </c>
      <c r="AC258" s="239">
        <v>0</v>
      </c>
      <c r="AD258" s="239">
        <v>0</v>
      </c>
      <c r="AE258" s="239">
        <v>0</v>
      </c>
      <c r="AF258" s="239">
        <v>0</v>
      </c>
      <c r="AG258" s="239">
        <v>0</v>
      </c>
      <c r="AH258" s="239">
        <v>0</v>
      </c>
      <c r="AI258" s="239">
        <v>0</v>
      </c>
      <c r="AJ258" s="239">
        <v>0</v>
      </c>
      <c r="AK258" s="239">
        <v>288014.5132231405</v>
      </c>
      <c r="AL258" s="239">
        <v>72003.628305785125</v>
      </c>
      <c r="AM258" s="239">
        <v>0</v>
      </c>
      <c r="AN258" s="239">
        <v>256068</v>
      </c>
      <c r="AO258" s="239">
        <v>64017</v>
      </c>
      <c r="AP258" s="239">
        <v>0</v>
      </c>
      <c r="AQ258" s="239">
        <v>31947</v>
      </c>
      <c r="AR258" s="239">
        <v>7987</v>
      </c>
      <c r="AS258" s="239">
        <v>0</v>
      </c>
      <c r="AT258" s="239">
        <v>0</v>
      </c>
      <c r="AU258" s="239">
        <v>0</v>
      </c>
      <c r="AV258" s="239">
        <v>0</v>
      </c>
      <c r="AW258" s="239">
        <v>0</v>
      </c>
      <c r="AX258" s="239">
        <v>0</v>
      </c>
      <c r="AY258" s="239">
        <v>0</v>
      </c>
      <c r="AZ258" s="239">
        <v>0</v>
      </c>
      <c r="BA258" s="239">
        <v>0</v>
      </c>
      <c r="BB258" s="239">
        <v>0</v>
      </c>
      <c r="BC258" s="239">
        <v>0</v>
      </c>
      <c r="BD258" s="239">
        <v>0</v>
      </c>
      <c r="BE258" s="239">
        <v>0</v>
      </c>
      <c r="BF258" s="239">
        <v>0</v>
      </c>
      <c r="BG258" s="239">
        <v>0</v>
      </c>
      <c r="BH258" s="239">
        <v>0</v>
      </c>
      <c r="BI258" s="239">
        <v>0</v>
      </c>
      <c r="BJ258" s="239">
        <v>0</v>
      </c>
      <c r="BK258" s="239">
        <v>0</v>
      </c>
      <c r="BL258" s="239">
        <v>1620.3000000000002</v>
      </c>
      <c r="BM258" s="239">
        <v>405.07500000000005</v>
      </c>
      <c r="BN258" s="239">
        <v>0</v>
      </c>
      <c r="BO258" s="239">
        <v>0</v>
      </c>
      <c r="BP258" s="239">
        <v>0</v>
      </c>
      <c r="BQ258" s="239">
        <v>0</v>
      </c>
      <c r="BR258" s="239">
        <v>1620</v>
      </c>
      <c r="BS258" s="239">
        <v>405</v>
      </c>
      <c r="BT258" s="239">
        <v>0</v>
      </c>
      <c r="BU258" s="239">
        <v>3487.3173553719012</v>
      </c>
      <c r="BV258" s="239">
        <v>871.82933884297529</v>
      </c>
      <c r="BW258" s="239">
        <v>0</v>
      </c>
      <c r="BX258" s="239">
        <v>0</v>
      </c>
      <c r="BY258" s="239">
        <v>0</v>
      </c>
      <c r="BZ258" s="239">
        <v>0</v>
      </c>
      <c r="CA258" s="239">
        <v>3487</v>
      </c>
      <c r="CB258" s="239">
        <v>872</v>
      </c>
      <c r="CC258" s="239">
        <v>0</v>
      </c>
      <c r="CD258" s="239">
        <v>0</v>
      </c>
      <c r="CE258" s="239">
        <v>0</v>
      </c>
      <c r="CF258" s="239">
        <v>0</v>
      </c>
      <c r="CG258" s="239">
        <v>0</v>
      </c>
      <c r="CH258" s="239">
        <v>0</v>
      </c>
      <c r="CI258" s="239">
        <v>0</v>
      </c>
      <c r="CJ258" s="239">
        <v>0</v>
      </c>
      <c r="CK258" s="239">
        <v>0</v>
      </c>
      <c r="CL258" s="239">
        <v>0</v>
      </c>
      <c r="CM258" s="239">
        <v>0</v>
      </c>
      <c r="CN258" s="239">
        <v>0</v>
      </c>
      <c r="CO258" s="239">
        <v>0</v>
      </c>
      <c r="CP258" s="239">
        <v>9</v>
      </c>
      <c r="CQ258" s="239">
        <v>2</v>
      </c>
      <c r="CR258" s="239">
        <v>0</v>
      </c>
      <c r="CS258" s="239">
        <v>-9</v>
      </c>
      <c r="CT258" s="239">
        <v>-2</v>
      </c>
      <c r="CU258" s="239">
        <v>0</v>
      </c>
      <c r="CV258" s="239">
        <v>248479.77520661161</v>
      </c>
      <c r="CW258" s="239">
        <v>62119.943801652902</v>
      </c>
      <c r="CX258" s="239">
        <v>0</v>
      </c>
      <c r="CY258" s="239">
        <v>263434</v>
      </c>
      <c r="CZ258" s="239">
        <v>65859</v>
      </c>
      <c r="DA258" s="239">
        <v>0</v>
      </c>
      <c r="DB258" s="239">
        <v>-14954</v>
      </c>
      <c r="DC258" s="239">
        <v>-3739</v>
      </c>
      <c r="DD258" s="239">
        <v>0</v>
      </c>
      <c r="DE258" s="641">
        <v>0.5</v>
      </c>
      <c r="DF258" s="641">
        <v>0.4</v>
      </c>
      <c r="DG258" s="641">
        <v>0.1</v>
      </c>
      <c r="DH258" s="641">
        <v>0</v>
      </c>
      <c r="DI258" s="214" t="s">
        <v>1190</v>
      </c>
    </row>
    <row r="259" spans="2:113" s="214" customFormat="1" x14ac:dyDescent="0.2">
      <c r="B259" s="609" t="s">
        <v>600</v>
      </c>
      <c r="C259" s="609" t="s">
        <v>599</v>
      </c>
      <c r="D259" s="239">
        <v>-481253</v>
      </c>
      <c r="E259" s="239">
        <v>0</v>
      </c>
      <c r="F259" s="239">
        <v>-481253</v>
      </c>
      <c r="G259" s="239">
        <v>0</v>
      </c>
      <c r="H259" s="239">
        <v>0</v>
      </c>
      <c r="I259" s="239">
        <v>0</v>
      </c>
      <c r="J259" s="239">
        <v>-481253</v>
      </c>
      <c r="K259" s="239">
        <v>0</v>
      </c>
      <c r="L259" s="239">
        <v>-481253</v>
      </c>
      <c r="M259" s="239">
        <v>194644</v>
      </c>
      <c r="N259" s="239">
        <v>194644</v>
      </c>
      <c r="O259" s="239">
        <v>0</v>
      </c>
      <c r="P259" s="239">
        <v>0</v>
      </c>
      <c r="Q259" s="239">
        <v>0</v>
      </c>
      <c r="R259" s="239">
        <v>0</v>
      </c>
      <c r="S259" s="239">
        <v>0</v>
      </c>
      <c r="T259" s="239">
        <v>0</v>
      </c>
      <c r="U259" s="239">
        <v>0</v>
      </c>
      <c r="V259" s="239">
        <v>0</v>
      </c>
      <c r="W259" s="239">
        <v>0</v>
      </c>
      <c r="X259" s="239">
        <v>0</v>
      </c>
      <c r="Y259" s="239">
        <v>0</v>
      </c>
      <c r="Z259" s="239">
        <v>0</v>
      </c>
      <c r="AA259" s="239">
        <v>0</v>
      </c>
      <c r="AB259" s="239">
        <v>0</v>
      </c>
      <c r="AC259" s="239">
        <v>0</v>
      </c>
      <c r="AD259" s="239">
        <v>0</v>
      </c>
      <c r="AE259" s="239">
        <v>0</v>
      </c>
      <c r="AF259" s="239">
        <v>0</v>
      </c>
      <c r="AG259" s="239">
        <v>0</v>
      </c>
      <c r="AH259" s="239">
        <v>0</v>
      </c>
      <c r="AI259" s="239">
        <v>0</v>
      </c>
      <c r="AJ259" s="239">
        <v>0</v>
      </c>
      <c r="AK259" s="239">
        <v>370357.24214876036</v>
      </c>
      <c r="AL259" s="239">
        <v>92589.310537190089</v>
      </c>
      <c r="AM259" s="239">
        <v>0</v>
      </c>
      <c r="AN259" s="239">
        <v>340170</v>
      </c>
      <c r="AO259" s="239">
        <v>85043</v>
      </c>
      <c r="AP259" s="239">
        <v>0</v>
      </c>
      <c r="AQ259" s="239">
        <v>30187</v>
      </c>
      <c r="AR259" s="239">
        <v>7546</v>
      </c>
      <c r="AS259" s="239">
        <v>0</v>
      </c>
      <c r="AT259" s="239">
        <v>0</v>
      </c>
      <c r="AU259" s="239">
        <v>0</v>
      </c>
      <c r="AV259" s="239">
        <v>0</v>
      </c>
      <c r="AW259" s="239">
        <v>0</v>
      </c>
      <c r="AX259" s="239">
        <v>0</v>
      </c>
      <c r="AY259" s="239">
        <v>0</v>
      </c>
      <c r="AZ259" s="239">
        <v>0</v>
      </c>
      <c r="BA259" s="239">
        <v>0</v>
      </c>
      <c r="BB259" s="239">
        <v>0</v>
      </c>
      <c r="BC259" s="239">
        <v>0</v>
      </c>
      <c r="BD259" s="239">
        <v>0</v>
      </c>
      <c r="BE259" s="239">
        <v>0</v>
      </c>
      <c r="BF259" s="239">
        <v>0</v>
      </c>
      <c r="BG259" s="239">
        <v>0</v>
      </c>
      <c r="BH259" s="239">
        <v>0</v>
      </c>
      <c r="BI259" s="239">
        <v>0</v>
      </c>
      <c r="BJ259" s="239">
        <v>0</v>
      </c>
      <c r="BK259" s="239">
        <v>0</v>
      </c>
      <c r="BL259" s="239">
        <v>57655.573553719005</v>
      </c>
      <c r="BM259" s="239">
        <v>14413.893388429751</v>
      </c>
      <c r="BN259" s="239">
        <v>0</v>
      </c>
      <c r="BO259" s="239">
        <v>2911</v>
      </c>
      <c r="BP259" s="239">
        <v>728</v>
      </c>
      <c r="BQ259" s="239">
        <v>0</v>
      </c>
      <c r="BR259" s="239">
        <v>54745</v>
      </c>
      <c r="BS259" s="239">
        <v>13686</v>
      </c>
      <c r="BT259" s="239">
        <v>0</v>
      </c>
      <c r="BU259" s="239">
        <v>-1306.6280991735539</v>
      </c>
      <c r="BV259" s="239">
        <v>-326.65702479338847</v>
      </c>
      <c r="BW259" s="239">
        <v>0</v>
      </c>
      <c r="BX259" s="239">
        <v>0</v>
      </c>
      <c r="BY259" s="239">
        <v>0</v>
      </c>
      <c r="BZ259" s="239">
        <v>0</v>
      </c>
      <c r="CA259" s="239">
        <v>-1307</v>
      </c>
      <c r="CB259" s="239">
        <v>-327</v>
      </c>
      <c r="CC259" s="239">
        <v>0</v>
      </c>
      <c r="CD259" s="239">
        <v>0</v>
      </c>
      <c r="CE259" s="239">
        <v>0</v>
      </c>
      <c r="CF259" s="239">
        <v>0</v>
      </c>
      <c r="CG259" s="239">
        <v>0</v>
      </c>
      <c r="CH259" s="239">
        <v>0</v>
      </c>
      <c r="CI259" s="239">
        <v>0</v>
      </c>
      <c r="CJ259" s="239">
        <v>0</v>
      </c>
      <c r="CK259" s="239">
        <v>0</v>
      </c>
      <c r="CL259" s="239">
        <v>0</v>
      </c>
      <c r="CM259" s="239">
        <v>2218.4272727272728</v>
      </c>
      <c r="CN259" s="239">
        <v>554.6068181818182</v>
      </c>
      <c r="CO259" s="239">
        <v>0</v>
      </c>
      <c r="CP259" s="239">
        <v>2218</v>
      </c>
      <c r="CQ259" s="239">
        <v>555</v>
      </c>
      <c r="CR259" s="239">
        <v>0</v>
      </c>
      <c r="CS259" s="239">
        <v>0</v>
      </c>
      <c r="CT259" s="239">
        <v>0</v>
      </c>
      <c r="CU259" s="239">
        <v>0</v>
      </c>
      <c r="CV259" s="239">
        <v>350080.32644628099</v>
      </c>
      <c r="CW259" s="239">
        <v>87520.081611570247</v>
      </c>
      <c r="CX259" s="239">
        <v>0</v>
      </c>
      <c r="CY259" s="239">
        <v>370850</v>
      </c>
      <c r="CZ259" s="239">
        <v>92712</v>
      </c>
      <c r="DA259" s="239">
        <v>0</v>
      </c>
      <c r="DB259" s="239">
        <v>-20770</v>
      </c>
      <c r="DC259" s="239">
        <v>-5192</v>
      </c>
      <c r="DD259" s="239">
        <v>0</v>
      </c>
      <c r="DE259" s="641">
        <v>0.5</v>
      </c>
      <c r="DF259" s="641">
        <v>0.4</v>
      </c>
      <c r="DG259" s="641">
        <v>0.1</v>
      </c>
      <c r="DH259" s="641">
        <v>0</v>
      </c>
      <c r="DI259" s="214" t="s">
        <v>1190</v>
      </c>
    </row>
    <row r="260" spans="2:113" s="214" customFormat="1" x14ac:dyDescent="0.2">
      <c r="B260" s="609" t="s">
        <v>602</v>
      </c>
      <c r="C260" s="609" t="s">
        <v>601</v>
      </c>
      <c r="D260" s="239">
        <v>-37809</v>
      </c>
      <c r="E260" s="239">
        <v>0</v>
      </c>
      <c r="F260" s="239">
        <v>-37809</v>
      </c>
      <c r="G260" s="239">
        <v>0</v>
      </c>
      <c r="H260" s="239">
        <v>0</v>
      </c>
      <c r="I260" s="239">
        <v>0</v>
      </c>
      <c r="J260" s="239">
        <v>-37809</v>
      </c>
      <c r="K260" s="239">
        <v>0</v>
      </c>
      <c r="L260" s="239">
        <v>-37809</v>
      </c>
      <c r="M260" s="239">
        <v>161644</v>
      </c>
      <c r="N260" s="239">
        <v>161644</v>
      </c>
      <c r="O260" s="239">
        <v>0</v>
      </c>
      <c r="P260" s="239">
        <v>0</v>
      </c>
      <c r="Q260" s="239">
        <v>0</v>
      </c>
      <c r="R260" s="239">
        <v>0</v>
      </c>
      <c r="S260" s="239">
        <v>262168</v>
      </c>
      <c r="T260" s="239">
        <v>0</v>
      </c>
      <c r="U260" s="239">
        <v>262138</v>
      </c>
      <c r="V260" s="239">
        <v>0</v>
      </c>
      <c r="W260" s="239">
        <v>30</v>
      </c>
      <c r="X260" s="239">
        <v>0</v>
      </c>
      <c r="Y260" s="239">
        <v>0</v>
      </c>
      <c r="Z260" s="239">
        <v>0</v>
      </c>
      <c r="AA260" s="239">
        <v>0</v>
      </c>
      <c r="AB260" s="239">
        <v>0</v>
      </c>
      <c r="AC260" s="239">
        <v>0</v>
      </c>
      <c r="AD260" s="239">
        <v>0</v>
      </c>
      <c r="AE260" s="239">
        <v>0</v>
      </c>
      <c r="AF260" s="239">
        <v>0</v>
      </c>
      <c r="AG260" s="239">
        <v>0</v>
      </c>
      <c r="AH260" s="239">
        <v>0</v>
      </c>
      <c r="AI260" s="239">
        <v>0</v>
      </c>
      <c r="AJ260" s="239">
        <v>0</v>
      </c>
      <c r="AK260" s="239">
        <v>418890.56322314049</v>
      </c>
      <c r="AL260" s="239">
        <v>104722.64080578512</v>
      </c>
      <c r="AM260" s="239">
        <v>0</v>
      </c>
      <c r="AN260" s="239">
        <v>424406</v>
      </c>
      <c r="AO260" s="239">
        <v>106102</v>
      </c>
      <c r="AP260" s="239">
        <v>0</v>
      </c>
      <c r="AQ260" s="239">
        <v>-5515</v>
      </c>
      <c r="AR260" s="239">
        <v>-1379</v>
      </c>
      <c r="AS260" s="239">
        <v>0</v>
      </c>
      <c r="AT260" s="239">
        <v>-516.97024793388437</v>
      </c>
      <c r="AU260" s="239">
        <v>-129.24256198347109</v>
      </c>
      <c r="AV260" s="239">
        <v>0</v>
      </c>
      <c r="AW260" s="239">
        <v>3442</v>
      </c>
      <c r="AX260" s="239">
        <v>860</v>
      </c>
      <c r="AY260" s="239">
        <v>0</v>
      </c>
      <c r="AZ260" s="239">
        <v>-3959</v>
      </c>
      <c r="BA260" s="239">
        <v>-989</v>
      </c>
      <c r="BB260" s="239">
        <v>0</v>
      </c>
      <c r="BC260" s="239">
        <v>11023.152892561984</v>
      </c>
      <c r="BD260" s="239">
        <v>2755.788223140496</v>
      </c>
      <c r="BE260" s="239">
        <v>0</v>
      </c>
      <c r="BF260" s="239">
        <v>0</v>
      </c>
      <c r="BG260" s="239">
        <v>0</v>
      </c>
      <c r="BH260" s="239">
        <v>0</v>
      </c>
      <c r="BI260" s="239">
        <v>11023</v>
      </c>
      <c r="BJ260" s="239">
        <v>2756</v>
      </c>
      <c r="BK260" s="239">
        <v>0</v>
      </c>
      <c r="BL260" s="239">
        <v>-264.57190082644632</v>
      </c>
      <c r="BM260" s="239">
        <v>-66.142975206611581</v>
      </c>
      <c r="BN260" s="239">
        <v>0</v>
      </c>
      <c r="BO260" s="239">
        <v>0</v>
      </c>
      <c r="BP260" s="239">
        <v>0</v>
      </c>
      <c r="BQ260" s="239">
        <v>0</v>
      </c>
      <c r="BR260" s="239">
        <v>-265</v>
      </c>
      <c r="BS260" s="239">
        <v>-66</v>
      </c>
      <c r="BT260" s="239">
        <v>0</v>
      </c>
      <c r="BU260" s="239">
        <v>-3821.6842975206619</v>
      </c>
      <c r="BV260" s="239">
        <v>-955.42107438016546</v>
      </c>
      <c r="BW260" s="239">
        <v>0</v>
      </c>
      <c r="BX260" s="239">
        <v>0</v>
      </c>
      <c r="BY260" s="239">
        <v>0</v>
      </c>
      <c r="BZ260" s="239">
        <v>0</v>
      </c>
      <c r="CA260" s="239">
        <v>-3822</v>
      </c>
      <c r="CB260" s="239">
        <v>-955</v>
      </c>
      <c r="CC260" s="239">
        <v>0</v>
      </c>
      <c r="CD260" s="239">
        <v>0</v>
      </c>
      <c r="CE260" s="239">
        <v>0</v>
      </c>
      <c r="CF260" s="239">
        <v>0</v>
      </c>
      <c r="CG260" s="239">
        <v>0</v>
      </c>
      <c r="CH260" s="239">
        <v>0</v>
      </c>
      <c r="CI260" s="239">
        <v>0</v>
      </c>
      <c r="CJ260" s="239">
        <v>0</v>
      </c>
      <c r="CK260" s="239">
        <v>0</v>
      </c>
      <c r="CL260" s="239">
        <v>0</v>
      </c>
      <c r="CM260" s="239">
        <v>3199.6157024793392</v>
      </c>
      <c r="CN260" s="239">
        <v>799.90392561983481</v>
      </c>
      <c r="CO260" s="239">
        <v>0</v>
      </c>
      <c r="CP260" s="239">
        <v>0</v>
      </c>
      <c r="CQ260" s="239">
        <v>0</v>
      </c>
      <c r="CR260" s="239">
        <v>0</v>
      </c>
      <c r="CS260" s="239">
        <v>3200</v>
      </c>
      <c r="CT260" s="239">
        <v>800</v>
      </c>
      <c r="CU260" s="239">
        <v>0</v>
      </c>
      <c r="CV260" s="239">
        <v>284489.68429752073</v>
      </c>
      <c r="CW260" s="239">
        <v>70174.499586776874</v>
      </c>
      <c r="CX260" s="239">
        <v>0</v>
      </c>
      <c r="CY260" s="239">
        <v>277231</v>
      </c>
      <c r="CZ260" s="239">
        <v>68360</v>
      </c>
      <c r="DA260" s="239">
        <v>0</v>
      </c>
      <c r="DB260" s="239">
        <v>7259</v>
      </c>
      <c r="DC260" s="239">
        <v>1814</v>
      </c>
      <c r="DD260" s="239">
        <v>0</v>
      </c>
      <c r="DE260" s="641">
        <v>0.5</v>
      </c>
      <c r="DF260" s="641">
        <v>0.4</v>
      </c>
      <c r="DG260" s="641">
        <v>0.1</v>
      </c>
      <c r="DH260" s="641">
        <v>0</v>
      </c>
      <c r="DI260" s="214" t="s">
        <v>1190</v>
      </c>
    </row>
    <row r="261" spans="2:113" s="214" customFormat="1" x14ac:dyDescent="0.2">
      <c r="B261" s="609" t="s">
        <v>604</v>
      </c>
      <c r="C261" s="609" t="s">
        <v>603</v>
      </c>
      <c r="D261" s="239">
        <v>-75292</v>
      </c>
      <c r="E261" s="239">
        <v>0</v>
      </c>
      <c r="F261" s="239">
        <v>-75292</v>
      </c>
      <c r="G261" s="239">
        <v>0</v>
      </c>
      <c r="H261" s="239">
        <v>0</v>
      </c>
      <c r="I261" s="239">
        <v>0</v>
      </c>
      <c r="J261" s="239">
        <v>-75292</v>
      </c>
      <c r="K261" s="239">
        <v>0</v>
      </c>
      <c r="L261" s="239">
        <v>-75292</v>
      </c>
      <c r="M261" s="239">
        <v>197099</v>
      </c>
      <c r="N261" s="239">
        <v>197099</v>
      </c>
      <c r="O261" s="239">
        <v>0</v>
      </c>
      <c r="P261" s="239">
        <v>0</v>
      </c>
      <c r="Q261" s="239">
        <v>0</v>
      </c>
      <c r="R261" s="239">
        <v>0</v>
      </c>
      <c r="S261" s="239">
        <v>0</v>
      </c>
      <c r="T261" s="239">
        <v>0</v>
      </c>
      <c r="U261" s="239">
        <v>0</v>
      </c>
      <c r="V261" s="239">
        <v>0</v>
      </c>
      <c r="W261" s="239">
        <v>0</v>
      </c>
      <c r="X261" s="239">
        <v>0</v>
      </c>
      <c r="Y261" s="239">
        <v>0</v>
      </c>
      <c r="Z261" s="239">
        <v>0</v>
      </c>
      <c r="AA261" s="239">
        <v>0</v>
      </c>
      <c r="AB261" s="239">
        <v>0</v>
      </c>
      <c r="AC261" s="239">
        <v>0</v>
      </c>
      <c r="AD261" s="239">
        <v>0</v>
      </c>
      <c r="AE261" s="239">
        <v>0</v>
      </c>
      <c r="AF261" s="239">
        <v>0</v>
      </c>
      <c r="AG261" s="239">
        <v>0</v>
      </c>
      <c r="AH261" s="239">
        <v>0</v>
      </c>
      <c r="AI261" s="239">
        <v>0</v>
      </c>
      <c r="AJ261" s="239">
        <v>0</v>
      </c>
      <c r="AK261" s="239">
        <v>879646.00304752064</v>
      </c>
      <c r="AL261" s="239">
        <v>0</v>
      </c>
      <c r="AM261" s="239">
        <v>17951.959245867769</v>
      </c>
      <c r="AN261" s="239">
        <v>808080</v>
      </c>
      <c r="AO261" s="239">
        <v>0</v>
      </c>
      <c r="AP261" s="239">
        <v>16491</v>
      </c>
      <c r="AQ261" s="239">
        <v>71566</v>
      </c>
      <c r="AR261" s="239">
        <v>0</v>
      </c>
      <c r="AS261" s="239">
        <v>1461</v>
      </c>
      <c r="AT261" s="239">
        <v>5088.1802479338839</v>
      </c>
      <c r="AU261" s="239">
        <v>0</v>
      </c>
      <c r="AV261" s="239">
        <v>103.84041322314049</v>
      </c>
      <c r="AW261" s="239">
        <v>4290</v>
      </c>
      <c r="AX261" s="239">
        <v>0</v>
      </c>
      <c r="AY261" s="239">
        <v>88</v>
      </c>
      <c r="AZ261" s="239">
        <v>798</v>
      </c>
      <c r="BA261" s="239">
        <v>0</v>
      </c>
      <c r="BB261" s="239">
        <v>16</v>
      </c>
      <c r="BC261" s="239">
        <v>0</v>
      </c>
      <c r="BD261" s="239">
        <v>0</v>
      </c>
      <c r="BE261" s="239">
        <v>0</v>
      </c>
      <c r="BF261" s="239">
        <v>0</v>
      </c>
      <c r="BG261" s="239">
        <v>0</v>
      </c>
      <c r="BH261" s="239">
        <v>0</v>
      </c>
      <c r="BI261" s="239">
        <v>0</v>
      </c>
      <c r="BJ261" s="239">
        <v>0</v>
      </c>
      <c r="BK261" s="239">
        <v>0</v>
      </c>
      <c r="BL261" s="239">
        <v>13024.170640495868</v>
      </c>
      <c r="BM261" s="239">
        <v>0</v>
      </c>
      <c r="BN261" s="239">
        <v>265.79940082644629</v>
      </c>
      <c r="BO261" s="239">
        <v>15635</v>
      </c>
      <c r="BP261" s="239">
        <v>0</v>
      </c>
      <c r="BQ261" s="239">
        <v>319</v>
      </c>
      <c r="BR261" s="239">
        <v>-2611</v>
      </c>
      <c r="BS261" s="239">
        <v>0</v>
      </c>
      <c r="BT261" s="239">
        <v>-53</v>
      </c>
      <c r="BU261" s="239">
        <v>5646.4086983471079</v>
      </c>
      <c r="BV261" s="239">
        <v>0</v>
      </c>
      <c r="BW261" s="239">
        <v>115.23283057851241</v>
      </c>
      <c r="BX261" s="239">
        <v>0</v>
      </c>
      <c r="BY261" s="239">
        <v>0</v>
      </c>
      <c r="BZ261" s="239">
        <v>0</v>
      </c>
      <c r="CA261" s="239">
        <v>5646</v>
      </c>
      <c r="CB261" s="239">
        <v>0</v>
      </c>
      <c r="CC261" s="239">
        <v>115</v>
      </c>
      <c r="CD261" s="239">
        <v>741.65347107438015</v>
      </c>
      <c r="CE261" s="239">
        <v>0</v>
      </c>
      <c r="CF261" s="239">
        <v>15.135785123966942</v>
      </c>
      <c r="CG261" s="239">
        <v>0</v>
      </c>
      <c r="CH261" s="239">
        <v>0</v>
      </c>
      <c r="CI261" s="239">
        <v>0</v>
      </c>
      <c r="CJ261" s="239">
        <v>742</v>
      </c>
      <c r="CK261" s="239">
        <v>0</v>
      </c>
      <c r="CL261" s="239">
        <v>15</v>
      </c>
      <c r="CM261" s="239">
        <v>1243.7111157024792</v>
      </c>
      <c r="CN261" s="239">
        <v>0</v>
      </c>
      <c r="CO261" s="239">
        <v>25.38185950413223</v>
      </c>
      <c r="CP261" s="239">
        <v>1209</v>
      </c>
      <c r="CQ261" s="239">
        <v>0</v>
      </c>
      <c r="CR261" s="239">
        <v>25</v>
      </c>
      <c r="CS261" s="239">
        <v>35</v>
      </c>
      <c r="CT261" s="239">
        <v>0</v>
      </c>
      <c r="CU261" s="239">
        <v>0</v>
      </c>
      <c r="CV261" s="239">
        <v>356776.02097107441</v>
      </c>
      <c r="CW261" s="239">
        <v>0</v>
      </c>
      <c r="CX261" s="239">
        <v>7281.143285123967</v>
      </c>
      <c r="CY261" s="239">
        <v>352747</v>
      </c>
      <c r="CZ261" s="239">
        <v>0</v>
      </c>
      <c r="DA261" s="239">
        <v>7199</v>
      </c>
      <c r="DB261" s="239">
        <v>4029</v>
      </c>
      <c r="DC261" s="239">
        <v>0</v>
      </c>
      <c r="DD261" s="239">
        <v>82</v>
      </c>
      <c r="DE261" s="641">
        <v>0.5</v>
      </c>
      <c r="DF261" s="641">
        <v>0.49</v>
      </c>
      <c r="DG261" s="641">
        <v>0</v>
      </c>
      <c r="DH261" s="641">
        <v>0.01</v>
      </c>
      <c r="DI261" s="214" t="s">
        <v>1192</v>
      </c>
    </row>
    <row r="262" spans="2:113" s="214" customFormat="1" x14ac:dyDescent="0.2">
      <c r="B262" s="609" t="s">
        <v>606</v>
      </c>
      <c r="C262" s="609" t="s">
        <v>605</v>
      </c>
      <c r="D262" s="239">
        <v>0</v>
      </c>
      <c r="E262" s="239">
        <v>0</v>
      </c>
      <c r="F262" s="239">
        <v>0</v>
      </c>
      <c r="G262" s="239">
        <v>0</v>
      </c>
      <c r="H262" s="239">
        <v>0</v>
      </c>
      <c r="I262" s="239">
        <v>0</v>
      </c>
      <c r="J262" s="239">
        <v>0</v>
      </c>
      <c r="K262" s="239">
        <v>0</v>
      </c>
      <c r="L262" s="239">
        <v>0</v>
      </c>
      <c r="M262" s="239">
        <v>170009</v>
      </c>
      <c r="N262" s="239">
        <v>170009</v>
      </c>
      <c r="O262" s="239">
        <v>0</v>
      </c>
      <c r="P262" s="239">
        <v>0</v>
      </c>
      <c r="Q262" s="239">
        <v>0</v>
      </c>
      <c r="R262" s="239">
        <v>0</v>
      </c>
      <c r="S262" s="239">
        <v>0</v>
      </c>
      <c r="T262" s="239">
        <v>0</v>
      </c>
      <c r="U262" s="239">
        <v>0</v>
      </c>
      <c r="V262" s="239">
        <v>0</v>
      </c>
      <c r="W262" s="239">
        <v>0</v>
      </c>
      <c r="X262" s="239">
        <v>0</v>
      </c>
      <c r="Y262" s="239">
        <v>0</v>
      </c>
      <c r="Z262" s="239">
        <v>0</v>
      </c>
      <c r="AA262" s="239">
        <v>0</v>
      </c>
      <c r="AB262" s="239">
        <v>0</v>
      </c>
      <c r="AC262" s="239">
        <v>0</v>
      </c>
      <c r="AD262" s="239">
        <v>0</v>
      </c>
      <c r="AE262" s="239">
        <v>0</v>
      </c>
      <c r="AF262" s="239">
        <v>0</v>
      </c>
      <c r="AG262" s="239">
        <v>0</v>
      </c>
      <c r="AH262" s="239">
        <v>0</v>
      </c>
      <c r="AI262" s="239">
        <v>0</v>
      </c>
      <c r="AJ262" s="239">
        <v>0</v>
      </c>
      <c r="AK262" s="239">
        <v>523016.6491735538</v>
      </c>
      <c r="AL262" s="239">
        <v>117678.74606404958</v>
      </c>
      <c r="AM262" s="239">
        <v>13075.416229338844</v>
      </c>
      <c r="AN262" s="239">
        <v>508190</v>
      </c>
      <c r="AO262" s="239">
        <v>114343</v>
      </c>
      <c r="AP262" s="239">
        <v>12705</v>
      </c>
      <c r="AQ262" s="239">
        <v>14827</v>
      </c>
      <c r="AR262" s="239">
        <v>3336</v>
      </c>
      <c r="AS262" s="239">
        <v>370</v>
      </c>
      <c r="AT262" s="239">
        <v>0</v>
      </c>
      <c r="AU262" s="239">
        <v>0</v>
      </c>
      <c r="AV262" s="239">
        <v>0</v>
      </c>
      <c r="AW262" s="239">
        <v>0</v>
      </c>
      <c r="AX262" s="239">
        <v>0</v>
      </c>
      <c r="AY262" s="239">
        <v>0</v>
      </c>
      <c r="AZ262" s="239">
        <v>0</v>
      </c>
      <c r="BA262" s="239">
        <v>0</v>
      </c>
      <c r="BB262" s="239">
        <v>0</v>
      </c>
      <c r="BC262" s="239">
        <v>0</v>
      </c>
      <c r="BD262" s="239">
        <v>0</v>
      </c>
      <c r="BE262" s="239">
        <v>0</v>
      </c>
      <c r="BF262" s="239">
        <v>0</v>
      </c>
      <c r="BG262" s="239">
        <v>0</v>
      </c>
      <c r="BH262" s="239">
        <v>0</v>
      </c>
      <c r="BI262" s="239">
        <v>0</v>
      </c>
      <c r="BJ262" s="239">
        <v>0</v>
      </c>
      <c r="BK262" s="239">
        <v>0</v>
      </c>
      <c r="BL262" s="239">
        <v>9921.446280991735</v>
      </c>
      <c r="BM262" s="239">
        <v>2232.3254132231405</v>
      </c>
      <c r="BN262" s="239">
        <v>248.03615702479337</v>
      </c>
      <c r="BO262" s="239">
        <v>1571</v>
      </c>
      <c r="BP262" s="239">
        <v>354</v>
      </c>
      <c r="BQ262" s="239">
        <v>39</v>
      </c>
      <c r="BR262" s="239">
        <v>8350</v>
      </c>
      <c r="BS262" s="239">
        <v>1878</v>
      </c>
      <c r="BT262" s="239">
        <v>209</v>
      </c>
      <c r="BU262" s="239">
        <v>172.45867768595042</v>
      </c>
      <c r="BV262" s="239">
        <v>38.803202479338843</v>
      </c>
      <c r="BW262" s="239">
        <v>4.311466942148761</v>
      </c>
      <c r="BX262" s="239">
        <v>0</v>
      </c>
      <c r="BY262" s="239">
        <v>0</v>
      </c>
      <c r="BZ262" s="239">
        <v>0</v>
      </c>
      <c r="CA262" s="239">
        <v>172</v>
      </c>
      <c r="CB262" s="239">
        <v>39</v>
      </c>
      <c r="CC262" s="239">
        <v>4</v>
      </c>
      <c r="CD262" s="239">
        <v>0</v>
      </c>
      <c r="CE262" s="239">
        <v>0</v>
      </c>
      <c r="CF262" s="239">
        <v>0</v>
      </c>
      <c r="CG262" s="239">
        <v>0</v>
      </c>
      <c r="CH262" s="239">
        <v>0</v>
      </c>
      <c r="CI262" s="239">
        <v>0</v>
      </c>
      <c r="CJ262" s="239">
        <v>0</v>
      </c>
      <c r="CK262" s="239">
        <v>0</v>
      </c>
      <c r="CL262" s="239">
        <v>0</v>
      </c>
      <c r="CM262" s="239">
        <v>3378.1611570247933</v>
      </c>
      <c r="CN262" s="239">
        <v>760.0862603305784</v>
      </c>
      <c r="CO262" s="239">
        <v>84.454028925619838</v>
      </c>
      <c r="CP262" s="239">
        <v>4689</v>
      </c>
      <c r="CQ262" s="239">
        <v>1055</v>
      </c>
      <c r="CR262" s="239">
        <v>117</v>
      </c>
      <c r="CS262" s="239">
        <v>-1311</v>
      </c>
      <c r="CT262" s="239">
        <v>-295</v>
      </c>
      <c r="CU262" s="239">
        <v>-33</v>
      </c>
      <c r="CV262" s="239">
        <v>270389.30661157024</v>
      </c>
      <c r="CW262" s="239">
        <v>60837.593987603308</v>
      </c>
      <c r="CX262" s="239">
        <v>6759.7326652892561</v>
      </c>
      <c r="CY262" s="239">
        <v>267894</v>
      </c>
      <c r="CZ262" s="239">
        <v>60276</v>
      </c>
      <c r="DA262" s="239">
        <v>6697</v>
      </c>
      <c r="DB262" s="239">
        <v>2495</v>
      </c>
      <c r="DC262" s="239">
        <v>562</v>
      </c>
      <c r="DD262" s="239">
        <v>63</v>
      </c>
      <c r="DE262" s="641">
        <v>0.5</v>
      </c>
      <c r="DF262" s="641">
        <v>0.4</v>
      </c>
      <c r="DG262" s="641">
        <v>0.09</v>
      </c>
      <c r="DH262" s="641">
        <v>0.01</v>
      </c>
      <c r="DI262" s="214" t="s">
        <v>1190</v>
      </c>
    </row>
    <row r="263" spans="2:113" s="214" customFormat="1" x14ac:dyDescent="0.2">
      <c r="B263" s="609" t="s">
        <v>608</v>
      </c>
      <c r="C263" s="609" t="s">
        <v>607</v>
      </c>
      <c r="D263" s="239">
        <v>-17684</v>
      </c>
      <c r="E263" s="239">
        <v>0</v>
      </c>
      <c r="F263" s="239">
        <v>-17684</v>
      </c>
      <c r="G263" s="239">
        <v>0</v>
      </c>
      <c r="H263" s="239">
        <v>0</v>
      </c>
      <c r="I263" s="239">
        <v>0</v>
      </c>
      <c r="J263" s="239">
        <v>-17684</v>
      </c>
      <c r="K263" s="239">
        <v>0</v>
      </c>
      <c r="L263" s="239">
        <v>-17684</v>
      </c>
      <c r="M263" s="239">
        <v>115447</v>
      </c>
      <c r="N263" s="239">
        <v>115447</v>
      </c>
      <c r="O263" s="239">
        <v>0</v>
      </c>
      <c r="P263" s="239">
        <v>0</v>
      </c>
      <c r="Q263" s="239">
        <v>0</v>
      </c>
      <c r="R263" s="239">
        <v>0</v>
      </c>
      <c r="S263" s="239">
        <v>0</v>
      </c>
      <c r="T263" s="239">
        <v>0</v>
      </c>
      <c r="U263" s="239">
        <v>0</v>
      </c>
      <c r="V263" s="239">
        <v>0</v>
      </c>
      <c r="W263" s="239">
        <v>0</v>
      </c>
      <c r="X263" s="239">
        <v>0</v>
      </c>
      <c r="Y263" s="239">
        <v>0</v>
      </c>
      <c r="Z263" s="239">
        <v>0</v>
      </c>
      <c r="AA263" s="239">
        <v>0</v>
      </c>
      <c r="AB263" s="239">
        <v>0</v>
      </c>
      <c r="AC263" s="239">
        <v>0</v>
      </c>
      <c r="AD263" s="239">
        <v>0</v>
      </c>
      <c r="AE263" s="239">
        <v>0</v>
      </c>
      <c r="AF263" s="239">
        <v>0</v>
      </c>
      <c r="AG263" s="239">
        <v>0</v>
      </c>
      <c r="AH263" s="239">
        <v>0</v>
      </c>
      <c r="AI263" s="239">
        <v>0</v>
      </c>
      <c r="AJ263" s="239">
        <v>0</v>
      </c>
      <c r="AK263" s="239">
        <v>516521.4495867769</v>
      </c>
      <c r="AL263" s="239">
        <v>116217.32615702479</v>
      </c>
      <c r="AM263" s="239">
        <v>12913.036239669422</v>
      </c>
      <c r="AN263" s="239">
        <v>470782</v>
      </c>
      <c r="AO263" s="239">
        <v>105926</v>
      </c>
      <c r="AP263" s="239">
        <v>11770</v>
      </c>
      <c r="AQ263" s="239">
        <v>45739</v>
      </c>
      <c r="AR263" s="239">
        <v>10291</v>
      </c>
      <c r="AS263" s="239">
        <v>1143</v>
      </c>
      <c r="AT263" s="239">
        <v>0</v>
      </c>
      <c r="AU263" s="239">
        <v>0</v>
      </c>
      <c r="AV263" s="239">
        <v>0</v>
      </c>
      <c r="AW263" s="239">
        <v>0</v>
      </c>
      <c r="AX263" s="239">
        <v>0</v>
      </c>
      <c r="AY263" s="239">
        <v>0</v>
      </c>
      <c r="AZ263" s="239">
        <v>0</v>
      </c>
      <c r="BA263" s="239">
        <v>0</v>
      </c>
      <c r="BB263" s="239">
        <v>0</v>
      </c>
      <c r="BC263" s="239">
        <v>4733.077685950414</v>
      </c>
      <c r="BD263" s="239">
        <v>1064.942479338843</v>
      </c>
      <c r="BE263" s="239">
        <v>118.32694214876034</v>
      </c>
      <c r="BF263" s="239">
        <v>0</v>
      </c>
      <c r="BG263" s="239">
        <v>0</v>
      </c>
      <c r="BH263" s="239">
        <v>0</v>
      </c>
      <c r="BI263" s="239">
        <v>4733</v>
      </c>
      <c r="BJ263" s="239">
        <v>1065</v>
      </c>
      <c r="BK263" s="239">
        <v>118</v>
      </c>
      <c r="BL263" s="239">
        <v>4672.6157024793383</v>
      </c>
      <c r="BM263" s="239">
        <v>1051.3385330578512</v>
      </c>
      <c r="BN263" s="239">
        <v>116.81539256198346</v>
      </c>
      <c r="BO263" s="239">
        <v>5291</v>
      </c>
      <c r="BP263" s="239">
        <v>1190</v>
      </c>
      <c r="BQ263" s="239">
        <v>132</v>
      </c>
      <c r="BR263" s="239">
        <v>-618</v>
      </c>
      <c r="BS263" s="239">
        <v>-139</v>
      </c>
      <c r="BT263" s="239">
        <v>-15</v>
      </c>
      <c r="BU263" s="239">
        <v>-1143.9082644628099</v>
      </c>
      <c r="BV263" s="239">
        <v>-257.3793595041322</v>
      </c>
      <c r="BW263" s="239">
        <v>-28.597706611570249</v>
      </c>
      <c r="BX263" s="239">
        <v>0</v>
      </c>
      <c r="BY263" s="239">
        <v>0</v>
      </c>
      <c r="BZ263" s="239">
        <v>0</v>
      </c>
      <c r="CA263" s="239">
        <v>-1144</v>
      </c>
      <c r="CB263" s="239">
        <v>-257</v>
      </c>
      <c r="CC263" s="239">
        <v>-29</v>
      </c>
      <c r="CD263" s="239">
        <v>0</v>
      </c>
      <c r="CE263" s="239">
        <v>0</v>
      </c>
      <c r="CF263" s="239">
        <v>0</v>
      </c>
      <c r="CG263" s="239">
        <v>0</v>
      </c>
      <c r="CH263" s="239">
        <v>0</v>
      </c>
      <c r="CI263" s="239">
        <v>0</v>
      </c>
      <c r="CJ263" s="239">
        <v>0</v>
      </c>
      <c r="CK263" s="239">
        <v>0</v>
      </c>
      <c r="CL263" s="239">
        <v>0</v>
      </c>
      <c r="CM263" s="239">
        <v>1538.3314049586779</v>
      </c>
      <c r="CN263" s="239">
        <v>346.12456611570246</v>
      </c>
      <c r="CO263" s="239">
        <v>38.458285123966945</v>
      </c>
      <c r="CP263" s="239">
        <v>14079</v>
      </c>
      <c r="CQ263" s="239">
        <v>3168</v>
      </c>
      <c r="CR263" s="239">
        <v>352</v>
      </c>
      <c r="CS263" s="239">
        <v>-12541</v>
      </c>
      <c r="CT263" s="239">
        <v>-2822</v>
      </c>
      <c r="CU263" s="239">
        <v>-314</v>
      </c>
      <c r="CV263" s="239">
        <v>107257.44793388431</v>
      </c>
      <c r="CW263" s="239">
        <v>24132.925785123967</v>
      </c>
      <c r="CX263" s="239">
        <v>2681.4361983471076</v>
      </c>
      <c r="CY263" s="239">
        <v>107730</v>
      </c>
      <c r="CZ263" s="239">
        <v>24239</v>
      </c>
      <c r="DA263" s="239">
        <v>2693</v>
      </c>
      <c r="DB263" s="239">
        <v>-473</v>
      </c>
      <c r="DC263" s="239">
        <v>-106</v>
      </c>
      <c r="DD263" s="239">
        <v>-12</v>
      </c>
      <c r="DE263" s="641">
        <v>0.5</v>
      </c>
      <c r="DF263" s="641">
        <v>0.4</v>
      </c>
      <c r="DG263" s="641">
        <v>0.09</v>
      </c>
      <c r="DH263" s="641">
        <v>0.01</v>
      </c>
      <c r="DI263" s="214" t="s">
        <v>1190</v>
      </c>
    </row>
    <row r="264" spans="2:113" s="214" customFormat="1" x14ac:dyDescent="0.2">
      <c r="B264" s="609" t="s">
        <v>610</v>
      </c>
      <c r="C264" s="609" t="s">
        <v>609</v>
      </c>
      <c r="D264" s="239">
        <v>-174763</v>
      </c>
      <c r="E264" s="239">
        <v>0</v>
      </c>
      <c r="F264" s="239">
        <v>-174763</v>
      </c>
      <c r="G264" s="239">
        <v>0</v>
      </c>
      <c r="H264" s="239">
        <v>0</v>
      </c>
      <c r="I264" s="239">
        <v>0</v>
      </c>
      <c r="J264" s="239">
        <v>-174763</v>
      </c>
      <c r="K264" s="239">
        <v>0</v>
      </c>
      <c r="L264" s="239">
        <v>-174763</v>
      </c>
      <c r="M264" s="239">
        <v>112692</v>
      </c>
      <c r="N264" s="239">
        <v>112692</v>
      </c>
      <c r="O264" s="239">
        <v>0</v>
      </c>
      <c r="P264" s="239">
        <v>0</v>
      </c>
      <c r="Q264" s="239">
        <v>0</v>
      </c>
      <c r="R264" s="239">
        <v>0</v>
      </c>
      <c r="S264" s="239">
        <v>0</v>
      </c>
      <c r="T264" s="239">
        <v>0</v>
      </c>
      <c r="U264" s="239">
        <v>0</v>
      </c>
      <c r="V264" s="239">
        <v>0</v>
      </c>
      <c r="W264" s="239">
        <v>0</v>
      </c>
      <c r="X264" s="239">
        <v>0</v>
      </c>
      <c r="Y264" s="239">
        <v>0</v>
      </c>
      <c r="Z264" s="239">
        <v>0</v>
      </c>
      <c r="AA264" s="239">
        <v>0</v>
      </c>
      <c r="AB264" s="239">
        <v>0</v>
      </c>
      <c r="AC264" s="239">
        <v>0</v>
      </c>
      <c r="AD264" s="239">
        <v>0</v>
      </c>
      <c r="AE264" s="239">
        <v>0</v>
      </c>
      <c r="AF264" s="239">
        <v>0</v>
      </c>
      <c r="AG264" s="239">
        <v>0</v>
      </c>
      <c r="AH264" s="239">
        <v>0</v>
      </c>
      <c r="AI264" s="239">
        <v>0</v>
      </c>
      <c r="AJ264" s="239">
        <v>0</v>
      </c>
      <c r="AK264" s="239">
        <v>199390.02768595042</v>
      </c>
      <c r="AL264" s="239">
        <v>49847.506921487606</v>
      </c>
      <c r="AM264" s="239">
        <v>0</v>
      </c>
      <c r="AN264" s="239">
        <v>190630</v>
      </c>
      <c r="AO264" s="239">
        <v>47657</v>
      </c>
      <c r="AP264" s="239">
        <v>0</v>
      </c>
      <c r="AQ264" s="239">
        <v>8760</v>
      </c>
      <c r="AR264" s="239">
        <v>2191</v>
      </c>
      <c r="AS264" s="239">
        <v>0</v>
      </c>
      <c r="AT264" s="239">
        <v>0</v>
      </c>
      <c r="AU264" s="239">
        <v>0</v>
      </c>
      <c r="AV264" s="239">
        <v>0</v>
      </c>
      <c r="AW264" s="239">
        <v>0</v>
      </c>
      <c r="AX264" s="239">
        <v>0</v>
      </c>
      <c r="AY264" s="239">
        <v>0</v>
      </c>
      <c r="AZ264" s="239">
        <v>0</v>
      </c>
      <c r="BA264" s="239">
        <v>0</v>
      </c>
      <c r="BB264" s="239">
        <v>0</v>
      </c>
      <c r="BC264" s="239">
        <v>31031.605785123971</v>
      </c>
      <c r="BD264" s="239">
        <v>7757.9014462809928</v>
      </c>
      <c r="BE264" s="239">
        <v>0</v>
      </c>
      <c r="BF264" s="239">
        <v>62116</v>
      </c>
      <c r="BG264" s="239">
        <v>15529</v>
      </c>
      <c r="BH264" s="239">
        <v>0</v>
      </c>
      <c r="BI264" s="239">
        <v>-31084</v>
      </c>
      <c r="BJ264" s="239">
        <v>-7771</v>
      </c>
      <c r="BK264" s="239">
        <v>0</v>
      </c>
      <c r="BL264" s="239">
        <v>9098.1082644628095</v>
      </c>
      <c r="BM264" s="239">
        <v>2274.5270661157024</v>
      </c>
      <c r="BN264" s="239">
        <v>0</v>
      </c>
      <c r="BO264" s="239">
        <v>15592</v>
      </c>
      <c r="BP264" s="239">
        <v>3898</v>
      </c>
      <c r="BQ264" s="239">
        <v>0</v>
      </c>
      <c r="BR264" s="239">
        <v>-6494</v>
      </c>
      <c r="BS264" s="239">
        <v>-1623</v>
      </c>
      <c r="BT264" s="239">
        <v>0</v>
      </c>
      <c r="BU264" s="239">
        <v>4749.7148760330583</v>
      </c>
      <c r="BV264" s="239">
        <v>1187.4287190082646</v>
      </c>
      <c r="BW264" s="239">
        <v>0</v>
      </c>
      <c r="BX264" s="239">
        <v>0</v>
      </c>
      <c r="BY264" s="239">
        <v>0</v>
      </c>
      <c r="BZ264" s="239">
        <v>0</v>
      </c>
      <c r="CA264" s="239">
        <v>4750</v>
      </c>
      <c r="CB264" s="239">
        <v>1187</v>
      </c>
      <c r="CC264" s="239">
        <v>0</v>
      </c>
      <c r="CD264" s="239">
        <v>0</v>
      </c>
      <c r="CE264" s="239">
        <v>0</v>
      </c>
      <c r="CF264" s="239">
        <v>0</v>
      </c>
      <c r="CG264" s="239">
        <v>0</v>
      </c>
      <c r="CH264" s="239">
        <v>0</v>
      </c>
      <c r="CI264" s="239">
        <v>0</v>
      </c>
      <c r="CJ264" s="239">
        <v>0</v>
      </c>
      <c r="CK264" s="239">
        <v>0</v>
      </c>
      <c r="CL264" s="239">
        <v>0</v>
      </c>
      <c r="CM264" s="239">
        <v>1854.4380165289258</v>
      </c>
      <c r="CN264" s="239">
        <v>463.60950413223145</v>
      </c>
      <c r="CO264" s="239">
        <v>0</v>
      </c>
      <c r="CP264" s="239">
        <v>1623</v>
      </c>
      <c r="CQ264" s="239">
        <v>406</v>
      </c>
      <c r="CR264" s="239">
        <v>0</v>
      </c>
      <c r="CS264" s="239">
        <v>231</v>
      </c>
      <c r="CT264" s="239">
        <v>58</v>
      </c>
      <c r="CU264" s="239">
        <v>0</v>
      </c>
      <c r="CV264" s="239">
        <v>272951.8851239669</v>
      </c>
      <c r="CW264" s="239">
        <v>68237.971280991726</v>
      </c>
      <c r="CX264" s="239">
        <v>0</v>
      </c>
      <c r="CY264" s="239">
        <v>266943</v>
      </c>
      <c r="CZ264" s="239">
        <v>66736</v>
      </c>
      <c r="DA264" s="239">
        <v>0</v>
      </c>
      <c r="DB264" s="239">
        <v>6009</v>
      </c>
      <c r="DC264" s="239">
        <v>1502</v>
      </c>
      <c r="DD264" s="239">
        <v>0</v>
      </c>
      <c r="DE264" s="641">
        <v>0.5</v>
      </c>
      <c r="DF264" s="641">
        <v>0.4</v>
      </c>
      <c r="DG264" s="641">
        <v>0.1</v>
      </c>
      <c r="DH264" s="641">
        <v>0</v>
      </c>
      <c r="DI264" s="214" t="s">
        <v>1190</v>
      </c>
    </row>
    <row r="265" spans="2:113" s="214" customFormat="1" x14ac:dyDescent="0.2">
      <c r="B265" s="609" t="s">
        <v>612</v>
      </c>
      <c r="C265" s="609" t="s">
        <v>611</v>
      </c>
      <c r="D265" s="239">
        <v>-81149</v>
      </c>
      <c r="E265" s="239">
        <v>0</v>
      </c>
      <c r="F265" s="239">
        <v>-81149</v>
      </c>
      <c r="G265" s="239">
        <v>0</v>
      </c>
      <c r="H265" s="239">
        <v>0</v>
      </c>
      <c r="I265" s="239">
        <v>0</v>
      </c>
      <c r="J265" s="239">
        <v>-81149</v>
      </c>
      <c r="K265" s="239">
        <v>0</v>
      </c>
      <c r="L265" s="239">
        <v>-81149</v>
      </c>
      <c r="M265" s="239">
        <v>437845</v>
      </c>
      <c r="N265" s="239">
        <v>437845</v>
      </c>
      <c r="O265" s="239">
        <v>0</v>
      </c>
      <c r="P265" s="239">
        <v>0</v>
      </c>
      <c r="Q265" s="239">
        <v>0</v>
      </c>
      <c r="R265" s="239">
        <v>0</v>
      </c>
      <c r="S265" s="239">
        <v>0</v>
      </c>
      <c r="T265" s="239">
        <v>0</v>
      </c>
      <c r="U265" s="239">
        <v>0</v>
      </c>
      <c r="V265" s="239">
        <v>0</v>
      </c>
      <c r="W265" s="239">
        <v>0</v>
      </c>
      <c r="X265" s="239">
        <v>0</v>
      </c>
      <c r="Y265" s="239">
        <v>0</v>
      </c>
      <c r="Z265" s="239">
        <v>0</v>
      </c>
      <c r="AA265" s="239">
        <v>0</v>
      </c>
      <c r="AB265" s="239">
        <v>0</v>
      </c>
      <c r="AC265" s="239">
        <v>0</v>
      </c>
      <c r="AD265" s="239">
        <v>0</v>
      </c>
      <c r="AE265" s="239">
        <v>0</v>
      </c>
      <c r="AF265" s="239">
        <v>0</v>
      </c>
      <c r="AG265" s="239">
        <v>0</v>
      </c>
      <c r="AH265" s="239">
        <v>0</v>
      </c>
      <c r="AI265" s="239">
        <v>0</v>
      </c>
      <c r="AJ265" s="239">
        <v>0</v>
      </c>
      <c r="AK265" s="239">
        <v>1958930.0090702479</v>
      </c>
      <c r="AL265" s="239">
        <v>0</v>
      </c>
      <c r="AM265" s="239">
        <v>39978.163450413223</v>
      </c>
      <c r="AN265" s="239">
        <v>1801477</v>
      </c>
      <c r="AO265" s="239">
        <v>0</v>
      </c>
      <c r="AP265" s="239">
        <v>36765</v>
      </c>
      <c r="AQ265" s="239">
        <v>157453</v>
      </c>
      <c r="AR265" s="239">
        <v>0</v>
      </c>
      <c r="AS265" s="239">
        <v>3213</v>
      </c>
      <c r="AT265" s="239">
        <v>-1623.4854132231412</v>
      </c>
      <c r="AU265" s="239">
        <v>0</v>
      </c>
      <c r="AV265" s="239">
        <v>-33.132355371900843</v>
      </c>
      <c r="AW265" s="239">
        <v>2965</v>
      </c>
      <c r="AX265" s="239">
        <v>0</v>
      </c>
      <c r="AY265" s="239">
        <v>60</v>
      </c>
      <c r="AZ265" s="239">
        <v>-4588</v>
      </c>
      <c r="BA265" s="239">
        <v>0</v>
      </c>
      <c r="BB265" s="239">
        <v>-93</v>
      </c>
      <c r="BC265" s="239">
        <v>4038.3329752066115</v>
      </c>
      <c r="BD265" s="239">
        <v>0</v>
      </c>
      <c r="BE265" s="239">
        <v>82.414958677685945</v>
      </c>
      <c r="BF265" s="239">
        <v>10710</v>
      </c>
      <c r="BG265" s="239">
        <v>0</v>
      </c>
      <c r="BH265" s="239">
        <v>219</v>
      </c>
      <c r="BI265" s="239">
        <v>-6672</v>
      </c>
      <c r="BJ265" s="239">
        <v>0</v>
      </c>
      <c r="BK265" s="239">
        <v>-137</v>
      </c>
      <c r="BL265" s="239">
        <v>40212.828987603301</v>
      </c>
      <c r="BM265" s="239">
        <v>0</v>
      </c>
      <c r="BN265" s="239">
        <v>820.66997933884295</v>
      </c>
      <c r="BO265" s="239">
        <v>36791</v>
      </c>
      <c r="BP265" s="239">
        <v>0</v>
      </c>
      <c r="BQ265" s="239">
        <v>751</v>
      </c>
      <c r="BR265" s="239">
        <v>3422</v>
      </c>
      <c r="BS265" s="239">
        <v>0</v>
      </c>
      <c r="BT265" s="239">
        <v>70</v>
      </c>
      <c r="BU265" s="239">
        <v>4781.97479338843</v>
      </c>
      <c r="BV265" s="239">
        <v>0</v>
      </c>
      <c r="BW265" s="239">
        <v>97.591322314049592</v>
      </c>
      <c r="BX265" s="239">
        <v>0</v>
      </c>
      <c r="BY265" s="239">
        <v>0</v>
      </c>
      <c r="BZ265" s="239">
        <v>0</v>
      </c>
      <c r="CA265" s="239">
        <v>4782</v>
      </c>
      <c r="CB265" s="239">
        <v>0</v>
      </c>
      <c r="CC265" s="239">
        <v>98</v>
      </c>
      <c r="CD265" s="239">
        <v>0</v>
      </c>
      <c r="CE265" s="239">
        <v>0</v>
      </c>
      <c r="CF265" s="239">
        <v>0</v>
      </c>
      <c r="CG265" s="239">
        <v>0</v>
      </c>
      <c r="CH265" s="239">
        <v>0</v>
      </c>
      <c r="CI265" s="239">
        <v>0</v>
      </c>
      <c r="CJ265" s="239">
        <v>0</v>
      </c>
      <c r="CK265" s="239">
        <v>0</v>
      </c>
      <c r="CL265" s="239">
        <v>0</v>
      </c>
      <c r="CM265" s="239">
        <v>2269.6982231404959</v>
      </c>
      <c r="CN265" s="239">
        <v>0</v>
      </c>
      <c r="CO265" s="239">
        <v>46.320371900826444</v>
      </c>
      <c r="CP265" s="239">
        <v>2320</v>
      </c>
      <c r="CQ265" s="239">
        <v>0</v>
      </c>
      <c r="CR265" s="239">
        <v>47</v>
      </c>
      <c r="CS265" s="239">
        <v>-50</v>
      </c>
      <c r="CT265" s="239">
        <v>0</v>
      </c>
      <c r="CU265" s="239">
        <v>-1</v>
      </c>
      <c r="CV265" s="239">
        <v>676099.06404958677</v>
      </c>
      <c r="CW265" s="239">
        <v>0</v>
      </c>
      <c r="CX265" s="239">
        <v>13797.940082644629</v>
      </c>
      <c r="CY265" s="239">
        <v>677242</v>
      </c>
      <c r="CZ265" s="239">
        <v>0</v>
      </c>
      <c r="DA265" s="239">
        <v>13821</v>
      </c>
      <c r="DB265" s="239">
        <v>-1143</v>
      </c>
      <c r="DC265" s="239">
        <v>0</v>
      </c>
      <c r="DD265" s="239">
        <v>-23</v>
      </c>
      <c r="DE265" s="641">
        <v>0.5</v>
      </c>
      <c r="DF265" s="641">
        <v>0.49</v>
      </c>
      <c r="DG265" s="641">
        <v>0</v>
      </c>
      <c r="DH265" s="641">
        <v>0.01</v>
      </c>
      <c r="DI265" s="214" t="s">
        <v>1192</v>
      </c>
    </row>
    <row r="266" spans="2:113" s="214" customFormat="1" x14ac:dyDescent="0.2">
      <c r="B266" s="609" t="s">
        <v>614</v>
      </c>
      <c r="C266" s="609" t="s">
        <v>613</v>
      </c>
      <c r="D266" s="239">
        <v>-271353</v>
      </c>
      <c r="E266" s="239">
        <v>0</v>
      </c>
      <c r="F266" s="239">
        <v>-271353</v>
      </c>
      <c r="G266" s="239">
        <v>0</v>
      </c>
      <c r="H266" s="239">
        <v>0</v>
      </c>
      <c r="I266" s="239">
        <v>0</v>
      </c>
      <c r="J266" s="239">
        <v>-271353</v>
      </c>
      <c r="K266" s="239">
        <v>0</v>
      </c>
      <c r="L266" s="239">
        <v>-271353</v>
      </c>
      <c r="M266" s="239">
        <v>239900</v>
      </c>
      <c r="N266" s="239">
        <v>239900</v>
      </c>
      <c r="O266" s="239">
        <v>0</v>
      </c>
      <c r="P266" s="239">
        <v>92211</v>
      </c>
      <c r="Q266" s="239">
        <v>173320</v>
      </c>
      <c r="R266" s="239">
        <v>-81109</v>
      </c>
      <c r="S266" s="239">
        <v>25140</v>
      </c>
      <c r="T266" s="239">
        <v>0</v>
      </c>
      <c r="U266" s="239">
        <v>0</v>
      </c>
      <c r="V266" s="239">
        <v>0</v>
      </c>
      <c r="W266" s="239">
        <v>25140</v>
      </c>
      <c r="X266" s="239">
        <v>0</v>
      </c>
      <c r="Y266" s="239">
        <v>87892.043388429753</v>
      </c>
      <c r="Z266" s="239">
        <v>86898.539380165297</v>
      </c>
      <c r="AA266" s="239">
        <v>0</v>
      </c>
      <c r="AB266" s="239">
        <v>993.50400826446287</v>
      </c>
      <c r="AC266" s="239">
        <v>98744</v>
      </c>
      <c r="AD266" s="239">
        <v>98001</v>
      </c>
      <c r="AE266" s="239">
        <v>0</v>
      </c>
      <c r="AF266" s="239">
        <v>743</v>
      </c>
      <c r="AG266" s="239">
        <v>-10852</v>
      </c>
      <c r="AH266" s="239">
        <v>-11102</v>
      </c>
      <c r="AI266" s="239">
        <v>0</v>
      </c>
      <c r="AJ266" s="239">
        <v>251</v>
      </c>
      <c r="AK266" s="239">
        <v>822595.85075413215</v>
      </c>
      <c r="AL266" s="239">
        <v>0</v>
      </c>
      <c r="AM266" s="239">
        <v>16787.670423553718</v>
      </c>
      <c r="AN266" s="239">
        <v>778676</v>
      </c>
      <c r="AO266" s="239">
        <v>0</v>
      </c>
      <c r="AP266" s="239">
        <v>15743</v>
      </c>
      <c r="AQ266" s="239">
        <v>43920</v>
      </c>
      <c r="AR266" s="239">
        <v>0</v>
      </c>
      <c r="AS266" s="239">
        <v>1045</v>
      </c>
      <c r="AT266" s="239">
        <v>0</v>
      </c>
      <c r="AU266" s="239">
        <v>0</v>
      </c>
      <c r="AV266" s="239">
        <v>0</v>
      </c>
      <c r="AW266" s="239">
        <v>0</v>
      </c>
      <c r="AX266" s="239">
        <v>0</v>
      </c>
      <c r="AY266" s="239">
        <v>0</v>
      </c>
      <c r="AZ266" s="239">
        <v>0</v>
      </c>
      <c r="BA266" s="239">
        <v>0</v>
      </c>
      <c r="BB266" s="239">
        <v>0</v>
      </c>
      <c r="BC266" s="239">
        <v>33003.579462809917</v>
      </c>
      <c r="BD266" s="239">
        <v>0</v>
      </c>
      <c r="BE266" s="239">
        <v>673.54243801652899</v>
      </c>
      <c r="BF266" s="239">
        <v>104569</v>
      </c>
      <c r="BG266" s="239">
        <v>0</v>
      </c>
      <c r="BH266" s="239">
        <v>0</v>
      </c>
      <c r="BI266" s="239">
        <v>-71565</v>
      </c>
      <c r="BJ266" s="239">
        <v>0</v>
      </c>
      <c r="BK266" s="239">
        <v>674</v>
      </c>
      <c r="BL266" s="239">
        <v>11993.709752066117</v>
      </c>
      <c r="BM266" s="239">
        <v>0</v>
      </c>
      <c r="BN266" s="239">
        <v>244.76958677685954</v>
      </c>
      <c r="BO266" s="239">
        <v>6193</v>
      </c>
      <c r="BP266" s="239">
        <v>0</v>
      </c>
      <c r="BQ266" s="239">
        <v>126</v>
      </c>
      <c r="BR266" s="239">
        <v>5801</v>
      </c>
      <c r="BS266" s="239">
        <v>0</v>
      </c>
      <c r="BT266" s="239">
        <v>119</v>
      </c>
      <c r="BU266" s="239">
        <v>-10494.993119834711</v>
      </c>
      <c r="BV266" s="239">
        <v>0</v>
      </c>
      <c r="BW266" s="239">
        <v>-214.18353305785124</v>
      </c>
      <c r="BX266" s="239">
        <v>0</v>
      </c>
      <c r="BY266" s="239">
        <v>0</v>
      </c>
      <c r="BZ266" s="239">
        <v>0</v>
      </c>
      <c r="CA266" s="239">
        <v>-10495</v>
      </c>
      <c r="CB266" s="239">
        <v>0</v>
      </c>
      <c r="CC266" s="239">
        <v>-214</v>
      </c>
      <c r="CD266" s="239">
        <v>0</v>
      </c>
      <c r="CE266" s="239">
        <v>0</v>
      </c>
      <c r="CF266" s="239">
        <v>0</v>
      </c>
      <c r="CG266" s="239">
        <v>0</v>
      </c>
      <c r="CH266" s="239">
        <v>0</v>
      </c>
      <c r="CI266" s="239">
        <v>0</v>
      </c>
      <c r="CJ266" s="239">
        <v>0</v>
      </c>
      <c r="CK266" s="239">
        <v>0</v>
      </c>
      <c r="CL266" s="239">
        <v>0</v>
      </c>
      <c r="CM266" s="239">
        <v>-70.586322314049312</v>
      </c>
      <c r="CN266" s="239">
        <v>0</v>
      </c>
      <c r="CO266" s="239">
        <v>-1.4405371900826367</v>
      </c>
      <c r="CP266" s="239">
        <v>4723</v>
      </c>
      <c r="CQ266" s="239">
        <v>0</v>
      </c>
      <c r="CR266" s="239">
        <v>96</v>
      </c>
      <c r="CS266" s="239">
        <v>-4794</v>
      </c>
      <c r="CT266" s="239">
        <v>0</v>
      </c>
      <c r="CU266" s="239">
        <v>-97</v>
      </c>
      <c r="CV266" s="239">
        <v>624074.92057851236</v>
      </c>
      <c r="CW266" s="239">
        <v>0</v>
      </c>
      <c r="CX266" s="239">
        <v>12701.585619834712</v>
      </c>
      <c r="CY266" s="239">
        <v>588494</v>
      </c>
      <c r="CZ266" s="239">
        <v>0</v>
      </c>
      <c r="DA266" s="239">
        <v>11941</v>
      </c>
      <c r="DB266" s="239">
        <v>35581</v>
      </c>
      <c r="DC266" s="239">
        <v>0</v>
      </c>
      <c r="DD266" s="239">
        <v>761</v>
      </c>
      <c r="DE266" s="641">
        <v>0.5</v>
      </c>
      <c r="DF266" s="641">
        <v>0.49</v>
      </c>
      <c r="DG266" s="641">
        <v>0</v>
      </c>
      <c r="DH266" s="641">
        <v>0.01</v>
      </c>
      <c r="DI266" s="214" t="s">
        <v>747</v>
      </c>
    </row>
    <row r="267" spans="2:113" s="214" customFormat="1" x14ac:dyDescent="0.2">
      <c r="B267" s="609" t="s">
        <v>616</v>
      </c>
      <c r="C267" s="609" t="s">
        <v>615</v>
      </c>
      <c r="D267" s="239">
        <v>-172364</v>
      </c>
      <c r="E267" s="239">
        <v>0</v>
      </c>
      <c r="F267" s="239">
        <v>-172364</v>
      </c>
      <c r="G267" s="239">
        <v>0</v>
      </c>
      <c r="H267" s="239">
        <v>0</v>
      </c>
      <c r="I267" s="239">
        <v>0</v>
      </c>
      <c r="J267" s="239">
        <v>-172364</v>
      </c>
      <c r="K267" s="239">
        <v>0</v>
      </c>
      <c r="L267" s="239">
        <v>-172364</v>
      </c>
      <c r="M267" s="239">
        <v>366260</v>
      </c>
      <c r="N267" s="239">
        <v>366260</v>
      </c>
      <c r="O267" s="239">
        <v>0</v>
      </c>
      <c r="P267" s="239">
        <v>253755</v>
      </c>
      <c r="Q267" s="239">
        <v>0</v>
      </c>
      <c r="R267" s="239">
        <v>253755</v>
      </c>
      <c r="S267" s="239">
        <v>0</v>
      </c>
      <c r="T267" s="239">
        <v>0</v>
      </c>
      <c r="U267" s="239">
        <v>0</v>
      </c>
      <c r="V267" s="239">
        <v>0</v>
      </c>
      <c r="W267" s="239">
        <v>0</v>
      </c>
      <c r="X267" s="239">
        <v>0</v>
      </c>
      <c r="Y267" s="239">
        <v>0</v>
      </c>
      <c r="Z267" s="239">
        <v>0</v>
      </c>
      <c r="AA267" s="239">
        <v>0</v>
      </c>
      <c r="AB267" s="239">
        <v>0</v>
      </c>
      <c r="AC267" s="239">
        <v>0</v>
      </c>
      <c r="AD267" s="239">
        <v>0</v>
      </c>
      <c r="AE267" s="239">
        <v>0</v>
      </c>
      <c r="AF267" s="239">
        <v>0</v>
      </c>
      <c r="AG267" s="239">
        <v>0</v>
      </c>
      <c r="AH267" s="239">
        <v>0</v>
      </c>
      <c r="AI267" s="239">
        <v>0</v>
      </c>
      <c r="AJ267" s="239">
        <v>0</v>
      </c>
      <c r="AK267" s="239">
        <v>1650333.8156714875</v>
      </c>
      <c r="AL267" s="239">
        <v>0</v>
      </c>
      <c r="AM267" s="239">
        <v>33680.281952479338</v>
      </c>
      <c r="AN267" s="239">
        <v>1522145</v>
      </c>
      <c r="AO267" s="239">
        <v>0</v>
      </c>
      <c r="AP267" s="239">
        <v>31064</v>
      </c>
      <c r="AQ267" s="239">
        <v>128189</v>
      </c>
      <c r="AR267" s="239">
        <v>0</v>
      </c>
      <c r="AS267" s="239">
        <v>2616</v>
      </c>
      <c r="AT267" s="239">
        <v>8725.8612809917358</v>
      </c>
      <c r="AU267" s="239">
        <v>0</v>
      </c>
      <c r="AV267" s="239">
        <v>178.07880165289257</v>
      </c>
      <c r="AW267" s="239">
        <v>0</v>
      </c>
      <c r="AX267" s="239">
        <v>0</v>
      </c>
      <c r="AY267" s="239">
        <v>0</v>
      </c>
      <c r="AZ267" s="239">
        <v>8726</v>
      </c>
      <c r="BA267" s="239">
        <v>0</v>
      </c>
      <c r="BB267" s="239">
        <v>178</v>
      </c>
      <c r="BC267" s="239">
        <v>72684.525599173547</v>
      </c>
      <c r="BD267" s="239">
        <v>0</v>
      </c>
      <c r="BE267" s="239">
        <v>1483.3576652892561</v>
      </c>
      <c r="BF267" s="239">
        <v>0</v>
      </c>
      <c r="BG267" s="239">
        <v>0</v>
      </c>
      <c r="BH267" s="239">
        <v>0</v>
      </c>
      <c r="BI267" s="239">
        <v>72685</v>
      </c>
      <c r="BJ267" s="239">
        <v>0</v>
      </c>
      <c r="BK267" s="239">
        <v>1483</v>
      </c>
      <c r="BL267" s="239">
        <v>49803.621260330568</v>
      </c>
      <c r="BM267" s="239">
        <v>0</v>
      </c>
      <c r="BN267" s="239">
        <v>1016.4004338842975</v>
      </c>
      <c r="BO267" s="239">
        <v>0</v>
      </c>
      <c r="BP267" s="239">
        <v>0</v>
      </c>
      <c r="BQ267" s="239">
        <v>0</v>
      </c>
      <c r="BR267" s="239">
        <v>49804</v>
      </c>
      <c r="BS267" s="239">
        <v>0</v>
      </c>
      <c r="BT267" s="239">
        <v>1016</v>
      </c>
      <c r="BU267" s="239">
        <v>-573.14105371900826</v>
      </c>
      <c r="BV267" s="239">
        <v>0</v>
      </c>
      <c r="BW267" s="239">
        <v>-11.696756198347106</v>
      </c>
      <c r="BX267" s="239">
        <v>0</v>
      </c>
      <c r="BY267" s="239">
        <v>0</v>
      </c>
      <c r="BZ267" s="239">
        <v>0</v>
      </c>
      <c r="CA267" s="239">
        <v>-573</v>
      </c>
      <c r="CB267" s="239">
        <v>0</v>
      </c>
      <c r="CC267" s="239">
        <v>-12</v>
      </c>
      <c r="CD267" s="239">
        <v>0</v>
      </c>
      <c r="CE267" s="239">
        <v>0</v>
      </c>
      <c r="CF267" s="239">
        <v>0</v>
      </c>
      <c r="CG267" s="239">
        <v>0</v>
      </c>
      <c r="CH267" s="239">
        <v>0</v>
      </c>
      <c r="CI267" s="239">
        <v>0</v>
      </c>
      <c r="CJ267" s="239">
        <v>0</v>
      </c>
      <c r="CK267" s="239">
        <v>0</v>
      </c>
      <c r="CL267" s="239">
        <v>0</v>
      </c>
      <c r="CM267" s="239">
        <v>0</v>
      </c>
      <c r="CN267" s="239">
        <v>0</v>
      </c>
      <c r="CO267" s="239">
        <v>0</v>
      </c>
      <c r="CP267" s="239">
        <v>582400</v>
      </c>
      <c r="CQ267" s="239">
        <v>0</v>
      </c>
      <c r="CR267" s="239">
        <v>11886</v>
      </c>
      <c r="CS267" s="239">
        <v>-582400</v>
      </c>
      <c r="CT267" s="239">
        <v>0</v>
      </c>
      <c r="CU267" s="239">
        <v>-11886</v>
      </c>
      <c r="CV267" s="239">
        <v>656449.53904958675</v>
      </c>
      <c r="CW267" s="239">
        <v>0</v>
      </c>
      <c r="CX267" s="239">
        <v>13322.031198347109</v>
      </c>
      <c r="CY267" s="239">
        <v>616187</v>
      </c>
      <c r="CZ267" s="239">
        <v>0</v>
      </c>
      <c r="DA267" s="239">
        <v>12575</v>
      </c>
      <c r="DB267" s="239">
        <v>40263</v>
      </c>
      <c r="DC267" s="239">
        <v>0</v>
      </c>
      <c r="DD267" s="239">
        <v>747</v>
      </c>
      <c r="DE267" s="641">
        <v>0.5</v>
      </c>
      <c r="DF267" s="641">
        <v>0.49</v>
      </c>
      <c r="DG267" s="641">
        <v>0</v>
      </c>
      <c r="DH267" s="641">
        <v>0.01</v>
      </c>
      <c r="DI267" s="214" t="s">
        <v>747</v>
      </c>
    </row>
    <row r="268" spans="2:113" s="214" customFormat="1" x14ac:dyDescent="0.2">
      <c r="B268" s="609" t="s">
        <v>618</v>
      </c>
      <c r="C268" s="609" t="s">
        <v>617</v>
      </c>
      <c r="D268" s="239">
        <v>-40834</v>
      </c>
      <c r="E268" s="239">
        <v>0</v>
      </c>
      <c r="F268" s="239">
        <v>-40834</v>
      </c>
      <c r="G268" s="239">
        <v>0</v>
      </c>
      <c r="H268" s="239">
        <v>0</v>
      </c>
      <c r="I268" s="239">
        <v>0</v>
      </c>
      <c r="J268" s="239">
        <v>-40834</v>
      </c>
      <c r="K268" s="239">
        <v>0</v>
      </c>
      <c r="L268" s="239">
        <v>-40834</v>
      </c>
      <c r="M268" s="239">
        <v>217909</v>
      </c>
      <c r="N268" s="239">
        <v>217909</v>
      </c>
      <c r="O268" s="239">
        <v>0</v>
      </c>
      <c r="P268" s="239">
        <v>0</v>
      </c>
      <c r="Q268" s="239">
        <v>0</v>
      </c>
      <c r="R268" s="239">
        <v>0</v>
      </c>
      <c r="S268" s="239">
        <v>41002</v>
      </c>
      <c r="T268" s="239">
        <v>0</v>
      </c>
      <c r="U268" s="239">
        <v>41000</v>
      </c>
      <c r="V268" s="239">
        <v>0</v>
      </c>
      <c r="W268" s="239">
        <v>2</v>
      </c>
      <c r="X268" s="239">
        <v>0</v>
      </c>
      <c r="Y268" s="239">
        <v>0</v>
      </c>
      <c r="Z268" s="239">
        <v>0</v>
      </c>
      <c r="AA268" s="239">
        <v>0</v>
      </c>
      <c r="AB268" s="239">
        <v>0</v>
      </c>
      <c r="AC268" s="239">
        <v>0</v>
      </c>
      <c r="AD268" s="239">
        <v>0</v>
      </c>
      <c r="AE268" s="239">
        <v>0</v>
      </c>
      <c r="AF268" s="239">
        <v>0</v>
      </c>
      <c r="AG268" s="239">
        <v>0</v>
      </c>
      <c r="AH268" s="239">
        <v>0</v>
      </c>
      <c r="AI268" s="239">
        <v>0</v>
      </c>
      <c r="AJ268" s="239">
        <v>0</v>
      </c>
      <c r="AK268" s="239">
        <v>738475.56487603311</v>
      </c>
      <c r="AL268" s="239">
        <v>184618.89121900828</v>
      </c>
      <c r="AM268" s="239">
        <v>0</v>
      </c>
      <c r="AN268" s="239">
        <v>704822</v>
      </c>
      <c r="AO268" s="239">
        <v>176206</v>
      </c>
      <c r="AP268" s="239">
        <v>0</v>
      </c>
      <c r="AQ268" s="239">
        <v>33654</v>
      </c>
      <c r="AR268" s="239">
        <v>8413</v>
      </c>
      <c r="AS268" s="239">
        <v>0</v>
      </c>
      <c r="AT268" s="239">
        <v>0</v>
      </c>
      <c r="AU268" s="239">
        <v>0</v>
      </c>
      <c r="AV268" s="239">
        <v>0</v>
      </c>
      <c r="AW268" s="239">
        <v>0</v>
      </c>
      <c r="AX268" s="239">
        <v>0</v>
      </c>
      <c r="AY268" s="239">
        <v>0</v>
      </c>
      <c r="AZ268" s="239">
        <v>0</v>
      </c>
      <c r="BA268" s="239">
        <v>0</v>
      </c>
      <c r="BB268" s="239">
        <v>0</v>
      </c>
      <c r="BC268" s="239">
        <v>3510.0413223140495</v>
      </c>
      <c r="BD268" s="239">
        <v>877.51033057851237</v>
      </c>
      <c r="BE268" s="239">
        <v>0</v>
      </c>
      <c r="BF268" s="239">
        <v>0</v>
      </c>
      <c r="BG268" s="239">
        <v>0</v>
      </c>
      <c r="BH268" s="239">
        <v>0</v>
      </c>
      <c r="BI268" s="239">
        <v>3510</v>
      </c>
      <c r="BJ268" s="239">
        <v>878</v>
      </c>
      <c r="BK268" s="239">
        <v>0</v>
      </c>
      <c r="BL268" s="239">
        <v>14861.474380165291</v>
      </c>
      <c r="BM268" s="239">
        <v>3715.3685950413228</v>
      </c>
      <c r="BN268" s="239">
        <v>0</v>
      </c>
      <c r="BO268" s="239">
        <v>23649</v>
      </c>
      <c r="BP268" s="239">
        <v>5912</v>
      </c>
      <c r="BQ268" s="239">
        <v>0</v>
      </c>
      <c r="BR268" s="239">
        <v>-8788</v>
      </c>
      <c r="BS268" s="239">
        <v>-2197</v>
      </c>
      <c r="BT268" s="239">
        <v>0</v>
      </c>
      <c r="BU268" s="239">
        <v>6932.0272727272722</v>
      </c>
      <c r="BV268" s="239">
        <v>1733.0068181818181</v>
      </c>
      <c r="BW268" s="239">
        <v>0</v>
      </c>
      <c r="BX268" s="239">
        <v>0</v>
      </c>
      <c r="BY268" s="239">
        <v>0</v>
      </c>
      <c r="BZ268" s="239">
        <v>0</v>
      </c>
      <c r="CA268" s="239">
        <v>6932</v>
      </c>
      <c r="CB268" s="239">
        <v>1733</v>
      </c>
      <c r="CC268" s="239">
        <v>0</v>
      </c>
      <c r="CD268" s="239">
        <v>0</v>
      </c>
      <c r="CE268" s="239">
        <v>0</v>
      </c>
      <c r="CF268" s="239">
        <v>0</v>
      </c>
      <c r="CG268" s="239">
        <v>0</v>
      </c>
      <c r="CH268" s="239">
        <v>0</v>
      </c>
      <c r="CI268" s="239">
        <v>0</v>
      </c>
      <c r="CJ268" s="239">
        <v>0</v>
      </c>
      <c r="CK268" s="239">
        <v>0</v>
      </c>
      <c r="CL268" s="239">
        <v>0</v>
      </c>
      <c r="CM268" s="239">
        <v>2991.0421487603307</v>
      </c>
      <c r="CN268" s="239">
        <v>747.76053719008269</v>
      </c>
      <c r="CO268" s="239">
        <v>0</v>
      </c>
      <c r="CP268" s="239">
        <v>1214</v>
      </c>
      <c r="CQ268" s="239">
        <v>304</v>
      </c>
      <c r="CR268" s="239">
        <v>0</v>
      </c>
      <c r="CS268" s="239">
        <v>1777</v>
      </c>
      <c r="CT268" s="239">
        <v>444</v>
      </c>
      <c r="CU268" s="239">
        <v>0</v>
      </c>
      <c r="CV268" s="239">
        <v>319757.26363636361</v>
      </c>
      <c r="CW268" s="239">
        <v>79791.064876033051</v>
      </c>
      <c r="CX268" s="239">
        <v>0</v>
      </c>
      <c r="CY268" s="239">
        <v>316232</v>
      </c>
      <c r="CZ268" s="239">
        <v>78910</v>
      </c>
      <c r="DA268" s="239">
        <v>0</v>
      </c>
      <c r="DB268" s="239">
        <v>3525</v>
      </c>
      <c r="DC268" s="239">
        <v>881</v>
      </c>
      <c r="DD268" s="239">
        <v>0</v>
      </c>
      <c r="DE268" s="641">
        <v>0.5</v>
      </c>
      <c r="DF268" s="641">
        <v>0.4</v>
      </c>
      <c r="DG268" s="641">
        <v>0.1</v>
      </c>
      <c r="DH268" s="641">
        <v>0</v>
      </c>
      <c r="DI268" s="214" t="s">
        <v>1190</v>
      </c>
    </row>
    <row r="269" spans="2:113" s="214" customFormat="1" x14ac:dyDescent="0.2">
      <c r="B269" s="609" t="s">
        <v>620</v>
      </c>
      <c r="C269" s="609" t="s">
        <v>619</v>
      </c>
      <c r="D269" s="239">
        <v>-440658</v>
      </c>
      <c r="E269" s="239">
        <v>0</v>
      </c>
      <c r="F269" s="239">
        <v>-440658</v>
      </c>
      <c r="G269" s="239">
        <v>0</v>
      </c>
      <c r="H269" s="239">
        <v>0</v>
      </c>
      <c r="I269" s="239">
        <v>0</v>
      </c>
      <c r="J269" s="239">
        <v>-440658</v>
      </c>
      <c r="K269" s="239">
        <v>0</v>
      </c>
      <c r="L269" s="239">
        <v>-440658</v>
      </c>
      <c r="M269" s="239">
        <v>160071</v>
      </c>
      <c r="N269" s="239">
        <v>160071</v>
      </c>
      <c r="O269" s="239">
        <v>0</v>
      </c>
      <c r="P269" s="239">
        <v>0</v>
      </c>
      <c r="Q269" s="239">
        <v>0</v>
      </c>
      <c r="R269" s="239">
        <v>0</v>
      </c>
      <c r="S269" s="239">
        <v>110085</v>
      </c>
      <c r="T269" s="239">
        <v>0</v>
      </c>
      <c r="U269" s="239">
        <v>700</v>
      </c>
      <c r="V269" s="239">
        <v>0</v>
      </c>
      <c r="W269" s="239">
        <v>109385</v>
      </c>
      <c r="X269" s="239">
        <v>0</v>
      </c>
      <c r="Y269" s="239">
        <v>0</v>
      </c>
      <c r="Z269" s="239">
        <v>0</v>
      </c>
      <c r="AA269" s="239">
        <v>0</v>
      </c>
      <c r="AB269" s="239">
        <v>0</v>
      </c>
      <c r="AC269" s="239">
        <v>0</v>
      </c>
      <c r="AD269" s="239">
        <v>0</v>
      </c>
      <c r="AE269" s="239">
        <v>0</v>
      </c>
      <c r="AF269" s="239">
        <v>0</v>
      </c>
      <c r="AG269" s="239">
        <v>0</v>
      </c>
      <c r="AH269" s="239">
        <v>0</v>
      </c>
      <c r="AI269" s="239">
        <v>0</v>
      </c>
      <c r="AJ269" s="239">
        <v>0</v>
      </c>
      <c r="AK269" s="239">
        <v>569995.00165289256</v>
      </c>
      <c r="AL269" s="239">
        <v>142498.75041322314</v>
      </c>
      <c r="AM269" s="239">
        <v>0</v>
      </c>
      <c r="AN269" s="239">
        <v>542506</v>
      </c>
      <c r="AO269" s="239">
        <v>135627</v>
      </c>
      <c r="AP269" s="239">
        <v>0</v>
      </c>
      <c r="AQ269" s="239">
        <v>27489</v>
      </c>
      <c r="AR269" s="239">
        <v>6872</v>
      </c>
      <c r="AS269" s="239">
        <v>0</v>
      </c>
      <c r="AT269" s="239">
        <v>0</v>
      </c>
      <c r="AU269" s="239">
        <v>0</v>
      </c>
      <c r="AV269" s="239">
        <v>0</v>
      </c>
      <c r="AW269" s="239">
        <v>0</v>
      </c>
      <c r="AX269" s="239">
        <v>0</v>
      </c>
      <c r="AY269" s="239">
        <v>0</v>
      </c>
      <c r="AZ269" s="239">
        <v>0</v>
      </c>
      <c r="BA269" s="239">
        <v>0</v>
      </c>
      <c r="BB269" s="239">
        <v>0</v>
      </c>
      <c r="BC269" s="239">
        <v>0</v>
      </c>
      <c r="BD269" s="239">
        <v>0</v>
      </c>
      <c r="BE269" s="239">
        <v>0</v>
      </c>
      <c r="BF269" s="239">
        <v>0</v>
      </c>
      <c r="BG269" s="239">
        <v>0</v>
      </c>
      <c r="BH269" s="239">
        <v>0</v>
      </c>
      <c r="BI269" s="239">
        <v>0</v>
      </c>
      <c r="BJ269" s="239">
        <v>0</v>
      </c>
      <c r="BK269" s="239">
        <v>0</v>
      </c>
      <c r="BL269" s="239">
        <v>275.93388429752071</v>
      </c>
      <c r="BM269" s="239">
        <v>68.983471074380176</v>
      </c>
      <c r="BN269" s="239">
        <v>0</v>
      </c>
      <c r="BO269" s="239">
        <v>286</v>
      </c>
      <c r="BP269" s="239">
        <v>72</v>
      </c>
      <c r="BQ269" s="239">
        <v>0</v>
      </c>
      <c r="BR269" s="239">
        <v>-10</v>
      </c>
      <c r="BS269" s="239">
        <v>-3</v>
      </c>
      <c r="BT269" s="239">
        <v>0</v>
      </c>
      <c r="BU269" s="239">
        <v>-4482.7082644628099</v>
      </c>
      <c r="BV269" s="239">
        <v>-1120.6770661157025</v>
      </c>
      <c r="BW269" s="239">
        <v>0</v>
      </c>
      <c r="BX269" s="239">
        <v>0</v>
      </c>
      <c r="BY269" s="239">
        <v>0</v>
      </c>
      <c r="BZ269" s="239">
        <v>0</v>
      </c>
      <c r="CA269" s="239">
        <v>-4483</v>
      </c>
      <c r="CB269" s="239">
        <v>-1121</v>
      </c>
      <c r="CC269" s="239">
        <v>0</v>
      </c>
      <c r="CD269" s="239">
        <v>0</v>
      </c>
      <c r="CE269" s="239">
        <v>0</v>
      </c>
      <c r="CF269" s="239">
        <v>0</v>
      </c>
      <c r="CG269" s="239">
        <v>0</v>
      </c>
      <c r="CH269" s="239">
        <v>0</v>
      </c>
      <c r="CI269" s="239">
        <v>0</v>
      </c>
      <c r="CJ269" s="239">
        <v>0</v>
      </c>
      <c r="CK269" s="239">
        <v>0</v>
      </c>
      <c r="CL269" s="239">
        <v>0</v>
      </c>
      <c r="CM269" s="239">
        <v>1121.5900826446282</v>
      </c>
      <c r="CN269" s="239">
        <v>280.39752066115705</v>
      </c>
      <c r="CO269" s="239">
        <v>0</v>
      </c>
      <c r="CP269" s="239">
        <v>0</v>
      </c>
      <c r="CQ269" s="239">
        <v>0</v>
      </c>
      <c r="CR269" s="239">
        <v>0</v>
      </c>
      <c r="CS269" s="239">
        <v>1122</v>
      </c>
      <c r="CT269" s="239">
        <v>280</v>
      </c>
      <c r="CU269" s="239">
        <v>0</v>
      </c>
      <c r="CV269" s="239">
        <v>158479.0020661157</v>
      </c>
      <c r="CW269" s="239">
        <v>39221.715909090912</v>
      </c>
      <c r="CX269" s="239">
        <v>0</v>
      </c>
      <c r="CY269" s="239">
        <v>158959</v>
      </c>
      <c r="CZ269" s="239">
        <v>39737</v>
      </c>
      <c r="DA269" s="239">
        <v>0</v>
      </c>
      <c r="DB269" s="239">
        <v>-480</v>
      </c>
      <c r="DC269" s="239">
        <v>-515</v>
      </c>
      <c r="DD269" s="239">
        <v>0</v>
      </c>
      <c r="DE269" s="641">
        <v>0.5</v>
      </c>
      <c r="DF269" s="641">
        <v>0.4</v>
      </c>
      <c r="DG269" s="641">
        <v>0.1</v>
      </c>
      <c r="DH269" s="641">
        <v>0</v>
      </c>
      <c r="DI269" s="214" t="s">
        <v>1190</v>
      </c>
    </row>
    <row r="270" spans="2:113" s="214" customFormat="1" x14ac:dyDescent="0.2">
      <c r="B270" s="609" t="s">
        <v>622</v>
      </c>
      <c r="C270" s="609" t="s">
        <v>621</v>
      </c>
      <c r="D270" s="239">
        <v>-14367</v>
      </c>
      <c r="E270" s="239">
        <v>0</v>
      </c>
      <c r="F270" s="239">
        <v>-14367</v>
      </c>
      <c r="G270" s="239">
        <v>0</v>
      </c>
      <c r="H270" s="239">
        <v>0</v>
      </c>
      <c r="I270" s="239">
        <v>0</v>
      </c>
      <c r="J270" s="239">
        <v>-14367</v>
      </c>
      <c r="K270" s="239">
        <v>0</v>
      </c>
      <c r="L270" s="239">
        <v>-14367</v>
      </c>
      <c r="M270" s="239">
        <v>277015</v>
      </c>
      <c r="N270" s="239">
        <v>277015</v>
      </c>
      <c r="O270" s="239">
        <v>0</v>
      </c>
      <c r="P270" s="239">
        <v>0</v>
      </c>
      <c r="Q270" s="239">
        <v>0</v>
      </c>
      <c r="R270" s="239">
        <v>0</v>
      </c>
      <c r="S270" s="239">
        <v>206605</v>
      </c>
      <c r="T270" s="239">
        <v>0</v>
      </c>
      <c r="U270" s="239">
        <v>123256</v>
      </c>
      <c r="V270" s="239">
        <v>0</v>
      </c>
      <c r="W270" s="239">
        <v>83349</v>
      </c>
      <c r="X270" s="239">
        <v>0</v>
      </c>
      <c r="Y270" s="239">
        <v>0</v>
      </c>
      <c r="Z270" s="239">
        <v>0</v>
      </c>
      <c r="AA270" s="239">
        <v>0</v>
      </c>
      <c r="AB270" s="239">
        <v>0</v>
      </c>
      <c r="AC270" s="239">
        <v>0</v>
      </c>
      <c r="AD270" s="239">
        <v>0</v>
      </c>
      <c r="AE270" s="239">
        <v>0</v>
      </c>
      <c r="AF270" s="239">
        <v>0</v>
      </c>
      <c r="AG270" s="239">
        <v>0</v>
      </c>
      <c r="AH270" s="239">
        <v>0</v>
      </c>
      <c r="AI270" s="239">
        <v>0</v>
      </c>
      <c r="AJ270" s="239">
        <v>0</v>
      </c>
      <c r="AK270" s="239">
        <v>824634.90578512393</v>
      </c>
      <c r="AL270" s="239">
        <v>206158.72644628098</v>
      </c>
      <c r="AM270" s="239">
        <v>0</v>
      </c>
      <c r="AN270" s="239">
        <v>757669</v>
      </c>
      <c r="AO270" s="239">
        <v>189417</v>
      </c>
      <c r="AP270" s="239">
        <v>0</v>
      </c>
      <c r="AQ270" s="239">
        <v>66966</v>
      </c>
      <c r="AR270" s="239">
        <v>16742</v>
      </c>
      <c r="AS270" s="239">
        <v>0</v>
      </c>
      <c r="AT270" s="239">
        <v>1987.1297520661155</v>
      </c>
      <c r="AU270" s="239">
        <v>496.78243801652889</v>
      </c>
      <c r="AV270" s="239">
        <v>0</v>
      </c>
      <c r="AW270" s="239">
        <v>1654</v>
      </c>
      <c r="AX270" s="239">
        <v>413</v>
      </c>
      <c r="AY270" s="239">
        <v>0</v>
      </c>
      <c r="AZ270" s="239">
        <v>333</v>
      </c>
      <c r="BA270" s="239">
        <v>84</v>
      </c>
      <c r="BB270" s="239">
        <v>0</v>
      </c>
      <c r="BC270" s="239">
        <v>0</v>
      </c>
      <c r="BD270" s="239">
        <v>0</v>
      </c>
      <c r="BE270" s="239">
        <v>0</v>
      </c>
      <c r="BF270" s="239">
        <v>0</v>
      </c>
      <c r="BG270" s="239">
        <v>0</v>
      </c>
      <c r="BH270" s="239">
        <v>0</v>
      </c>
      <c r="BI270" s="239">
        <v>0</v>
      </c>
      <c r="BJ270" s="239">
        <v>0</v>
      </c>
      <c r="BK270" s="239">
        <v>0</v>
      </c>
      <c r="BL270" s="239">
        <v>444.74049586776857</v>
      </c>
      <c r="BM270" s="239">
        <v>111.18512396694214</v>
      </c>
      <c r="BN270" s="239">
        <v>0</v>
      </c>
      <c r="BO270" s="239">
        <v>1227</v>
      </c>
      <c r="BP270" s="239">
        <v>307</v>
      </c>
      <c r="BQ270" s="239">
        <v>0</v>
      </c>
      <c r="BR270" s="239">
        <v>-782</v>
      </c>
      <c r="BS270" s="239">
        <v>-196</v>
      </c>
      <c r="BT270" s="239">
        <v>0</v>
      </c>
      <c r="BU270" s="239">
        <v>-1211.2685950413222</v>
      </c>
      <c r="BV270" s="239">
        <v>-302.81714876033055</v>
      </c>
      <c r="BW270" s="239">
        <v>0</v>
      </c>
      <c r="BX270" s="239">
        <v>0</v>
      </c>
      <c r="BY270" s="239">
        <v>0</v>
      </c>
      <c r="BZ270" s="239">
        <v>0</v>
      </c>
      <c r="CA270" s="239">
        <v>-1211</v>
      </c>
      <c r="CB270" s="239">
        <v>-303</v>
      </c>
      <c r="CC270" s="239">
        <v>0</v>
      </c>
      <c r="CD270" s="239">
        <v>0</v>
      </c>
      <c r="CE270" s="239">
        <v>0</v>
      </c>
      <c r="CF270" s="239">
        <v>0</v>
      </c>
      <c r="CG270" s="239">
        <v>0</v>
      </c>
      <c r="CH270" s="239">
        <v>0</v>
      </c>
      <c r="CI270" s="239">
        <v>0</v>
      </c>
      <c r="CJ270" s="239">
        <v>0</v>
      </c>
      <c r="CK270" s="239">
        <v>0</v>
      </c>
      <c r="CL270" s="239">
        <v>0</v>
      </c>
      <c r="CM270" s="239">
        <v>5082.4586776859514</v>
      </c>
      <c r="CN270" s="239">
        <v>1270.6146694214879</v>
      </c>
      <c r="CO270" s="239">
        <v>0</v>
      </c>
      <c r="CP270" s="239">
        <v>0</v>
      </c>
      <c r="CQ270" s="239">
        <v>0</v>
      </c>
      <c r="CR270" s="239">
        <v>0</v>
      </c>
      <c r="CS270" s="239">
        <v>5082</v>
      </c>
      <c r="CT270" s="239">
        <v>1271</v>
      </c>
      <c r="CU270" s="239">
        <v>0</v>
      </c>
      <c r="CV270" s="239">
        <v>396600.56487603311</v>
      </c>
      <c r="CW270" s="239">
        <v>98403.119008264475</v>
      </c>
      <c r="CX270" s="239">
        <v>0</v>
      </c>
      <c r="CY270" s="239">
        <v>397719</v>
      </c>
      <c r="CZ270" s="239">
        <v>98984</v>
      </c>
      <c r="DA270" s="239">
        <v>0</v>
      </c>
      <c r="DB270" s="239">
        <v>-1118</v>
      </c>
      <c r="DC270" s="239">
        <v>-581</v>
      </c>
      <c r="DD270" s="239">
        <v>0</v>
      </c>
      <c r="DE270" s="641">
        <v>0.5</v>
      </c>
      <c r="DF270" s="641">
        <v>0.4</v>
      </c>
      <c r="DG270" s="641">
        <v>0.1</v>
      </c>
      <c r="DH270" s="641">
        <v>0</v>
      </c>
      <c r="DI270" s="214" t="s">
        <v>1190</v>
      </c>
    </row>
    <row r="271" spans="2:113" s="214" customFormat="1" x14ac:dyDescent="0.2">
      <c r="B271" s="609" t="s">
        <v>624</v>
      </c>
      <c r="C271" s="609" t="s">
        <v>623</v>
      </c>
      <c r="D271" s="239">
        <v>-491299</v>
      </c>
      <c r="E271" s="239">
        <v>0</v>
      </c>
      <c r="F271" s="239">
        <v>-491299</v>
      </c>
      <c r="G271" s="239">
        <v>0</v>
      </c>
      <c r="H271" s="239">
        <v>0</v>
      </c>
      <c r="I271" s="239">
        <v>0</v>
      </c>
      <c r="J271" s="239">
        <v>-491299</v>
      </c>
      <c r="K271" s="239">
        <v>0</v>
      </c>
      <c r="L271" s="239">
        <v>-491299</v>
      </c>
      <c r="M271" s="239">
        <v>342824</v>
      </c>
      <c r="N271" s="239">
        <v>342824</v>
      </c>
      <c r="O271" s="239">
        <v>0</v>
      </c>
      <c r="P271" s="239">
        <v>707074</v>
      </c>
      <c r="Q271" s="239">
        <v>714465</v>
      </c>
      <c r="R271" s="239">
        <v>-7391</v>
      </c>
      <c r="S271" s="239">
        <v>0</v>
      </c>
      <c r="T271" s="239">
        <v>0</v>
      </c>
      <c r="U271" s="239">
        <v>0</v>
      </c>
      <c r="V271" s="239">
        <v>0</v>
      </c>
      <c r="W271" s="239">
        <v>0</v>
      </c>
      <c r="X271" s="239">
        <v>0</v>
      </c>
      <c r="Y271" s="239">
        <v>35293.161157024791</v>
      </c>
      <c r="Z271" s="239">
        <v>35293.161157024791</v>
      </c>
      <c r="AA271" s="239">
        <v>0</v>
      </c>
      <c r="AB271" s="239">
        <v>0</v>
      </c>
      <c r="AC271" s="239">
        <v>34790</v>
      </c>
      <c r="AD271" s="239">
        <v>34790</v>
      </c>
      <c r="AE271" s="239">
        <v>0</v>
      </c>
      <c r="AF271" s="239">
        <v>0</v>
      </c>
      <c r="AG271" s="239">
        <v>503</v>
      </c>
      <c r="AH271" s="239">
        <v>503</v>
      </c>
      <c r="AI271" s="239">
        <v>0</v>
      </c>
      <c r="AJ271" s="239">
        <v>0</v>
      </c>
      <c r="AK271" s="239">
        <v>1209332.1326342975</v>
      </c>
      <c r="AL271" s="239">
        <v>0</v>
      </c>
      <c r="AM271" s="239">
        <v>24675.899907024796</v>
      </c>
      <c r="AN271" s="239">
        <v>1171664</v>
      </c>
      <c r="AO271" s="239">
        <v>0</v>
      </c>
      <c r="AP271" s="239">
        <v>23885</v>
      </c>
      <c r="AQ271" s="239">
        <v>37668</v>
      </c>
      <c r="AR271" s="239">
        <v>0</v>
      </c>
      <c r="AS271" s="239">
        <v>791</v>
      </c>
      <c r="AT271" s="239">
        <v>3744.0576033057851</v>
      </c>
      <c r="AU271" s="239">
        <v>0</v>
      </c>
      <c r="AV271" s="239">
        <v>76.409338842975203</v>
      </c>
      <c r="AW271" s="239">
        <v>0</v>
      </c>
      <c r="AX271" s="239">
        <v>0</v>
      </c>
      <c r="AY271" s="239">
        <v>0</v>
      </c>
      <c r="AZ271" s="239">
        <v>3744</v>
      </c>
      <c r="BA271" s="239">
        <v>0</v>
      </c>
      <c r="BB271" s="239">
        <v>76</v>
      </c>
      <c r="BC271" s="239">
        <v>0</v>
      </c>
      <c r="BD271" s="239">
        <v>0</v>
      </c>
      <c r="BE271" s="239">
        <v>0</v>
      </c>
      <c r="BF271" s="239">
        <v>0</v>
      </c>
      <c r="BG271" s="239">
        <v>0</v>
      </c>
      <c r="BH271" s="239">
        <v>0</v>
      </c>
      <c r="BI271" s="239">
        <v>0</v>
      </c>
      <c r="BJ271" s="239">
        <v>0</v>
      </c>
      <c r="BK271" s="239">
        <v>0</v>
      </c>
      <c r="BL271" s="239">
        <v>69474.836280991731</v>
      </c>
      <c r="BM271" s="239">
        <v>0</v>
      </c>
      <c r="BN271" s="239">
        <v>1417.8538016528928</v>
      </c>
      <c r="BO271" s="239">
        <v>31020</v>
      </c>
      <c r="BP271" s="239">
        <v>0</v>
      </c>
      <c r="BQ271" s="239">
        <v>633</v>
      </c>
      <c r="BR271" s="239">
        <v>38455</v>
      </c>
      <c r="BS271" s="239">
        <v>0</v>
      </c>
      <c r="BT271" s="239">
        <v>785</v>
      </c>
      <c r="BU271" s="239">
        <v>-8435.5626033057852</v>
      </c>
      <c r="BV271" s="239">
        <v>0</v>
      </c>
      <c r="BW271" s="239">
        <v>-172.15433884297519</v>
      </c>
      <c r="BX271" s="239">
        <v>0</v>
      </c>
      <c r="BY271" s="239">
        <v>0</v>
      </c>
      <c r="BZ271" s="239">
        <v>0</v>
      </c>
      <c r="CA271" s="239">
        <v>-8436</v>
      </c>
      <c r="CB271" s="239">
        <v>0</v>
      </c>
      <c r="CC271" s="239">
        <v>-172</v>
      </c>
      <c r="CD271" s="239">
        <v>0</v>
      </c>
      <c r="CE271" s="239">
        <v>0</v>
      </c>
      <c r="CF271" s="239">
        <v>0</v>
      </c>
      <c r="CG271" s="239">
        <v>0</v>
      </c>
      <c r="CH271" s="239">
        <v>0</v>
      </c>
      <c r="CI271" s="239">
        <v>0</v>
      </c>
      <c r="CJ271" s="239">
        <v>0</v>
      </c>
      <c r="CK271" s="239">
        <v>0</v>
      </c>
      <c r="CL271" s="239">
        <v>0</v>
      </c>
      <c r="CM271" s="239">
        <v>7437.4123553719</v>
      </c>
      <c r="CN271" s="239">
        <v>0</v>
      </c>
      <c r="CO271" s="239">
        <v>151.78392561983469</v>
      </c>
      <c r="CP271" s="239">
        <v>9942</v>
      </c>
      <c r="CQ271" s="239">
        <v>0</v>
      </c>
      <c r="CR271" s="239">
        <v>203</v>
      </c>
      <c r="CS271" s="239">
        <v>-2505</v>
      </c>
      <c r="CT271" s="239">
        <v>0</v>
      </c>
      <c r="CU271" s="239">
        <v>-51</v>
      </c>
      <c r="CV271" s="239">
        <v>641659.33522727271</v>
      </c>
      <c r="CW271" s="239">
        <v>0</v>
      </c>
      <c r="CX271" s="239">
        <v>12886.388946280991</v>
      </c>
      <c r="CY271" s="239">
        <v>640534</v>
      </c>
      <c r="CZ271" s="239">
        <v>0</v>
      </c>
      <c r="DA271" s="239">
        <v>12851</v>
      </c>
      <c r="DB271" s="239">
        <v>1125</v>
      </c>
      <c r="DC271" s="239">
        <v>0</v>
      </c>
      <c r="DD271" s="239">
        <v>35</v>
      </c>
      <c r="DE271" s="641">
        <v>0.5</v>
      </c>
      <c r="DF271" s="641">
        <v>0.49</v>
      </c>
      <c r="DG271" s="641">
        <v>0</v>
      </c>
      <c r="DH271" s="641">
        <v>0.01</v>
      </c>
      <c r="DI271" s="214" t="s">
        <v>1192</v>
      </c>
    </row>
    <row r="272" spans="2:113" s="214" customFormat="1" x14ac:dyDescent="0.2">
      <c r="B272" s="609" t="s">
        <v>626</v>
      </c>
      <c r="C272" s="609" t="s">
        <v>625</v>
      </c>
      <c r="D272" s="239">
        <v>-135597</v>
      </c>
      <c r="E272" s="239">
        <v>0</v>
      </c>
      <c r="F272" s="239">
        <v>-135597</v>
      </c>
      <c r="G272" s="239">
        <v>0</v>
      </c>
      <c r="H272" s="239">
        <v>0</v>
      </c>
      <c r="I272" s="239">
        <v>0</v>
      </c>
      <c r="J272" s="239">
        <v>-135597</v>
      </c>
      <c r="K272" s="239">
        <v>0</v>
      </c>
      <c r="L272" s="239">
        <v>-135597</v>
      </c>
      <c r="M272" s="239">
        <v>126119</v>
      </c>
      <c r="N272" s="239">
        <v>126119</v>
      </c>
      <c r="O272" s="239">
        <v>0</v>
      </c>
      <c r="P272" s="239">
        <v>0</v>
      </c>
      <c r="Q272" s="239">
        <v>0</v>
      </c>
      <c r="R272" s="239">
        <v>0</v>
      </c>
      <c r="S272" s="239">
        <v>0</v>
      </c>
      <c r="T272" s="239">
        <v>0</v>
      </c>
      <c r="U272" s="239">
        <v>0</v>
      </c>
      <c r="V272" s="239">
        <v>0</v>
      </c>
      <c r="W272" s="239">
        <v>0</v>
      </c>
      <c r="X272" s="239">
        <v>0</v>
      </c>
      <c r="Y272" s="239">
        <v>0</v>
      </c>
      <c r="Z272" s="239">
        <v>0</v>
      </c>
      <c r="AA272" s="239">
        <v>0</v>
      </c>
      <c r="AB272" s="239">
        <v>0</v>
      </c>
      <c r="AC272" s="239">
        <v>0</v>
      </c>
      <c r="AD272" s="239">
        <v>0</v>
      </c>
      <c r="AE272" s="239">
        <v>0</v>
      </c>
      <c r="AF272" s="239">
        <v>0</v>
      </c>
      <c r="AG272" s="239">
        <v>0</v>
      </c>
      <c r="AH272" s="239">
        <v>0</v>
      </c>
      <c r="AI272" s="239">
        <v>0</v>
      </c>
      <c r="AJ272" s="239">
        <v>0</v>
      </c>
      <c r="AK272" s="239">
        <v>292292.50289256201</v>
      </c>
      <c r="AL272" s="239">
        <v>73073.125723140503</v>
      </c>
      <c r="AM272" s="239">
        <v>0</v>
      </c>
      <c r="AN272" s="239">
        <v>273182</v>
      </c>
      <c r="AO272" s="239">
        <v>68295</v>
      </c>
      <c r="AP272" s="239">
        <v>0</v>
      </c>
      <c r="AQ272" s="239">
        <v>19111</v>
      </c>
      <c r="AR272" s="239">
        <v>4778</v>
      </c>
      <c r="AS272" s="239">
        <v>0</v>
      </c>
      <c r="AT272" s="239">
        <v>3344.0752066115706</v>
      </c>
      <c r="AU272" s="239">
        <v>836.01880165289265</v>
      </c>
      <c r="AV272" s="239">
        <v>0</v>
      </c>
      <c r="AW272" s="239">
        <v>81</v>
      </c>
      <c r="AX272" s="239">
        <v>20</v>
      </c>
      <c r="AY272" s="239">
        <v>0</v>
      </c>
      <c r="AZ272" s="239">
        <v>3263</v>
      </c>
      <c r="BA272" s="239">
        <v>816</v>
      </c>
      <c r="BB272" s="239">
        <v>0</v>
      </c>
      <c r="BC272" s="239">
        <v>176867.53305785122</v>
      </c>
      <c r="BD272" s="239">
        <v>44216.883264462806</v>
      </c>
      <c r="BE272" s="239">
        <v>0</v>
      </c>
      <c r="BF272" s="239">
        <v>40578</v>
      </c>
      <c r="BG272" s="239">
        <v>10145</v>
      </c>
      <c r="BH272" s="239">
        <v>0</v>
      </c>
      <c r="BI272" s="239">
        <v>136290</v>
      </c>
      <c r="BJ272" s="239">
        <v>34072</v>
      </c>
      <c r="BK272" s="239">
        <v>0</v>
      </c>
      <c r="BL272" s="239">
        <v>17525.047933884296</v>
      </c>
      <c r="BM272" s="239">
        <v>4381.261983471074</v>
      </c>
      <c r="BN272" s="239">
        <v>0</v>
      </c>
      <c r="BO272" s="239">
        <v>14202</v>
      </c>
      <c r="BP272" s="239">
        <v>3551</v>
      </c>
      <c r="BQ272" s="239">
        <v>0</v>
      </c>
      <c r="BR272" s="239">
        <v>3323</v>
      </c>
      <c r="BS272" s="239">
        <v>830</v>
      </c>
      <c r="BT272" s="239">
        <v>0</v>
      </c>
      <c r="BU272" s="239">
        <v>81.562809917355366</v>
      </c>
      <c r="BV272" s="239">
        <v>20.390702479338842</v>
      </c>
      <c r="BW272" s="239">
        <v>0</v>
      </c>
      <c r="BX272" s="239">
        <v>0</v>
      </c>
      <c r="BY272" s="239">
        <v>0</v>
      </c>
      <c r="BZ272" s="239">
        <v>0</v>
      </c>
      <c r="CA272" s="239">
        <v>82</v>
      </c>
      <c r="CB272" s="239">
        <v>20</v>
      </c>
      <c r="CC272" s="239">
        <v>0</v>
      </c>
      <c r="CD272" s="239">
        <v>0</v>
      </c>
      <c r="CE272" s="239">
        <v>0</v>
      </c>
      <c r="CF272" s="239">
        <v>0</v>
      </c>
      <c r="CG272" s="239">
        <v>0</v>
      </c>
      <c r="CH272" s="239">
        <v>0</v>
      </c>
      <c r="CI272" s="239">
        <v>0</v>
      </c>
      <c r="CJ272" s="239">
        <v>0</v>
      </c>
      <c r="CK272" s="239">
        <v>0</v>
      </c>
      <c r="CL272" s="239">
        <v>0</v>
      </c>
      <c r="CM272" s="239">
        <v>0</v>
      </c>
      <c r="CN272" s="239">
        <v>0</v>
      </c>
      <c r="CO272" s="239">
        <v>0</v>
      </c>
      <c r="CP272" s="239">
        <v>406</v>
      </c>
      <c r="CQ272" s="239">
        <v>101</v>
      </c>
      <c r="CR272" s="239">
        <v>0</v>
      </c>
      <c r="CS272" s="239">
        <v>-406</v>
      </c>
      <c r="CT272" s="239">
        <v>-101</v>
      </c>
      <c r="CU272" s="239">
        <v>0</v>
      </c>
      <c r="CV272" s="239">
        <v>221429.49586776859</v>
      </c>
      <c r="CW272" s="239">
        <v>55357.373966942148</v>
      </c>
      <c r="CX272" s="239">
        <v>0</v>
      </c>
      <c r="CY272" s="239">
        <v>203264</v>
      </c>
      <c r="CZ272" s="239">
        <v>50816</v>
      </c>
      <c r="DA272" s="239">
        <v>0</v>
      </c>
      <c r="DB272" s="239">
        <v>18165</v>
      </c>
      <c r="DC272" s="239">
        <v>4541</v>
      </c>
      <c r="DD272" s="239">
        <v>0</v>
      </c>
      <c r="DE272" s="641">
        <v>0.5</v>
      </c>
      <c r="DF272" s="641">
        <v>0.4</v>
      </c>
      <c r="DG272" s="641">
        <v>0.1</v>
      </c>
      <c r="DH272" s="641">
        <v>0</v>
      </c>
      <c r="DI272" s="214" t="s">
        <v>1190</v>
      </c>
    </row>
    <row r="273" spans="2:113" s="214" customFormat="1" x14ac:dyDescent="0.2">
      <c r="B273" s="609" t="s">
        <v>628</v>
      </c>
      <c r="C273" s="609" t="s">
        <v>627</v>
      </c>
      <c r="D273" s="239">
        <v>969886</v>
      </c>
      <c r="E273" s="239">
        <v>0</v>
      </c>
      <c r="F273" s="239">
        <v>969886</v>
      </c>
      <c r="G273" s="239">
        <v>0</v>
      </c>
      <c r="H273" s="239">
        <v>0</v>
      </c>
      <c r="I273" s="239">
        <v>0</v>
      </c>
      <c r="J273" s="239">
        <v>969886</v>
      </c>
      <c r="K273" s="239">
        <v>0</v>
      </c>
      <c r="L273" s="239">
        <v>969886</v>
      </c>
      <c r="M273" s="239">
        <v>200296</v>
      </c>
      <c r="N273" s="239">
        <v>200296</v>
      </c>
      <c r="O273" s="239">
        <v>0</v>
      </c>
      <c r="P273" s="239">
        <v>0</v>
      </c>
      <c r="Q273" s="239">
        <v>0</v>
      </c>
      <c r="R273" s="239">
        <v>0</v>
      </c>
      <c r="S273" s="239">
        <v>0</v>
      </c>
      <c r="T273" s="239">
        <v>0</v>
      </c>
      <c r="U273" s="239">
        <v>0</v>
      </c>
      <c r="V273" s="239">
        <v>0</v>
      </c>
      <c r="W273" s="239">
        <v>0</v>
      </c>
      <c r="X273" s="239">
        <v>0</v>
      </c>
      <c r="Y273" s="239">
        <v>0</v>
      </c>
      <c r="Z273" s="239">
        <v>0</v>
      </c>
      <c r="AA273" s="239">
        <v>0</v>
      </c>
      <c r="AB273" s="239">
        <v>0</v>
      </c>
      <c r="AC273" s="239">
        <v>0</v>
      </c>
      <c r="AD273" s="239">
        <v>0</v>
      </c>
      <c r="AE273" s="239">
        <v>0</v>
      </c>
      <c r="AF273" s="239">
        <v>0</v>
      </c>
      <c r="AG273" s="239">
        <v>0</v>
      </c>
      <c r="AH273" s="239">
        <v>0</v>
      </c>
      <c r="AI273" s="239">
        <v>0</v>
      </c>
      <c r="AJ273" s="239">
        <v>0</v>
      </c>
      <c r="AK273" s="239">
        <v>455822.58904958679</v>
      </c>
      <c r="AL273" s="239">
        <v>303881.72603305784</v>
      </c>
      <c r="AM273" s="239">
        <v>0</v>
      </c>
      <c r="AN273" s="239">
        <v>425749</v>
      </c>
      <c r="AO273" s="239">
        <v>283833</v>
      </c>
      <c r="AP273" s="239">
        <v>0</v>
      </c>
      <c r="AQ273" s="239">
        <v>30074</v>
      </c>
      <c r="AR273" s="239">
        <v>20049</v>
      </c>
      <c r="AS273" s="239">
        <v>0</v>
      </c>
      <c r="AT273" s="239">
        <v>629.67706611570247</v>
      </c>
      <c r="AU273" s="239">
        <v>419.78471074380167</v>
      </c>
      <c r="AV273" s="239">
        <v>0</v>
      </c>
      <c r="AW273" s="239">
        <v>457</v>
      </c>
      <c r="AX273" s="239">
        <v>304</v>
      </c>
      <c r="AY273" s="239">
        <v>0</v>
      </c>
      <c r="AZ273" s="239">
        <v>173</v>
      </c>
      <c r="BA273" s="239">
        <v>116</v>
      </c>
      <c r="BB273" s="239">
        <v>0</v>
      </c>
      <c r="BC273" s="239">
        <v>-11519.529545454547</v>
      </c>
      <c r="BD273" s="239">
        <v>-7679.6863636363632</v>
      </c>
      <c r="BE273" s="239">
        <v>0</v>
      </c>
      <c r="BF273" s="239">
        <v>25869</v>
      </c>
      <c r="BG273" s="239">
        <v>17246</v>
      </c>
      <c r="BH273" s="239">
        <v>0</v>
      </c>
      <c r="BI273" s="239">
        <v>-37389</v>
      </c>
      <c r="BJ273" s="239">
        <v>-24926</v>
      </c>
      <c r="BK273" s="239">
        <v>0</v>
      </c>
      <c r="BL273" s="239">
        <v>4315.5247933884293</v>
      </c>
      <c r="BM273" s="239">
        <v>2877.0165289256202</v>
      </c>
      <c r="BN273" s="239">
        <v>0</v>
      </c>
      <c r="BO273" s="239">
        <v>608</v>
      </c>
      <c r="BP273" s="239">
        <v>406</v>
      </c>
      <c r="BQ273" s="239">
        <v>0</v>
      </c>
      <c r="BR273" s="239">
        <v>3708</v>
      </c>
      <c r="BS273" s="239">
        <v>2471</v>
      </c>
      <c r="BT273" s="239">
        <v>0</v>
      </c>
      <c r="BU273" s="239">
        <v>36897.73698347107</v>
      </c>
      <c r="BV273" s="239">
        <v>24598.49132231405</v>
      </c>
      <c r="BW273" s="239">
        <v>0</v>
      </c>
      <c r="BX273" s="239">
        <v>0</v>
      </c>
      <c r="BY273" s="239">
        <v>0</v>
      </c>
      <c r="BZ273" s="239">
        <v>0</v>
      </c>
      <c r="CA273" s="239">
        <v>36898</v>
      </c>
      <c r="CB273" s="239">
        <v>24598</v>
      </c>
      <c r="CC273" s="239">
        <v>0</v>
      </c>
      <c r="CD273" s="239">
        <v>0</v>
      </c>
      <c r="CE273" s="239">
        <v>0</v>
      </c>
      <c r="CF273" s="239">
        <v>0</v>
      </c>
      <c r="CG273" s="239">
        <v>0</v>
      </c>
      <c r="CH273" s="239">
        <v>0</v>
      </c>
      <c r="CI273" s="239">
        <v>0</v>
      </c>
      <c r="CJ273" s="239">
        <v>0</v>
      </c>
      <c r="CK273" s="239">
        <v>0</v>
      </c>
      <c r="CL273" s="239">
        <v>0</v>
      </c>
      <c r="CM273" s="239">
        <v>748.97789256198348</v>
      </c>
      <c r="CN273" s="239">
        <v>499.3185950413224</v>
      </c>
      <c r="CO273" s="239">
        <v>0</v>
      </c>
      <c r="CP273" s="239">
        <v>1217</v>
      </c>
      <c r="CQ273" s="239">
        <v>812</v>
      </c>
      <c r="CR273" s="239">
        <v>0</v>
      </c>
      <c r="CS273" s="239">
        <v>-468</v>
      </c>
      <c r="CT273" s="239">
        <v>-313</v>
      </c>
      <c r="CU273" s="239">
        <v>0</v>
      </c>
      <c r="CV273" s="239">
        <v>222742.85640495867</v>
      </c>
      <c r="CW273" s="239">
        <v>148495.23760330578</v>
      </c>
      <c r="CX273" s="239">
        <v>0</v>
      </c>
      <c r="CY273" s="239">
        <v>226561</v>
      </c>
      <c r="CZ273" s="239">
        <v>151040</v>
      </c>
      <c r="DA273" s="239">
        <v>0</v>
      </c>
      <c r="DB273" s="239">
        <v>-3818</v>
      </c>
      <c r="DC273" s="239">
        <v>-2545</v>
      </c>
      <c r="DD273" s="239">
        <v>0</v>
      </c>
      <c r="DE273" s="641">
        <v>0.5</v>
      </c>
      <c r="DF273" s="641">
        <v>0.3</v>
      </c>
      <c r="DG273" s="641">
        <v>0.2</v>
      </c>
      <c r="DH273" s="641">
        <v>0</v>
      </c>
      <c r="DI273" s="214" t="s">
        <v>1191</v>
      </c>
    </row>
    <row r="274" spans="2:113" s="214" customFormat="1" x14ac:dyDescent="0.2">
      <c r="B274" s="609" t="s">
        <v>630</v>
      </c>
      <c r="C274" s="609" t="s">
        <v>629</v>
      </c>
      <c r="D274" s="239">
        <v>-5533</v>
      </c>
      <c r="E274" s="239">
        <v>0</v>
      </c>
      <c r="F274" s="239">
        <v>-5533</v>
      </c>
      <c r="G274" s="239">
        <v>0</v>
      </c>
      <c r="H274" s="239">
        <v>0</v>
      </c>
      <c r="I274" s="239">
        <v>0</v>
      </c>
      <c r="J274" s="239">
        <v>-5533</v>
      </c>
      <c r="K274" s="239">
        <v>0</v>
      </c>
      <c r="L274" s="239">
        <v>-5533</v>
      </c>
      <c r="M274" s="239">
        <v>183983</v>
      </c>
      <c r="N274" s="239">
        <v>183983</v>
      </c>
      <c r="O274" s="239">
        <v>0</v>
      </c>
      <c r="P274" s="239">
        <v>0</v>
      </c>
      <c r="Q274" s="239">
        <v>0</v>
      </c>
      <c r="R274" s="239">
        <v>0</v>
      </c>
      <c r="S274" s="239">
        <v>339497</v>
      </c>
      <c r="T274" s="239">
        <v>715680</v>
      </c>
      <c r="U274" s="239">
        <v>81313</v>
      </c>
      <c r="V274" s="239">
        <v>795200</v>
      </c>
      <c r="W274" s="239">
        <v>258184</v>
      </c>
      <c r="X274" s="239">
        <v>-79520</v>
      </c>
      <c r="Y274" s="239">
        <v>0</v>
      </c>
      <c r="Z274" s="239">
        <v>0</v>
      </c>
      <c r="AA274" s="239">
        <v>0</v>
      </c>
      <c r="AB274" s="239">
        <v>0</v>
      </c>
      <c r="AC274" s="239">
        <v>0</v>
      </c>
      <c r="AD274" s="239">
        <v>0</v>
      </c>
      <c r="AE274" s="239">
        <v>0</v>
      </c>
      <c r="AF274" s="239">
        <v>0</v>
      </c>
      <c r="AG274" s="239">
        <v>0</v>
      </c>
      <c r="AH274" s="239">
        <v>0</v>
      </c>
      <c r="AI274" s="239">
        <v>0</v>
      </c>
      <c r="AJ274" s="239">
        <v>0</v>
      </c>
      <c r="AK274" s="239">
        <v>689378.20247933886</v>
      </c>
      <c r="AL274" s="239">
        <v>155110.09555785122</v>
      </c>
      <c r="AM274" s="239">
        <v>17234.45506198347</v>
      </c>
      <c r="AN274" s="239">
        <v>697539</v>
      </c>
      <c r="AO274" s="239">
        <v>156946</v>
      </c>
      <c r="AP274" s="239">
        <v>17438</v>
      </c>
      <c r="AQ274" s="239">
        <v>-8161</v>
      </c>
      <c r="AR274" s="239">
        <v>-1836</v>
      </c>
      <c r="AS274" s="239">
        <v>-204</v>
      </c>
      <c r="AT274" s="239">
        <v>4350.8280991735537</v>
      </c>
      <c r="AU274" s="239">
        <v>978.93632231404956</v>
      </c>
      <c r="AV274" s="239">
        <v>108.77070247933884</v>
      </c>
      <c r="AW274" s="239">
        <v>1605</v>
      </c>
      <c r="AX274" s="239">
        <v>361</v>
      </c>
      <c r="AY274" s="239">
        <v>40</v>
      </c>
      <c r="AZ274" s="239">
        <v>2746</v>
      </c>
      <c r="BA274" s="239">
        <v>618</v>
      </c>
      <c r="BB274" s="239">
        <v>69</v>
      </c>
      <c r="BC274" s="239">
        <v>90811.464462809919</v>
      </c>
      <c r="BD274" s="239">
        <v>20432.579504132227</v>
      </c>
      <c r="BE274" s="239">
        <v>2270.2866115702477</v>
      </c>
      <c r="BF274" s="239">
        <v>57921</v>
      </c>
      <c r="BG274" s="239">
        <v>13032</v>
      </c>
      <c r="BH274" s="239">
        <v>1448</v>
      </c>
      <c r="BI274" s="239">
        <v>32890</v>
      </c>
      <c r="BJ274" s="239">
        <v>7401</v>
      </c>
      <c r="BK274" s="239">
        <v>822</v>
      </c>
      <c r="BL274" s="239">
        <v>916.26280991735541</v>
      </c>
      <c r="BM274" s="239">
        <v>206.15913223140495</v>
      </c>
      <c r="BN274" s="239">
        <v>22.906570247933885</v>
      </c>
      <c r="BO274" s="239">
        <v>5318</v>
      </c>
      <c r="BP274" s="239">
        <v>1196</v>
      </c>
      <c r="BQ274" s="239">
        <v>133</v>
      </c>
      <c r="BR274" s="239">
        <v>-4402</v>
      </c>
      <c r="BS274" s="239">
        <v>-990</v>
      </c>
      <c r="BT274" s="239">
        <v>-110</v>
      </c>
      <c r="BU274" s="239">
        <v>-820.09173553719017</v>
      </c>
      <c r="BV274" s="239">
        <v>-184.52064049586778</v>
      </c>
      <c r="BW274" s="239">
        <v>-20.502293388429752</v>
      </c>
      <c r="BX274" s="239">
        <v>0</v>
      </c>
      <c r="BY274" s="239">
        <v>0</v>
      </c>
      <c r="BZ274" s="239">
        <v>0</v>
      </c>
      <c r="CA274" s="239">
        <v>-820</v>
      </c>
      <c r="CB274" s="239">
        <v>-185</v>
      </c>
      <c r="CC274" s="239">
        <v>-21</v>
      </c>
      <c r="CD274" s="239">
        <v>0</v>
      </c>
      <c r="CE274" s="239">
        <v>0</v>
      </c>
      <c r="CF274" s="239">
        <v>0</v>
      </c>
      <c r="CG274" s="239">
        <v>0</v>
      </c>
      <c r="CH274" s="239">
        <v>0</v>
      </c>
      <c r="CI274" s="239">
        <v>0</v>
      </c>
      <c r="CJ274" s="239">
        <v>0</v>
      </c>
      <c r="CK274" s="239">
        <v>0</v>
      </c>
      <c r="CL274" s="239">
        <v>0</v>
      </c>
      <c r="CM274" s="239">
        <v>4207.9917355371908</v>
      </c>
      <c r="CN274" s="239">
        <v>946.79814049586776</v>
      </c>
      <c r="CO274" s="239">
        <v>105.19979338842977</v>
      </c>
      <c r="CP274" s="239">
        <v>4570</v>
      </c>
      <c r="CQ274" s="239">
        <v>1028</v>
      </c>
      <c r="CR274" s="239">
        <v>114</v>
      </c>
      <c r="CS274" s="239">
        <v>-362</v>
      </c>
      <c r="CT274" s="239">
        <v>-81</v>
      </c>
      <c r="CU274" s="239">
        <v>-9</v>
      </c>
      <c r="CV274" s="239">
        <v>269725.87148760335</v>
      </c>
      <c r="CW274" s="239">
        <v>69934.296756198339</v>
      </c>
      <c r="CX274" s="239">
        <v>6620.3947727272734</v>
      </c>
      <c r="CY274" s="239">
        <v>256298</v>
      </c>
      <c r="CZ274" s="239">
        <v>68903</v>
      </c>
      <c r="DA274" s="239">
        <v>6378</v>
      </c>
      <c r="DB274" s="239">
        <v>13428</v>
      </c>
      <c r="DC274" s="239">
        <v>1031</v>
      </c>
      <c r="DD274" s="239">
        <v>242</v>
      </c>
      <c r="DE274" s="641">
        <v>0.5</v>
      </c>
      <c r="DF274" s="641">
        <v>0.4</v>
      </c>
      <c r="DG274" s="641">
        <v>0.09</v>
      </c>
      <c r="DH274" s="641">
        <v>0.01</v>
      </c>
      <c r="DI274" s="214" t="s">
        <v>1190</v>
      </c>
    </row>
    <row r="275" spans="2:113" s="214" customFormat="1" x14ac:dyDescent="0.2">
      <c r="B275" s="609" t="s">
        <v>632</v>
      </c>
      <c r="C275" s="609" t="s">
        <v>631</v>
      </c>
      <c r="D275" s="239">
        <v>-716799</v>
      </c>
      <c r="E275" s="239">
        <v>0</v>
      </c>
      <c r="F275" s="239">
        <v>-716799</v>
      </c>
      <c r="G275" s="239">
        <v>0</v>
      </c>
      <c r="H275" s="239">
        <v>0</v>
      </c>
      <c r="I275" s="239">
        <v>0</v>
      </c>
      <c r="J275" s="239">
        <v>-716799</v>
      </c>
      <c r="K275" s="239">
        <v>0</v>
      </c>
      <c r="L275" s="239">
        <v>-716799</v>
      </c>
      <c r="M275" s="239">
        <v>276655</v>
      </c>
      <c r="N275" s="239">
        <v>276655</v>
      </c>
      <c r="O275" s="239">
        <v>0</v>
      </c>
      <c r="P275" s="239">
        <v>0</v>
      </c>
      <c r="Q275" s="239">
        <v>0</v>
      </c>
      <c r="R275" s="239">
        <v>0</v>
      </c>
      <c r="S275" s="239">
        <v>650951</v>
      </c>
      <c r="T275" s="239">
        <v>0</v>
      </c>
      <c r="U275" s="239">
        <v>560476</v>
      </c>
      <c r="V275" s="239">
        <v>0</v>
      </c>
      <c r="W275" s="239">
        <v>90475</v>
      </c>
      <c r="X275" s="239">
        <v>0</v>
      </c>
      <c r="Y275" s="239">
        <v>0</v>
      </c>
      <c r="Z275" s="239">
        <v>0</v>
      </c>
      <c r="AA275" s="239">
        <v>0</v>
      </c>
      <c r="AB275" s="239">
        <v>0</v>
      </c>
      <c r="AC275" s="239">
        <v>0</v>
      </c>
      <c r="AD275" s="239">
        <v>0</v>
      </c>
      <c r="AE275" s="239">
        <v>0</v>
      </c>
      <c r="AF275" s="239">
        <v>0</v>
      </c>
      <c r="AG275" s="239">
        <v>0</v>
      </c>
      <c r="AH275" s="239">
        <v>0</v>
      </c>
      <c r="AI275" s="239">
        <v>0</v>
      </c>
      <c r="AJ275" s="239">
        <v>0</v>
      </c>
      <c r="AK275" s="239">
        <v>748842.09149793384</v>
      </c>
      <c r="AL275" s="239">
        <v>0</v>
      </c>
      <c r="AM275" s="239">
        <v>15282.491663223142</v>
      </c>
      <c r="AN275" s="239">
        <v>709624</v>
      </c>
      <c r="AO275" s="239">
        <v>0</v>
      </c>
      <c r="AP275" s="239">
        <v>14482</v>
      </c>
      <c r="AQ275" s="239">
        <v>39218</v>
      </c>
      <c r="AR275" s="239">
        <v>0</v>
      </c>
      <c r="AS275" s="239">
        <v>800</v>
      </c>
      <c r="AT275" s="239">
        <v>4029.3854132231399</v>
      </c>
      <c r="AU275" s="239">
        <v>0</v>
      </c>
      <c r="AV275" s="239">
        <v>82.232355371900823</v>
      </c>
      <c r="AW275" s="239">
        <v>2091</v>
      </c>
      <c r="AX275" s="239">
        <v>0</v>
      </c>
      <c r="AY275" s="239">
        <v>43</v>
      </c>
      <c r="AZ275" s="239">
        <v>1938</v>
      </c>
      <c r="BA275" s="239">
        <v>0</v>
      </c>
      <c r="BB275" s="239">
        <v>39</v>
      </c>
      <c r="BC275" s="239">
        <v>4765.5709297520661</v>
      </c>
      <c r="BD275" s="239">
        <v>0</v>
      </c>
      <c r="BE275" s="239">
        <v>97.25654958677687</v>
      </c>
      <c r="BF275" s="239">
        <v>0</v>
      </c>
      <c r="BG275" s="239">
        <v>0</v>
      </c>
      <c r="BH275" s="239">
        <v>0</v>
      </c>
      <c r="BI275" s="239">
        <v>4766</v>
      </c>
      <c r="BJ275" s="239">
        <v>0</v>
      </c>
      <c r="BK275" s="239">
        <v>97</v>
      </c>
      <c r="BL275" s="239">
        <v>41725.464049586779</v>
      </c>
      <c r="BM275" s="239">
        <v>0</v>
      </c>
      <c r="BN275" s="239">
        <v>851.540082644628</v>
      </c>
      <c r="BO275" s="239">
        <v>1534</v>
      </c>
      <c r="BP275" s="239">
        <v>0</v>
      </c>
      <c r="BQ275" s="239">
        <v>31</v>
      </c>
      <c r="BR275" s="239">
        <v>40191</v>
      </c>
      <c r="BS275" s="239">
        <v>0</v>
      </c>
      <c r="BT275" s="239">
        <v>821</v>
      </c>
      <c r="BU275" s="239">
        <v>11902.742871900826</v>
      </c>
      <c r="BV275" s="239">
        <v>0</v>
      </c>
      <c r="BW275" s="239">
        <v>242.91311983471076</v>
      </c>
      <c r="BX275" s="239">
        <v>0</v>
      </c>
      <c r="BY275" s="239">
        <v>0</v>
      </c>
      <c r="BZ275" s="239">
        <v>0</v>
      </c>
      <c r="CA275" s="239">
        <v>11903</v>
      </c>
      <c r="CB275" s="239">
        <v>0</v>
      </c>
      <c r="CC275" s="239">
        <v>243</v>
      </c>
      <c r="CD275" s="239">
        <v>0</v>
      </c>
      <c r="CE275" s="239">
        <v>0</v>
      </c>
      <c r="CF275" s="239">
        <v>0</v>
      </c>
      <c r="CG275" s="239">
        <v>0</v>
      </c>
      <c r="CH275" s="239">
        <v>0</v>
      </c>
      <c r="CI275" s="239">
        <v>0</v>
      </c>
      <c r="CJ275" s="239">
        <v>0</v>
      </c>
      <c r="CK275" s="239">
        <v>0</v>
      </c>
      <c r="CL275" s="239">
        <v>0</v>
      </c>
      <c r="CM275" s="239">
        <v>0</v>
      </c>
      <c r="CN275" s="239">
        <v>0</v>
      </c>
      <c r="CO275" s="239">
        <v>0</v>
      </c>
      <c r="CP275" s="239">
        <v>0</v>
      </c>
      <c r="CQ275" s="239">
        <v>0</v>
      </c>
      <c r="CR275" s="239">
        <v>0</v>
      </c>
      <c r="CS275" s="239">
        <v>0</v>
      </c>
      <c r="CT275" s="239">
        <v>0</v>
      </c>
      <c r="CU275" s="239">
        <v>0</v>
      </c>
      <c r="CV275" s="239">
        <v>767946.72123966936</v>
      </c>
      <c r="CW275" s="239">
        <v>0</v>
      </c>
      <c r="CX275" s="239">
        <v>15480.247768595042</v>
      </c>
      <c r="CY275" s="239">
        <v>767927</v>
      </c>
      <c r="CZ275" s="239">
        <v>0</v>
      </c>
      <c r="DA275" s="239">
        <v>15507</v>
      </c>
      <c r="DB275" s="239">
        <v>20</v>
      </c>
      <c r="DC275" s="239">
        <v>0</v>
      </c>
      <c r="DD275" s="239">
        <v>-27</v>
      </c>
      <c r="DE275" s="641">
        <v>0.5</v>
      </c>
      <c r="DF275" s="641">
        <v>0.49</v>
      </c>
      <c r="DG275" s="641">
        <v>0</v>
      </c>
      <c r="DH275" s="641">
        <v>0.01</v>
      </c>
      <c r="DI275" s="214" t="s">
        <v>747</v>
      </c>
    </row>
    <row r="276" spans="2:113" s="214" customFormat="1" x14ac:dyDescent="0.2">
      <c r="B276" s="609" t="s">
        <v>634</v>
      </c>
      <c r="C276" s="609" t="s">
        <v>633</v>
      </c>
      <c r="D276" s="239">
        <v>-123116</v>
      </c>
      <c r="E276" s="239">
        <v>0</v>
      </c>
      <c r="F276" s="239">
        <v>-123116</v>
      </c>
      <c r="G276" s="239">
        <v>0</v>
      </c>
      <c r="H276" s="239">
        <v>0</v>
      </c>
      <c r="I276" s="239">
        <v>0</v>
      </c>
      <c r="J276" s="239">
        <v>-123116</v>
      </c>
      <c r="K276" s="239">
        <v>0</v>
      </c>
      <c r="L276" s="239">
        <v>-123116</v>
      </c>
      <c r="M276" s="239">
        <v>300706</v>
      </c>
      <c r="N276" s="239">
        <v>300706</v>
      </c>
      <c r="O276" s="239">
        <v>0</v>
      </c>
      <c r="P276" s="239">
        <v>0</v>
      </c>
      <c r="Q276" s="239">
        <v>0</v>
      </c>
      <c r="R276" s="239">
        <v>0</v>
      </c>
      <c r="S276" s="239">
        <v>0</v>
      </c>
      <c r="T276" s="239">
        <v>0</v>
      </c>
      <c r="U276" s="239">
        <v>0</v>
      </c>
      <c r="V276" s="239">
        <v>0</v>
      </c>
      <c r="W276" s="239">
        <v>0</v>
      </c>
      <c r="X276" s="239">
        <v>0</v>
      </c>
      <c r="Y276" s="239">
        <v>0</v>
      </c>
      <c r="Z276" s="239">
        <v>0</v>
      </c>
      <c r="AA276" s="239">
        <v>0</v>
      </c>
      <c r="AB276" s="239">
        <v>0</v>
      </c>
      <c r="AC276" s="239">
        <v>0</v>
      </c>
      <c r="AD276" s="239">
        <v>0</v>
      </c>
      <c r="AE276" s="239">
        <v>0</v>
      </c>
      <c r="AF276" s="239">
        <v>0</v>
      </c>
      <c r="AG276" s="239">
        <v>0</v>
      </c>
      <c r="AH276" s="239">
        <v>0</v>
      </c>
      <c r="AI276" s="239">
        <v>0</v>
      </c>
      <c r="AJ276" s="239">
        <v>0</v>
      </c>
      <c r="AK276" s="239">
        <v>1624651.3302582644</v>
      </c>
      <c r="AL276" s="239">
        <v>0</v>
      </c>
      <c r="AM276" s="239">
        <v>33156.14959710744</v>
      </c>
      <c r="AN276" s="239">
        <v>1507093</v>
      </c>
      <c r="AO276" s="239">
        <v>0</v>
      </c>
      <c r="AP276" s="239">
        <v>30757</v>
      </c>
      <c r="AQ276" s="239">
        <v>117558</v>
      </c>
      <c r="AR276" s="239">
        <v>0</v>
      </c>
      <c r="AS276" s="239">
        <v>2399</v>
      </c>
      <c r="AT276" s="239">
        <v>0</v>
      </c>
      <c r="AU276" s="239">
        <v>0</v>
      </c>
      <c r="AV276" s="239">
        <v>0</v>
      </c>
      <c r="AW276" s="239">
        <v>5468</v>
      </c>
      <c r="AX276" s="239">
        <v>0</v>
      </c>
      <c r="AY276" s="239">
        <v>112</v>
      </c>
      <c r="AZ276" s="239">
        <v>-5468</v>
      </c>
      <c r="BA276" s="239">
        <v>0</v>
      </c>
      <c r="BB276" s="239">
        <v>-112</v>
      </c>
      <c r="BC276" s="239">
        <v>11033.338099173552</v>
      </c>
      <c r="BD276" s="239">
        <v>0</v>
      </c>
      <c r="BE276" s="239">
        <v>225.17016528925618</v>
      </c>
      <c r="BF276" s="239">
        <v>0</v>
      </c>
      <c r="BG276" s="239">
        <v>0</v>
      </c>
      <c r="BH276" s="239">
        <v>0</v>
      </c>
      <c r="BI276" s="239">
        <v>11033</v>
      </c>
      <c r="BJ276" s="239">
        <v>0</v>
      </c>
      <c r="BK276" s="239">
        <v>225</v>
      </c>
      <c r="BL276" s="239">
        <v>9865.1841735537182</v>
      </c>
      <c r="BM276" s="239">
        <v>0</v>
      </c>
      <c r="BN276" s="239">
        <v>201.33028925619831</v>
      </c>
      <c r="BO276" s="239">
        <v>23717</v>
      </c>
      <c r="BP276" s="239">
        <v>0</v>
      </c>
      <c r="BQ276" s="239">
        <v>484</v>
      </c>
      <c r="BR276" s="239">
        <v>-13852</v>
      </c>
      <c r="BS276" s="239">
        <v>0</v>
      </c>
      <c r="BT276" s="239">
        <v>-283</v>
      </c>
      <c r="BU276" s="239">
        <v>1800.4483057851239</v>
      </c>
      <c r="BV276" s="239">
        <v>0</v>
      </c>
      <c r="BW276" s="239">
        <v>36.743842975206611</v>
      </c>
      <c r="BX276" s="239">
        <v>0</v>
      </c>
      <c r="BY276" s="239">
        <v>0</v>
      </c>
      <c r="BZ276" s="239">
        <v>0</v>
      </c>
      <c r="CA276" s="239">
        <v>1800</v>
      </c>
      <c r="CB276" s="239">
        <v>0</v>
      </c>
      <c r="CC276" s="239">
        <v>37</v>
      </c>
      <c r="CD276" s="239">
        <v>0</v>
      </c>
      <c r="CE276" s="239">
        <v>0</v>
      </c>
      <c r="CF276" s="239">
        <v>0</v>
      </c>
      <c r="CG276" s="239">
        <v>0</v>
      </c>
      <c r="CH276" s="239">
        <v>0</v>
      </c>
      <c r="CI276" s="239">
        <v>0</v>
      </c>
      <c r="CJ276" s="239">
        <v>0</v>
      </c>
      <c r="CK276" s="239">
        <v>0</v>
      </c>
      <c r="CL276" s="239">
        <v>0</v>
      </c>
      <c r="CM276" s="239">
        <v>4686.0370454545455</v>
      </c>
      <c r="CN276" s="239">
        <v>0</v>
      </c>
      <c r="CO276" s="239">
        <v>95.633409090909097</v>
      </c>
      <c r="CP276" s="239">
        <v>8948</v>
      </c>
      <c r="CQ276" s="239">
        <v>0</v>
      </c>
      <c r="CR276" s="239">
        <v>183</v>
      </c>
      <c r="CS276" s="239">
        <v>-4262</v>
      </c>
      <c r="CT276" s="239">
        <v>0</v>
      </c>
      <c r="CU276" s="239">
        <v>-87</v>
      </c>
      <c r="CV276" s="239">
        <v>391977.08338842978</v>
      </c>
      <c r="CW276" s="239">
        <v>0</v>
      </c>
      <c r="CX276" s="239">
        <v>7999.5323140495866</v>
      </c>
      <c r="CY276" s="239">
        <v>415059</v>
      </c>
      <c r="CZ276" s="239">
        <v>0</v>
      </c>
      <c r="DA276" s="239">
        <v>8471</v>
      </c>
      <c r="DB276" s="239">
        <v>-23082</v>
      </c>
      <c r="DC276" s="239">
        <v>0</v>
      </c>
      <c r="DD276" s="239">
        <v>-471</v>
      </c>
      <c r="DE276" s="641">
        <v>0.5</v>
      </c>
      <c r="DF276" s="641">
        <v>0.49</v>
      </c>
      <c r="DG276" s="641">
        <v>0</v>
      </c>
      <c r="DH276" s="641">
        <v>0.01</v>
      </c>
      <c r="DI276" s="214" t="s">
        <v>1192</v>
      </c>
    </row>
    <row r="277" spans="2:113" s="214" customFormat="1" x14ac:dyDescent="0.2">
      <c r="B277" s="609" t="s">
        <v>636</v>
      </c>
      <c r="C277" s="609" t="s">
        <v>635</v>
      </c>
      <c r="D277" s="239">
        <v>-23213</v>
      </c>
      <c r="E277" s="239">
        <v>0</v>
      </c>
      <c r="F277" s="239">
        <v>-23213</v>
      </c>
      <c r="G277" s="239">
        <v>0</v>
      </c>
      <c r="H277" s="239">
        <v>0</v>
      </c>
      <c r="I277" s="239">
        <v>0</v>
      </c>
      <c r="J277" s="239">
        <v>-23213</v>
      </c>
      <c r="K277" s="239">
        <v>0</v>
      </c>
      <c r="L277" s="239">
        <v>-23213</v>
      </c>
      <c r="M277" s="239">
        <v>91702</v>
      </c>
      <c r="N277" s="239">
        <v>91702</v>
      </c>
      <c r="O277" s="239">
        <v>0</v>
      </c>
      <c r="P277" s="239">
        <v>0</v>
      </c>
      <c r="Q277" s="239">
        <v>0</v>
      </c>
      <c r="R277" s="239">
        <v>0</v>
      </c>
      <c r="S277" s="239">
        <v>0</v>
      </c>
      <c r="T277" s="239">
        <v>0</v>
      </c>
      <c r="U277" s="239">
        <v>0</v>
      </c>
      <c r="V277" s="239">
        <v>0</v>
      </c>
      <c r="W277" s="239">
        <v>0</v>
      </c>
      <c r="X277" s="239">
        <v>0</v>
      </c>
      <c r="Y277" s="239">
        <v>0</v>
      </c>
      <c r="Z277" s="239">
        <v>0</v>
      </c>
      <c r="AA277" s="239">
        <v>0</v>
      </c>
      <c r="AB277" s="239">
        <v>0</v>
      </c>
      <c r="AC277" s="239">
        <v>0</v>
      </c>
      <c r="AD277" s="239">
        <v>0</v>
      </c>
      <c r="AE277" s="239">
        <v>0</v>
      </c>
      <c r="AF277" s="239">
        <v>0</v>
      </c>
      <c r="AG277" s="239">
        <v>0</v>
      </c>
      <c r="AH277" s="239">
        <v>0</v>
      </c>
      <c r="AI277" s="239">
        <v>0</v>
      </c>
      <c r="AJ277" s="239">
        <v>0</v>
      </c>
      <c r="AK277" s="239">
        <v>270485.40743801655</v>
      </c>
      <c r="AL277" s="239">
        <v>60859.216673553718</v>
      </c>
      <c r="AM277" s="239">
        <v>6762.1351859504139</v>
      </c>
      <c r="AN277" s="239">
        <v>244638</v>
      </c>
      <c r="AO277" s="239">
        <v>55044</v>
      </c>
      <c r="AP277" s="239">
        <v>6116</v>
      </c>
      <c r="AQ277" s="239">
        <v>25847</v>
      </c>
      <c r="AR277" s="239">
        <v>5815</v>
      </c>
      <c r="AS277" s="239">
        <v>646</v>
      </c>
      <c r="AT277" s="239">
        <v>0</v>
      </c>
      <c r="AU277" s="239">
        <v>0</v>
      </c>
      <c r="AV277" s="239">
        <v>0</v>
      </c>
      <c r="AW277" s="239">
        <v>0</v>
      </c>
      <c r="AX277" s="239">
        <v>0</v>
      </c>
      <c r="AY277" s="239">
        <v>0</v>
      </c>
      <c r="AZ277" s="239">
        <v>0</v>
      </c>
      <c r="BA277" s="239">
        <v>0</v>
      </c>
      <c r="BB277" s="239">
        <v>0</v>
      </c>
      <c r="BC277" s="239">
        <v>0</v>
      </c>
      <c r="BD277" s="239">
        <v>0</v>
      </c>
      <c r="BE277" s="239">
        <v>0</v>
      </c>
      <c r="BF277" s="239">
        <v>0</v>
      </c>
      <c r="BG277" s="239">
        <v>0</v>
      </c>
      <c r="BH277" s="239">
        <v>0</v>
      </c>
      <c r="BI277" s="239">
        <v>0</v>
      </c>
      <c r="BJ277" s="239">
        <v>0</v>
      </c>
      <c r="BK277" s="239">
        <v>0</v>
      </c>
      <c r="BL277" s="239">
        <v>2772.7297520661155</v>
      </c>
      <c r="BM277" s="239">
        <v>623.86419421487597</v>
      </c>
      <c r="BN277" s="239">
        <v>69.318243801652883</v>
      </c>
      <c r="BO277" s="239">
        <v>24966</v>
      </c>
      <c r="BP277" s="239">
        <v>5618</v>
      </c>
      <c r="BQ277" s="239">
        <v>624</v>
      </c>
      <c r="BR277" s="239">
        <v>-22193</v>
      </c>
      <c r="BS277" s="239">
        <v>-4994</v>
      </c>
      <c r="BT277" s="239">
        <v>-555</v>
      </c>
      <c r="BU277" s="239">
        <v>-1409.6975206611571</v>
      </c>
      <c r="BV277" s="239">
        <v>-317.18194214876036</v>
      </c>
      <c r="BW277" s="239">
        <v>-35.242438016528929</v>
      </c>
      <c r="BX277" s="239">
        <v>0</v>
      </c>
      <c r="BY277" s="239">
        <v>0</v>
      </c>
      <c r="BZ277" s="239">
        <v>0</v>
      </c>
      <c r="CA277" s="239">
        <v>-1410</v>
      </c>
      <c r="CB277" s="239">
        <v>-317</v>
      </c>
      <c r="CC277" s="239">
        <v>-35</v>
      </c>
      <c r="CD277" s="239">
        <v>0</v>
      </c>
      <c r="CE277" s="239">
        <v>0</v>
      </c>
      <c r="CF277" s="239">
        <v>0</v>
      </c>
      <c r="CG277" s="239">
        <v>0</v>
      </c>
      <c r="CH277" s="239">
        <v>0</v>
      </c>
      <c r="CI277" s="239">
        <v>0</v>
      </c>
      <c r="CJ277" s="239">
        <v>0</v>
      </c>
      <c r="CK277" s="239">
        <v>0</v>
      </c>
      <c r="CL277" s="239">
        <v>0</v>
      </c>
      <c r="CM277" s="239">
        <v>0</v>
      </c>
      <c r="CN277" s="239">
        <v>0</v>
      </c>
      <c r="CO277" s="239">
        <v>0</v>
      </c>
      <c r="CP277" s="239">
        <v>0</v>
      </c>
      <c r="CQ277" s="239">
        <v>0</v>
      </c>
      <c r="CR277" s="239">
        <v>0</v>
      </c>
      <c r="CS277" s="239">
        <v>0</v>
      </c>
      <c r="CT277" s="239">
        <v>0</v>
      </c>
      <c r="CU277" s="239">
        <v>0</v>
      </c>
      <c r="CV277" s="239">
        <v>198666.87851239674</v>
      </c>
      <c r="CW277" s="239">
        <v>44700.047665289254</v>
      </c>
      <c r="CX277" s="239">
        <v>4966.6719628099172</v>
      </c>
      <c r="CY277" s="239">
        <v>191810</v>
      </c>
      <c r="CZ277" s="239">
        <v>43157</v>
      </c>
      <c r="DA277" s="239">
        <v>4795</v>
      </c>
      <c r="DB277" s="239">
        <v>6857</v>
      </c>
      <c r="DC277" s="239">
        <v>1543</v>
      </c>
      <c r="DD277" s="239">
        <v>172</v>
      </c>
      <c r="DE277" s="641">
        <v>0.5</v>
      </c>
      <c r="DF277" s="641">
        <v>0.4</v>
      </c>
      <c r="DG277" s="641">
        <v>0.09</v>
      </c>
      <c r="DH277" s="641">
        <v>0.01</v>
      </c>
      <c r="DI277" s="214" t="s">
        <v>1190</v>
      </c>
    </row>
    <row r="278" spans="2:113" s="214" customFormat="1" x14ac:dyDescent="0.2">
      <c r="B278" s="609" t="s">
        <v>638</v>
      </c>
      <c r="C278" s="609" t="s">
        <v>637</v>
      </c>
      <c r="D278" s="239">
        <v>-172394</v>
      </c>
      <c r="E278" s="239">
        <v>0</v>
      </c>
      <c r="F278" s="239">
        <v>-172394</v>
      </c>
      <c r="G278" s="239">
        <v>0</v>
      </c>
      <c r="H278" s="239">
        <v>0</v>
      </c>
      <c r="I278" s="239">
        <v>0</v>
      </c>
      <c r="J278" s="239">
        <v>-172394</v>
      </c>
      <c r="K278" s="239">
        <v>0</v>
      </c>
      <c r="L278" s="239">
        <v>-172394</v>
      </c>
      <c r="M278" s="239">
        <v>125449</v>
      </c>
      <c r="N278" s="239">
        <v>125449</v>
      </c>
      <c r="O278" s="239">
        <v>0</v>
      </c>
      <c r="P278" s="239">
        <v>0</v>
      </c>
      <c r="Q278" s="239">
        <v>0</v>
      </c>
      <c r="R278" s="239">
        <v>0</v>
      </c>
      <c r="S278" s="239">
        <v>0</v>
      </c>
      <c r="T278" s="239">
        <v>0</v>
      </c>
      <c r="U278" s="239">
        <v>0</v>
      </c>
      <c r="V278" s="239">
        <v>0</v>
      </c>
      <c r="W278" s="239">
        <v>0</v>
      </c>
      <c r="X278" s="239">
        <v>0</v>
      </c>
      <c r="Y278" s="239">
        <v>0</v>
      </c>
      <c r="Z278" s="239">
        <v>0</v>
      </c>
      <c r="AA278" s="239">
        <v>0</v>
      </c>
      <c r="AB278" s="239">
        <v>0</v>
      </c>
      <c r="AC278" s="239">
        <v>0</v>
      </c>
      <c r="AD278" s="239">
        <v>0</v>
      </c>
      <c r="AE278" s="239">
        <v>0</v>
      </c>
      <c r="AF278" s="239">
        <v>0</v>
      </c>
      <c r="AG278" s="239">
        <v>0</v>
      </c>
      <c r="AH278" s="239">
        <v>0</v>
      </c>
      <c r="AI278" s="239">
        <v>0</v>
      </c>
      <c r="AJ278" s="239">
        <v>0</v>
      </c>
      <c r="AK278" s="239">
        <v>467023.17148760328</v>
      </c>
      <c r="AL278" s="239">
        <v>116755.79287190082</v>
      </c>
      <c r="AM278" s="239">
        <v>0</v>
      </c>
      <c r="AN278" s="239">
        <v>427712</v>
      </c>
      <c r="AO278" s="239">
        <v>106928</v>
      </c>
      <c r="AP278" s="239">
        <v>0</v>
      </c>
      <c r="AQ278" s="239">
        <v>39311</v>
      </c>
      <c r="AR278" s="239">
        <v>9828</v>
      </c>
      <c r="AS278" s="239">
        <v>0</v>
      </c>
      <c r="AT278" s="239">
        <v>242.25371900826445</v>
      </c>
      <c r="AU278" s="239">
        <v>60.563429752066114</v>
      </c>
      <c r="AV278" s="239">
        <v>0</v>
      </c>
      <c r="AW278" s="239">
        <v>1164</v>
      </c>
      <c r="AX278" s="239">
        <v>291</v>
      </c>
      <c r="AY278" s="239">
        <v>0</v>
      </c>
      <c r="AZ278" s="239">
        <v>-922</v>
      </c>
      <c r="BA278" s="239">
        <v>-230</v>
      </c>
      <c r="BB278" s="239">
        <v>0</v>
      </c>
      <c r="BC278" s="239">
        <v>3026.3454545454547</v>
      </c>
      <c r="BD278" s="239">
        <v>756.58636363636367</v>
      </c>
      <c r="BE278" s="239">
        <v>0</v>
      </c>
      <c r="BF278" s="239">
        <v>0</v>
      </c>
      <c r="BG278" s="239">
        <v>0</v>
      </c>
      <c r="BH278" s="239">
        <v>0</v>
      </c>
      <c r="BI278" s="239">
        <v>3026</v>
      </c>
      <c r="BJ278" s="239">
        <v>757</v>
      </c>
      <c r="BK278" s="239">
        <v>0</v>
      </c>
      <c r="BL278" s="239">
        <v>1766.3826446280996</v>
      </c>
      <c r="BM278" s="239">
        <v>441.59566115702489</v>
      </c>
      <c r="BN278" s="239">
        <v>0</v>
      </c>
      <c r="BO278" s="239">
        <v>0</v>
      </c>
      <c r="BP278" s="239">
        <v>0</v>
      </c>
      <c r="BQ278" s="239">
        <v>0</v>
      </c>
      <c r="BR278" s="239">
        <v>1766</v>
      </c>
      <c r="BS278" s="239">
        <v>442</v>
      </c>
      <c r="BT278" s="239">
        <v>0</v>
      </c>
      <c r="BU278" s="239">
        <v>-1850.3801652892562</v>
      </c>
      <c r="BV278" s="239">
        <v>-462.59504132231405</v>
      </c>
      <c r="BW278" s="239">
        <v>0</v>
      </c>
      <c r="BX278" s="239">
        <v>0</v>
      </c>
      <c r="BY278" s="239">
        <v>0</v>
      </c>
      <c r="BZ278" s="239">
        <v>0</v>
      </c>
      <c r="CA278" s="239">
        <v>-1850</v>
      </c>
      <c r="CB278" s="239">
        <v>-463</v>
      </c>
      <c r="CC278" s="239">
        <v>0</v>
      </c>
      <c r="CD278" s="239">
        <v>0</v>
      </c>
      <c r="CE278" s="239">
        <v>0</v>
      </c>
      <c r="CF278" s="239">
        <v>0</v>
      </c>
      <c r="CG278" s="239">
        <v>0</v>
      </c>
      <c r="CH278" s="239">
        <v>0</v>
      </c>
      <c r="CI278" s="239">
        <v>0</v>
      </c>
      <c r="CJ278" s="239">
        <v>0</v>
      </c>
      <c r="CK278" s="239">
        <v>0</v>
      </c>
      <c r="CL278" s="239">
        <v>0</v>
      </c>
      <c r="CM278" s="239">
        <v>942.23305785123966</v>
      </c>
      <c r="CN278" s="239">
        <v>235.55826446280992</v>
      </c>
      <c r="CO278" s="239">
        <v>0</v>
      </c>
      <c r="CP278" s="239">
        <v>1623</v>
      </c>
      <c r="CQ278" s="239">
        <v>406</v>
      </c>
      <c r="CR278" s="239">
        <v>0</v>
      </c>
      <c r="CS278" s="239">
        <v>-681</v>
      </c>
      <c r="CT278" s="239">
        <v>-170</v>
      </c>
      <c r="CU278" s="239">
        <v>0</v>
      </c>
      <c r="CV278" s="239">
        <v>101901.57438016529</v>
      </c>
      <c r="CW278" s="239">
        <v>25475.393595041322</v>
      </c>
      <c r="CX278" s="239">
        <v>0</v>
      </c>
      <c r="CY278" s="239">
        <v>117034</v>
      </c>
      <c r="CZ278" s="239">
        <v>29259</v>
      </c>
      <c r="DA278" s="239">
        <v>0</v>
      </c>
      <c r="DB278" s="239">
        <v>-15132</v>
      </c>
      <c r="DC278" s="239">
        <v>-3784</v>
      </c>
      <c r="DD278" s="239">
        <v>0</v>
      </c>
      <c r="DE278" s="641">
        <v>0.5</v>
      </c>
      <c r="DF278" s="641">
        <v>0.4</v>
      </c>
      <c r="DG278" s="641">
        <v>0.1</v>
      </c>
      <c r="DH278" s="641">
        <v>0</v>
      </c>
      <c r="DI278" s="214" t="s">
        <v>1190</v>
      </c>
    </row>
    <row r="279" spans="2:113" s="214" customFormat="1" x14ac:dyDescent="0.2">
      <c r="B279" s="609" t="s">
        <v>640</v>
      </c>
      <c r="C279" s="609" t="s">
        <v>639</v>
      </c>
      <c r="D279" s="239">
        <v>-250985</v>
      </c>
      <c r="E279" s="239">
        <v>0</v>
      </c>
      <c r="F279" s="239">
        <v>-250985</v>
      </c>
      <c r="G279" s="239">
        <v>0</v>
      </c>
      <c r="H279" s="239">
        <v>0</v>
      </c>
      <c r="I279" s="239">
        <v>0</v>
      </c>
      <c r="J279" s="239">
        <v>-250985</v>
      </c>
      <c r="K279" s="239">
        <v>0</v>
      </c>
      <c r="L279" s="239">
        <v>-250985</v>
      </c>
      <c r="M279" s="239">
        <v>165399</v>
      </c>
      <c r="N279" s="239">
        <v>165399</v>
      </c>
      <c r="O279" s="239">
        <v>0</v>
      </c>
      <c r="P279" s="239">
        <v>0</v>
      </c>
      <c r="Q279" s="239">
        <v>0</v>
      </c>
      <c r="R279" s="239">
        <v>0</v>
      </c>
      <c r="S279" s="239">
        <v>231822</v>
      </c>
      <c r="T279" s="239">
        <v>0</v>
      </c>
      <c r="U279" s="239">
        <v>197557</v>
      </c>
      <c r="V279" s="239">
        <v>0</v>
      </c>
      <c r="W279" s="239">
        <v>34265</v>
      </c>
      <c r="X279" s="239">
        <v>0</v>
      </c>
      <c r="Y279" s="239">
        <v>0</v>
      </c>
      <c r="Z279" s="239">
        <v>0</v>
      </c>
      <c r="AA279" s="239">
        <v>0</v>
      </c>
      <c r="AB279" s="239">
        <v>0</v>
      </c>
      <c r="AC279" s="239">
        <v>0</v>
      </c>
      <c r="AD279" s="239">
        <v>0</v>
      </c>
      <c r="AE279" s="239">
        <v>0</v>
      </c>
      <c r="AF279" s="239">
        <v>0</v>
      </c>
      <c r="AG279" s="239">
        <v>0</v>
      </c>
      <c r="AH279" s="239">
        <v>0</v>
      </c>
      <c r="AI279" s="239">
        <v>0</v>
      </c>
      <c r="AJ279" s="239">
        <v>0</v>
      </c>
      <c r="AK279" s="239">
        <v>575422.98636363645</v>
      </c>
      <c r="AL279" s="239">
        <v>129470.17193181819</v>
      </c>
      <c r="AM279" s="239">
        <v>14385.574659090909</v>
      </c>
      <c r="AN279" s="239">
        <v>495851</v>
      </c>
      <c r="AO279" s="239">
        <v>111566</v>
      </c>
      <c r="AP279" s="239">
        <v>12396</v>
      </c>
      <c r="AQ279" s="239">
        <v>79572</v>
      </c>
      <c r="AR279" s="239">
        <v>17904</v>
      </c>
      <c r="AS279" s="239">
        <v>1990</v>
      </c>
      <c r="AT279" s="239">
        <v>10177.09090909091</v>
      </c>
      <c r="AU279" s="239">
        <v>2289.8454545454547</v>
      </c>
      <c r="AV279" s="239">
        <v>254.42727272727274</v>
      </c>
      <c r="AW279" s="239">
        <v>0</v>
      </c>
      <c r="AX279" s="239">
        <v>0</v>
      </c>
      <c r="AY279" s="239">
        <v>0</v>
      </c>
      <c r="AZ279" s="239">
        <v>10177</v>
      </c>
      <c r="BA279" s="239">
        <v>2290</v>
      </c>
      <c r="BB279" s="239">
        <v>254</v>
      </c>
      <c r="BC279" s="239">
        <v>2603.9231404958682</v>
      </c>
      <c r="BD279" s="239">
        <v>585.88270661157026</v>
      </c>
      <c r="BE279" s="239">
        <v>65.098078512396697</v>
      </c>
      <c r="BF279" s="239">
        <v>5286</v>
      </c>
      <c r="BG279" s="239">
        <v>1189</v>
      </c>
      <c r="BH279" s="239">
        <v>132</v>
      </c>
      <c r="BI279" s="239">
        <v>-2682</v>
      </c>
      <c r="BJ279" s="239">
        <v>-603</v>
      </c>
      <c r="BK279" s="239">
        <v>-67</v>
      </c>
      <c r="BL279" s="239">
        <v>0</v>
      </c>
      <c r="BM279" s="239">
        <v>0</v>
      </c>
      <c r="BN279" s="239">
        <v>0</v>
      </c>
      <c r="BO279" s="239">
        <v>0</v>
      </c>
      <c r="BP279" s="239">
        <v>0</v>
      </c>
      <c r="BQ279" s="239">
        <v>0</v>
      </c>
      <c r="BR279" s="239">
        <v>0</v>
      </c>
      <c r="BS279" s="239">
        <v>0</v>
      </c>
      <c r="BT279" s="239">
        <v>0</v>
      </c>
      <c r="BU279" s="239">
        <v>2729.3107438016532</v>
      </c>
      <c r="BV279" s="239">
        <v>614.09491735537188</v>
      </c>
      <c r="BW279" s="239">
        <v>68.232768595041321</v>
      </c>
      <c r="BX279" s="239">
        <v>0</v>
      </c>
      <c r="BY279" s="239">
        <v>0</v>
      </c>
      <c r="BZ279" s="239">
        <v>0</v>
      </c>
      <c r="CA279" s="239">
        <v>2729</v>
      </c>
      <c r="CB279" s="239">
        <v>614</v>
      </c>
      <c r="CC279" s="239">
        <v>68</v>
      </c>
      <c r="CD279" s="239">
        <v>0</v>
      </c>
      <c r="CE279" s="239">
        <v>0</v>
      </c>
      <c r="CF279" s="239">
        <v>0</v>
      </c>
      <c r="CG279" s="239">
        <v>0</v>
      </c>
      <c r="CH279" s="239">
        <v>0</v>
      </c>
      <c r="CI279" s="239">
        <v>0</v>
      </c>
      <c r="CJ279" s="239">
        <v>0</v>
      </c>
      <c r="CK279" s="239">
        <v>0</v>
      </c>
      <c r="CL279" s="239">
        <v>0</v>
      </c>
      <c r="CM279" s="239">
        <v>1798.8454545454547</v>
      </c>
      <c r="CN279" s="239">
        <v>404.74022727272734</v>
      </c>
      <c r="CO279" s="239">
        <v>44.971136363636369</v>
      </c>
      <c r="CP279" s="239">
        <v>8522</v>
      </c>
      <c r="CQ279" s="239">
        <v>1917</v>
      </c>
      <c r="CR279" s="239">
        <v>213</v>
      </c>
      <c r="CS279" s="239">
        <v>-6723</v>
      </c>
      <c r="CT279" s="239">
        <v>-1512</v>
      </c>
      <c r="CU279" s="239">
        <v>-168</v>
      </c>
      <c r="CV279" s="239">
        <v>244733.53140495872</v>
      </c>
      <c r="CW279" s="239">
        <v>54310.665123966945</v>
      </c>
      <c r="CX279" s="239">
        <v>6034.5183471074388</v>
      </c>
      <c r="CY279" s="239">
        <v>239052</v>
      </c>
      <c r="CZ279" s="239">
        <v>53144</v>
      </c>
      <c r="DA279" s="239">
        <v>5905</v>
      </c>
      <c r="DB279" s="239">
        <v>5682</v>
      </c>
      <c r="DC279" s="239">
        <v>1167</v>
      </c>
      <c r="DD279" s="239">
        <v>130</v>
      </c>
      <c r="DE279" s="641">
        <v>0.5</v>
      </c>
      <c r="DF279" s="641">
        <v>0.4</v>
      </c>
      <c r="DG279" s="641">
        <v>0.09</v>
      </c>
      <c r="DH279" s="641">
        <v>0.01</v>
      </c>
      <c r="DI279" s="214" t="s">
        <v>1190</v>
      </c>
    </row>
    <row r="280" spans="2:113" s="214" customFormat="1" x14ac:dyDescent="0.2">
      <c r="B280" s="609" t="s">
        <v>642</v>
      </c>
      <c r="C280" s="609" t="s">
        <v>641</v>
      </c>
      <c r="D280" s="239">
        <v>-333079</v>
      </c>
      <c r="E280" s="239">
        <v>0</v>
      </c>
      <c r="F280" s="239">
        <v>-333079</v>
      </c>
      <c r="G280" s="239">
        <v>0</v>
      </c>
      <c r="H280" s="239">
        <v>0</v>
      </c>
      <c r="I280" s="239">
        <v>0</v>
      </c>
      <c r="J280" s="239">
        <v>-333079</v>
      </c>
      <c r="K280" s="239">
        <v>0</v>
      </c>
      <c r="L280" s="239">
        <v>-333079</v>
      </c>
      <c r="M280" s="239">
        <v>191736</v>
      </c>
      <c r="N280" s="239">
        <v>191736</v>
      </c>
      <c r="O280" s="239">
        <v>0</v>
      </c>
      <c r="P280" s="239">
        <v>0</v>
      </c>
      <c r="Q280" s="239">
        <v>0</v>
      </c>
      <c r="R280" s="239">
        <v>0</v>
      </c>
      <c r="S280" s="239">
        <v>185139</v>
      </c>
      <c r="T280" s="239">
        <v>0</v>
      </c>
      <c r="U280" s="239">
        <v>66946</v>
      </c>
      <c r="V280" s="239">
        <v>0</v>
      </c>
      <c r="W280" s="239">
        <v>118193</v>
      </c>
      <c r="X280" s="239">
        <v>0</v>
      </c>
      <c r="Y280" s="239">
        <v>0</v>
      </c>
      <c r="Z280" s="239">
        <v>0</v>
      </c>
      <c r="AA280" s="239">
        <v>0</v>
      </c>
      <c r="AB280" s="239">
        <v>0</v>
      </c>
      <c r="AC280" s="239">
        <v>0</v>
      </c>
      <c r="AD280" s="239">
        <v>0</v>
      </c>
      <c r="AE280" s="239">
        <v>0</v>
      </c>
      <c r="AF280" s="239">
        <v>0</v>
      </c>
      <c r="AG280" s="239">
        <v>0</v>
      </c>
      <c r="AH280" s="239">
        <v>0</v>
      </c>
      <c r="AI280" s="239">
        <v>0</v>
      </c>
      <c r="AJ280" s="239">
        <v>0</v>
      </c>
      <c r="AK280" s="239">
        <v>812348.74669421499</v>
      </c>
      <c r="AL280" s="239">
        <v>182778.46800619835</v>
      </c>
      <c r="AM280" s="239">
        <v>20308.718667355373</v>
      </c>
      <c r="AN280" s="239">
        <v>771746</v>
      </c>
      <c r="AO280" s="239">
        <v>173643</v>
      </c>
      <c r="AP280" s="239">
        <v>19294</v>
      </c>
      <c r="AQ280" s="239">
        <v>40603</v>
      </c>
      <c r="AR280" s="239">
        <v>9135</v>
      </c>
      <c r="AS280" s="239">
        <v>1015</v>
      </c>
      <c r="AT280" s="239">
        <v>5938.6652892561988</v>
      </c>
      <c r="AU280" s="239">
        <v>1336.1996900826446</v>
      </c>
      <c r="AV280" s="239">
        <v>148.46663223140496</v>
      </c>
      <c r="AW280" s="239">
        <v>1135</v>
      </c>
      <c r="AX280" s="239">
        <v>255</v>
      </c>
      <c r="AY280" s="239">
        <v>28</v>
      </c>
      <c r="AZ280" s="239">
        <v>4804</v>
      </c>
      <c r="BA280" s="239">
        <v>1081</v>
      </c>
      <c r="BB280" s="239">
        <v>120</v>
      </c>
      <c r="BC280" s="239">
        <v>0</v>
      </c>
      <c r="BD280" s="239">
        <v>0</v>
      </c>
      <c r="BE280" s="239">
        <v>0</v>
      </c>
      <c r="BF280" s="239">
        <v>0</v>
      </c>
      <c r="BG280" s="239">
        <v>0</v>
      </c>
      <c r="BH280" s="239">
        <v>0</v>
      </c>
      <c r="BI280" s="239">
        <v>0</v>
      </c>
      <c r="BJ280" s="239">
        <v>0</v>
      </c>
      <c r="BK280" s="239">
        <v>0</v>
      </c>
      <c r="BL280" s="239">
        <v>0</v>
      </c>
      <c r="BM280" s="239">
        <v>0</v>
      </c>
      <c r="BN280" s="239">
        <v>0</v>
      </c>
      <c r="BO280" s="239">
        <v>0</v>
      </c>
      <c r="BP280" s="239">
        <v>0</v>
      </c>
      <c r="BQ280" s="239">
        <v>0</v>
      </c>
      <c r="BR280" s="239">
        <v>0</v>
      </c>
      <c r="BS280" s="239">
        <v>0</v>
      </c>
      <c r="BT280" s="239">
        <v>0</v>
      </c>
      <c r="BU280" s="239">
        <v>3968.5785123966944</v>
      </c>
      <c r="BV280" s="239">
        <v>892.93016528925614</v>
      </c>
      <c r="BW280" s="239">
        <v>99.21446280991735</v>
      </c>
      <c r="BX280" s="239">
        <v>0</v>
      </c>
      <c r="BY280" s="239">
        <v>0</v>
      </c>
      <c r="BZ280" s="239">
        <v>0</v>
      </c>
      <c r="CA280" s="239">
        <v>3969</v>
      </c>
      <c r="CB280" s="239">
        <v>893</v>
      </c>
      <c r="CC280" s="239">
        <v>99</v>
      </c>
      <c r="CD280" s="239">
        <v>0</v>
      </c>
      <c r="CE280" s="239">
        <v>0</v>
      </c>
      <c r="CF280" s="239">
        <v>0</v>
      </c>
      <c r="CG280" s="239">
        <v>0</v>
      </c>
      <c r="CH280" s="239">
        <v>0</v>
      </c>
      <c r="CI280" s="239">
        <v>0</v>
      </c>
      <c r="CJ280" s="239">
        <v>0</v>
      </c>
      <c r="CK280" s="239">
        <v>0</v>
      </c>
      <c r="CL280" s="239">
        <v>0</v>
      </c>
      <c r="CM280" s="239">
        <v>7092.3123966942148</v>
      </c>
      <c r="CN280" s="239">
        <v>1595.7702892561983</v>
      </c>
      <c r="CO280" s="239">
        <v>177.30780991735537</v>
      </c>
      <c r="CP280" s="239">
        <v>10633</v>
      </c>
      <c r="CQ280" s="239">
        <v>2392</v>
      </c>
      <c r="CR280" s="239">
        <v>266</v>
      </c>
      <c r="CS280" s="239">
        <v>-3541</v>
      </c>
      <c r="CT280" s="239">
        <v>-796</v>
      </c>
      <c r="CU280" s="239">
        <v>-89</v>
      </c>
      <c r="CV280" s="239">
        <v>184181.93181818182</v>
      </c>
      <c r="CW280" s="239">
        <v>40838.467871900823</v>
      </c>
      <c r="CX280" s="239">
        <v>4537.6075413223143</v>
      </c>
      <c r="CY280" s="239">
        <v>196227</v>
      </c>
      <c r="CZ280" s="239">
        <v>43933</v>
      </c>
      <c r="DA280" s="239">
        <v>4881</v>
      </c>
      <c r="DB280" s="239">
        <v>-12045</v>
      </c>
      <c r="DC280" s="239">
        <v>-3095</v>
      </c>
      <c r="DD280" s="239">
        <v>-343</v>
      </c>
      <c r="DE280" s="641">
        <v>0.5</v>
      </c>
      <c r="DF280" s="641">
        <v>0.4</v>
      </c>
      <c r="DG280" s="641">
        <v>0.09</v>
      </c>
      <c r="DH280" s="641">
        <v>0.01</v>
      </c>
      <c r="DI280" s="214" t="s">
        <v>1190</v>
      </c>
    </row>
    <row r="281" spans="2:113" s="214" customFormat="1" x14ac:dyDescent="0.2">
      <c r="B281" s="609" t="s">
        <v>644</v>
      </c>
      <c r="C281" s="609" t="s">
        <v>643</v>
      </c>
      <c r="D281" s="239">
        <v>-287234</v>
      </c>
      <c r="E281" s="239">
        <v>0</v>
      </c>
      <c r="F281" s="239">
        <v>-287234</v>
      </c>
      <c r="G281" s="239">
        <v>0</v>
      </c>
      <c r="H281" s="239">
        <v>0</v>
      </c>
      <c r="I281" s="239">
        <v>0</v>
      </c>
      <c r="J281" s="239">
        <v>-287234</v>
      </c>
      <c r="K281" s="239">
        <v>0</v>
      </c>
      <c r="L281" s="239">
        <v>-287234</v>
      </c>
      <c r="M281" s="239">
        <v>217929</v>
      </c>
      <c r="N281" s="239">
        <v>217929</v>
      </c>
      <c r="O281" s="239">
        <v>0</v>
      </c>
      <c r="P281" s="239">
        <v>0</v>
      </c>
      <c r="Q281" s="239">
        <v>0</v>
      </c>
      <c r="R281" s="239">
        <v>0</v>
      </c>
      <c r="S281" s="239">
        <v>120823</v>
      </c>
      <c r="T281" s="239">
        <v>0</v>
      </c>
      <c r="U281" s="239">
        <v>15780</v>
      </c>
      <c r="V281" s="239">
        <v>0</v>
      </c>
      <c r="W281" s="239">
        <v>105043</v>
      </c>
      <c r="X281" s="239">
        <v>0</v>
      </c>
      <c r="Y281" s="239">
        <v>0</v>
      </c>
      <c r="Z281" s="239">
        <v>0</v>
      </c>
      <c r="AA281" s="239">
        <v>0</v>
      </c>
      <c r="AB281" s="239">
        <v>0</v>
      </c>
      <c r="AC281" s="239">
        <v>0</v>
      </c>
      <c r="AD281" s="239">
        <v>0</v>
      </c>
      <c r="AE281" s="239">
        <v>0</v>
      </c>
      <c r="AF281" s="239">
        <v>0</v>
      </c>
      <c r="AG281" s="239">
        <v>0</v>
      </c>
      <c r="AH281" s="239">
        <v>0</v>
      </c>
      <c r="AI281" s="239">
        <v>0</v>
      </c>
      <c r="AJ281" s="239">
        <v>0</v>
      </c>
      <c r="AK281" s="239">
        <v>810727.6554132232</v>
      </c>
      <c r="AL281" s="239">
        <v>0</v>
      </c>
      <c r="AM281" s="239">
        <v>16545.462355371899</v>
      </c>
      <c r="AN281" s="239">
        <v>705236</v>
      </c>
      <c r="AO281" s="239">
        <v>0</v>
      </c>
      <c r="AP281" s="239">
        <v>14393</v>
      </c>
      <c r="AQ281" s="239">
        <v>105492</v>
      </c>
      <c r="AR281" s="239">
        <v>0</v>
      </c>
      <c r="AS281" s="239">
        <v>2152</v>
      </c>
      <c r="AT281" s="239">
        <v>7449.3424380165288</v>
      </c>
      <c r="AU281" s="239">
        <v>0</v>
      </c>
      <c r="AV281" s="239">
        <v>152.0273966942149</v>
      </c>
      <c r="AW281" s="239">
        <v>4069</v>
      </c>
      <c r="AX281" s="239">
        <v>0</v>
      </c>
      <c r="AY281" s="239">
        <v>83</v>
      </c>
      <c r="AZ281" s="239">
        <v>3380</v>
      </c>
      <c r="BA281" s="239">
        <v>0</v>
      </c>
      <c r="BB281" s="239">
        <v>69</v>
      </c>
      <c r="BC281" s="239">
        <v>-5943.6665909090916</v>
      </c>
      <c r="BD281" s="239">
        <v>0</v>
      </c>
      <c r="BE281" s="239">
        <v>-121.29931818181819</v>
      </c>
      <c r="BF281" s="239">
        <v>9759</v>
      </c>
      <c r="BG281" s="239">
        <v>0</v>
      </c>
      <c r="BH281" s="239">
        <v>199</v>
      </c>
      <c r="BI281" s="239">
        <v>-15703</v>
      </c>
      <c r="BJ281" s="239">
        <v>0</v>
      </c>
      <c r="BK281" s="239">
        <v>-320</v>
      </c>
      <c r="BL281" s="239">
        <v>61418.053801652888</v>
      </c>
      <c r="BM281" s="239">
        <v>0</v>
      </c>
      <c r="BN281" s="239">
        <v>1253.4296694214877</v>
      </c>
      <c r="BO281" s="239">
        <v>15472</v>
      </c>
      <c r="BP281" s="239">
        <v>0</v>
      </c>
      <c r="BQ281" s="239">
        <v>316</v>
      </c>
      <c r="BR281" s="239">
        <v>45946</v>
      </c>
      <c r="BS281" s="239">
        <v>0</v>
      </c>
      <c r="BT281" s="239">
        <v>937</v>
      </c>
      <c r="BU281" s="239">
        <v>6733.040392561983</v>
      </c>
      <c r="BV281" s="239">
        <v>0</v>
      </c>
      <c r="BW281" s="239">
        <v>137.40898760330577</v>
      </c>
      <c r="BX281" s="239">
        <v>0</v>
      </c>
      <c r="BY281" s="239">
        <v>0</v>
      </c>
      <c r="BZ281" s="239">
        <v>0</v>
      </c>
      <c r="CA281" s="239">
        <v>6733</v>
      </c>
      <c r="CB281" s="239">
        <v>0</v>
      </c>
      <c r="CC281" s="239">
        <v>137</v>
      </c>
      <c r="CD281" s="239">
        <v>0</v>
      </c>
      <c r="CE281" s="239">
        <v>0</v>
      </c>
      <c r="CF281" s="239">
        <v>0</v>
      </c>
      <c r="CG281" s="239">
        <v>0</v>
      </c>
      <c r="CH281" s="239">
        <v>0</v>
      </c>
      <c r="CI281" s="239">
        <v>0</v>
      </c>
      <c r="CJ281" s="239">
        <v>0</v>
      </c>
      <c r="CK281" s="239">
        <v>0</v>
      </c>
      <c r="CL281" s="239">
        <v>0</v>
      </c>
      <c r="CM281" s="239">
        <v>4759.6058884297527</v>
      </c>
      <c r="CN281" s="239">
        <v>0</v>
      </c>
      <c r="CO281" s="239">
        <v>97.134814049586794</v>
      </c>
      <c r="CP281" s="239">
        <v>4760</v>
      </c>
      <c r="CQ281" s="239">
        <v>0</v>
      </c>
      <c r="CR281" s="239">
        <v>97</v>
      </c>
      <c r="CS281" s="239">
        <v>0</v>
      </c>
      <c r="CT281" s="239">
        <v>0</v>
      </c>
      <c r="CU281" s="239">
        <v>0</v>
      </c>
      <c r="CV281" s="239">
        <v>508532.26454545453</v>
      </c>
      <c r="CW281" s="239">
        <v>0</v>
      </c>
      <c r="CX281" s="239">
        <v>10342.547438016529</v>
      </c>
      <c r="CY281" s="239">
        <v>488148</v>
      </c>
      <c r="CZ281" s="239">
        <v>0</v>
      </c>
      <c r="DA281" s="239">
        <v>9958</v>
      </c>
      <c r="DB281" s="239">
        <v>20384</v>
      </c>
      <c r="DC281" s="239">
        <v>0</v>
      </c>
      <c r="DD281" s="239">
        <v>385</v>
      </c>
      <c r="DE281" s="641">
        <v>0.5</v>
      </c>
      <c r="DF281" s="641">
        <v>0.49</v>
      </c>
      <c r="DG281" s="641">
        <v>0</v>
      </c>
      <c r="DH281" s="641">
        <v>0.01</v>
      </c>
      <c r="DI281" s="214" t="s">
        <v>747</v>
      </c>
    </row>
    <row r="282" spans="2:113" s="214" customFormat="1" x14ac:dyDescent="0.2">
      <c r="B282" s="609" t="s">
        <v>646</v>
      </c>
      <c r="C282" s="609" t="s">
        <v>645</v>
      </c>
      <c r="D282" s="239">
        <v>-136191</v>
      </c>
      <c r="E282" s="239">
        <v>0</v>
      </c>
      <c r="F282" s="239">
        <v>-136191</v>
      </c>
      <c r="G282" s="239">
        <v>0</v>
      </c>
      <c r="H282" s="239">
        <v>0</v>
      </c>
      <c r="I282" s="239">
        <v>0</v>
      </c>
      <c r="J282" s="239">
        <v>-136191</v>
      </c>
      <c r="K282" s="239">
        <v>0</v>
      </c>
      <c r="L282" s="239">
        <v>-136191</v>
      </c>
      <c r="M282" s="239">
        <v>295093</v>
      </c>
      <c r="N282" s="239">
        <v>295093</v>
      </c>
      <c r="O282" s="239">
        <v>0</v>
      </c>
      <c r="P282" s="239">
        <v>0</v>
      </c>
      <c r="Q282" s="239">
        <v>0</v>
      </c>
      <c r="R282" s="239">
        <v>0</v>
      </c>
      <c r="S282" s="239">
        <v>296709</v>
      </c>
      <c r="T282" s="239">
        <v>0</v>
      </c>
      <c r="U282" s="239">
        <v>229117</v>
      </c>
      <c r="V282" s="239">
        <v>0</v>
      </c>
      <c r="W282" s="239">
        <v>67592</v>
      </c>
      <c r="X282" s="239">
        <v>0</v>
      </c>
      <c r="Y282" s="239">
        <v>0</v>
      </c>
      <c r="Z282" s="239">
        <v>0</v>
      </c>
      <c r="AA282" s="239">
        <v>0</v>
      </c>
      <c r="AB282" s="239">
        <v>0</v>
      </c>
      <c r="AC282" s="239">
        <v>0</v>
      </c>
      <c r="AD282" s="239">
        <v>0</v>
      </c>
      <c r="AE282" s="239">
        <v>0</v>
      </c>
      <c r="AF282" s="239">
        <v>0</v>
      </c>
      <c r="AG282" s="239">
        <v>0</v>
      </c>
      <c r="AH282" s="239">
        <v>0</v>
      </c>
      <c r="AI282" s="239">
        <v>0</v>
      </c>
      <c r="AJ282" s="239">
        <v>0</v>
      </c>
      <c r="AK282" s="239">
        <v>948261.19876033068</v>
      </c>
      <c r="AL282" s="239">
        <v>213358.76972107435</v>
      </c>
      <c r="AM282" s="239">
        <v>23706.529969008265</v>
      </c>
      <c r="AN282" s="239">
        <v>936805</v>
      </c>
      <c r="AO282" s="239">
        <v>210781</v>
      </c>
      <c r="AP282" s="239">
        <v>23420</v>
      </c>
      <c r="AQ282" s="239">
        <v>11456</v>
      </c>
      <c r="AR282" s="239">
        <v>2578</v>
      </c>
      <c r="AS282" s="239">
        <v>287</v>
      </c>
      <c r="AT282" s="239">
        <v>748.67355371900817</v>
      </c>
      <c r="AU282" s="239">
        <v>168.45154958677685</v>
      </c>
      <c r="AV282" s="239">
        <v>18.716838842975207</v>
      </c>
      <c r="AW282" s="239">
        <v>1046</v>
      </c>
      <c r="AX282" s="239">
        <v>235</v>
      </c>
      <c r="AY282" s="239">
        <v>26</v>
      </c>
      <c r="AZ282" s="239">
        <v>-297</v>
      </c>
      <c r="BA282" s="239">
        <v>-67</v>
      </c>
      <c r="BB282" s="239">
        <v>-7</v>
      </c>
      <c r="BC282" s="239">
        <v>2835.220661157025</v>
      </c>
      <c r="BD282" s="239">
        <v>637.92464876033057</v>
      </c>
      <c r="BE282" s="239">
        <v>70.880516528925625</v>
      </c>
      <c r="BF282" s="239">
        <v>0</v>
      </c>
      <c r="BG282" s="239">
        <v>0</v>
      </c>
      <c r="BH282" s="239">
        <v>0</v>
      </c>
      <c r="BI282" s="239">
        <v>2835</v>
      </c>
      <c r="BJ282" s="239">
        <v>638</v>
      </c>
      <c r="BK282" s="239">
        <v>71</v>
      </c>
      <c r="BL282" s="239">
        <v>9971.3578512396689</v>
      </c>
      <c r="BM282" s="239">
        <v>2243.5555165289252</v>
      </c>
      <c r="BN282" s="239">
        <v>249.28394628099173</v>
      </c>
      <c r="BO282" s="239">
        <v>7886</v>
      </c>
      <c r="BP282" s="239">
        <v>1774</v>
      </c>
      <c r="BQ282" s="239">
        <v>197</v>
      </c>
      <c r="BR282" s="239">
        <v>2085</v>
      </c>
      <c r="BS282" s="239">
        <v>470</v>
      </c>
      <c r="BT282" s="239">
        <v>52</v>
      </c>
      <c r="BU282" s="239">
        <v>-2396.9727272727273</v>
      </c>
      <c r="BV282" s="239">
        <v>-539.31886363636363</v>
      </c>
      <c r="BW282" s="239">
        <v>-59.92431818181818</v>
      </c>
      <c r="BX282" s="239">
        <v>0</v>
      </c>
      <c r="BY282" s="239">
        <v>0</v>
      </c>
      <c r="BZ282" s="239">
        <v>0</v>
      </c>
      <c r="CA282" s="239">
        <v>-2397</v>
      </c>
      <c r="CB282" s="239">
        <v>-539</v>
      </c>
      <c r="CC282" s="239">
        <v>-60</v>
      </c>
      <c r="CD282" s="239">
        <v>0</v>
      </c>
      <c r="CE282" s="239">
        <v>0</v>
      </c>
      <c r="CF282" s="239">
        <v>0</v>
      </c>
      <c r="CG282" s="239">
        <v>0</v>
      </c>
      <c r="CH282" s="239">
        <v>0</v>
      </c>
      <c r="CI282" s="239">
        <v>0</v>
      </c>
      <c r="CJ282" s="239">
        <v>0</v>
      </c>
      <c r="CK282" s="239">
        <v>0</v>
      </c>
      <c r="CL282" s="239">
        <v>0</v>
      </c>
      <c r="CM282" s="239">
        <v>6398.419834710744</v>
      </c>
      <c r="CN282" s="239">
        <v>1439.6444628099173</v>
      </c>
      <c r="CO282" s="239">
        <v>159.9604958677686</v>
      </c>
      <c r="CP282" s="239">
        <v>0</v>
      </c>
      <c r="CQ282" s="239">
        <v>0</v>
      </c>
      <c r="CR282" s="239">
        <v>0</v>
      </c>
      <c r="CS282" s="239">
        <v>6398</v>
      </c>
      <c r="CT282" s="239">
        <v>1440</v>
      </c>
      <c r="CU282" s="239">
        <v>160</v>
      </c>
      <c r="CV282" s="239">
        <v>156539.47561983476</v>
      </c>
      <c r="CW282" s="239">
        <v>34255.851694214871</v>
      </c>
      <c r="CX282" s="239">
        <v>3806.2057438016532</v>
      </c>
      <c r="CY282" s="239">
        <v>153370</v>
      </c>
      <c r="CZ282" s="239">
        <v>33763</v>
      </c>
      <c r="DA282" s="239">
        <v>3751</v>
      </c>
      <c r="DB282" s="239">
        <v>3169</v>
      </c>
      <c r="DC282" s="239">
        <v>493</v>
      </c>
      <c r="DD282" s="239">
        <v>55</v>
      </c>
      <c r="DE282" s="641">
        <v>0.5</v>
      </c>
      <c r="DF282" s="641">
        <v>0.4</v>
      </c>
      <c r="DG282" s="641">
        <v>0.09</v>
      </c>
      <c r="DH282" s="641">
        <v>0.01</v>
      </c>
      <c r="DI282" s="214" t="s">
        <v>1190</v>
      </c>
    </row>
    <row r="283" spans="2:113" s="214" customFormat="1" x14ac:dyDescent="0.2">
      <c r="B283" s="609" t="s">
        <v>648</v>
      </c>
      <c r="C283" s="609" t="s">
        <v>647</v>
      </c>
      <c r="D283" s="239">
        <v>-474141</v>
      </c>
      <c r="E283" s="239">
        <v>0</v>
      </c>
      <c r="F283" s="239">
        <v>-474141</v>
      </c>
      <c r="G283" s="239">
        <v>0</v>
      </c>
      <c r="H283" s="239">
        <v>0</v>
      </c>
      <c r="I283" s="239">
        <v>0</v>
      </c>
      <c r="J283" s="239">
        <v>-474141</v>
      </c>
      <c r="K283" s="239">
        <v>0</v>
      </c>
      <c r="L283" s="239">
        <v>-474141</v>
      </c>
      <c r="M283" s="239">
        <v>188777</v>
      </c>
      <c r="N283" s="239">
        <v>188777</v>
      </c>
      <c r="O283" s="239">
        <v>0</v>
      </c>
      <c r="P283" s="239">
        <v>0</v>
      </c>
      <c r="Q283" s="239">
        <v>0</v>
      </c>
      <c r="R283" s="239">
        <v>0</v>
      </c>
      <c r="S283" s="239">
        <v>567520</v>
      </c>
      <c r="T283" s="239">
        <v>0</v>
      </c>
      <c r="U283" s="239">
        <v>23359</v>
      </c>
      <c r="V283" s="239">
        <v>0</v>
      </c>
      <c r="W283" s="239">
        <v>544161</v>
      </c>
      <c r="X283" s="239">
        <v>0</v>
      </c>
      <c r="Y283" s="239">
        <v>0</v>
      </c>
      <c r="Z283" s="239">
        <v>0</v>
      </c>
      <c r="AA283" s="239">
        <v>0</v>
      </c>
      <c r="AB283" s="239">
        <v>0</v>
      </c>
      <c r="AC283" s="239">
        <v>0</v>
      </c>
      <c r="AD283" s="239">
        <v>0</v>
      </c>
      <c r="AE283" s="239">
        <v>0</v>
      </c>
      <c r="AF283" s="239">
        <v>0</v>
      </c>
      <c r="AG283" s="239">
        <v>0</v>
      </c>
      <c r="AH283" s="239">
        <v>0</v>
      </c>
      <c r="AI283" s="239">
        <v>0</v>
      </c>
      <c r="AJ283" s="239">
        <v>0</v>
      </c>
      <c r="AK283" s="239">
        <v>566144.10082644632</v>
      </c>
      <c r="AL283" s="239">
        <v>127382.42268595041</v>
      </c>
      <c r="AM283" s="239">
        <v>14153.602520661158</v>
      </c>
      <c r="AN283" s="239">
        <v>536506</v>
      </c>
      <c r="AO283" s="239">
        <v>120714</v>
      </c>
      <c r="AP283" s="239">
        <v>13413</v>
      </c>
      <c r="AQ283" s="239">
        <v>29638</v>
      </c>
      <c r="AR283" s="239">
        <v>6668</v>
      </c>
      <c r="AS283" s="239">
        <v>741</v>
      </c>
      <c r="AT283" s="239">
        <v>7805.2768595041334</v>
      </c>
      <c r="AU283" s="239">
        <v>1756.1872933884297</v>
      </c>
      <c r="AV283" s="239">
        <v>195.13192148760331</v>
      </c>
      <c r="AW283" s="239">
        <v>973</v>
      </c>
      <c r="AX283" s="239">
        <v>219</v>
      </c>
      <c r="AY283" s="239">
        <v>24</v>
      </c>
      <c r="AZ283" s="239">
        <v>6832</v>
      </c>
      <c r="BA283" s="239">
        <v>1537</v>
      </c>
      <c r="BB283" s="239">
        <v>171</v>
      </c>
      <c r="BC283" s="239">
        <v>17662.203305785126</v>
      </c>
      <c r="BD283" s="239">
        <v>3973.9957438016531</v>
      </c>
      <c r="BE283" s="239">
        <v>441.55508264462816</v>
      </c>
      <c r="BF283" s="239">
        <v>0</v>
      </c>
      <c r="BG283" s="239">
        <v>0</v>
      </c>
      <c r="BH283" s="239">
        <v>0</v>
      </c>
      <c r="BI283" s="239">
        <v>17662</v>
      </c>
      <c r="BJ283" s="239">
        <v>3974</v>
      </c>
      <c r="BK283" s="239">
        <v>442</v>
      </c>
      <c r="BL283" s="239">
        <v>7023.7347107438018</v>
      </c>
      <c r="BM283" s="239">
        <v>1580.3403099173552</v>
      </c>
      <c r="BN283" s="239">
        <v>175.59336776859504</v>
      </c>
      <c r="BO283" s="239">
        <v>8506</v>
      </c>
      <c r="BP283" s="239">
        <v>1914</v>
      </c>
      <c r="BQ283" s="239">
        <v>213</v>
      </c>
      <c r="BR283" s="239">
        <v>-1482</v>
      </c>
      <c r="BS283" s="239">
        <v>-334</v>
      </c>
      <c r="BT283" s="239">
        <v>-37</v>
      </c>
      <c r="BU283" s="239">
        <v>9320.478512396694</v>
      </c>
      <c r="BV283" s="239">
        <v>2097.1076652892561</v>
      </c>
      <c r="BW283" s="239">
        <v>233.01196280991735</v>
      </c>
      <c r="BX283" s="239">
        <v>0</v>
      </c>
      <c r="BY283" s="239">
        <v>0</v>
      </c>
      <c r="BZ283" s="239">
        <v>0</v>
      </c>
      <c r="CA283" s="239">
        <v>9320</v>
      </c>
      <c r="CB283" s="239">
        <v>2097</v>
      </c>
      <c r="CC283" s="239">
        <v>233</v>
      </c>
      <c r="CD283" s="239">
        <v>0</v>
      </c>
      <c r="CE283" s="239">
        <v>0</v>
      </c>
      <c r="CF283" s="239">
        <v>0</v>
      </c>
      <c r="CG283" s="239">
        <v>0</v>
      </c>
      <c r="CH283" s="239">
        <v>0</v>
      </c>
      <c r="CI283" s="239">
        <v>0</v>
      </c>
      <c r="CJ283" s="239">
        <v>0</v>
      </c>
      <c r="CK283" s="239">
        <v>0</v>
      </c>
      <c r="CL283" s="239">
        <v>0</v>
      </c>
      <c r="CM283" s="239">
        <v>0</v>
      </c>
      <c r="CN283" s="239">
        <v>0</v>
      </c>
      <c r="CO283" s="239">
        <v>0</v>
      </c>
      <c r="CP283" s="239">
        <v>0</v>
      </c>
      <c r="CQ283" s="239">
        <v>0</v>
      </c>
      <c r="CR283" s="239">
        <v>0</v>
      </c>
      <c r="CS283" s="239">
        <v>0</v>
      </c>
      <c r="CT283" s="239">
        <v>0</v>
      </c>
      <c r="CU283" s="239">
        <v>0</v>
      </c>
      <c r="CV283" s="239">
        <v>286899.21157024795</v>
      </c>
      <c r="CW283" s="239">
        <v>62705.53747933884</v>
      </c>
      <c r="CX283" s="239">
        <v>6967.2819421487602</v>
      </c>
      <c r="CY283" s="239">
        <v>286212</v>
      </c>
      <c r="CZ283" s="239">
        <v>64322</v>
      </c>
      <c r="DA283" s="239">
        <v>7147</v>
      </c>
      <c r="DB283" s="239">
        <v>687</v>
      </c>
      <c r="DC283" s="239">
        <v>-1616</v>
      </c>
      <c r="DD283" s="239">
        <v>-180</v>
      </c>
      <c r="DE283" s="641">
        <v>0.5</v>
      </c>
      <c r="DF283" s="641">
        <v>0.4</v>
      </c>
      <c r="DG283" s="641">
        <v>0.09</v>
      </c>
      <c r="DH283" s="641">
        <v>0.01</v>
      </c>
      <c r="DI283" s="214" t="s">
        <v>1190</v>
      </c>
    </row>
    <row r="284" spans="2:113" s="214" customFormat="1" x14ac:dyDescent="0.2">
      <c r="B284" s="609" t="s">
        <v>650</v>
      </c>
      <c r="C284" s="609" t="s">
        <v>649</v>
      </c>
      <c r="D284" s="239">
        <v>-62068</v>
      </c>
      <c r="E284" s="239">
        <v>0</v>
      </c>
      <c r="F284" s="239">
        <v>-62068</v>
      </c>
      <c r="G284" s="239">
        <v>0</v>
      </c>
      <c r="H284" s="239">
        <v>0</v>
      </c>
      <c r="I284" s="239">
        <v>0</v>
      </c>
      <c r="J284" s="239">
        <v>-62068</v>
      </c>
      <c r="K284" s="239">
        <v>0</v>
      </c>
      <c r="L284" s="239">
        <v>-62068</v>
      </c>
      <c r="M284" s="239">
        <v>124501</v>
      </c>
      <c r="N284" s="239">
        <v>124501</v>
      </c>
      <c r="O284" s="239">
        <v>0</v>
      </c>
      <c r="P284" s="239">
        <v>0</v>
      </c>
      <c r="Q284" s="239">
        <v>0</v>
      </c>
      <c r="R284" s="239">
        <v>0</v>
      </c>
      <c r="S284" s="239">
        <v>0</v>
      </c>
      <c r="T284" s="239">
        <v>0</v>
      </c>
      <c r="U284" s="239">
        <v>0</v>
      </c>
      <c r="V284" s="239">
        <v>0</v>
      </c>
      <c r="W284" s="239">
        <v>0</v>
      </c>
      <c r="X284" s="239">
        <v>0</v>
      </c>
      <c r="Y284" s="239">
        <v>0</v>
      </c>
      <c r="Z284" s="239">
        <v>0</v>
      </c>
      <c r="AA284" s="239">
        <v>0</v>
      </c>
      <c r="AB284" s="239">
        <v>0</v>
      </c>
      <c r="AC284" s="239">
        <v>0</v>
      </c>
      <c r="AD284" s="239">
        <v>0</v>
      </c>
      <c r="AE284" s="239">
        <v>0</v>
      </c>
      <c r="AF284" s="239">
        <v>0</v>
      </c>
      <c r="AG284" s="239">
        <v>0</v>
      </c>
      <c r="AH284" s="239">
        <v>0</v>
      </c>
      <c r="AI284" s="239">
        <v>0</v>
      </c>
      <c r="AJ284" s="239">
        <v>0</v>
      </c>
      <c r="AK284" s="239">
        <v>407523.1016528926</v>
      </c>
      <c r="AL284" s="239">
        <v>101880.77541322315</v>
      </c>
      <c r="AM284" s="239">
        <v>0</v>
      </c>
      <c r="AN284" s="239">
        <v>375710</v>
      </c>
      <c r="AO284" s="239">
        <v>93927</v>
      </c>
      <c r="AP284" s="239">
        <v>0</v>
      </c>
      <c r="AQ284" s="239">
        <v>31813</v>
      </c>
      <c r="AR284" s="239">
        <v>7954</v>
      </c>
      <c r="AS284" s="239">
        <v>0</v>
      </c>
      <c r="AT284" s="239">
        <v>0</v>
      </c>
      <c r="AU284" s="239">
        <v>0</v>
      </c>
      <c r="AV284" s="239">
        <v>0</v>
      </c>
      <c r="AW284" s="239">
        <v>0</v>
      </c>
      <c r="AX284" s="239">
        <v>0</v>
      </c>
      <c r="AY284" s="239">
        <v>0</v>
      </c>
      <c r="AZ284" s="239">
        <v>0</v>
      </c>
      <c r="BA284" s="239">
        <v>0</v>
      </c>
      <c r="BB284" s="239">
        <v>0</v>
      </c>
      <c r="BC284" s="239">
        <v>0</v>
      </c>
      <c r="BD284" s="239">
        <v>0</v>
      </c>
      <c r="BE284" s="239">
        <v>0</v>
      </c>
      <c r="BF284" s="239">
        <v>0</v>
      </c>
      <c r="BG284" s="239">
        <v>0</v>
      </c>
      <c r="BH284" s="239">
        <v>0</v>
      </c>
      <c r="BI284" s="239">
        <v>0</v>
      </c>
      <c r="BJ284" s="239">
        <v>0</v>
      </c>
      <c r="BK284" s="239">
        <v>0</v>
      </c>
      <c r="BL284" s="239">
        <v>1638.5603305785125</v>
      </c>
      <c r="BM284" s="239">
        <v>409.64008264462814</v>
      </c>
      <c r="BN284" s="239">
        <v>0</v>
      </c>
      <c r="BO284" s="239">
        <v>8647</v>
      </c>
      <c r="BP284" s="239">
        <v>2162</v>
      </c>
      <c r="BQ284" s="239">
        <v>0</v>
      </c>
      <c r="BR284" s="239">
        <v>-7008</v>
      </c>
      <c r="BS284" s="239">
        <v>-1752</v>
      </c>
      <c r="BT284" s="239">
        <v>0</v>
      </c>
      <c r="BU284" s="239">
        <v>-655.74876033057853</v>
      </c>
      <c r="BV284" s="239">
        <v>-163.93719008264463</v>
      </c>
      <c r="BW284" s="239">
        <v>0</v>
      </c>
      <c r="BX284" s="239">
        <v>0</v>
      </c>
      <c r="BY284" s="239">
        <v>0</v>
      </c>
      <c r="BZ284" s="239">
        <v>0</v>
      </c>
      <c r="CA284" s="239">
        <v>-656</v>
      </c>
      <c r="CB284" s="239">
        <v>-164</v>
      </c>
      <c r="CC284" s="239">
        <v>0</v>
      </c>
      <c r="CD284" s="239">
        <v>0</v>
      </c>
      <c r="CE284" s="239">
        <v>0</v>
      </c>
      <c r="CF284" s="239">
        <v>0</v>
      </c>
      <c r="CG284" s="239">
        <v>0</v>
      </c>
      <c r="CH284" s="239">
        <v>0</v>
      </c>
      <c r="CI284" s="239">
        <v>0</v>
      </c>
      <c r="CJ284" s="239">
        <v>0</v>
      </c>
      <c r="CK284" s="239">
        <v>0</v>
      </c>
      <c r="CL284" s="239">
        <v>0</v>
      </c>
      <c r="CM284" s="239">
        <v>0</v>
      </c>
      <c r="CN284" s="239">
        <v>0</v>
      </c>
      <c r="CO284" s="239">
        <v>0</v>
      </c>
      <c r="CP284" s="239">
        <v>1689</v>
      </c>
      <c r="CQ284" s="239">
        <v>422</v>
      </c>
      <c r="CR284" s="239">
        <v>0</v>
      </c>
      <c r="CS284" s="239">
        <v>-1689</v>
      </c>
      <c r="CT284" s="239">
        <v>-422</v>
      </c>
      <c r="CU284" s="239">
        <v>0</v>
      </c>
      <c r="CV284" s="239">
        <v>184257.22809917358</v>
      </c>
      <c r="CW284" s="239">
        <v>46064.307024793394</v>
      </c>
      <c r="CX284" s="239">
        <v>0</v>
      </c>
      <c r="CY284" s="239">
        <v>198751</v>
      </c>
      <c r="CZ284" s="239">
        <v>49688</v>
      </c>
      <c r="DA284" s="239">
        <v>0</v>
      </c>
      <c r="DB284" s="239">
        <v>-14494</v>
      </c>
      <c r="DC284" s="239">
        <v>-3624</v>
      </c>
      <c r="DD284" s="239">
        <v>0</v>
      </c>
      <c r="DE284" s="641">
        <v>0.5</v>
      </c>
      <c r="DF284" s="641">
        <v>0.4</v>
      </c>
      <c r="DG284" s="641">
        <v>0.1</v>
      </c>
      <c r="DH284" s="641">
        <v>0</v>
      </c>
      <c r="DI284" s="214" t="s">
        <v>1190</v>
      </c>
    </row>
    <row r="285" spans="2:113" s="214" customFormat="1" x14ac:dyDescent="0.2">
      <c r="B285" s="609" t="s">
        <v>652</v>
      </c>
      <c r="C285" s="609" t="s">
        <v>651</v>
      </c>
      <c r="D285" s="239">
        <v>-44382</v>
      </c>
      <c r="E285" s="239">
        <v>0</v>
      </c>
      <c r="F285" s="239">
        <v>-44382</v>
      </c>
      <c r="G285" s="239">
        <v>0</v>
      </c>
      <c r="H285" s="239">
        <v>0</v>
      </c>
      <c r="I285" s="239">
        <v>0</v>
      </c>
      <c r="J285" s="239">
        <v>-44382</v>
      </c>
      <c r="K285" s="239">
        <v>0</v>
      </c>
      <c r="L285" s="239">
        <v>-44382</v>
      </c>
      <c r="M285" s="239">
        <v>192176</v>
      </c>
      <c r="N285" s="239">
        <v>192176</v>
      </c>
      <c r="O285" s="239">
        <v>0</v>
      </c>
      <c r="P285" s="239">
        <v>0</v>
      </c>
      <c r="Q285" s="239">
        <v>0</v>
      </c>
      <c r="R285" s="239">
        <v>0</v>
      </c>
      <c r="S285" s="239">
        <v>0</v>
      </c>
      <c r="T285" s="239">
        <v>0</v>
      </c>
      <c r="U285" s="239">
        <v>0</v>
      </c>
      <c r="V285" s="239">
        <v>0</v>
      </c>
      <c r="W285" s="239">
        <v>0</v>
      </c>
      <c r="X285" s="239">
        <v>0</v>
      </c>
      <c r="Y285" s="239">
        <v>0</v>
      </c>
      <c r="Z285" s="239">
        <v>0</v>
      </c>
      <c r="AA285" s="239">
        <v>0</v>
      </c>
      <c r="AB285" s="239">
        <v>0</v>
      </c>
      <c r="AC285" s="239">
        <v>0</v>
      </c>
      <c r="AD285" s="239">
        <v>0</v>
      </c>
      <c r="AE285" s="239">
        <v>0</v>
      </c>
      <c r="AF285" s="239">
        <v>0</v>
      </c>
      <c r="AG285" s="239">
        <v>0</v>
      </c>
      <c r="AH285" s="239">
        <v>0</v>
      </c>
      <c r="AI285" s="239">
        <v>0</v>
      </c>
      <c r="AJ285" s="239">
        <v>0</v>
      </c>
      <c r="AK285" s="239">
        <v>880596.32644628105</v>
      </c>
      <c r="AL285" s="239">
        <v>198134.17345041319</v>
      </c>
      <c r="AM285" s="239">
        <v>22014.908161157022</v>
      </c>
      <c r="AN285" s="239">
        <v>784323</v>
      </c>
      <c r="AO285" s="239">
        <v>176473</v>
      </c>
      <c r="AP285" s="239">
        <v>19608</v>
      </c>
      <c r="AQ285" s="239">
        <v>96273</v>
      </c>
      <c r="AR285" s="239">
        <v>21661</v>
      </c>
      <c r="AS285" s="239">
        <v>2407</v>
      </c>
      <c r="AT285" s="239">
        <v>1910.4363636363637</v>
      </c>
      <c r="AU285" s="239">
        <v>429.84818181818179</v>
      </c>
      <c r="AV285" s="239">
        <v>47.760909090909088</v>
      </c>
      <c r="AW285" s="239">
        <v>1619</v>
      </c>
      <c r="AX285" s="239">
        <v>364</v>
      </c>
      <c r="AY285" s="239">
        <v>40</v>
      </c>
      <c r="AZ285" s="239">
        <v>291</v>
      </c>
      <c r="BA285" s="239">
        <v>66</v>
      </c>
      <c r="BB285" s="239">
        <v>8</v>
      </c>
      <c r="BC285" s="239">
        <v>15136.596694214877</v>
      </c>
      <c r="BD285" s="239">
        <v>3405.7342561983473</v>
      </c>
      <c r="BE285" s="239">
        <v>378.41491735537193</v>
      </c>
      <c r="BF285" s="239">
        <v>10310</v>
      </c>
      <c r="BG285" s="239">
        <v>2320</v>
      </c>
      <c r="BH285" s="239">
        <v>258</v>
      </c>
      <c r="BI285" s="239">
        <v>4827</v>
      </c>
      <c r="BJ285" s="239">
        <v>1086</v>
      </c>
      <c r="BK285" s="239">
        <v>120</v>
      </c>
      <c r="BL285" s="239">
        <v>12868.257851239669</v>
      </c>
      <c r="BM285" s="239">
        <v>2895.3580165289254</v>
      </c>
      <c r="BN285" s="239">
        <v>321.70644628099171</v>
      </c>
      <c r="BO285" s="239">
        <v>10657</v>
      </c>
      <c r="BP285" s="239">
        <v>2398</v>
      </c>
      <c r="BQ285" s="239">
        <v>266</v>
      </c>
      <c r="BR285" s="239">
        <v>2211</v>
      </c>
      <c r="BS285" s="239">
        <v>497</v>
      </c>
      <c r="BT285" s="239">
        <v>56</v>
      </c>
      <c r="BU285" s="239">
        <v>-15244.941322314051</v>
      </c>
      <c r="BV285" s="239">
        <v>-3430.1117975206612</v>
      </c>
      <c r="BW285" s="239">
        <v>-381.12353305785126</v>
      </c>
      <c r="BX285" s="239">
        <v>0</v>
      </c>
      <c r="BY285" s="239">
        <v>0</v>
      </c>
      <c r="BZ285" s="239">
        <v>0</v>
      </c>
      <c r="CA285" s="239">
        <v>-15245</v>
      </c>
      <c r="CB285" s="239">
        <v>-3430</v>
      </c>
      <c r="CC285" s="239">
        <v>-381</v>
      </c>
      <c r="CD285" s="239">
        <v>0</v>
      </c>
      <c r="CE285" s="239">
        <v>0</v>
      </c>
      <c r="CF285" s="239">
        <v>0</v>
      </c>
      <c r="CG285" s="239">
        <v>0</v>
      </c>
      <c r="CH285" s="239">
        <v>0</v>
      </c>
      <c r="CI285" s="239">
        <v>0</v>
      </c>
      <c r="CJ285" s="239">
        <v>0</v>
      </c>
      <c r="CK285" s="239">
        <v>0</v>
      </c>
      <c r="CL285" s="239">
        <v>0</v>
      </c>
      <c r="CM285" s="239">
        <v>4153.6165289256196</v>
      </c>
      <c r="CN285" s="239">
        <v>934.56371900826446</v>
      </c>
      <c r="CO285" s="239">
        <v>103.8404132231405</v>
      </c>
      <c r="CP285" s="239">
        <v>4144</v>
      </c>
      <c r="CQ285" s="239">
        <v>933</v>
      </c>
      <c r="CR285" s="239">
        <v>104</v>
      </c>
      <c r="CS285" s="239">
        <v>10</v>
      </c>
      <c r="CT285" s="239">
        <v>2</v>
      </c>
      <c r="CU285" s="239">
        <v>0</v>
      </c>
      <c r="CV285" s="239">
        <v>194812.69586776858</v>
      </c>
      <c r="CW285" s="239">
        <v>43832.856570247932</v>
      </c>
      <c r="CX285" s="239">
        <v>4870.3173966942149</v>
      </c>
      <c r="CY285" s="239">
        <v>174063</v>
      </c>
      <c r="CZ285" s="239">
        <v>39164</v>
      </c>
      <c r="DA285" s="239">
        <v>4352</v>
      </c>
      <c r="DB285" s="239">
        <v>20750</v>
      </c>
      <c r="DC285" s="239">
        <v>4669</v>
      </c>
      <c r="DD285" s="239">
        <v>518</v>
      </c>
      <c r="DE285" s="641">
        <v>0.5</v>
      </c>
      <c r="DF285" s="641">
        <v>0.4</v>
      </c>
      <c r="DG285" s="641">
        <v>0.09</v>
      </c>
      <c r="DH285" s="641">
        <v>0.01</v>
      </c>
      <c r="DI285" s="214" t="s">
        <v>1190</v>
      </c>
    </row>
    <row r="286" spans="2:113" s="214" customFormat="1" x14ac:dyDescent="0.2">
      <c r="B286" s="609" t="s">
        <v>654</v>
      </c>
      <c r="C286" s="609" t="s">
        <v>653</v>
      </c>
      <c r="D286" s="239">
        <v>-67797</v>
      </c>
      <c r="E286" s="239">
        <v>0</v>
      </c>
      <c r="F286" s="239">
        <v>-67797</v>
      </c>
      <c r="G286" s="239">
        <v>0</v>
      </c>
      <c r="H286" s="239">
        <v>0</v>
      </c>
      <c r="I286" s="239">
        <v>0</v>
      </c>
      <c r="J286" s="239">
        <v>-67797</v>
      </c>
      <c r="K286" s="239">
        <v>0</v>
      </c>
      <c r="L286" s="239">
        <v>-67797</v>
      </c>
      <c r="M286" s="239">
        <v>94955</v>
      </c>
      <c r="N286" s="239">
        <v>94955</v>
      </c>
      <c r="O286" s="239">
        <v>0</v>
      </c>
      <c r="P286" s="239">
        <v>0</v>
      </c>
      <c r="Q286" s="239">
        <v>0</v>
      </c>
      <c r="R286" s="239">
        <v>0</v>
      </c>
      <c r="S286" s="239">
        <v>0</v>
      </c>
      <c r="T286" s="239">
        <v>0</v>
      </c>
      <c r="U286" s="239">
        <v>0</v>
      </c>
      <c r="V286" s="239">
        <v>0</v>
      </c>
      <c r="W286" s="239">
        <v>0</v>
      </c>
      <c r="X286" s="239">
        <v>0</v>
      </c>
      <c r="Y286" s="239">
        <v>0</v>
      </c>
      <c r="Z286" s="239">
        <v>0</v>
      </c>
      <c r="AA286" s="239">
        <v>0</v>
      </c>
      <c r="AB286" s="239">
        <v>0</v>
      </c>
      <c r="AC286" s="239">
        <v>0</v>
      </c>
      <c r="AD286" s="239">
        <v>0</v>
      </c>
      <c r="AE286" s="239">
        <v>0</v>
      </c>
      <c r="AF286" s="239">
        <v>0</v>
      </c>
      <c r="AG286" s="239">
        <v>0</v>
      </c>
      <c r="AH286" s="239">
        <v>0</v>
      </c>
      <c r="AI286" s="239">
        <v>0</v>
      </c>
      <c r="AJ286" s="239">
        <v>0</v>
      </c>
      <c r="AK286" s="239">
        <v>209338.66157024796</v>
      </c>
      <c r="AL286" s="239">
        <v>52334.66539256199</v>
      </c>
      <c r="AM286" s="239">
        <v>0</v>
      </c>
      <c r="AN286" s="239">
        <v>188285</v>
      </c>
      <c r="AO286" s="239">
        <v>47071</v>
      </c>
      <c r="AP286" s="239">
        <v>0</v>
      </c>
      <c r="AQ286" s="239">
        <v>21054</v>
      </c>
      <c r="AR286" s="239">
        <v>5264</v>
      </c>
      <c r="AS286" s="239">
        <v>0</v>
      </c>
      <c r="AT286" s="239">
        <v>0</v>
      </c>
      <c r="AU286" s="239">
        <v>0</v>
      </c>
      <c r="AV286" s="239">
        <v>0</v>
      </c>
      <c r="AW286" s="239">
        <v>0</v>
      </c>
      <c r="AX286" s="239">
        <v>0</v>
      </c>
      <c r="AY286" s="239">
        <v>0</v>
      </c>
      <c r="AZ286" s="239">
        <v>0</v>
      </c>
      <c r="BA286" s="239">
        <v>0</v>
      </c>
      <c r="BB286" s="239">
        <v>0</v>
      </c>
      <c r="BC286" s="239">
        <v>0</v>
      </c>
      <c r="BD286" s="239">
        <v>0</v>
      </c>
      <c r="BE286" s="239">
        <v>0</v>
      </c>
      <c r="BF286" s="239">
        <v>0</v>
      </c>
      <c r="BG286" s="239">
        <v>0</v>
      </c>
      <c r="BH286" s="239">
        <v>0</v>
      </c>
      <c r="BI286" s="239">
        <v>0</v>
      </c>
      <c r="BJ286" s="239">
        <v>0</v>
      </c>
      <c r="BK286" s="239">
        <v>0</v>
      </c>
      <c r="BL286" s="239">
        <v>0</v>
      </c>
      <c r="BM286" s="239">
        <v>0</v>
      </c>
      <c r="BN286" s="239">
        <v>0</v>
      </c>
      <c r="BO286" s="239">
        <v>0</v>
      </c>
      <c r="BP286" s="239">
        <v>0</v>
      </c>
      <c r="BQ286" s="239">
        <v>0</v>
      </c>
      <c r="BR286" s="239">
        <v>0</v>
      </c>
      <c r="BS286" s="239">
        <v>0</v>
      </c>
      <c r="BT286" s="239">
        <v>0</v>
      </c>
      <c r="BU286" s="239">
        <v>-3375.7264462809917</v>
      </c>
      <c r="BV286" s="239">
        <v>-843.93161157024792</v>
      </c>
      <c r="BW286" s="239">
        <v>0</v>
      </c>
      <c r="BX286" s="239">
        <v>0</v>
      </c>
      <c r="BY286" s="239">
        <v>0</v>
      </c>
      <c r="BZ286" s="239">
        <v>0</v>
      </c>
      <c r="CA286" s="239">
        <v>-3376</v>
      </c>
      <c r="CB286" s="239">
        <v>-844</v>
      </c>
      <c r="CC286" s="239">
        <v>0</v>
      </c>
      <c r="CD286" s="239">
        <v>0</v>
      </c>
      <c r="CE286" s="239">
        <v>0</v>
      </c>
      <c r="CF286" s="239">
        <v>0</v>
      </c>
      <c r="CG286" s="239">
        <v>0</v>
      </c>
      <c r="CH286" s="239">
        <v>0</v>
      </c>
      <c r="CI286" s="239">
        <v>0</v>
      </c>
      <c r="CJ286" s="239">
        <v>0</v>
      </c>
      <c r="CK286" s="239">
        <v>0</v>
      </c>
      <c r="CL286" s="239">
        <v>0</v>
      </c>
      <c r="CM286" s="239">
        <v>2050.8380165289259</v>
      </c>
      <c r="CN286" s="239">
        <v>512.70950413223147</v>
      </c>
      <c r="CO286" s="239">
        <v>0</v>
      </c>
      <c r="CP286" s="239">
        <v>0</v>
      </c>
      <c r="CQ286" s="239">
        <v>0</v>
      </c>
      <c r="CR286" s="239">
        <v>0</v>
      </c>
      <c r="CS286" s="239">
        <v>2051</v>
      </c>
      <c r="CT286" s="239">
        <v>513</v>
      </c>
      <c r="CU286" s="239">
        <v>0</v>
      </c>
      <c r="CV286" s="239">
        <v>175713.35785123971</v>
      </c>
      <c r="CW286" s="239">
        <v>43928.339462809927</v>
      </c>
      <c r="CX286" s="239">
        <v>0</v>
      </c>
      <c r="CY286" s="239">
        <v>169110</v>
      </c>
      <c r="CZ286" s="239">
        <v>42278</v>
      </c>
      <c r="DA286" s="239">
        <v>0</v>
      </c>
      <c r="DB286" s="239">
        <v>6603</v>
      </c>
      <c r="DC286" s="239">
        <v>1650</v>
      </c>
      <c r="DD286" s="239">
        <v>0</v>
      </c>
      <c r="DE286" s="641">
        <v>0.5</v>
      </c>
      <c r="DF286" s="641">
        <v>0.4</v>
      </c>
      <c r="DG286" s="641">
        <v>0.1</v>
      </c>
      <c r="DH286" s="641">
        <v>0</v>
      </c>
      <c r="DI286" s="214" t="s">
        <v>1190</v>
      </c>
    </row>
    <row r="287" spans="2:113" s="214" customFormat="1" x14ac:dyDescent="0.2">
      <c r="B287" s="609" t="s">
        <v>656</v>
      </c>
      <c r="C287" s="609" t="s">
        <v>655</v>
      </c>
      <c r="D287" s="239">
        <v>-451314</v>
      </c>
      <c r="E287" s="239">
        <v>0</v>
      </c>
      <c r="F287" s="239">
        <v>-451314</v>
      </c>
      <c r="G287" s="239">
        <v>0</v>
      </c>
      <c r="H287" s="239">
        <v>0</v>
      </c>
      <c r="I287" s="239">
        <v>0</v>
      </c>
      <c r="J287" s="239">
        <v>-451314</v>
      </c>
      <c r="K287" s="239">
        <v>0</v>
      </c>
      <c r="L287" s="239">
        <v>-451314</v>
      </c>
      <c r="M287" s="239">
        <v>234481</v>
      </c>
      <c r="N287" s="239">
        <v>234481</v>
      </c>
      <c r="O287" s="239">
        <v>0</v>
      </c>
      <c r="P287" s="239">
        <v>0</v>
      </c>
      <c r="Q287" s="239">
        <v>0</v>
      </c>
      <c r="R287" s="239">
        <v>0</v>
      </c>
      <c r="S287" s="239">
        <v>0</v>
      </c>
      <c r="T287" s="239">
        <v>0</v>
      </c>
      <c r="U287" s="239">
        <v>0</v>
      </c>
      <c r="V287" s="239">
        <v>0</v>
      </c>
      <c r="W287" s="239">
        <v>0</v>
      </c>
      <c r="X287" s="239">
        <v>0</v>
      </c>
      <c r="Y287" s="239">
        <v>0</v>
      </c>
      <c r="Z287" s="239">
        <v>0</v>
      </c>
      <c r="AA287" s="239">
        <v>0</v>
      </c>
      <c r="AB287" s="239">
        <v>0</v>
      </c>
      <c r="AC287" s="239">
        <v>0</v>
      </c>
      <c r="AD287" s="239">
        <v>0</v>
      </c>
      <c r="AE287" s="239">
        <v>0</v>
      </c>
      <c r="AF287" s="239">
        <v>0</v>
      </c>
      <c r="AG287" s="239">
        <v>0</v>
      </c>
      <c r="AH287" s="239">
        <v>0</v>
      </c>
      <c r="AI287" s="239">
        <v>0</v>
      </c>
      <c r="AJ287" s="239">
        <v>0</v>
      </c>
      <c r="AK287" s="239">
        <v>634110.98379132233</v>
      </c>
      <c r="AL287" s="239">
        <v>0</v>
      </c>
      <c r="AM287" s="239">
        <v>12941.040485537191</v>
      </c>
      <c r="AN287" s="239">
        <v>569652</v>
      </c>
      <c r="AO287" s="239">
        <v>0</v>
      </c>
      <c r="AP287" s="239">
        <v>11626</v>
      </c>
      <c r="AQ287" s="239">
        <v>64459</v>
      </c>
      <c r="AR287" s="239">
        <v>0</v>
      </c>
      <c r="AS287" s="239">
        <v>1315</v>
      </c>
      <c r="AT287" s="239">
        <v>4736.7398966942146</v>
      </c>
      <c r="AU287" s="239">
        <v>0</v>
      </c>
      <c r="AV287" s="239">
        <v>96.668161157024784</v>
      </c>
      <c r="AW287" s="239">
        <v>6659</v>
      </c>
      <c r="AX287" s="239">
        <v>0</v>
      </c>
      <c r="AY287" s="239">
        <v>136</v>
      </c>
      <c r="AZ287" s="239">
        <v>-1922</v>
      </c>
      <c r="BA287" s="239">
        <v>0</v>
      </c>
      <c r="BB287" s="239">
        <v>-39</v>
      </c>
      <c r="BC287" s="239">
        <v>0</v>
      </c>
      <c r="BD287" s="239">
        <v>0</v>
      </c>
      <c r="BE287" s="239">
        <v>0</v>
      </c>
      <c r="BF287" s="239">
        <v>0</v>
      </c>
      <c r="BG287" s="239">
        <v>0</v>
      </c>
      <c r="BH287" s="239">
        <v>0</v>
      </c>
      <c r="BI287" s="239">
        <v>0</v>
      </c>
      <c r="BJ287" s="239">
        <v>0</v>
      </c>
      <c r="BK287" s="239">
        <v>0</v>
      </c>
      <c r="BL287" s="239">
        <v>52285.078450413232</v>
      </c>
      <c r="BM287" s="239">
        <v>0</v>
      </c>
      <c r="BN287" s="239">
        <v>1067.042417355372</v>
      </c>
      <c r="BO287" s="239">
        <v>0</v>
      </c>
      <c r="BP287" s="239">
        <v>0</v>
      </c>
      <c r="BQ287" s="239">
        <v>0</v>
      </c>
      <c r="BR287" s="239">
        <v>52285</v>
      </c>
      <c r="BS287" s="239">
        <v>0</v>
      </c>
      <c r="BT287" s="239">
        <v>1067</v>
      </c>
      <c r="BU287" s="239">
        <v>9180.1985950413218</v>
      </c>
      <c r="BV287" s="239">
        <v>0</v>
      </c>
      <c r="BW287" s="239">
        <v>187.35099173553718</v>
      </c>
      <c r="BX287" s="239">
        <v>0</v>
      </c>
      <c r="BY287" s="239">
        <v>0</v>
      </c>
      <c r="BZ287" s="239">
        <v>0</v>
      </c>
      <c r="CA287" s="239">
        <v>9180</v>
      </c>
      <c r="CB287" s="239">
        <v>0</v>
      </c>
      <c r="CC287" s="239">
        <v>187</v>
      </c>
      <c r="CD287" s="239">
        <v>0</v>
      </c>
      <c r="CE287" s="239">
        <v>0</v>
      </c>
      <c r="CF287" s="239">
        <v>0</v>
      </c>
      <c r="CG287" s="239">
        <v>0</v>
      </c>
      <c r="CH287" s="239">
        <v>0</v>
      </c>
      <c r="CI287" s="239">
        <v>0</v>
      </c>
      <c r="CJ287" s="239">
        <v>0</v>
      </c>
      <c r="CK287" s="239">
        <v>0</v>
      </c>
      <c r="CL287" s="239">
        <v>0</v>
      </c>
      <c r="CM287" s="239">
        <v>4122.3406404958678</v>
      </c>
      <c r="CN287" s="239">
        <v>0</v>
      </c>
      <c r="CO287" s="239">
        <v>84.129400826446286</v>
      </c>
      <c r="CP287" s="239">
        <v>7769</v>
      </c>
      <c r="CQ287" s="239">
        <v>0</v>
      </c>
      <c r="CR287" s="239">
        <v>159</v>
      </c>
      <c r="CS287" s="239">
        <v>-3647</v>
      </c>
      <c r="CT287" s="239">
        <v>0</v>
      </c>
      <c r="CU287" s="239">
        <v>-75</v>
      </c>
      <c r="CV287" s="239">
        <v>782409.27068181813</v>
      </c>
      <c r="CW287" s="239">
        <v>0</v>
      </c>
      <c r="CX287" s="239">
        <v>15967.536136363637</v>
      </c>
      <c r="CY287" s="239">
        <v>792315</v>
      </c>
      <c r="CZ287" s="239">
        <v>0</v>
      </c>
      <c r="DA287" s="239">
        <v>16170</v>
      </c>
      <c r="DB287" s="239">
        <v>-9906</v>
      </c>
      <c r="DC287" s="239">
        <v>0</v>
      </c>
      <c r="DD287" s="239">
        <v>-202</v>
      </c>
      <c r="DE287" s="641">
        <v>0.5</v>
      </c>
      <c r="DF287" s="641">
        <v>0.49</v>
      </c>
      <c r="DG287" s="641">
        <v>0</v>
      </c>
      <c r="DH287" s="641">
        <v>0.01</v>
      </c>
      <c r="DI287" s="214" t="s">
        <v>747</v>
      </c>
    </row>
    <row r="288" spans="2:113" s="214" customFormat="1" x14ac:dyDescent="0.2">
      <c r="B288" s="609" t="s">
        <v>658</v>
      </c>
      <c r="C288" s="609" t="s">
        <v>657</v>
      </c>
      <c r="D288" s="239">
        <v>-401387</v>
      </c>
      <c r="E288" s="239">
        <v>0</v>
      </c>
      <c r="F288" s="239">
        <v>-401387</v>
      </c>
      <c r="G288" s="239">
        <v>0</v>
      </c>
      <c r="H288" s="239">
        <v>0</v>
      </c>
      <c r="I288" s="239">
        <v>0</v>
      </c>
      <c r="J288" s="239">
        <v>-401387</v>
      </c>
      <c r="K288" s="239">
        <v>0</v>
      </c>
      <c r="L288" s="239">
        <v>-401387</v>
      </c>
      <c r="M288" s="239">
        <v>165827</v>
      </c>
      <c r="N288" s="239">
        <v>165827</v>
      </c>
      <c r="O288" s="239">
        <v>0</v>
      </c>
      <c r="P288" s="239">
        <v>0</v>
      </c>
      <c r="Q288" s="239">
        <v>0</v>
      </c>
      <c r="R288" s="239">
        <v>0</v>
      </c>
      <c r="S288" s="239">
        <v>0</v>
      </c>
      <c r="T288" s="239">
        <v>0</v>
      </c>
      <c r="U288" s="239">
        <v>0</v>
      </c>
      <c r="V288" s="239">
        <v>0</v>
      </c>
      <c r="W288" s="239">
        <v>0</v>
      </c>
      <c r="X288" s="239">
        <v>0</v>
      </c>
      <c r="Y288" s="239">
        <v>0</v>
      </c>
      <c r="Z288" s="239">
        <v>0</v>
      </c>
      <c r="AA288" s="239">
        <v>0</v>
      </c>
      <c r="AB288" s="239">
        <v>0</v>
      </c>
      <c r="AC288" s="239">
        <v>0</v>
      </c>
      <c r="AD288" s="239">
        <v>0</v>
      </c>
      <c r="AE288" s="239">
        <v>0</v>
      </c>
      <c r="AF288" s="239">
        <v>0</v>
      </c>
      <c r="AG288" s="239">
        <v>0</v>
      </c>
      <c r="AH288" s="239">
        <v>0</v>
      </c>
      <c r="AI288" s="239">
        <v>0</v>
      </c>
      <c r="AJ288" s="239">
        <v>0</v>
      </c>
      <c r="AK288" s="239">
        <v>392538.67438016529</v>
      </c>
      <c r="AL288" s="239">
        <v>88321.201735537194</v>
      </c>
      <c r="AM288" s="239">
        <v>9813.466859504133</v>
      </c>
      <c r="AN288" s="239">
        <v>371727</v>
      </c>
      <c r="AO288" s="239">
        <v>83639</v>
      </c>
      <c r="AP288" s="239">
        <v>9293</v>
      </c>
      <c r="AQ288" s="239">
        <v>20812</v>
      </c>
      <c r="AR288" s="239">
        <v>4682</v>
      </c>
      <c r="AS288" s="239">
        <v>520</v>
      </c>
      <c r="AT288" s="239">
        <v>0</v>
      </c>
      <c r="AU288" s="239">
        <v>0</v>
      </c>
      <c r="AV288" s="239">
        <v>0</v>
      </c>
      <c r="AW288" s="239">
        <v>0</v>
      </c>
      <c r="AX288" s="239">
        <v>0</v>
      </c>
      <c r="AY288" s="239">
        <v>0</v>
      </c>
      <c r="AZ288" s="239">
        <v>0</v>
      </c>
      <c r="BA288" s="239">
        <v>0</v>
      </c>
      <c r="BB288" s="239">
        <v>0</v>
      </c>
      <c r="BC288" s="239">
        <v>68992.398347107446</v>
      </c>
      <c r="BD288" s="239">
        <v>15523.289628099174</v>
      </c>
      <c r="BE288" s="239">
        <v>1724.8099586776859</v>
      </c>
      <c r="BF288" s="239">
        <v>80512</v>
      </c>
      <c r="BG288" s="239">
        <v>18115</v>
      </c>
      <c r="BH288" s="239">
        <v>2013</v>
      </c>
      <c r="BI288" s="239">
        <v>-11520</v>
      </c>
      <c r="BJ288" s="239">
        <v>-2592</v>
      </c>
      <c r="BK288" s="239">
        <v>-288</v>
      </c>
      <c r="BL288" s="239">
        <v>3301.0619834710742</v>
      </c>
      <c r="BM288" s="239">
        <v>742.73894628099163</v>
      </c>
      <c r="BN288" s="239">
        <v>82.526549586776852</v>
      </c>
      <c r="BO288" s="239">
        <v>8371</v>
      </c>
      <c r="BP288" s="239">
        <v>1884</v>
      </c>
      <c r="BQ288" s="239">
        <v>209</v>
      </c>
      <c r="BR288" s="239">
        <v>-5070</v>
      </c>
      <c r="BS288" s="239">
        <v>-1141</v>
      </c>
      <c r="BT288" s="239">
        <v>-126</v>
      </c>
      <c r="BU288" s="239">
        <v>2948.0289256198348</v>
      </c>
      <c r="BV288" s="239">
        <v>663.30650826446276</v>
      </c>
      <c r="BW288" s="239">
        <v>73.700723140495867</v>
      </c>
      <c r="BX288" s="239">
        <v>0</v>
      </c>
      <c r="BY288" s="239">
        <v>0</v>
      </c>
      <c r="BZ288" s="239">
        <v>0</v>
      </c>
      <c r="CA288" s="239">
        <v>2948</v>
      </c>
      <c r="CB288" s="239">
        <v>663</v>
      </c>
      <c r="CC288" s="239">
        <v>74</v>
      </c>
      <c r="CD288" s="239">
        <v>-235.76115702479339</v>
      </c>
      <c r="CE288" s="239">
        <v>-53.046260330578505</v>
      </c>
      <c r="CF288" s="239">
        <v>-5.8940289256198346</v>
      </c>
      <c r="CG288" s="239">
        <v>0</v>
      </c>
      <c r="CH288" s="239">
        <v>0</v>
      </c>
      <c r="CI288" s="239">
        <v>0</v>
      </c>
      <c r="CJ288" s="239">
        <v>-236</v>
      </c>
      <c r="CK288" s="239">
        <v>-53</v>
      </c>
      <c r="CL288" s="239">
        <v>-6</v>
      </c>
      <c r="CM288" s="239">
        <v>0</v>
      </c>
      <c r="CN288" s="239">
        <v>0</v>
      </c>
      <c r="CO288" s="239">
        <v>0</v>
      </c>
      <c r="CP288" s="239">
        <v>0</v>
      </c>
      <c r="CQ288" s="239">
        <v>0</v>
      </c>
      <c r="CR288" s="239">
        <v>0</v>
      </c>
      <c r="CS288" s="239">
        <v>0</v>
      </c>
      <c r="CT288" s="239">
        <v>0</v>
      </c>
      <c r="CU288" s="239">
        <v>0</v>
      </c>
      <c r="CV288" s="239">
        <v>307947.50578512397</v>
      </c>
      <c r="CW288" s="239">
        <v>69288.188801652897</v>
      </c>
      <c r="CX288" s="239">
        <v>7698.6876446280994</v>
      </c>
      <c r="CY288" s="239">
        <v>311264</v>
      </c>
      <c r="CZ288" s="239">
        <v>70034</v>
      </c>
      <c r="DA288" s="239">
        <v>7782</v>
      </c>
      <c r="DB288" s="239">
        <v>-3316</v>
      </c>
      <c r="DC288" s="239">
        <v>-746</v>
      </c>
      <c r="DD288" s="239">
        <v>-83</v>
      </c>
      <c r="DE288" s="641">
        <v>0.5</v>
      </c>
      <c r="DF288" s="641">
        <v>0.4</v>
      </c>
      <c r="DG288" s="641">
        <v>0.09</v>
      </c>
      <c r="DH288" s="641">
        <v>0.01</v>
      </c>
      <c r="DI288" s="214" t="s">
        <v>1190</v>
      </c>
    </row>
    <row r="289" spans="2:113" s="214" customFormat="1" x14ac:dyDescent="0.2">
      <c r="B289" s="609" t="s">
        <v>660</v>
      </c>
      <c r="C289" s="609" t="s">
        <v>659</v>
      </c>
      <c r="D289" s="239">
        <v>-244090</v>
      </c>
      <c r="E289" s="239">
        <v>0</v>
      </c>
      <c r="F289" s="239">
        <v>-244090</v>
      </c>
      <c r="G289" s="239">
        <v>0</v>
      </c>
      <c r="H289" s="239">
        <v>0</v>
      </c>
      <c r="I289" s="239">
        <v>0</v>
      </c>
      <c r="J289" s="239">
        <v>-244090</v>
      </c>
      <c r="K289" s="239">
        <v>0</v>
      </c>
      <c r="L289" s="239">
        <v>-244090</v>
      </c>
      <c r="M289" s="239">
        <v>201543</v>
      </c>
      <c r="N289" s="239">
        <v>201543</v>
      </c>
      <c r="O289" s="239">
        <v>0</v>
      </c>
      <c r="P289" s="239">
        <v>0</v>
      </c>
      <c r="Q289" s="239">
        <v>0</v>
      </c>
      <c r="R289" s="239">
        <v>0</v>
      </c>
      <c r="S289" s="239">
        <v>0</v>
      </c>
      <c r="T289" s="239">
        <v>0</v>
      </c>
      <c r="U289" s="239">
        <v>0</v>
      </c>
      <c r="V289" s="239">
        <v>0</v>
      </c>
      <c r="W289" s="239">
        <v>0</v>
      </c>
      <c r="X289" s="239">
        <v>0</v>
      </c>
      <c r="Y289" s="239">
        <v>0</v>
      </c>
      <c r="Z289" s="239">
        <v>0</v>
      </c>
      <c r="AA289" s="239">
        <v>0</v>
      </c>
      <c r="AB289" s="239">
        <v>0</v>
      </c>
      <c r="AC289" s="239">
        <v>0</v>
      </c>
      <c r="AD289" s="239">
        <v>0</v>
      </c>
      <c r="AE289" s="239">
        <v>0</v>
      </c>
      <c r="AF289" s="239">
        <v>0</v>
      </c>
      <c r="AG289" s="239">
        <v>0</v>
      </c>
      <c r="AH289" s="239">
        <v>0</v>
      </c>
      <c r="AI289" s="239">
        <v>0</v>
      </c>
      <c r="AJ289" s="239">
        <v>0</v>
      </c>
      <c r="AK289" s="239">
        <v>1056789.8351962811</v>
      </c>
      <c r="AL289" s="239">
        <v>0</v>
      </c>
      <c r="AM289" s="239">
        <v>21567.139493801653</v>
      </c>
      <c r="AN289" s="239">
        <v>1071008</v>
      </c>
      <c r="AO289" s="239">
        <v>0</v>
      </c>
      <c r="AP289" s="239">
        <v>21857</v>
      </c>
      <c r="AQ289" s="239">
        <v>-14218</v>
      </c>
      <c r="AR289" s="239">
        <v>0</v>
      </c>
      <c r="AS289" s="239">
        <v>-290</v>
      </c>
      <c r="AT289" s="239">
        <v>137410.69190082647</v>
      </c>
      <c r="AU289" s="239">
        <v>0</v>
      </c>
      <c r="AV289" s="239">
        <v>2804.2998347107441</v>
      </c>
      <c r="AW289" s="239">
        <v>0</v>
      </c>
      <c r="AX289" s="239">
        <v>0</v>
      </c>
      <c r="AY289" s="239">
        <v>0</v>
      </c>
      <c r="AZ289" s="239">
        <v>137411</v>
      </c>
      <c r="BA289" s="239">
        <v>0</v>
      </c>
      <c r="BB289" s="239">
        <v>2804</v>
      </c>
      <c r="BC289" s="239">
        <v>24913.989256198347</v>
      </c>
      <c r="BD289" s="239">
        <v>0</v>
      </c>
      <c r="BE289" s="239">
        <v>508.44876033057852</v>
      </c>
      <c r="BF289" s="239">
        <v>29327</v>
      </c>
      <c r="BG289" s="239">
        <v>0</v>
      </c>
      <c r="BH289" s="239">
        <v>599</v>
      </c>
      <c r="BI289" s="239">
        <v>-4413</v>
      </c>
      <c r="BJ289" s="239">
        <v>0</v>
      </c>
      <c r="BK289" s="239">
        <v>-91</v>
      </c>
      <c r="BL289" s="239">
        <v>70691.704710743797</v>
      </c>
      <c r="BM289" s="239">
        <v>0</v>
      </c>
      <c r="BN289" s="239">
        <v>1442.6878512396695</v>
      </c>
      <c r="BO289" s="239">
        <v>25202</v>
      </c>
      <c r="BP289" s="239">
        <v>0</v>
      </c>
      <c r="BQ289" s="239">
        <v>514</v>
      </c>
      <c r="BR289" s="239">
        <v>45490</v>
      </c>
      <c r="BS289" s="239">
        <v>0</v>
      </c>
      <c r="BT289" s="239">
        <v>929</v>
      </c>
      <c r="BU289" s="239">
        <v>11957.42241735537</v>
      </c>
      <c r="BV289" s="239">
        <v>0</v>
      </c>
      <c r="BW289" s="239">
        <v>244.02902892561983</v>
      </c>
      <c r="BX289" s="239">
        <v>0</v>
      </c>
      <c r="BY289" s="239">
        <v>0</v>
      </c>
      <c r="BZ289" s="239">
        <v>0</v>
      </c>
      <c r="CA289" s="239">
        <v>11957</v>
      </c>
      <c r="CB289" s="239">
        <v>0</v>
      </c>
      <c r="CC289" s="239">
        <v>244</v>
      </c>
      <c r="CD289" s="239">
        <v>0</v>
      </c>
      <c r="CE289" s="239">
        <v>0</v>
      </c>
      <c r="CF289" s="239">
        <v>0</v>
      </c>
      <c r="CG289" s="239">
        <v>0</v>
      </c>
      <c r="CH289" s="239">
        <v>0</v>
      </c>
      <c r="CI289" s="239">
        <v>0</v>
      </c>
      <c r="CJ289" s="239">
        <v>0</v>
      </c>
      <c r="CK289" s="239">
        <v>0</v>
      </c>
      <c r="CL289" s="239">
        <v>0</v>
      </c>
      <c r="CM289" s="239">
        <v>3992.6009917355377</v>
      </c>
      <c r="CN289" s="239">
        <v>0</v>
      </c>
      <c r="CO289" s="239">
        <v>81.481652892561982</v>
      </c>
      <c r="CP289" s="239">
        <v>8794</v>
      </c>
      <c r="CQ289" s="239">
        <v>0</v>
      </c>
      <c r="CR289" s="239">
        <v>179</v>
      </c>
      <c r="CS289" s="239">
        <v>-4801</v>
      </c>
      <c r="CT289" s="239">
        <v>0</v>
      </c>
      <c r="CU289" s="239">
        <v>-98</v>
      </c>
      <c r="CV289" s="239">
        <v>265449.88981404959</v>
      </c>
      <c r="CW289" s="239">
        <v>0</v>
      </c>
      <c r="CX289" s="239">
        <v>5417.3446900826448</v>
      </c>
      <c r="CY289" s="239">
        <v>264423</v>
      </c>
      <c r="CZ289" s="239">
        <v>0</v>
      </c>
      <c r="DA289" s="239">
        <v>5396</v>
      </c>
      <c r="DB289" s="239">
        <v>1027</v>
      </c>
      <c r="DC289" s="239">
        <v>0</v>
      </c>
      <c r="DD289" s="239">
        <v>21</v>
      </c>
      <c r="DE289" s="641">
        <v>0.5</v>
      </c>
      <c r="DF289" s="641">
        <v>0.49</v>
      </c>
      <c r="DG289" s="641">
        <v>0</v>
      </c>
      <c r="DH289" s="641">
        <v>0.01</v>
      </c>
      <c r="DI289" s="214" t="s">
        <v>747</v>
      </c>
    </row>
    <row r="290" spans="2:113" s="214" customFormat="1" x14ac:dyDescent="0.2">
      <c r="B290" s="609" t="s">
        <v>662</v>
      </c>
      <c r="C290" s="609" t="s">
        <v>661</v>
      </c>
      <c r="D290" s="239">
        <v>-213038</v>
      </c>
      <c r="E290" s="239">
        <v>0</v>
      </c>
      <c r="F290" s="239">
        <v>-213038</v>
      </c>
      <c r="G290" s="239">
        <v>0</v>
      </c>
      <c r="H290" s="239">
        <v>0</v>
      </c>
      <c r="I290" s="239">
        <v>0</v>
      </c>
      <c r="J290" s="239">
        <v>-213038</v>
      </c>
      <c r="K290" s="239">
        <v>0</v>
      </c>
      <c r="L290" s="239">
        <v>-213038</v>
      </c>
      <c r="M290" s="239">
        <v>131975</v>
      </c>
      <c r="N290" s="239">
        <v>131975</v>
      </c>
      <c r="O290" s="239">
        <v>0</v>
      </c>
      <c r="P290" s="239">
        <v>0</v>
      </c>
      <c r="Q290" s="239">
        <v>0</v>
      </c>
      <c r="R290" s="239">
        <v>0</v>
      </c>
      <c r="S290" s="239">
        <v>567661</v>
      </c>
      <c r="T290" s="239">
        <v>0</v>
      </c>
      <c r="U290" s="239">
        <v>542595</v>
      </c>
      <c r="V290" s="239">
        <v>0</v>
      </c>
      <c r="W290" s="239">
        <v>25066</v>
      </c>
      <c r="X290" s="239">
        <v>0</v>
      </c>
      <c r="Y290" s="239">
        <v>0</v>
      </c>
      <c r="Z290" s="239">
        <v>0</v>
      </c>
      <c r="AA290" s="239">
        <v>0</v>
      </c>
      <c r="AB290" s="239">
        <v>0</v>
      </c>
      <c r="AC290" s="239">
        <v>0</v>
      </c>
      <c r="AD290" s="239">
        <v>0</v>
      </c>
      <c r="AE290" s="239">
        <v>0</v>
      </c>
      <c r="AF290" s="239">
        <v>0</v>
      </c>
      <c r="AG290" s="239">
        <v>0</v>
      </c>
      <c r="AH290" s="239">
        <v>0</v>
      </c>
      <c r="AI290" s="239">
        <v>0</v>
      </c>
      <c r="AJ290" s="239">
        <v>0</v>
      </c>
      <c r="AK290" s="239">
        <v>654946.32024793385</v>
      </c>
      <c r="AL290" s="239">
        <v>147362.92205578511</v>
      </c>
      <c r="AM290" s="239">
        <v>16373.658006198348</v>
      </c>
      <c r="AN290" s="239">
        <v>595248</v>
      </c>
      <c r="AO290" s="239">
        <v>133931</v>
      </c>
      <c r="AP290" s="239">
        <v>14881</v>
      </c>
      <c r="AQ290" s="239">
        <v>59698</v>
      </c>
      <c r="AR290" s="239">
        <v>13432</v>
      </c>
      <c r="AS290" s="239">
        <v>1493</v>
      </c>
      <c r="AT290" s="239">
        <v>3276.7148760330583</v>
      </c>
      <c r="AU290" s="239">
        <v>737.26084710743805</v>
      </c>
      <c r="AV290" s="239">
        <v>81.917871900826455</v>
      </c>
      <c r="AW290" s="239">
        <v>0</v>
      </c>
      <c r="AX290" s="239">
        <v>0</v>
      </c>
      <c r="AY290" s="239">
        <v>0</v>
      </c>
      <c r="AZ290" s="239">
        <v>3277</v>
      </c>
      <c r="BA290" s="239">
        <v>737</v>
      </c>
      <c r="BB290" s="239">
        <v>82</v>
      </c>
      <c r="BC290" s="239">
        <v>0</v>
      </c>
      <c r="BD290" s="239">
        <v>0</v>
      </c>
      <c r="BE290" s="239">
        <v>0</v>
      </c>
      <c r="BF290" s="239">
        <v>0</v>
      </c>
      <c r="BG290" s="239">
        <v>0</v>
      </c>
      <c r="BH290" s="239">
        <v>0</v>
      </c>
      <c r="BI290" s="239">
        <v>0</v>
      </c>
      <c r="BJ290" s="239">
        <v>0</v>
      </c>
      <c r="BK290" s="239">
        <v>0</v>
      </c>
      <c r="BL290" s="239">
        <v>2858.350413223141</v>
      </c>
      <c r="BM290" s="239">
        <v>643.12884297520657</v>
      </c>
      <c r="BN290" s="239">
        <v>71.458760330578514</v>
      </c>
      <c r="BO290" s="239">
        <v>4009</v>
      </c>
      <c r="BP290" s="239">
        <v>902</v>
      </c>
      <c r="BQ290" s="239">
        <v>100</v>
      </c>
      <c r="BR290" s="239">
        <v>-1151</v>
      </c>
      <c r="BS290" s="239">
        <v>-259</v>
      </c>
      <c r="BT290" s="239">
        <v>-29</v>
      </c>
      <c r="BU290" s="239">
        <v>2366.9446280991738</v>
      </c>
      <c r="BV290" s="239">
        <v>532.56254132231402</v>
      </c>
      <c r="BW290" s="239">
        <v>59.173615702479339</v>
      </c>
      <c r="BX290" s="239">
        <v>0</v>
      </c>
      <c r="BY290" s="239">
        <v>0</v>
      </c>
      <c r="BZ290" s="239">
        <v>0</v>
      </c>
      <c r="CA290" s="239">
        <v>2367</v>
      </c>
      <c r="CB290" s="239">
        <v>533</v>
      </c>
      <c r="CC290" s="239">
        <v>59</v>
      </c>
      <c r="CD290" s="239">
        <v>0</v>
      </c>
      <c r="CE290" s="239">
        <v>0</v>
      </c>
      <c r="CF290" s="239">
        <v>0</v>
      </c>
      <c r="CG290" s="239">
        <v>0</v>
      </c>
      <c r="CH290" s="239">
        <v>0</v>
      </c>
      <c r="CI290" s="239">
        <v>0</v>
      </c>
      <c r="CJ290" s="239">
        <v>0</v>
      </c>
      <c r="CK290" s="239">
        <v>0</v>
      </c>
      <c r="CL290" s="239">
        <v>0</v>
      </c>
      <c r="CM290" s="239">
        <v>2691.9785123966944</v>
      </c>
      <c r="CN290" s="239">
        <v>605.69516528925624</v>
      </c>
      <c r="CO290" s="239">
        <v>67.299462809917358</v>
      </c>
      <c r="CP290" s="239">
        <v>3477</v>
      </c>
      <c r="CQ290" s="239">
        <v>782</v>
      </c>
      <c r="CR290" s="239">
        <v>87</v>
      </c>
      <c r="CS290" s="239">
        <v>-785</v>
      </c>
      <c r="CT290" s="239">
        <v>-176</v>
      </c>
      <c r="CU290" s="239">
        <v>-20</v>
      </c>
      <c r="CV290" s="239">
        <v>66631.510330578516</v>
      </c>
      <c r="CW290" s="239">
        <v>13144.845867768594</v>
      </c>
      <c r="CX290" s="239">
        <v>1460.5384297520661</v>
      </c>
      <c r="CY290" s="239">
        <v>68826</v>
      </c>
      <c r="CZ290" s="239">
        <v>13720</v>
      </c>
      <c r="DA290" s="239">
        <v>1524</v>
      </c>
      <c r="DB290" s="239">
        <v>-2194</v>
      </c>
      <c r="DC290" s="239">
        <v>-575</v>
      </c>
      <c r="DD290" s="239">
        <v>-63</v>
      </c>
      <c r="DE290" s="641">
        <v>0.5</v>
      </c>
      <c r="DF290" s="641">
        <v>0.4</v>
      </c>
      <c r="DG290" s="641">
        <v>0.09</v>
      </c>
      <c r="DH290" s="641">
        <v>0.01</v>
      </c>
      <c r="DI290" s="214" t="s">
        <v>1190</v>
      </c>
    </row>
    <row r="291" spans="2:113" s="214" customFormat="1" x14ac:dyDescent="0.2">
      <c r="B291" s="609" t="s">
        <v>664</v>
      </c>
      <c r="C291" s="609" t="s">
        <v>663</v>
      </c>
      <c r="D291" s="239">
        <v>-755138</v>
      </c>
      <c r="E291" s="239">
        <v>0</v>
      </c>
      <c r="F291" s="239">
        <v>-755138</v>
      </c>
      <c r="G291" s="239">
        <v>0</v>
      </c>
      <c r="H291" s="239">
        <v>0</v>
      </c>
      <c r="I291" s="239">
        <v>0</v>
      </c>
      <c r="J291" s="239">
        <v>-755138</v>
      </c>
      <c r="K291" s="239">
        <v>0</v>
      </c>
      <c r="L291" s="239">
        <v>-755138</v>
      </c>
      <c r="M291" s="239">
        <v>962576</v>
      </c>
      <c r="N291" s="239">
        <v>962576</v>
      </c>
      <c r="O291" s="239">
        <v>0</v>
      </c>
      <c r="P291" s="239">
        <v>0</v>
      </c>
      <c r="Q291" s="239">
        <v>0</v>
      </c>
      <c r="R291" s="239">
        <v>0</v>
      </c>
      <c r="S291" s="239">
        <v>0</v>
      </c>
      <c r="T291" s="239">
        <v>0</v>
      </c>
      <c r="U291" s="239">
        <v>0</v>
      </c>
      <c r="V291" s="239">
        <v>0</v>
      </c>
      <c r="W291" s="239">
        <v>0</v>
      </c>
      <c r="X291" s="239">
        <v>0</v>
      </c>
      <c r="Y291" s="239">
        <v>0</v>
      </c>
      <c r="Z291" s="239">
        <v>0</v>
      </c>
      <c r="AA291" s="239">
        <v>0</v>
      </c>
      <c r="AB291" s="239">
        <v>0</v>
      </c>
      <c r="AC291" s="239">
        <v>0</v>
      </c>
      <c r="AD291" s="239">
        <v>0</v>
      </c>
      <c r="AE291" s="239">
        <v>0</v>
      </c>
      <c r="AF291" s="239">
        <v>0</v>
      </c>
      <c r="AG291" s="239">
        <v>0</v>
      </c>
      <c r="AH291" s="239">
        <v>0</v>
      </c>
      <c r="AI291" s="239">
        <v>0</v>
      </c>
      <c r="AJ291" s="239">
        <v>0</v>
      </c>
      <c r="AK291" s="239">
        <v>1077938.6609504132</v>
      </c>
      <c r="AL291" s="239">
        <v>718625.77396694222</v>
      </c>
      <c r="AM291" s="239">
        <v>0</v>
      </c>
      <c r="AN291" s="239">
        <v>982174</v>
      </c>
      <c r="AO291" s="239">
        <v>654782</v>
      </c>
      <c r="AP291" s="239">
        <v>0</v>
      </c>
      <c r="AQ291" s="239">
        <v>95765</v>
      </c>
      <c r="AR291" s="239">
        <v>63844</v>
      </c>
      <c r="AS291" s="239">
        <v>0</v>
      </c>
      <c r="AT291" s="239">
        <v>0</v>
      </c>
      <c r="AU291" s="239">
        <v>0</v>
      </c>
      <c r="AV291" s="239">
        <v>0</v>
      </c>
      <c r="AW291" s="239">
        <v>0</v>
      </c>
      <c r="AX291" s="239">
        <v>0</v>
      </c>
      <c r="AY291" s="239">
        <v>0</v>
      </c>
      <c r="AZ291" s="239">
        <v>0</v>
      </c>
      <c r="BA291" s="239">
        <v>0</v>
      </c>
      <c r="BB291" s="239">
        <v>0</v>
      </c>
      <c r="BC291" s="239">
        <v>118835.79669421486</v>
      </c>
      <c r="BD291" s="239">
        <v>79223.864462809914</v>
      </c>
      <c r="BE291" s="239">
        <v>0</v>
      </c>
      <c r="BF291" s="239">
        <v>4411</v>
      </c>
      <c r="BG291" s="239">
        <v>2941</v>
      </c>
      <c r="BH291" s="239">
        <v>0</v>
      </c>
      <c r="BI291" s="239">
        <v>114425</v>
      </c>
      <c r="BJ291" s="239">
        <v>76283</v>
      </c>
      <c r="BK291" s="239">
        <v>0</v>
      </c>
      <c r="BL291" s="239">
        <v>8582.0510330578509</v>
      </c>
      <c r="BM291" s="239">
        <v>5721.3673553719018</v>
      </c>
      <c r="BN291" s="239">
        <v>0</v>
      </c>
      <c r="BO291" s="239">
        <v>7807</v>
      </c>
      <c r="BP291" s="239">
        <v>5205</v>
      </c>
      <c r="BQ291" s="239">
        <v>0</v>
      </c>
      <c r="BR291" s="239">
        <v>775</v>
      </c>
      <c r="BS291" s="239">
        <v>516</v>
      </c>
      <c r="BT291" s="239">
        <v>0</v>
      </c>
      <c r="BU291" s="239">
        <v>1490.3473140495867</v>
      </c>
      <c r="BV291" s="239">
        <v>993.56487603305777</v>
      </c>
      <c r="BW291" s="239">
        <v>0</v>
      </c>
      <c r="BX291" s="239">
        <v>0</v>
      </c>
      <c r="BY291" s="239">
        <v>0</v>
      </c>
      <c r="BZ291" s="239">
        <v>0</v>
      </c>
      <c r="CA291" s="239">
        <v>1490</v>
      </c>
      <c r="CB291" s="239">
        <v>994</v>
      </c>
      <c r="CC291" s="239">
        <v>0</v>
      </c>
      <c r="CD291" s="239">
        <v>0</v>
      </c>
      <c r="CE291" s="239">
        <v>0</v>
      </c>
      <c r="CF291" s="239">
        <v>0</v>
      </c>
      <c r="CG291" s="239">
        <v>0</v>
      </c>
      <c r="CH291" s="239">
        <v>0</v>
      </c>
      <c r="CI291" s="239">
        <v>0</v>
      </c>
      <c r="CJ291" s="239">
        <v>0</v>
      </c>
      <c r="CK291" s="239">
        <v>0</v>
      </c>
      <c r="CL291" s="239">
        <v>0</v>
      </c>
      <c r="CM291" s="239">
        <v>16279.389049586778</v>
      </c>
      <c r="CN291" s="239">
        <v>10852.926033057853</v>
      </c>
      <c r="CO291" s="239">
        <v>0</v>
      </c>
      <c r="CP291" s="239">
        <v>24699</v>
      </c>
      <c r="CQ291" s="239">
        <v>16467</v>
      </c>
      <c r="CR291" s="239">
        <v>0</v>
      </c>
      <c r="CS291" s="239">
        <v>-8420</v>
      </c>
      <c r="CT291" s="239">
        <v>-5614</v>
      </c>
      <c r="CU291" s="239">
        <v>0</v>
      </c>
      <c r="CV291" s="239">
        <v>1704734.3466942147</v>
      </c>
      <c r="CW291" s="239">
        <v>1136489.5644628101</v>
      </c>
      <c r="CX291" s="239">
        <v>0</v>
      </c>
      <c r="CY291" s="239">
        <v>1709238</v>
      </c>
      <c r="CZ291" s="239">
        <v>1139492</v>
      </c>
      <c r="DA291" s="239">
        <v>0</v>
      </c>
      <c r="DB291" s="239">
        <v>-4504</v>
      </c>
      <c r="DC291" s="239">
        <v>-3002</v>
      </c>
      <c r="DD291" s="239">
        <v>0</v>
      </c>
      <c r="DE291" s="641">
        <v>0.5</v>
      </c>
      <c r="DF291" s="641">
        <v>0.3</v>
      </c>
      <c r="DG291" s="641">
        <v>0.2</v>
      </c>
      <c r="DH291" s="641">
        <v>0</v>
      </c>
      <c r="DI291" s="214" t="s">
        <v>1193</v>
      </c>
    </row>
    <row r="292" spans="2:113" s="214" customFormat="1" x14ac:dyDescent="0.2">
      <c r="B292" s="609" t="s">
        <v>666</v>
      </c>
      <c r="C292" s="609" t="s">
        <v>665</v>
      </c>
      <c r="D292" s="239">
        <v>-618462</v>
      </c>
      <c r="E292" s="239">
        <v>0</v>
      </c>
      <c r="F292" s="239">
        <v>-618462</v>
      </c>
      <c r="G292" s="239">
        <v>0</v>
      </c>
      <c r="H292" s="239">
        <v>0</v>
      </c>
      <c r="I292" s="239">
        <v>0</v>
      </c>
      <c r="J292" s="239">
        <v>-618462</v>
      </c>
      <c r="K292" s="239">
        <v>0</v>
      </c>
      <c r="L292" s="239">
        <v>-618462</v>
      </c>
      <c r="M292" s="239">
        <v>460679</v>
      </c>
      <c r="N292" s="239">
        <v>460679</v>
      </c>
      <c r="O292" s="239">
        <v>0</v>
      </c>
      <c r="P292" s="239">
        <v>0</v>
      </c>
      <c r="Q292" s="239">
        <v>0</v>
      </c>
      <c r="R292" s="239">
        <v>0</v>
      </c>
      <c r="S292" s="239">
        <v>77532</v>
      </c>
      <c r="T292" s="239">
        <v>0</v>
      </c>
      <c r="U292" s="239">
        <v>77532</v>
      </c>
      <c r="V292" s="239">
        <v>0</v>
      </c>
      <c r="W292" s="239">
        <v>0</v>
      </c>
      <c r="X292" s="239">
        <v>0</v>
      </c>
      <c r="Y292" s="239">
        <v>0</v>
      </c>
      <c r="Z292" s="239">
        <v>0</v>
      </c>
      <c r="AA292" s="239">
        <v>0</v>
      </c>
      <c r="AB292" s="239">
        <v>0</v>
      </c>
      <c r="AC292" s="239">
        <v>0</v>
      </c>
      <c r="AD292" s="239">
        <v>0</v>
      </c>
      <c r="AE292" s="239">
        <v>0</v>
      </c>
      <c r="AF292" s="239">
        <v>0</v>
      </c>
      <c r="AG292" s="239">
        <v>0</v>
      </c>
      <c r="AH292" s="239">
        <v>0</v>
      </c>
      <c r="AI292" s="239">
        <v>0</v>
      </c>
      <c r="AJ292" s="239">
        <v>0</v>
      </c>
      <c r="AK292" s="239">
        <v>1194924.2854442147</v>
      </c>
      <c r="AL292" s="239">
        <v>0</v>
      </c>
      <c r="AM292" s="239">
        <v>24386.20990702479</v>
      </c>
      <c r="AN292" s="239">
        <v>1102579</v>
      </c>
      <c r="AO292" s="239">
        <v>0</v>
      </c>
      <c r="AP292" s="239">
        <v>22502</v>
      </c>
      <c r="AQ292" s="239">
        <v>92345</v>
      </c>
      <c r="AR292" s="239">
        <v>0</v>
      </c>
      <c r="AS292" s="239">
        <v>1884</v>
      </c>
      <c r="AT292" s="239">
        <v>0</v>
      </c>
      <c r="AU292" s="239">
        <v>0</v>
      </c>
      <c r="AV292" s="239">
        <v>0</v>
      </c>
      <c r="AW292" s="239">
        <v>0</v>
      </c>
      <c r="AX292" s="239">
        <v>0</v>
      </c>
      <c r="AY292" s="239">
        <v>0</v>
      </c>
      <c r="AZ292" s="239">
        <v>0</v>
      </c>
      <c r="BA292" s="239">
        <v>0</v>
      </c>
      <c r="BB292" s="239">
        <v>0</v>
      </c>
      <c r="BC292" s="239">
        <v>1395.322582644628</v>
      </c>
      <c r="BD292" s="239">
        <v>0</v>
      </c>
      <c r="BE292" s="239">
        <v>28.475971074380166</v>
      </c>
      <c r="BF292" s="239">
        <v>0</v>
      </c>
      <c r="BG292" s="239">
        <v>0</v>
      </c>
      <c r="BH292" s="239">
        <v>0</v>
      </c>
      <c r="BI292" s="239">
        <v>1395</v>
      </c>
      <c r="BJ292" s="239">
        <v>0</v>
      </c>
      <c r="BK292" s="239">
        <v>28</v>
      </c>
      <c r="BL292" s="239">
        <v>85944.812458677683</v>
      </c>
      <c r="BM292" s="239">
        <v>0</v>
      </c>
      <c r="BN292" s="239">
        <v>1753.9757644628098</v>
      </c>
      <c r="BO292" s="239">
        <v>24691</v>
      </c>
      <c r="BP292" s="239">
        <v>0</v>
      </c>
      <c r="BQ292" s="239">
        <v>504</v>
      </c>
      <c r="BR292" s="239">
        <v>61254</v>
      </c>
      <c r="BS292" s="239">
        <v>0</v>
      </c>
      <c r="BT292" s="239">
        <v>1250</v>
      </c>
      <c r="BU292" s="239">
        <v>31663.930599173553</v>
      </c>
      <c r="BV292" s="239">
        <v>0</v>
      </c>
      <c r="BW292" s="239">
        <v>646.20266528925617</v>
      </c>
      <c r="BX292" s="239">
        <v>0</v>
      </c>
      <c r="BY292" s="239">
        <v>0</v>
      </c>
      <c r="BZ292" s="239">
        <v>0</v>
      </c>
      <c r="CA292" s="239">
        <v>31664</v>
      </c>
      <c r="CB292" s="239">
        <v>0</v>
      </c>
      <c r="CC292" s="239">
        <v>646</v>
      </c>
      <c r="CD292" s="239">
        <v>0</v>
      </c>
      <c r="CE292" s="239">
        <v>0</v>
      </c>
      <c r="CF292" s="239">
        <v>0</v>
      </c>
      <c r="CG292" s="239">
        <v>0</v>
      </c>
      <c r="CH292" s="239">
        <v>0</v>
      </c>
      <c r="CI292" s="239">
        <v>0</v>
      </c>
      <c r="CJ292" s="239">
        <v>0</v>
      </c>
      <c r="CK292" s="239">
        <v>0</v>
      </c>
      <c r="CL292" s="239">
        <v>0</v>
      </c>
      <c r="CM292" s="239">
        <v>1513.1321487603304</v>
      </c>
      <c r="CN292" s="239">
        <v>0</v>
      </c>
      <c r="CO292" s="239">
        <v>30.880247933884299</v>
      </c>
      <c r="CP292" s="239">
        <v>1752</v>
      </c>
      <c r="CQ292" s="239">
        <v>0</v>
      </c>
      <c r="CR292" s="239">
        <v>36</v>
      </c>
      <c r="CS292" s="239">
        <v>-239</v>
      </c>
      <c r="CT292" s="239">
        <v>0</v>
      </c>
      <c r="CU292" s="239">
        <v>-5</v>
      </c>
      <c r="CV292" s="239">
        <v>1110555.8156404959</v>
      </c>
      <c r="CW292" s="239">
        <v>0</v>
      </c>
      <c r="CX292" s="239">
        <v>22641.520103305786</v>
      </c>
      <c r="CY292" s="239">
        <v>1206593</v>
      </c>
      <c r="CZ292" s="239">
        <v>0</v>
      </c>
      <c r="DA292" s="239">
        <v>24601</v>
      </c>
      <c r="DB292" s="239">
        <v>-96037</v>
      </c>
      <c r="DC292" s="239">
        <v>0</v>
      </c>
      <c r="DD292" s="239">
        <v>-1959</v>
      </c>
      <c r="DE292" s="641">
        <v>0.5</v>
      </c>
      <c r="DF292" s="641">
        <v>0.49</v>
      </c>
      <c r="DG292" s="641">
        <v>0</v>
      </c>
      <c r="DH292" s="641">
        <v>0.01</v>
      </c>
      <c r="DI292" s="214" t="s">
        <v>1192</v>
      </c>
    </row>
    <row r="293" spans="2:113" s="214" customFormat="1" x14ac:dyDescent="0.2">
      <c r="B293" s="609" t="s">
        <v>668</v>
      </c>
      <c r="C293" s="609" t="s">
        <v>667</v>
      </c>
      <c r="D293" s="239">
        <v>-202452</v>
      </c>
      <c r="E293" s="239">
        <v>0</v>
      </c>
      <c r="F293" s="239">
        <v>-202452</v>
      </c>
      <c r="G293" s="239">
        <v>0</v>
      </c>
      <c r="H293" s="239">
        <v>0</v>
      </c>
      <c r="I293" s="239">
        <v>0</v>
      </c>
      <c r="J293" s="239">
        <v>-202452</v>
      </c>
      <c r="K293" s="239">
        <v>0</v>
      </c>
      <c r="L293" s="239">
        <v>-202452</v>
      </c>
      <c r="M293" s="239">
        <v>176880</v>
      </c>
      <c r="N293" s="239">
        <v>176880</v>
      </c>
      <c r="O293" s="239">
        <v>0</v>
      </c>
      <c r="P293" s="239">
        <v>0</v>
      </c>
      <c r="Q293" s="239">
        <v>0</v>
      </c>
      <c r="R293" s="239">
        <v>0</v>
      </c>
      <c r="S293" s="239">
        <v>0</v>
      </c>
      <c r="T293" s="239">
        <v>0</v>
      </c>
      <c r="U293" s="239">
        <v>0</v>
      </c>
      <c r="V293" s="239">
        <v>0</v>
      </c>
      <c r="W293" s="239">
        <v>0</v>
      </c>
      <c r="X293" s="239">
        <v>0</v>
      </c>
      <c r="Y293" s="239">
        <v>0</v>
      </c>
      <c r="Z293" s="239">
        <v>0</v>
      </c>
      <c r="AA293" s="239">
        <v>0</v>
      </c>
      <c r="AB293" s="239">
        <v>0</v>
      </c>
      <c r="AC293" s="239">
        <v>0</v>
      </c>
      <c r="AD293" s="239">
        <v>0</v>
      </c>
      <c r="AE293" s="239">
        <v>0</v>
      </c>
      <c r="AF293" s="239">
        <v>0</v>
      </c>
      <c r="AG293" s="239">
        <v>0</v>
      </c>
      <c r="AH293" s="239">
        <v>0</v>
      </c>
      <c r="AI293" s="239">
        <v>0</v>
      </c>
      <c r="AJ293" s="239">
        <v>0</v>
      </c>
      <c r="AK293" s="239">
        <v>465764.62892561982</v>
      </c>
      <c r="AL293" s="239">
        <v>104797.04150826445</v>
      </c>
      <c r="AM293" s="239">
        <v>11644.115723140496</v>
      </c>
      <c r="AN293" s="239">
        <v>484968</v>
      </c>
      <c r="AO293" s="239">
        <v>109118</v>
      </c>
      <c r="AP293" s="239">
        <v>12124</v>
      </c>
      <c r="AQ293" s="239">
        <v>-19203</v>
      </c>
      <c r="AR293" s="239">
        <v>-4321</v>
      </c>
      <c r="AS293" s="239">
        <v>-480</v>
      </c>
      <c r="AT293" s="239">
        <v>1044.4909090909091</v>
      </c>
      <c r="AU293" s="239">
        <v>235.01045454545451</v>
      </c>
      <c r="AV293" s="239">
        <v>26.112272727272725</v>
      </c>
      <c r="AW293" s="239">
        <v>1347</v>
      </c>
      <c r="AX293" s="239">
        <v>303</v>
      </c>
      <c r="AY293" s="239">
        <v>34</v>
      </c>
      <c r="AZ293" s="239">
        <v>-303</v>
      </c>
      <c r="BA293" s="239">
        <v>-68</v>
      </c>
      <c r="BB293" s="239">
        <v>-8</v>
      </c>
      <c r="BC293" s="239">
        <v>0</v>
      </c>
      <c r="BD293" s="239">
        <v>0</v>
      </c>
      <c r="BE293" s="239">
        <v>0</v>
      </c>
      <c r="BF293" s="239">
        <v>0</v>
      </c>
      <c r="BG293" s="239">
        <v>0</v>
      </c>
      <c r="BH293" s="239">
        <v>0</v>
      </c>
      <c r="BI293" s="239">
        <v>0</v>
      </c>
      <c r="BJ293" s="239">
        <v>0</v>
      </c>
      <c r="BK293" s="239">
        <v>0</v>
      </c>
      <c r="BL293" s="239">
        <v>28081.142148760329</v>
      </c>
      <c r="BM293" s="239">
        <v>6318.2569834710739</v>
      </c>
      <c r="BN293" s="239">
        <v>702.0285537190083</v>
      </c>
      <c r="BO293" s="239">
        <v>12135</v>
      </c>
      <c r="BP293" s="239">
        <v>2730</v>
      </c>
      <c r="BQ293" s="239">
        <v>303</v>
      </c>
      <c r="BR293" s="239">
        <v>15946</v>
      </c>
      <c r="BS293" s="239">
        <v>3588</v>
      </c>
      <c r="BT293" s="239">
        <v>399</v>
      </c>
      <c r="BU293" s="239">
        <v>-7955.4173553719011</v>
      </c>
      <c r="BV293" s="239">
        <v>-1789.9689049586777</v>
      </c>
      <c r="BW293" s="239">
        <v>-198.88543388429753</v>
      </c>
      <c r="BX293" s="239">
        <v>0</v>
      </c>
      <c r="BY293" s="239">
        <v>0</v>
      </c>
      <c r="BZ293" s="239">
        <v>0</v>
      </c>
      <c r="CA293" s="239">
        <v>-7955</v>
      </c>
      <c r="CB293" s="239">
        <v>-1790</v>
      </c>
      <c r="CC293" s="239">
        <v>-199</v>
      </c>
      <c r="CD293" s="239">
        <v>0</v>
      </c>
      <c r="CE293" s="239">
        <v>0</v>
      </c>
      <c r="CF293" s="239">
        <v>0</v>
      </c>
      <c r="CG293" s="239">
        <v>0</v>
      </c>
      <c r="CH293" s="239">
        <v>0</v>
      </c>
      <c r="CI293" s="239">
        <v>0</v>
      </c>
      <c r="CJ293" s="239">
        <v>0</v>
      </c>
      <c r="CK293" s="239">
        <v>0</v>
      </c>
      <c r="CL293" s="239">
        <v>0</v>
      </c>
      <c r="CM293" s="239">
        <v>778.29586776859514</v>
      </c>
      <c r="CN293" s="239">
        <v>175.11657024793388</v>
      </c>
      <c r="CO293" s="239">
        <v>19.457396694214875</v>
      </c>
      <c r="CP293" s="239">
        <v>2781</v>
      </c>
      <c r="CQ293" s="239">
        <v>625</v>
      </c>
      <c r="CR293" s="239">
        <v>69</v>
      </c>
      <c r="CS293" s="239">
        <v>-2003</v>
      </c>
      <c r="CT293" s="239">
        <v>-450</v>
      </c>
      <c r="CU293" s="239">
        <v>-50</v>
      </c>
      <c r="CV293" s="239">
        <v>303438.0421487604</v>
      </c>
      <c r="CW293" s="239">
        <v>68273.559483471079</v>
      </c>
      <c r="CX293" s="239">
        <v>7585.9510537190072</v>
      </c>
      <c r="CY293" s="239">
        <v>303343</v>
      </c>
      <c r="CZ293" s="239">
        <v>68252</v>
      </c>
      <c r="DA293" s="239">
        <v>7584</v>
      </c>
      <c r="DB293" s="239">
        <v>95</v>
      </c>
      <c r="DC293" s="239">
        <v>22</v>
      </c>
      <c r="DD293" s="239">
        <v>2</v>
      </c>
      <c r="DE293" s="641">
        <v>0.5</v>
      </c>
      <c r="DF293" s="641">
        <v>0.4</v>
      </c>
      <c r="DG293" s="641">
        <v>0.09</v>
      </c>
      <c r="DH293" s="641">
        <v>0.01</v>
      </c>
      <c r="DI293" s="214" t="s">
        <v>1190</v>
      </c>
    </row>
    <row r="294" spans="2:113" s="214" customFormat="1" x14ac:dyDescent="0.2">
      <c r="B294" s="609" t="s">
        <v>670</v>
      </c>
      <c r="C294" s="609" t="s">
        <v>669</v>
      </c>
      <c r="D294" s="239">
        <v>-476413</v>
      </c>
      <c r="E294" s="239">
        <v>0</v>
      </c>
      <c r="F294" s="239">
        <v>-476413</v>
      </c>
      <c r="G294" s="239">
        <v>0</v>
      </c>
      <c r="H294" s="239">
        <v>0</v>
      </c>
      <c r="I294" s="239">
        <v>0</v>
      </c>
      <c r="J294" s="239">
        <v>-476413</v>
      </c>
      <c r="K294" s="239">
        <v>0</v>
      </c>
      <c r="L294" s="239">
        <v>-476413</v>
      </c>
      <c r="M294" s="239">
        <v>137627</v>
      </c>
      <c r="N294" s="239">
        <v>137627</v>
      </c>
      <c r="O294" s="239">
        <v>0</v>
      </c>
      <c r="P294" s="239">
        <v>0</v>
      </c>
      <c r="Q294" s="239">
        <v>0</v>
      </c>
      <c r="R294" s="239">
        <v>0</v>
      </c>
      <c r="S294" s="239">
        <v>149280</v>
      </c>
      <c r="T294" s="239">
        <v>0</v>
      </c>
      <c r="U294" s="239">
        <v>133817</v>
      </c>
      <c r="V294" s="239">
        <v>0</v>
      </c>
      <c r="W294" s="239">
        <v>15463</v>
      </c>
      <c r="X294" s="239">
        <v>0</v>
      </c>
      <c r="Y294" s="239">
        <v>0</v>
      </c>
      <c r="Z294" s="239">
        <v>0</v>
      </c>
      <c r="AA294" s="239">
        <v>0</v>
      </c>
      <c r="AB294" s="239">
        <v>0</v>
      </c>
      <c r="AC294" s="239">
        <v>0</v>
      </c>
      <c r="AD294" s="239">
        <v>0</v>
      </c>
      <c r="AE294" s="239">
        <v>0</v>
      </c>
      <c r="AF294" s="239">
        <v>0</v>
      </c>
      <c r="AG294" s="239">
        <v>0</v>
      </c>
      <c r="AH294" s="239">
        <v>0</v>
      </c>
      <c r="AI294" s="239">
        <v>0</v>
      </c>
      <c r="AJ294" s="239">
        <v>0</v>
      </c>
      <c r="AK294" s="239">
        <v>483233.06983471074</v>
      </c>
      <c r="AL294" s="239">
        <v>108727.44071280991</v>
      </c>
      <c r="AM294" s="239">
        <v>12080.826745867769</v>
      </c>
      <c r="AN294" s="239">
        <v>401956</v>
      </c>
      <c r="AO294" s="239">
        <v>90440</v>
      </c>
      <c r="AP294" s="239">
        <v>10049</v>
      </c>
      <c r="AQ294" s="239">
        <v>81277</v>
      </c>
      <c r="AR294" s="239">
        <v>18287</v>
      </c>
      <c r="AS294" s="239">
        <v>2032</v>
      </c>
      <c r="AT294" s="239">
        <v>5179.8471074380168</v>
      </c>
      <c r="AU294" s="239">
        <v>1165.4655991735538</v>
      </c>
      <c r="AV294" s="239">
        <v>129.49617768595041</v>
      </c>
      <c r="AW294" s="239">
        <v>2153</v>
      </c>
      <c r="AX294" s="239">
        <v>484</v>
      </c>
      <c r="AY294" s="239">
        <v>54</v>
      </c>
      <c r="AZ294" s="239">
        <v>3027</v>
      </c>
      <c r="BA294" s="239">
        <v>681</v>
      </c>
      <c r="BB294" s="239">
        <v>75</v>
      </c>
      <c r="BC294" s="239">
        <v>7413.2884297520668</v>
      </c>
      <c r="BD294" s="239">
        <v>1667.9898966942148</v>
      </c>
      <c r="BE294" s="239">
        <v>185.33221074380168</v>
      </c>
      <c r="BF294" s="239">
        <v>0</v>
      </c>
      <c r="BG294" s="239">
        <v>0</v>
      </c>
      <c r="BH294" s="239">
        <v>0</v>
      </c>
      <c r="BI294" s="239">
        <v>7413</v>
      </c>
      <c r="BJ294" s="239">
        <v>1668</v>
      </c>
      <c r="BK294" s="239">
        <v>185</v>
      </c>
      <c r="BL294" s="239">
        <v>2306.0768595041327</v>
      </c>
      <c r="BM294" s="239">
        <v>518.86729338842986</v>
      </c>
      <c r="BN294" s="239">
        <v>57.65192148760331</v>
      </c>
      <c r="BO294" s="239">
        <v>2017</v>
      </c>
      <c r="BP294" s="239">
        <v>454</v>
      </c>
      <c r="BQ294" s="239">
        <v>50</v>
      </c>
      <c r="BR294" s="239">
        <v>289</v>
      </c>
      <c r="BS294" s="239">
        <v>65</v>
      </c>
      <c r="BT294" s="239">
        <v>8</v>
      </c>
      <c r="BU294" s="239">
        <v>-834.7</v>
      </c>
      <c r="BV294" s="239">
        <v>-187.8075</v>
      </c>
      <c r="BW294" s="239">
        <v>-20.8675</v>
      </c>
      <c r="BX294" s="239">
        <v>0</v>
      </c>
      <c r="BY294" s="239">
        <v>0</v>
      </c>
      <c r="BZ294" s="239">
        <v>0</v>
      </c>
      <c r="CA294" s="239">
        <v>-835</v>
      </c>
      <c r="CB294" s="239">
        <v>-188</v>
      </c>
      <c r="CC294" s="239">
        <v>-21</v>
      </c>
      <c r="CD294" s="239">
        <v>0</v>
      </c>
      <c r="CE294" s="239">
        <v>0</v>
      </c>
      <c r="CF294" s="239">
        <v>0</v>
      </c>
      <c r="CG294" s="239">
        <v>0</v>
      </c>
      <c r="CH294" s="239">
        <v>0</v>
      </c>
      <c r="CI294" s="239">
        <v>0</v>
      </c>
      <c r="CJ294" s="239">
        <v>0</v>
      </c>
      <c r="CK294" s="239">
        <v>0</v>
      </c>
      <c r="CL294" s="239">
        <v>0</v>
      </c>
      <c r="CM294" s="239">
        <v>207.76198347107439</v>
      </c>
      <c r="CN294" s="239">
        <v>46.746446280991734</v>
      </c>
      <c r="CO294" s="239">
        <v>5.1940495867768597</v>
      </c>
      <c r="CP294" s="239">
        <v>4869</v>
      </c>
      <c r="CQ294" s="239">
        <v>1096</v>
      </c>
      <c r="CR294" s="239">
        <v>122</v>
      </c>
      <c r="CS294" s="239">
        <v>-4661</v>
      </c>
      <c r="CT294" s="239">
        <v>-1049</v>
      </c>
      <c r="CU294" s="239">
        <v>-117</v>
      </c>
      <c r="CV294" s="239">
        <v>233163.12148760329</v>
      </c>
      <c r="CW294" s="239">
        <v>51975.925475206612</v>
      </c>
      <c r="CX294" s="239">
        <v>5775.1028305785121</v>
      </c>
      <c r="CY294" s="239">
        <v>250895</v>
      </c>
      <c r="CZ294" s="239">
        <v>56016</v>
      </c>
      <c r="DA294" s="239">
        <v>6224</v>
      </c>
      <c r="DB294" s="239">
        <v>-17732</v>
      </c>
      <c r="DC294" s="239">
        <v>-4040</v>
      </c>
      <c r="DD294" s="239">
        <v>-449</v>
      </c>
      <c r="DE294" s="641">
        <v>0.5</v>
      </c>
      <c r="DF294" s="641">
        <v>0.4</v>
      </c>
      <c r="DG294" s="641">
        <v>0.09</v>
      </c>
      <c r="DH294" s="641">
        <v>0.01</v>
      </c>
      <c r="DI294" s="214" t="s">
        <v>1190</v>
      </c>
    </row>
    <row r="295" spans="2:113" s="214" customFormat="1" x14ac:dyDescent="0.2">
      <c r="B295" s="609" t="s">
        <v>672</v>
      </c>
      <c r="C295" s="609" t="s">
        <v>671</v>
      </c>
      <c r="D295" s="239">
        <v>-102729</v>
      </c>
      <c r="E295" s="239">
        <v>0</v>
      </c>
      <c r="F295" s="239">
        <v>-102729</v>
      </c>
      <c r="G295" s="239">
        <v>0</v>
      </c>
      <c r="H295" s="239">
        <v>0</v>
      </c>
      <c r="I295" s="239">
        <v>0</v>
      </c>
      <c r="J295" s="239">
        <v>-102729</v>
      </c>
      <c r="K295" s="239">
        <v>0</v>
      </c>
      <c r="L295" s="239">
        <v>-102729</v>
      </c>
      <c r="M295" s="239">
        <v>184498</v>
      </c>
      <c r="N295" s="239">
        <v>184498</v>
      </c>
      <c r="O295" s="239">
        <v>0</v>
      </c>
      <c r="P295" s="239">
        <v>450247</v>
      </c>
      <c r="Q295" s="239">
        <v>1381480</v>
      </c>
      <c r="R295" s="239">
        <v>-931233</v>
      </c>
      <c r="S295" s="239">
        <v>247217</v>
      </c>
      <c r="T295" s="239">
        <v>0</v>
      </c>
      <c r="U295" s="239">
        <v>237069</v>
      </c>
      <c r="V295" s="239">
        <v>0</v>
      </c>
      <c r="W295" s="239">
        <v>10148</v>
      </c>
      <c r="X295" s="239">
        <v>0</v>
      </c>
      <c r="Y295" s="239">
        <v>982453.46487603302</v>
      </c>
      <c r="Z295" s="239">
        <v>982453.46487603302</v>
      </c>
      <c r="AA295" s="239">
        <v>0</v>
      </c>
      <c r="AB295" s="239">
        <v>0</v>
      </c>
      <c r="AC295" s="239">
        <v>521956</v>
      </c>
      <c r="AD295" s="239">
        <v>521956</v>
      </c>
      <c r="AE295" s="239">
        <v>0</v>
      </c>
      <c r="AF295" s="239">
        <v>0</v>
      </c>
      <c r="AG295" s="239">
        <v>460497</v>
      </c>
      <c r="AH295" s="239">
        <v>460497</v>
      </c>
      <c r="AI295" s="239">
        <v>0</v>
      </c>
      <c r="AJ295" s="239">
        <v>0</v>
      </c>
      <c r="AK295" s="239">
        <v>384243.20909090911</v>
      </c>
      <c r="AL295" s="239">
        <v>90769.871487603305</v>
      </c>
      <c r="AM295" s="239">
        <v>0</v>
      </c>
      <c r="AN295" s="239">
        <v>360080</v>
      </c>
      <c r="AO295" s="239">
        <v>84083</v>
      </c>
      <c r="AP295" s="239">
        <v>0</v>
      </c>
      <c r="AQ295" s="239">
        <v>24163</v>
      </c>
      <c r="AR295" s="239">
        <v>6687</v>
      </c>
      <c r="AS295" s="239">
        <v>0</v>
      </c>
      <c r="AT295" s="239">
        <v>919.91487603305779</v>
      </c>
      <c r="AU295" s="239">
        <v>229.97871900826445</v>
      </c>
      <c r="AV295" s="239">
        <v>0</v>
      </c>
      <c r="AW295" s="239">
        <v>1139</v>
      </c>
      <c r="AX295" s="239">
        <v>285</v>
      </c>
      <c r="AY295" s="239">
        <v>0</v>
      </c>
      <c r="AZ295" s="239">
        <v>-219</v>
      </c>
      <c r="BA295" s="239">
        <v>-55</v>
      </c>
      <c r="BB295" s="239">
        <v>0</v>
      </c>
      <c r="BC295" s="239">
        <v>0</v>
      </c>
      <c r="BD295" s="239">
        <v>0</v>
      </c>
      <c r="BE295" s="239">
        <v>0</v>
      </c>
      <c r="BF295" s="239">
        <v>0</v>
      </c>
      <c r="BG295" s="239">
        <v>0</v>
      </c>
      <c r="BH295" s="239">
        <v>0</v>
      </c>
      <c r="BI295" s="239">
        <v>0</v>
      </c>
      <c r="BJ295" s="239">
        <v>0</v>
      </c>
      <c r="BK295" s="239">
        <v>0</v>
      </c>
      <c r="BL295" s="239">
        <v>26607.736363636366</v>
      </c>
      <c r="BM295" s="239">
        <v>6651.9340909090915</v>
      </c>
      <c r="BN295" s="239">
        <v>0</v>
      </c>
      <c r="BO295" s="239">
        <v>0</v>
      </c>
      <c r="BP295" s="239">
        <v>0</v>
      </c>
      <c r="BQ295" s="239">
        <v>0</v>
      </c>
      <c r="BR295" s="239">
        <v>26608</v>
      </c>
      <c r="BS295" s="239">
        <v>6652</v>
      </c>
      <c r="BT295" s="239">
        <v>0</v>
      </c>
      <c r="BU295" s="239">
        <v>2526.8239669421491</v>
      </c>
      <c r="BV295" s="239">
        <v>631.70599173553728</v>
      </c>
      <c r="BW295" s="239">
        <v>0</v>
      </c>
      <c r="BX295" s="239">
        <v>0</v>
      </c>
      <c r="BY295" s="239">
        <v>0</v>
      </c>
      <c r="BZ295" s="239">
        <v>0</v>
      </c>
      <c r="CA295" s="239">
        <v>2527</v>
      </c>
      <c r="CB295" s="239">
        <v>632</v>
      </c>
      <c r="CC295" s="239">
        <v>0</v>
      </c>
      <c r="CD295" s="239">
        <v>0</v>
      </c>
      <c r="CE295" s="239">
        <v>0</v>
      </c>
      <c r="CF295" s="239">
        <v>0</v>
      </c>
      <c r="CG295" s="239">
        <v>0</v>
      </c>
      <c r="CH295" s="239">
        <v>0</v>
      </c>
      <c r="CI295" s="239">
        <v>0</v>
      </c>
      <c r="CJ295" s="239">
        <v>0</v>
      </c>
      <c r="CK295" s="239">
        <v>0</v>
      </c>
      <c r="CL295" s="239">
        <v>0</v>
      </c>
      <c r="CM295" s="239">
        <v>1660.8785123966945</v>
      </c>
      <c r="CN295" s="239">
        <v>415.21962809917363</v>
      </c>
      <c r="CO295" s="239">
        <v>0</v>
      </c>
      <c r="CP295" s="239">
        <v>1702</v>
      </c>
      <c r="CQ295" s="239">
        <v>426</v>
      </c>
      <c r="CR295" s="239">
        <v>0</v>
      </c>
      <c r="CS295" s="239">
        <v>-41</v>
      </c>
      <c r="CT295" s="239">
        <v>-11</v>
      </c>
      <c r="CU295" s="239">
        <v>0</v>
      </c>
      <c r="CV295" s="239">
        <v>339717.74049586785</v>
      </c>
      <c r="CW295" s="239">
        <v>82407.61280991738</v>
      </c>
      <c r="CX295" s="239">
        <v>0</v>
      </c>
      <c r="CY295" s="239">
        <v>358817</v>
      </c>
      <c r="CZ295" s="239">
        <v>81965</v>
      </c>
      <c r="DA295" s="239">
        <v>0</v>
      </c>
      <c r="DB295" s="239">
        <v>-19099</v>
      </c>
      <c r="DC295" s="239">
        <v>443</v>
      </c>
      <c r="DD295" s="239">
        <v>0</v>
      </c>
      <c r="DE295" s="641">
        <v>0.5</v>
      </c>
      <c r="DF295" s="641">
        <v>0.4</v>
      </c>
      <c r="DG295" s="641">
        <v>0.1</v>
      </c>
      <c r="DH295" s="641">
        <v>0</v>
      </c>
      <c r="DI295" s="214" t="s">
        <v>1190</v>
      </c>
    </row>
    <row r="296" spans="2:113" s="214" customFormat="1" x14ac:dyDescent="0.2">
      <c r="B296" s="609" t="s">
        <v>674</v>
      </c>
      <c r="C296" s="609" t="s">
        <v>673</v>
      </c>
      <c r="D296" s="239">
        <v>-68194</v>
      </c>
      <c r="E296" s="239">
        <v>0</v>
      </c>
      <c r="F296" s="239">
        <v>-68194</v>
      </c>
      <c r="G296" s="239">
        <v>0</v>
      </c>
      <c r="H296" s="239">
        <v>0</v>
      </c>
      <c r="I296" s="239">
        <v>0</v>
      </c>
      <c r="J296" s="239">
        <v>-68194</v>
      </c>
      <c r="K296" s="239">
        <v>0</v>
      </c>
      <c r="L296" s="239">
        <v>-68194</v>
      </c>
      <c r="M296" s="239">
        <v>462307</v>
      </c>
      <c r="N296" s="239">
        <v>462307</v>
      </c>
      <c r="O296" s="239">
        <v>0</v>
      </c>
      <c r="P296" s="239">
        <v>0</v>
      </c>
      <c r="Q296" s="239">
        <v>0</v>
      </c>
      <c r="R296" s="239">
        <v>0</v>
      </c>
      <c r="S296" s="239">
        <v>896486</v>
      </c>
      <c r="T296" s="239">
        <v>0</v>
      </c>
      <c r="U296" s="239">
        <v>0</v>
      </c>
      <c r="V296" s="239">
        <v>0</v>
      </c>
      <c r="W296" s="239">
        <v>896486</v>
      </c>
      <c r="X296" s="239">
        <v>0</v>
      </c>
      <c r="Y296" s="239">
        <v>0</v>
      </c>
      <c r="Z296" s="239">
        <v>0</v>
      </c>
      <c r="AA296" s="239">
        <v>0</v>
      </c>
      <c r="AB296" s="239">
        <v>0</v>
      </c>
      <c r="AC296" s="239">
        <v>0</v>
      </c>
      <c r="AD296" s="239">
        <v>0</v>
      </c>
      <c r="AE296" s="239">
        <v>0</v>
      </c>
      <c r="AF296" s="239">
        <v>0</v>
      </c>
      <c r="AG296" s="239">
        <v>0</v>
      </c>
      <c r="AH296" s="239">
        <v>0</v>
      </c>
      <c r="AI296" s="239">
        <v>0</v>
      </c>
      <c r="AJ296" s="239">
        <v>0</v>
      </c>
      <c r="AK296" s="239">
        <v>2088163.1264049588</v>
      </c>
      <c r="AL296" s="239">
        <v>0</v>
      </c>
      <c r="AM296" s="239">
        <v>42615.574008264462</v>
      </c>
      <c r="AN296" s="239">
        <v>1985861</v>
      </c>
      <c r="AO296" s="239">
        <v>0</v>
      </c>
      <c r="AP296" s="239">
        <v>40528</v>
      </c>
      <c r="AQ296" s="239">
        <v>102302</v>
      </c>
      <c r="AR296" s="239">
        <v>0</v>
      </c>
      <c r="AS296" s="239">
        <v>2088</v>
      </c>
      <c r="AT296" s="239">
        <v>2733.9772727272725</v>
      </c>
      <c r="AU296" s="239">
        <v>0</v>
      </c>
      <c r="AV296" s="239">
        <v>55.795454545454547</v>
      </c>
      <c r="AW296" s="239">
        <v>4971</v>
      </c>
      <c r="AX296" s="239">
        <v>0</v>
      </c>
      <c r="AY296" s="239">
        <v>101</v>
      </c>
      <c r="AZ296" s="239">
        <v>-2237</v>
      </c>
      <c r="BA296" s="239">
        <v>0</v>
      </c>
      <c r="BB296" s="239">
        <v>-45</v>
      </c>
      <c r="BC296" s="239">
        <v>0</v>
      </c>
      <c r="BD296" s="239">
        <v>0</v>
      </c>
      <c r="BE296" s="239">
        <v>0</v>
      </c>
      <c r="BF296" s="239">
        <v>646</v>
      </c>
      <c r="BG296" s="239">
        <v>0</v>
      </c>
      <c r="BH296" s="239">
        <v>13</v>
      </c>
      <c r="BI296" s="239">
        <v>-646</v>
      </c>
      <c r="BJ296" s="239">
        <v>0</v>
      </c>
      <c r="BK296" s="239">
        <v>-13</v>
      </c>
      <c r="BL296" s="239">
        <v>35693.316012396695</v>
      </c>
      <c r="BM296" s="239">
        <v>0</v>
      </c>
      <c r="BN296" s="239">
        <v>728.43502066115707</v>
      </c>
      <c r="BO296" s="239">
        <v>49063</v>
      </c>
      <c r="BP296" s="239">
        <v>0</v>
      </c>
      <c r="BQ296" s="239">
        <v>1001</v>
      </c>
      <c r="BR296" s="239">
        <v>-13370</v>
      </c>
      <c r="BS296" s="239">
        <v>0</v>
      </c>
      <c r="BT296" s="239">
        <v>-273</v>
      </c>
      <c r="BU296" s="239">
        <v>0</v>
      </c>
      <c r="BV296" s="239">
        <v>0</v>
      </c>
      <c r="BW296" s="239">
        <v>0</v>
      </c>
      <c r="BX296" s="239">
        <v>0</v>
      </c>
      <c r="BY296" s="239">
        <v>0</v>
      </c>
      <c r="BZ296" s="239">
        <v>0</v>
      </c>
      <c r="CA296" s="239">
        <v>0</v>
      </c>
      <c r="CB296" s="239">
        <v>0</v>
      </c>
      <c r="CC296" s="239">
        <v>0</v>
      </c>
      <c r="CD296" s="239">
        <v>0</v>
      </c>
      <c r="CE296" s="239">
        <v>0</v>
      </c>
      <c r="CF296" s="239">
        <v>0</v>
      </c>
      <c r="CG296" s="239">
        <v>0</v>
      </c>
      <c r="CH296" s="239">
        <v>0</v>
      </c>
      <c r="CI296" s="239">
        <v>0</v>
      </c>
      <c r="CJ296" s="239">
        <v>0</v>
      </c>
      <c r="CK296" s="239">
        <v>0</v>
      </c>
      <c r="CL296" s="239">
        <v>0</v>
      </c>
      <c r="CM296" s="239">
        <v>7337.0008264462813</v>
      </c>
      <c r="CN296" s="239">
        <v>0</v>
      </c>
      <c r="CO296" s="239">
        <v>149.73471074380166</v>
      </c>
      <c r="CP296" s="239">
        <v>9942</v>
      </c>
      <c r="CQ296" s="239">
        <v>0</v>
      </c>
      <c r="CR296" s="239">
        <v>203</v>
      </c>
      <c r="CS296" s="239">
        <v>-2605</v>
      </c>
      <c r="CT296" s="239">
        <v>0</v>
      </c>
      <c r="CU296" s="239">
        <v>-53</v>
      </c>
      <c r="CV296" s="239">
        <v>872371.17791322304</v>
      </c>
      <c r="CW296" s="239">
        <v>0</v>
      </c>
      <c r="CX296" s="239">
        <v>17538.88716942149</v>
      </c>
      <c r="CY296" s="239">
        <v>881019</v>
      </c>
      <c r="CZ296" s="239">
        <v>0</v>
      </c>
      <c r="DA296" s="239">
        <v>17980</v>
      </c>
      <c r="DB296" s="239">
        <v>-8648</v>
      </c>
      <c r="DC296" s="239">
        <v>0</v>
      </c>
      <c r="DD296" s="239">
        <v>-441</v>
      </c>
      <c r="DE296" s="641">
        <v>0.5</v>
      </c>
      <c r="DF296" s="641">
        <v>0.49</v>
      </c>
      <c r="DG296" s="641">
        <v>0</v>
      </c>
      <c r="DH296" s="641">
        <v>0.01</v>
      </c>
      <c r="DI296" s="214" t="s">
        <v>1192</v>
      </c>
    </row>
    <row r="297" spans="2:113" s="214" customFormat="1" x14ac:dyDescent="0.2">
      <c r="B297" s="609" t="s">
        <v>676</v>
      </c>
      <c r="C297" s="609" t="s">
        <v>675</v>
      </c>
      <c r="D297" s="239">
        <v>-105707</v>
      </c>
      <c r="E297" s="239">
        <v>0</v>
      </c>
      <c r="F297" s="239">
        <v>-105707</v>
      </c>
      <c r="G297" s="239">
        <v>0</v>
      </c>
      <c r="H297" s="239">
        <v>0</v>
      </c>
      <c r="I297" s="239">
        <v>0</v>
      </c>
      <c r="J297" s="239">
        <v>-105707</v>
      </c>
      <c r="K297" s="239">
        <v>0</v>
      </c>
      <c r="L297" s="239">
        <v>-105707</v>
      </c>
      <c r="M297" s="239">
        <v>339364</v>
      </c>
      <c r="N297" s="239">
        <v>339364</v>
      </c>
      <c r="O297" s="239">
        <v>0</v>
      </c>
      <c r="P297" s="239">
        <v>24829</v>
      </c>
      <c r="Q297" s="239">
        <v>14737</v>
      </c>
      <c r="R297" s="239">
        <v>10092</v>
      </c>
      <c r="S297" s="239">
        <v>0</v>
      </c>
      <c r="T297" s="239">
        <v>0</v>
      </c>
      <c r="U297" s="239">
        <v>0</v>
      </c>
      <c r="V297" s="239">
        <v>0</v>
      </c>
      <c r="W297" s="239">
        <v>0</v>
      </c>
      <c r="X297" s="239">
        <v>0</v>
      </c>
      <c r="Y297" s="239">
        <v>0</v>
      </c>
      <c r="Z297" s="239">
        <v>0</v>
      </c>
      <c r="AA297" s="239">
        <v>0</v>
      </c>
      <c r="AB297" s="239">
        <v>0</v>
      </c>
      <c r="AC297" s="239">
        <v>0</v>
      </c>
      <c r="AD297" s="239">
        <v>0</v>
      </c>
      <c r="AE297" s="239">
        <v>0</v>
      </c>
      <c r="AF297" s="239">
        <v>0</v>
      </c>
      <c r="AG297" s="239">
        <v>0</v>
      </c>
      <c r="AH297" s="239">
        <v>0</v>
      </c>
      <c r="AI297" s="239">
        <v>0</v>
      </c>
      <c r="AJ297" s="239">
        <v>0</v>
      </c>
      <c r="AK297" s="239">
        <v>1562143.915857438</v>
      </c>
      <c r="AL297" s="239">
        <v>0</v>
      </c>
      <c r="AM297" s="239">
        <v>31871.099121900825</v>
      </c>
      <c r="AN297" s="239">
        <v>1458033</v>
      </c>
      <c r="AO297" s="239">
        <v>0</v>
      </c>
      <c r="AP297" s="239">
        <v>29747</v>
      </c>
      <c r="AQ297" s="239">
        <v>104111</v>
      </c>
      <c r="AR297" s="239">
        <v>0</v>
      </c>
      <c r="AS297" s="239">
        <v>2124</v>
      </c>
      <c r="AT297" s="239">
        <v>12499.744090909091</v>
      </c>
      <c r="AU297" s="239">
        <v>0</v>
      </c>
      <c r="AV297" s="239">
        <v>255.09681818181815</v>
      </c>
      <c r="AW297" s="239">
        <v>6595</v>
      </c>
      <c r="AX297" s="239">
        <v>0</v>
      </c>
      <c r="AY297" s="239">
        <v>135</v>
      </c>
      <c r="AZ297" s="239">
        <v>5905</v>
      </c>
      <c r="BA297" s="239">
        <v>0</v>
      </c>
      <c r="BB297" s="239">
        <v>120</v>
      </c>
      <c r="BC297" s="239">
        <v>0</v>
      </c>
      <c r="BD297" s="239">
        <v>0</v>
      </c>
      <c r="BE297" s="239">
        <v>0</v>
      </c>
      <c r="BF297" s="239">
        <v>0</v>
      </c>
      <c r="BG297" s="239">
        <v>0</v>
      </c>
      <c r="BH297" s="239">
        <v>0</v>
      </c>
      <c r="BI297" s="239">
        <v>0</v>
      </c>
      <c r="BJ297" s="239">
        <v>0</v>
      </c>
      <c r="BK297" s="239">
        <v>0</v>
      </c>
      <c r="BL297" s="239">
        <v>25121.274442148759</v>
      </c>
      <c r="BM297" s="239">
        <v>0</v>
      </c>
      <c r="BN297" s="239">
        <v>512.67907024793385</v>
      </c>
      <c r="BO297" s="239">
        <v>26503</v>
      </c>
      <c r="BP297" s="239">
        <v>0</v>
      </c>
      <c r="BQ297" s="239">
        <v>541</v>
      </c>
      <c r="BR297" s="239">
        <v>-1382</v>
      </c>
      <c r="BS297" s="239">
        <v>0</v>
      </c>
      <c r="BT297" s="239">
        <v>-28</v>
      </c>
      <c r="BU297" s="239">
        <v>-3679.9334090909092</v>
      </c>
      <c r="BV297" s="239">
        <v>0</v>
      </c>
      <c r="BW297" s="239">
        <v>-75.100681818181826</v>
      </c>
      <c r="BX297" s="239">
        <v>0</v>
      </c>
      <c r="BY297" s="239">
        <v>0</v>
      </c>
      <c r="BZ297" s="239">
        <v>0</v>
      </c>
      <c r="CA297" s="239">
        <v>-3680</v>
      </c>
      <c r="CB297" s="239">
        <v>0</v>
      </c>
      <c r="CC297" s="239">
        <v>-75</v>
      </c>
      <c r="CD297" s="239">
        <v>0</v>
      </c>
      <c r="CE297" s="239">
        <v>0</v>
      </c>
      <c r="CF297" s="239">
        <v>0</v>
      </c>
      <c r="CG297" s="239">
        <v>0</v>
      </c>
      <c r="CH297" s="239">
        <v>0</v>
      </c>
      <c r="CI297" s="239">
        <v>0</v>
      </c>
      <c r="CJ297" s="239">
        <v>0</v>
      </c>
      <c r="CK297" s="239">
        <v>0</v>
      </c>
      <c r="CL297" s="239">
        <v>0</v>
      </c>
      <c r="CM297" s="239">
        <v>0</v>
      </c>
      <c r="CN297" s="239">
        <v>0</v>
      </c>
      <c r="CO297" s="239">
        <v>0</v>
      </c>
      <c r="CP297" s="239">
        <v>0</v>
      </c>
      <c r="CQ297" s="239">
        <v>0</v>
      </c>
      <c r="CR297" s="239">
        <v>0</v>
      </c>
      <c r="CS297" s="239">
        <v>0</v>
      </c>
      <c r="CT297" s="239">
        <v>0</v>
      </c>
      <c r="CU297" s="239">
        <v>0</v>
      </c>
      <c r="CV297" s="239">
        <v>497156.56237603305</v>
      </c>
      <c r="CW297" s="239">
        <v>0</v>
      </c>
      <c r="CX297" s="239">
        <v>10138.723780991735</v>
      </c>
      <c r="CY297" s="239">
        <v>499593</v>
      </c>
      <c r="CZ297" s="239">
        <v>0</v>
      </c>
      <c r="DA297" s="239">
        <v>10191</v>
      </c>
      <c r="DB297" s="239">
        <v>-2436</v>
      </c>
      <c r="DC297" s="239">
        <v>0</v>
      </c>
      <c r="DD297" s="239">
        <v>-52</v>
      </c>
      <c r="DE297" s="641">
        <v>0.5</v>
      </c>
      <c r="DF297" s="641">
        <v>0.49</v>
      </c>
      <c r="DG297" s="641">
        <v>0</v>
      </c>
      <c r="DH297" s="641">
        <v>0.01</v>
      </c>
      <c r="DI297" s="214" t="s">
        <v>1192</v>
      </c>
    </row>
    <row r="298" spans="2:113" s="214" customFormat="1" x14ac:dyDescent="0.2">
      <c r="B298" s="609" t="s">
        <v>678</v>
      </c>
      <c r="C298" s="609" t="s">
        <v>677</v>
      </c>
      <c r="D298" s="239">
        <v>-673284</v>
      </c>
      <c r="E298" s="239">
        <v>0</v>
      </c>
      <c r="F298" s="239">
        <v>-673284</v>
      </c>
      <c r="G298" s="239">
        <v>0</v>
      </c>
      <c r="H298" s="239">
        <v>0</v>
      </c>
      <c r="I298" s="239">
        <v>0</v>
      </c>
      <c r="J298" s="239">
        <v>-673284</v>
      </c>
      <c r="K298" s="239">
        <v>0</v>
      </c>
      <c r="L298" s="239">
        <v>-673284</v>
      </c>
      <c r="M298" s="239">
        <v>288618</v>
      </c>
      <c r="N298" s="239">
        <v>288618</v>
      </c>
      <c r="O298" s="239">
        <v>0</v>
      </c>
      <c r="P298" s="239">
        <v>0</v>
      </c>
      <c r="Q298" s="239">
        <v>0</v>
      </c>
      <c r="R298" s="239">
        <v>0</v>
      </c>
      <c r="S298" s="239">
        <v>0</v>
      </c>
      <c r="T298" s="239">
        <v>0</v>
      </c>
      <c r="U298" s="239">
        <v>0</v>
      </c>
      <c r="V298" s="239">
        <v>0</v>
      </c>
      <c r="W298" s="239">
        <v>0</v>
      </c>
      <c r="X298" s="239">
        <v>0</v>
      </c>
      <c r="Y298" s="239">
        <v>0</v>
      </c>
      <c r="Z298" s="239">
        <v>0</v>
      </c>
      <c r="AA298" s="239">
        <v>0</v>
      </c>
      <c r="AB298" s="239">
        <v>0</v>
      </c>
      <c r="AC298" s="239">
        <v>0</v>
      </c>
      <c r="AD298" s="239">
        <v>0</v>
      </c>
      <c r="AE298" s="239">
        <v>0</v>
      </c>
      <c r="AF298" s="239">
        <v>0</v>
      </c>
      <c r="AG298" s="239">
        <v>0</v>
      </c>
      <c r="AH298" s="239">
        <v>0</v>
      </c>
      <c r="AI298" s="239">
        <v>0</v>
      </c>
      <c r="AJ298" s="239">
        <v>0</v>
      </c>
      <c r="AK298" s="239">
        <v>839367.89845041314</v>
      </c>
      <c r="AL298" s="239">
        <v>559578.59896694217</v>
      </c>
      <c r="AM298" s="239">
        <v>0</v>
      </c>
      <c r="AN298" s="239">
        <v>844151</v>
      </c>
      <c r="AO298" s="239">
        <v>562767</v>
      </c>
      <c r="AP298" s="239">
        <v>0</v>
      </c>
      <c r="AQ298" s="239">
        <v>-4783</v>
      </c>
      <c r="AR298" s="239">
        <v>-3188</v>
      </c>
      <c r="AS298" s="239">
        <v>0</v>
      </c>
      <c r="AT298" s="239">
        <v>-14.608264462809917</v>
      </c>
      <c r="AU298" s="239">
        <v>-9.7388429752066124</v>
      </c>
      <c r="AV298" s="239">
        <v>0</v>
      </c>
      <c r="AW298" s="239">
        <v>608</v>
      </c>
      <c r="AX298" s="239">
        <v>406</v>
      </c>
      <c r="AY298" s="239">
        <v>0</v>
      </c>
      <c r="AZ298" s="239">
        <v>-623</v>
      </c>
      <c r="BA298" s="239">
        <v>-416</v>
      </c>
      <c r="BB298" s="239">
        <v>0</v>
      </c>
      <c r="BC298" s="239">
        <v>41319.171694214871</v>
      </c>
      <c r="BD298" s="239">
        <v>27546.114462809917</v>
      </c>
      <c r="BE298" s="239">
        <v>0</v>
      </c>
      <c r="BF298" s="239">
        <v>9130</v>
      </c>
      <c r="BG298" s="239">
        <v>6087</v>
      </c>
      <c r="BH298" s="239">
        <v>0</v>
      </c>
      <c r="BI298" s="239">
        <v>32189</v>
      </c>
      <c r="BJ298" s="239">
        <v>21459</v>
      </c>
      <c r="BK298" s="239">
        <v>0</v>
      </c>
      <c r="BL298" s="239">
        <v>2303.845041322314</v>
      </c>
      <c r="BM298" s="239">
        <v>1535.8966942148761</v>
      </c>
      <c r="BN298" s="239">
        <v>0</v>
      </c>
      <c r="BO298" s="239">
        <v>3043</v>
      </c>
      <c r="BP298" s="239">
        <v>2029</v>
      </c>
      <c r="BQ298" s="239">
        <v>0</v>
      </c>
      <c r="BR298" s="239">
        <v>-739</v>
      </c>
      <c r="BS298" s="239">
        <v>-493</v>
      </c>
      <c r="BT298" s="239">
        <v>0</v>
      </c>
      <c r="BU298" s="239">
        <v>3806.061570247934</v>
      </c>
      <c r="BV298" s="239">
        <v>2537.3743801652895</v>
      </c>
      <c r="BW298" s="239">
        <v>0</v>
      </c>
      <c r="BX298" s="239">
        <v>0</v>
      </c>
      <c r="BY298" s="239">
        <v>0</v>
      </c>
      <c r="BZ298" s="239">
        <v>0</v>
      </c>
      <c r="CA298" s="239">
        <v>3806</v>
      </c>
      <c r="CB298" s="239">
        <v>2537</v>
      </c>
      <c r="CC298" s="239">
        <v>0</v>
      </c>
      <c r="CD298" s="239">
        <v>0</v>
      </c>
      <c r="CE298" s="239">
        <v>0</v>
      </c>
      <c r="CF298" s="239">
        <v>0</v>
      </c>
      <c r="CG298" s="239">
        <v>0</v>
      </c>
      <c r="CH298" s="239">
        <v>0</v>
      </c>
      <c r="CI298" s="239">
        <v>0</v>
      </c>
      <c r="CJ298" s="239">
        <v>0</v>
      </c>
      <c r="CK298" s="239">
        <v>0</v>
      </c>
      <c r="CL298" s="239">
        <v>0</v>
      </c>
      <c r="CM298" s="239">
        <v>-576.72210743801656</v>
      </c>
      <c r="CN298" s="239">
        <v>-384.48140495867773</v>
      </c>
      <c r="CO298" s="239">
        <v>0</v>
      </c>
      <c r="CP298" s="239">
        <v>4565</v>
      </c>
      <c r="CQ298" s="239">
        <v>3043</v>
      </c>
      <c r="CR298" s="239">
        <v>0</v>
      </c>
      <c r="CS298" s="239">
        <v>-5142</v>
      </c>
      <c r="CT298" s="239">
        <v>-3427</v>
      </c>
      <c r="CU298" s="239">
        <v>0</v>
      </c>
      <c r="CV298" s="239">
        <v>228190.88987603306</v>
      </c>
      <c r="CW298" s="239">
        <v>152127.25991735538</v>
      </c>
      <c r="CX298" s="239">
        <v>0</v>
      </c>
      <c r="CY298" s="239">
        <v>246652</v>
      </c>
      <c r="CZ298" s="239">
        <v>164435</v>
      </c>
      <c r="DA298" s="239">
        <v>0</v>
      </c>
      <c r="DB298" s="239">
        <v>-18461</v>
      </c>
      <c r="DC298" s="239">
        <v>-12308</v>
      </c>
      <c r="DD298" s="239">
        <v>0</v>
      </c>
      <c r="DE298" s="641">
        <v>0.5</v>
      </c>
      <c r="DF298" s="641">
        <v>0.3</v>
      </c>
      <c r="DG298" s="641">
        <v>0.2</v>
      </c>
      <c r="DH298" s="641">
        <v>0</v>
      </c>
      <c r="DI298" s="214" t="s">
        <v>1191</v>
      </c>
    </row>
    <row r="299" spans="2:113" s="214" customFormat="1" x14ac:dyDescent="0.2">
      <c r="B299" s="609" t="s">
        <v>680</v>
      </c>
      <c r="C299" s="609" t="s">
        <v>679</v>
      </c>
      <c r="D299" s="239">
        <v>-135020</v>
      </c>
      <c r="E299" s="239">
        <v>-151686</v>
      </c>
      <c r="F299" s="239">
        <v>-286706</v>
      </c>
      <c r="G299" s="239">
        <v>0</v>
      </c>
      <c r="H299" s="239">
        <v>0</v>
      </c>
      <c r="I299" s="239">
        <v>0</v>
      </c>
      <c r="J299" s="239">
        <v>-135020</v>
      </c>
      <c r="K299" s="239">
        <v>-151686</v>
      </c>
      <c r="L299" s="239">
        <v>-286706</v>
      </c>
      <c r="M299" s="239">
        <v>462876</v>
      </c>
      <c r="N299" s="239">
        <v>462876</v>
      </c>
      <c r="O299" s="239">
        <v>0</v>
      </c>
      <c r="P299" s="239">
        <v>0</v>
      </c>
      <c r="Q299" s="239">
        <v>0</v>
      </c>
      <c r="R299" s="239">
        <v>0</v>
      </c>
      <c r="S299" s="239">
        <v>0</v>
      </c>
      <c r="T299" s="239">
        <v>0</v>
      </c>
      <c r="U299" s="239">
        <v>0</v>
      </c>
      <c r="V299" s="239">
        <v>0</v>
      </c>
      <c r="W299" s="239">
        <v>0</v>
      </c>
      <c r="X299" s="239">
        <v>0</v>
      </c>
      <c r="Y299" s="239">
        <v>0</v>
      </c>
      <c r="Z299" s="239">
        <v>0</v>
      </c>
      <c r="AA299" s="239">
        <v>0</v>
      </c>
      <c r="AB299" s="239">
        <v>0</v>
      </c>
      <c r="AC299" s="239">
        <v>0</v>
      </c>
      <c r="AD299" s="239">
        <v>0</v>
      </c>
      <c r="AE299" s="239">
        <v>0</v>
      </c>
      <c r="AF299" s="239">
        <v>0</v>
      </c>
      <c r="AG299" s="239">
        <v>0</v>
      </c>
      <c r="AH299" s="239">
        <v>0</v>
      </c>
      <c r="AI299" s="239">
        <v>0</v>
      </c>
      <c r="AJ299" s="239">
        <v>0</v>
      </c>
      <c r="AK299" s="239">
        <v>751264.33956611564</v>
      </c>
      <c r="AL299" s="239">
        <v>445099.51425619837</v>
      </c>
      <c r="AM299" s="239">
        <v>0</v>
      </c>
      <c r="AN299" s="239">
        <v>637030</v>
      </c>
      <c r="AO299" s="239">
        <v>376914</v>
      </c>
      <c r="AP299" s="239">
        <v>0</v>
      </c>
      <c r="AQ299" s="239">
        <v>114234</v>
      </c>
      <c r="AR299" s="239">
        <v>68186</v>
      </c>
      <c r="AS299" s="239">
        <v>0</v>
      </c>
      <c r="AT299" s="239">
        <v>7677.758884297521</v>
      </c>
      <c r="AU299" s="239">
        <v>3134.8929752066119</v>
      </c>
      <c r="AV299" s="239">
        <v>0</v>
      </c>
      <c r="AW299" s="239">
        <v>8193</v>
      </c>
      <c r="AX299" s="239">
        <v>4317</v>
      </c>
      <c r="AY299" s="239">
        <v>0</v>
      </c>
      <c r="AZ299" s="239">
        <v>-515</v>
      </c>
      <c r="BA299" s="239">
        <v>-1182</v>
      </c>
      <c r="BB299" s="239">
        <v>0</v>
      </c>
      <c r="BC299" s="239">
        <v>-500.02871900826449</v>
      </c>
      <c r="BD299" s="239">
        <v>-333.35247933884307</v>
      </c>
      <c r="BE299" s="239">
        <v>0</v>
      </c>
      <c r="BF299" s="239">
        <v>0</v>
      </c>
      <c r="BG299" s="239">
        <v>0</v>
      </c>
      <c r="BH299" s="239">
        <v>0</v>
      </c>
      <c r="BI299" s="239">
        <v>-500</v>
      </c>
      <c r="BJ299" s="239">
        <v>-333</v>
      </c>
      <c r="BK299" s="239">
        <v>0</v>
      </c>
      <c r="BL299" s="239">
        <v>23901.555371900824</v>
      </c>
      <c r="BM299" s="239">
        <v>15934.370247933884</v>
      </c>
      <c r="BN299" s="239">
        <v>0</v>
      </c>
      <c r="BO299" s="239">
        <v>8600</v>
      </c>
      <c r="BP299" s="239">
        <v>5734</v>
      </c>
      <c r="BQ299" s="239">
        <v>0</v>
      </c>
      <c r="BR299" s="239">
        <v>15302</v>
      </c>
      <c r="BS299" s="239">
        <v>10200</v>
      </c>
      <c r="BT299" s="239">
        <v>0</v>
      </c>
      <c r="BU299" s="239">
        <v>-9903.7946280991728</v>
      </c>
      <c r="BV299" s="239">
        <v>-6602.5297520661161</v>
      </c>
      <c r="BW299" s="239">
        <v>0</v>
      </c>
      <c r="BX299" s="239">
        <v>0</v>
      </c>
      <c r="BY299" s="239">
        <v>0</v>
      </c>
      <c r="BZ299" s="239">
        <v>0</v>
      </c>
      <c r="CA299" s="239">
        <v>-9904</v>
      </c>
      <c r="CB299" s="239">
        <v>-6603</v>
      </c>
      <c r="CC299" s="239">
        <v>0</v>
      </c>
      <c r="CD299" s="239">
        <v>0</v>
      </c>
      <c r="CE299" s="239">
        <v>0</v>
      </c>
      <c r="CF299" s="239">
        <v>0</v>
      </c>
      <c r="CG299" s="239">
        <v>0</v>
      </c>
      <c r="CH299" s="239">
        <v>0</v>
      </c>
      <c r="CI299" s="239">
        <v>0</v>
      </c>
      <c r="CJ299" s="239">
        <v>0</v>
      </c>
      <c r="CK299" s="239">
        <v>0</v>
      </c>
      <c r="CL299" s="239">
        <v>0</v>
      </c>
      <c r="CM299" s="239">
        <v>2709.8330578512391</v>
      </c>
      <c r="CN299" s="239">
        <v>1806.5553719008267</v>
      </c>
      <c r="CO299" s="239">
        <v>0</v>
      </c>
      <c r="CP299" s="239">
        <v>6866</v>
      </c>
      <c r="CQ299" s="239">
        <v>4577</v>
      </c>
      <c r="CR299" s="239">
        <v>0</v>
      </c>
      <c r="CS299" s="239">
        <v>-4156</v>
      </c>
      <c r="CT299" s="239">
        <v>-2770</v>
      </c>
      <c r="CU299" s="239">
        <v>0</v>
      </c>
      <c r="CV299" s="239">
        <v>441587.04979338835</v>
      </c>
      <c r="CW299" s="239">
        <v>294391.36652892572</v>
      </c>
      <c r="CX299" s="239">
        <v>0</v>
      </c>
      <c r="CY299" s="239">
        <v>454162</v>
      </c>
      <c r="CZ299" s="239">
        <v>302774</v>
      </c>
      <c r="DA299" s="239">
        <v>0</v>
      </c>
      <c r="DB299" s="239">
        <v>-12575</v>
      </c>
      <c r="DC299" s="239">
        <v>-8383</v>
      </c>
      <c r="DD299" s="239">
        <v>0</v>
      </c>
      <c r="DE299" s="641">
        <v>0.5</v>
      </c>
      <c r="DF299" s="641">
        <v>0.3</v>
      </c>
      <c r="DG299" s="641">
        <v>0.2</v>
      </c>
      <c r="DH299" s="641">
        <v>0</v>
      </c>
      <c r="DI299" s="214" t="s">
        <v>1193</v>
      </c>
    </row>
    <row r="300" spans="2:113" s="214" customFormat="1" x14ac:dyDescent="0.2">
      <c r="B300" s="609" t="s">
        <v>682</v>
      </c>
      <c r="C300" s="609" t="s">
        <v>681</v>
      </c>
      <c r="D300" s="239">
        <v>43113</v>
      </c>
      <c r="E300" s="239">
        <v>0</v>
      </c>
      <c r="F300" s="239">
        <v>43113</v>
      </c>
      <c r="G300" s="239">
        <v>0</v>
      </c>
      <c r="H300" s="239">
        <v>0</v>
      </c>
      <c r="I300" s="239">
        <v>0</v>
      </c>
      <c r="J300" s="239">
        <v>43113</v>
      </c>
      <c r="K300" s="239">
        <v>0</v>
      </c>
      <c r="L300" s="239">
        <v>43113</v>
      </c>
      <c r="M300" s="239">
        <v>308089</v>
      </c>
      <c r="N300" s="239">
        <v>308089</v>
      </c>
      <c r="O300" s="239">
        <v>0</v>
      </c>
      <c r="P300" s="239">
        <v>0</v>
      </c>
      <c r="Q300" s="239">
        <v>1120059</v>
      </c>
      <c r="R300" s="239">
        <v>-1120059</v>
      </c>
      <c r="S300" s="239">
        <v>0</v>
      </c>
      <c r="T300" s="239">
        <v>0</v>
      </c>
      <c r="U300" s="239">
        <v>0</v>
      </c>
      <c r="V300" s="239">
        <v>0</v>
      </c>
      <c r="W300" s="239">
        <v>0</v>
      </c>
      <c r="X300" s="239">
        <v>0</v>
      </c>
      <c r="Y300" s="239">
        <v>0</v>
      </c>
      <c r="Z300" s="239">
        <v>0</v>
      </c>
      <c r="AA300" s="239">
        <v>0</v>
      </c>
      <c r="AB300" s="239">
        <v>0</v>
      </c>
      <c r="AC300" s="239">
        <v>0</v>
      </c>
      <c r="AD300" s="239">
        <v>0</v>
      </c>
      <c r="AE300" s="239">
        <v>0</v>
      </c>
      <c r="AF300" s="239">
        <v>0</v>
      </c>
      <c r="AG300" s="239">
        <v>0</v>
      </c>
      <c r="AH300" s="239">
        <v>0</v>
      </c>
      <c r="AI300" s="239">
        <v>0</v>
      </c>
      <c r="AJ300" s="239">
        <v>0</v>
      </c>
      <c r="AK300" s="239">
        <v>831483.83333677682</v>
      </c>
      <c r="AL300" s="239">
        <v>0</v>
      </c>
      <c r="AM300" s="239">
        <v>16915.726064049588</v>
      </c>
      <c r="AN300" s="239">
        <v>785844</v>
      </c>
      <c r="AO300" s="239">
        <v>0</v>
      </c>
      <c r="AP300" s="239">
        <v>16015</v>
      </c>
      <c r="AQ300" s="239">
        <v>45640</v>
      </c>
      <c r="AR300" s="239">
        <v>0</v>
      </c>
      <c r="AS300" s="239">
        <v>901</v>
      </c>
      <c r="AT300" s="239">
        <v>0</v>
      </c>
      <c r="AU300" s="239">
        <v>0</v>
      </c>
      <c r="AV300" s="239">
        <v>0</v>
      </c>
      <c r="AW300" s="239">
        <v>0</v>
      </c>
      <c r="AX300" s="239">
        <v>0</v>
      </c>
      <c r="AY300" s="239">
        <v>0</v>
      </c>
      <c r="AZ300" s="239">
        <v>0</v>
      </c>
      <c r="BA300" s="239">
        <v>0</v>
      </c>
      <c r="BB300" s="239">
        <v>0</v>
      </c>
      <c r="BC300" s="239">
        <v>0</v>
      </c>
      <c r="BD300" s="239">
        <v>0</v>
      </c>
      <c r="BE300" s="239">
        <v>0</v>
      </c>
      <c r="BF300" s="239">
        <v>6772</v>
      </c>
      <c r="BG300" s="239">
        <v>0</v>
      </c>
      <c r="BH300" s="239">
        <v>138</v>
      </c>
      <c r="BI300" s="239">
        <v>-6772</v>
      </c>
      <c r="BJ300" s="239">
        <v>0</v>
      </c>
      <c r="BK300" s="239">
        <v>-138</v>
      </c>
      <c r="BL300" s="239">
        <v>0</v>
      </c>
      <c r="BM300" s="239">
        <v>0</v>
      </c>
      <c r="BN300" s="239">
        <v>0</v>
      </c>
      <c r="BO300" s="239">
        <v>0</v>
      </c>
      <c r="BP300" s="239">
        <v>0</v>
      </c>
      <c r="BQ300" s="239">
        <v>0</v>
      </c>
      <c r="BR300" s="239">
        <v>0</v>
      </c>
      <c r="BS300" s="239">
        <v>0</v>
      </c>
      <c r="BT300" s="239">
        <v>0</v>
      </c>
      <c r="BU300" s="239">
        <v>6365.6932644628105</v>
      </c>
      <c r="BV300" s="239">
        <v>0</v>
      </c>
      <c r="BW300" s="239">
        <v>129.91210743801653</v>
      </c>
      <c r="BX300" s="239">
        <v>0</v>
      </c>
      <c r="BY300" s="239">
        <v>0</v>
      </c>
      <c r="BZ300" s="239">
        <v>0</v>
      </c>
      <c r="CA300" s="239">
        <v>6366</v>
      </c>
      <c r="CB300" s="239">
        <v>0</v>
      </c>
      <c r="CC300" s="239">
        <v>130</v>
      </c>
      <c r="CD300" s="239">
        <v>3412.0036363636364</v>
      </c>
      <c r="CE300" s="239">
        <v>0</v>
      </c>
      <c r="CF300" s="239">
        <v>69.632727272727266</v>
      </c>
      <c r="CG300" s="239">
        <v>0</v>
      </c>
      <c r="CH300" s="239">
        <v>0</v>
      </c>
      <c r="CI300" s="239">
        <v>0</v>
      </c>
      <c r="CJ300" s="239">
        <v>3412</v>
      </c>
      <c r="CK300" s="239">
        <v>0</v>
      </c>
      <c r="CL300" s="239">
        <v>70</v>
      </c>
      <c r="CM300" s="239">
        <v>5061.3375619834706</v>
      </c>
      <c r="CN300" s="239">
        <v>0</v>
      </c>
      <c r="CO300" s="239">
        <v>103.29260330578512</v>
      </c>
      <c r="CP300" s="239">
        <v>6089</v>
      </c>
      <c r="CQ300" s="239">
        <v>0</v>
      </c>
      <c r="CR300" s="239">
        <v>124</v>
      </c>
      <c r="CS300" s="239">
        <v>-1028</v>
      </c>
      <c r="CT300" s="239">
        <v>0</v>
      </c>
      <c r="CU300" s="239">
        <v>-21</v>
      </c>
      <c r="CV300" s="239">
        <v>767557.64706611575</v>
      </c>
      <c r="CW300" s="239">
        <v>0</v>
      </c>
      <c r="CX300" s="239">
        <v>15664.441776859505</v>
      </c>
      <c r="CY300" s="239">
        <v>828107</v>
      </c>
      <c r="CZ300" s="239">
        <v>0</v>
      </c>
      <c r="DA300" s="239">
        <v>16570</v>
      </c>
      <c r="DB300" s="239">
        <v>-60549</v>
      </c>
      <c r="DC300" s="239">
        <v>0</v>
      </c>
      <c r="DD300" s="239">
        <v>-906</v>
      </c>
      <c r="DE300" s="641">
        <v>0.5</v>
      </c>
      <c r="DF300" s="641">
        <v>0.49</v>
      </c>
      <c r="DG300" s="641">
        <v>0</v>
      </c>
      <c r="DH300" s="641">
        <v>0.01</v>
      </c>
      <c r="DI300" s="214" t="s">
        <v>747</v>
      </c>
    </row>
    <row r="301" spans="2:113" s="214" customFormat="1" x14ac:dyDescent="0.2">
      <c r="B301" s="609" t="s">
        <v>684</v>
      </c>
      <c r="C301" s="609" t="s">
        <v>683</v>
      </c>
      <c r="D301" s="239">
        <v>731</v>
      </c>
      <c r="E301" s="239">
        <v>0</v>
      </c>
      <c r="F301" s="239">
        <v>731</v>
      </c>
      <c r="G301" s="239">
        <v>0</v>
      </c>
      <c r="H301" s="239">
        <v>0</v>
      </c>
      <c r="I301" s="239">
        <v>0</v>
      </c>
      <c r="J301" s="239">
        <v>731</v>
      </c>
      <c r="K301" s="239">
        <v>0</v>
      </c>
      <c r="L301" s="239">
        <v>731</v>
      </c>
      <c r="M301" s="239">
        <v>214443</v>
      </c>
      <c r="N301" s="239">
        <v>214443</v>
      </c>
      <c r="O301" s="239">
        <v>0</v>
      </c>
      <c r="P301" s="239">
        <v>0</v>
      </c>
      <c r="Q301" s="239">
        <v>0</v>
      </c>
      <c r="R301" s="239">
        <v>0</v>
      </c>
      <c r="S301" s="239">
        <v>15034</v>
      </c>
      <c r="T301" s="239">
        <v>0</v>
      </c>
      <c r="U301" s="239">
        <v>30000</v>
      </c>
      <c r="V301" s="239">
        <v>0</v>
      </c>
      <c r="W301" s="239">
        <v>-14966</v>
      </c>
      <c r="X301" s="239">
        <v>0</v>
      </c>
      <c r="Y301" s="239">
        <v>0</v>
      </c>
      <c r="Z301" s="239">
        <v>0</v>
      </c>
      <c r="AA301" s="239">
        <v>0</v>
      </c>
      <c r="AB301" s="239">
        <v>0</v>
      </c>
      <c r="AC301" s="239">
        <v>0</v>
      </c>
      <c r="AD301" s="239">
        <v>0</v>
      </c>
      <c r="AE301" s="239">
        <v>0</v>
      </c>
      <c r="AF301" s="239">
        <v>0</v>
      </c>
      <c r="AG301" s="239">
        <v>0</v>
      </c>
      <c r="AH301" s="239">
        <v>0</v>
      </c>
      <c r="AI301" s="239">
        <v>0</v>
      </c>
      <c r="AJ301" s="239">
        <v>0</v>
      </c>
      <c r="AK301" s="239">
        <v>623773.70413223142</v>
      </c>
      <c r="AL301" s="239">
        <v>155943.42603305785</v>
      </c>
      <c r="AM301" s="239">
        <v>0</v>
      </c>
      <c r="AN301" s="239">
        <v>460652</v>
      </c>
      <c r="AO301" s="239">
        <v>115163</v>
      </c>
      <c r="AP301" s="239">
        <v>0</v>
      </c>
      <c r="AQ301" s="239">
        <v>163122</v>
      </c>
      <c r="AR301" s="239">
        <v>40780</v>
      </c>
      <c r="AS301" s="239">
        <v>0</v>
      </c>
      <c r="AT301" s="239">
        <v>0</v>
      </c>
      <c r="AU301" s="239">
        <v>0</v>
      </c>
      <c r="AV301" s="239">
        <v>0</v>
      </c>
      <c r="AW301" s="239">
        <v>6086</v>
      </c>
      <c r="AX301" s="239">
        <v>1522</v>
      </c>
      <c r="AY301" s="239">
        <v>0</v>
      </c>
      <c r="AZ301" s="239">
        <v>-6086</v>
      </c>
      <c r="BA301" s="239">
        <v>-1522</v>
      </c>
      <c r="BB301" s="239">
        <v>0</v>
      </c>
      <c r="BC301" s="239">
        <v>0</v>
      </c>
      <c r="BD301" s="239">
        <v>0</v>
      </c>
      <c r="BE301" s="239">
        <v>0</v>
      </c>
      <c r="BF301" s="239">
        <v>0</v>
      </c>
      <c r="BG301" s="239">
        <v>0</v>
      </c>
      <c r="BH301" s="239">
        <v>0</v>
      </c>
      <c r="BI301" s="239">
        <v>0</v>
      </c>
      <c r="BJ301" s="239">
        <v>0</v>
      </c>
      <c r="BK301" s="239">
        <v>0</v>
      </c>
      <c r="BL301" s="239">
        <v>20815.559504132234</v>
      </c>
      <c r="BM301" s="239">
        <v>5203.8898760330585</v>
      </c>
      <c r="BN301" s="239">
        <v>0</v>
      </c>
      <c r="BO301" s="239">
        <v>12174</v>
      </c>
      <c r="BP301" s="239">
        <v>3043</v>
      </c>
      <c r="BQ301" s="239">
        <v>0</v>
      </c>
      <c r="BR301" s="239">
        <v>8642</v>
      </c>
      <c r="BS301" s="239">
        <v>2161</v>
      </c>
      <c r="BT301" s="239">
        <v>0</v>
      </c>
      <c r="BU301" s="239">
        <v>5583.1975206611569</v>
      </c>
      <c r="BV301" s="239">
        <v>1395.7993801652892</v>
      </c>
      <c r="BW301" s="239">
        <v>0</v>
      </c>
      <c r="BX301" s="239">
        <v>0</v>
      </c>
      <c r="BY301" s="239">
        <v>0</v>
      </c>
      <c r="BZ301" s="239">
        <v>0</v>
      </c>
      <c r="CA301" s="239">
        <v>5583</v>
      </c>
      <c r="CB301" s="239">
        <v>1396</v>
      </c>
      <c r="CC301" s="239">
        <v>0</v>
      </c>
      <c r="CD301" s="239">
        <v>0</v>
      </c>
      <c r="CE301" s="239">
        <v>0</v>
      </c>
      <c r="CF301" s="239">
        <v>0</v>
      </c>
      <c r="CG301" s="239">
        <v>0</v>
      </c>
      <c r="CH301" s="239">
        <v>0</v>
      </c>
      <c r="CI301" s="239">
        <v>0</v>
      </c>
      <c r="CJ301" s="239">
        <v>0</v>
      </c>
      <c r="CK301" s="239">
        <v>0</v>
      </c>
      <c r="CL301" s="239">
        <v>0</v>
      </c>
      <c r="CM301" s="239">
        <v>2151.0669421487601</v>
      </c>
      <c r="CN301" s="239">
        <v>537.76673553719002</v>
      </c>
      <c r="CO301" s="239">
        <v>0</v>
      </c>
      <c r="CP301" s="239">
        <v>4058</v>
      </c>
      <c r="CQ301" s="239">
        <v>1014</v>
      </c>
      <c r="CR301" s="239">
        <v>0</v>
      </c>
      <c r="CS301" s="239">
        <v>-1907</v>
      </c>
      <c r="CT301" s="239">
        <v>-476</v>
      </c>
      <c r="CU301" s="239">
        <v>0</v>
      </c>
      <c r="CV301" s="239">
        <v>406641.64545454551</v>
      </c>
      <c r="CW301" s="239">
        <v>101606.052892562</v>
      </c>
      <c r="CX301" s="239">
        <v>0</v>
      </c>
      <c r="CY301" s="239">
        <v>389272</v>
      </c>
      <c r="CZ301" s="239">
        <v>97209</v>
      </c>
      <c r="DA301" s="239">
        <v>0</v>
      </c>
      <c r="DB301" s="239">
        <v>17370</v>
      </c>
      <c r="DC301" s="239">
        <v>4397</v>
      </c>
      <c r="DD301" s="239">
        <v>0</v>
      </c>
      <c r="DE301" s="641">
        <v>0.5</v>
      </c>
      <c r="DF301" s="641">
        <v>0.4</v>
      </c>
      <c r="DG301" s="641">
        <v>0.1</v>
      </c>
      <c r="DH301" s="641">
        <v>0</v>
      </c>
      <c r="DI301" s="214" t="s">
        <v>1190</v>
      </c>
    </row>
    <row r="302" spans="2:113" s="214" customFormat="1" x14ac:dyDescent="0.2">
      <c r="B302" s="609" t="s">
        <v>686</v>
      </c>
      <c r="C302" s="609" t="s">
        <v>685</v>
      </c>
      <c r="D302" s="239">
        <v>-907844</v>
      </c>
      <c r="E302" s="239">
        <v>0</v>
      </c>
      <c r="F302" s="239">
        <v>-907844</v>
      </c>
      <c r="G302" s="239">
        <v>0</v>
      </c>
      <c r="H302" s="239">
        <v>0</v>
      </c>
      <c r="I302" s="239">
        <v>0</v>
      </c>
      <c r="J302" s="239">
        <v>-907844</v>
      </c>
      <c r="K302" s="239">
        <v>0</v>
      </c>
      <c r="L302" s="239">
        <v>-907844</v>
      </c>
      <c r="M302" s="239">
        <v>171747</v>
      </c>
      <c r="N302" s="239">
        <v>171747</v>
      </c>
      <c r="O302" s="239">
        <v>0</v>
      </c>
      <c r="P302" s="239">
        <v>0</v>
      </c>
      <c r="Q302" s="239">
        <v>0</v>
      </c>
      <c r="R302" s="239">
        <v>0</v>
      </c>
      <c r="S302" s="239">
        <v>0</v>
      </c>
      <c r="T302" s="239">
        <v>0</v>
      </c>
      <c r="U302" s="239">
        <v>0</v>
      </c>
      <c r="V302" s="239">
        <v>0</v>
      </c>
      <c r="W302" s="239">
        <v>0</v>
      </c>
      <c r="X302" s="239">
        <v>0</v>
      </c>
      <c r="Y302" s="239">
        <v>0</v>
      </c>
      <c r="Z302" s="239">
        <v>0</v>
      </c>
      <c r="AA302" s="239">
        <v>0</v>
      </c>
      <c r="AB302" s="239">
        <v>0</v>
      </c>
      <c r="AC302" s="239">
        <v>0</v>
      </c>
      <c r="AD302" s="239">
        <v>0</v>
      </c>
      <c r="AE302" s="239">
        <v>0</v>
      </c>
      <c r="AF302" s="239">
        <v>0</v>
      </c>
      <c r="AG302" s="239">
        <v>0</v>
      </c>
      <c r="AH302" s="239">
        <v>0</v>
      </c>
      <c r="AI302" s="239">
        <v>0</v>
      </c>
      <c r="AJ302" s="239">
        <v>0</v>
      </c>
      <c r="AK302" s="239">
        <v>305647.90578512405</v>
      </c>
      <c r="AL302" s="239">
        <v>76411.976446281013</v>
      </c>
      <c r="AM302" s="239">
        <v>0</v>
      </c>
      <c r="AN302" s="239">
        <v>271004</v>
      </c>
      <c r="AO302" s="239">
        <v>67751</v>
      </c>
      <c r="AP302" s="239">
        <v>0</v>
      </c>
      <c r="AQ302" s="239">
        <v>34644</v>
      </c>
      <c r="AR302" s="239">
        <v>8661</v>
      </c>
      <c r="AS302" s="239">
        <v>0</v>
      </c>
      <c r="AT302" s="239">
        <v>2414.8272727272729</v>
      </c>
      <c r="AU302" s="239">
        <v>603.70681818181822</v>
      </c>
      <c r="AV302" s="239">
        <v>0</v>
      </c>
      <c r="AW302" s="239">
        <v>973</v>
      </c>
      <c r="AX302" s="239">
        <v>243</v>
      </c>
      <c r="AY302" s="239">
        <v>0</v>
      </c>
      <c r="AZ302" s="239">
        <v>1442</v>
      </c>
      <c r="BA302" s="239">
        <v>361</v>
      </c>
      <c r="BB302" s="239">
        <v>0</v>
      </c>
      <c r="BC302" s="239">
        <v>0</v>
      </c>
      <c r="BD302" s="239">
        <v>0</v>
      </c>
      <c r="BE302" s="239">
        <v>0</v>
      </c>
      <c r="BF302" s="239">
        <v>0</v>
      </c>
      <c r="BG302" s="239">
        <v>0</v>
      </c>
      <c r="BH302" s="239">
        <v>0</v>
      </c>
      <c r="BI302" s="239">
        <v>0</v>
      </c>
      <c r="BJ302" s="239">
        <v>0</v>
      </c>
      <c r="BK302" s="239">
        <v>0</v>
      </c>
      <c r="BL302" s="239">
        <v>87379.333884297521</v>
      </c>
      <c r="BM302" s="239">
        <v>21844.83347107438</v>
      </c>
      <c r="BN302" s="239">
        <v>0</v>
      </c>
      <c r="BO302" s="239">
        <v>15403</v>
      </c>
      <c r="BP302" s="239">
        <v>3851</v>
      </c>
      <c r="BQ302" s="239">
        <v>0</v>
      </c>
      <c r="BR302" s="239">
        <v>71976</v>
      </c>
      <c r="BS302" s="239">
        <v>17994</v>
      </c>
      <c r="BT302" s="239">
        <v>0</v>
      </c>
      <c r="BU302" s="239">
        <v>1156.4876033057851</v>
      </c>
      <c r="BV302" s="239">
        <v>289.12190082644628</v>
      </c>
      <c r="BW302" s="239">
        <v>0</v>
      </c>
      <c r="BX302" s="239">
        <v>0</v>
      </c>
      <c r="BY302" s="239">
        <v>0</v>
      </c>
      <c r="BZ302" s="239">
        <v>0</v>
      </c>
      <c r="CA302" s="239">
        <v>1156</v>
      </c>
      <c r="CB302" s="239">
        <v>289</v>
      </c>
      <c r="CC302" s="239">
        <v>0</v>
      </c>
      <c r="CD302" s="239">
        <v>0</v>
      </c>
      <c r="CE302" s="239">
        <v>0</v>
      </c>
      <c r="CF302" s="239">
        <v>0</v>
      </c>
      <c r="CG302" s="239">
        <v>0</v>
      </c>
      <c r="CH302" s="239">
        <v>0</v>
      </c>
      <c r="CI302" s="239">
        <v>0</v>
      </c>
      <c r="CJ302" s="239">
        <v>0</v>
      </c>
      <c r="CK302" s="239">
        <v>0</v>
      </c>
      <c r="CL302" s="239">
        <v>0</v>
      </c>
      <c r="CM302" s="239">
        <v>3196.3694214876032</v>
      </c>
      <c r="CN302" s="239">
        <v>799.09235537190079</v>
      </c>
      <c r="CO302" s="239">
        <v>0</v>
      </c>
      <c r="CP302" s="239">
        <v>5500</v>
      </c>
      <c r="CQ302" s="239">
        <v>1375</v>
      </c>
      <c r="CR302" s="239">
        <v>0</v>
      </c>
      <c r="CS302" s="239">
        <v>-2304</v>
      </c>
      <c r="CT302" s="239">
        <v>-576</v>
      </c>
      <c r="CU302" s="239">
        <v>0</v>
      </c>
      <c r="CV302" s="239">
        <v>417058.72148760332</v>
      </c>
      <c r="CW302" s="239">
        <v>104264.68037190083</v>
      </c>
      <c r="CX302" s="239">
        <v>0</v>
      </c>
      <c r="CY302" s="239">
        <v>370339</v>
      </c>
      <c r="CZ302" s="239">
        <v>92585</v>
      </c>
      <c r="DA302" s="239">
        <v>0</v>
      </c>
      <c r="DB302" s="239">
        <v>46720</v>
      </c>
      <c r="DC302" s="239">
        <v>11680</v>
      </c>
      <c r="DD302" s="239">
        <v>0</v>
      </c>
      <c r="DE302" s="641">
        <v>0.5</v>
      </c>
      <c r="DF302" s="641">
        <v>0.4</v>
      </c>
      <c r="DG302" s="641">
        <v>0.1</v>
      </c>
      <c r="DH302" s="641">
        <v>0</v>
      </c>
      <c r="DI302" s="214" t="s">
        <v>1190</v>
      </c>
    </row>
    <row r="303" spans="2:113" s="214" customFormat="1" x14ac:dyDescent="0.2">
      <c r="B303" s="609" t="s">
        <v>688</v>
      </c>
      <c r="C303" s="609" t="s">
        <v>687</v>
      </c>
      <c r="D303" s="239">
        <v>-31736</v>
      </c>
      <c r="E303" s="239">
        <v>0</v>
      </c>
      <c r="F303" s="239">
        <v>-31736</v>
      </c>
      <c r="G303" s="239">
        <v>0</v>
      </c>
      <c r="H303" s="239">
        <v>0</v>
      </c>
      <c r="I303" s="239">
        <v>0</v>
      </c>
      <c r="J303" s="239">
        <v>-31736</v>
      </c>
      <c r="K303" s="239">
        <v>0</v>
      </c>
      <c r="L303" s="239">
        <v>-31736</v>
      </c>
      <c r="M303" s="239">
        <v>204024</v>
      </c>
      <c r="N303" s="239">
        <v>204024</v>
      </c>
      <c r="O303" s="239">
        <v>0</v>
      </c>
      <c r="P303" s="239">
        <v>251692</v>
      </c>
      <c r="Q303" s="239">
        <v>238982</v>
      </c>
      <c r="R303" s="239">
        <v>12710</v>
      </c>
      <c r="S303" s="239">
        <v>237815</v>
      </c>
      <c r="T303" s="239">
        <v>0</v>
      </c>
      <c r="U303" s="239">
        <v>118783</v>
      </c>
      <c r="V303" s="239">
        <v>0</v>
      </c>
      <c r="W303" s="239">
        <v>119032</v>
      </c>
      <c r="X303" s="239">
        <v>0</v>
      </c>
      <c r="Y303" s="239">
        <v>165761.19421487604</v>
      </c>
      <c r="Z303" s="239">
        <v>165761.19421487604</v>
      </c>
      <c r="AA303" s="239">
        <v>0</v>
      </c>
      <c r="AB303" s="239">
        <v>0</v>
      </c>
      <c r="AC303" s="239">
        <v>140090</v>
      </c>
      <c r="AD303" s="239">
        <v>140090</v>
      </c>
      <c r="AE303" s="239">
        <v>0</v>
      </c>
      <c r="AF303" s="239">
        <v>0</v>
      </c>
      <c r="AG303" s="239">
        <v>25671</v>
      </c>
      <c r="AH303" s="239">
        <v>25671</v>
      </c>
      <c r="AI303" s="239">
        <v>0</v>
      </c>
      <c r="AJ303" s="239">
        <v>0</v>
      </c>
      <c r="AK303" s="239">
        <v>733335.28181818186</v>
      </c>
      <c r="AL303" s="239">
        <v>183333.82045454546</v>
      </c>
      <c r="AM303" s="239">
        <v>0</v>
      </c>
      <c r="AN303" s="239">
        <v>671381</v>
      </c>
      <c r="AO303" s="239">
        <v>167845</v>
      </c>
      <c r="AP303" s="239">
        <v>0</v>
      </c>
      <c r="AQ303" s="239">
        <v>61954</v>
      </c>
      <c r="AR303" s="239">
        <v>15489</v>
      </c>
      <c r="AS303" s="239">
        <v>0</v>
      </c>
      <c r="AT303" s="239">
        <v>380.22066115702484</v>
      </c>
      <c r="AU303" s="239">
        <v>95.055165289256209</v>
      </c>
      <c r="AV303" s="239">
        <v>0</v>
      </c>
      <c r="AW303" s="239">
        <v>186</v>
      </c>
      <c r="AX303" s="239">
        <v>47</v>
      </c>
      <c r="AY303" s="239">
        <v>0</v>
      </c>
      <c r="AZ303" s="239">
        <v>194</v>
      </c>
      <c r="BA303" s="239">
        <v>48</v>
      </c>
      <c r="BB303" s="239">
        <v>0</v>
      </c>
      <c r="BC303" s="239">
        <v>0</v>
      </c>
      <c r="BD303" s="239">
        <v>0</v>
      </c>
      <c r="BE303" s="239">
        <v>0</v>
      </c>
      <c r="BF303" s="239">
        <v>0</v>
      </c>
      <c r="BG303" s="239">
        <v>0</v>
      </c>
      <c r="BH303" s="239">
        <v>0</v>
      </c>
      <c r="BI303" s="239">
        <v>0</v>
      </c>
      <c r="BJ303" s="239">
        <v>0</v>
      </c>
      <c r="BK303" s="239">
        <v>0</v>
      </c>
      <c r="BL303" s="239">
        <v>9295.3198347107445</v>
      </c>
      <c r="BM303" s="239">
        <v>2323.8299586776861</v>
      </c>
      <c r="BN303" s="239">
        <v>0</v>
      </c>
      <c r="BO303" s="239">
        <v>4765</v>
      </c>
      <c r="BP303" s="239">
        <v>1191</v>
      </c>
      <c r="BQ303" s="239">
        <v>0</v>
      </c>
      <c r="BR303" s="239">
        <v>4530</v>
      </c>
      <c r="BS303" s="239">
        <v>1133</v>
      </c>
      <c r="BT303" s="239">
        <v>0</v>
      </c>
      <c r="BU303" s="239">
        <v>-7715.1925619834719</v>
      </c>
      <c r="BV303" s="239">
        <v>-1928.798140495868</v>
      </c>
      <c r="BW303" s="239">
        <v>0</v>
      </c>
      <c r="BX303" s="239">
        <v>0</v>
      </c>
      <c r="BY303" s="239">
        <v>0</v>
      </c>
      <c r="BZ303" s="239">
        <v>0</v>
      </c>
      <c r="CA303" s="239">
        <v>-7715</v>
      </c>
      <c r="CB303" s="239">
        <v>-1929</v>
      </c>
      <c r="CC303" s="239">
        <v>0</v>
      </c>
      <c r="CD303" s="239">
        <v>0</v>
      </c>
      <c r="CE303" s="239">
        <v>0</v>
      </c>
      <c r="CF303" s="239">
        <v>0</v>
      </c>
      <c r="CG303" s="239">
        <v>0</v>
      </c>
      <c r="CH303" s="239">
        <v>0</v>
      </c>
      <c r="CI303" s="239">
        <v>0</v>
      </c>
      <c r="CJ303" s="239">
        <v>0</v>
      </c>
      <c r="CK303" s="239">
        <v>0</v>
      </c>
      <c r="CL303" s="239">
        <v>0</v>
      </c>
      <c r="CM303" s="239">
        <v>1443.3776859504133</v>
      </c>
      <c r="CN303" s="239">
        <v>360.84442148760331</v>
      </c>
      <c r="CO303" s="239">
        <v>0</v>
      </c>
      <c r="CP303" s="239">
        <v>1726</v>
      </c>
      <c r="CQ303" s="239">
        <v>432</v>
      </c>
      <c r="CR303" s="239">
        <v>0</v>
      </c>
      <c r="CS303" s="239">
        <v>-283</v>
      </c>
      <c r="CT303" s="239">
        <v>-71</v>
      </c>
      <c r="CU303" s="239">
        <v>0</v>
      </c>
      <c r="CV303" s="239">
        <v>162124.5847107438</v>
      </c>
      <c r="CW303" s="239">
        <v>38761.234504132233</v>
      </c>
      <c r="CX303" s="239">
        <v>0</v>
      </c>
      <c r="CY303" s="239">
        <v>162514</v>
      </c>
      <c r="CZ303" s="239">
        <v>38828</v>
      </c>
      <c r="DA303" s="239">
        <v>0</v>
      </c>
      <c r="DB303" s="239">
        <v>-389</v>
      </c>
      <c r="DC303" s="239">
        <v>-67</v>
      </c>
      <c r="DD303" s="239">
        <v>0</v>
      </c>
      <c r="DE303" s="641">
        <v>0.5</v>
      </c>
      <c r="DF303" s="641">
        <v>0.4</v>
      </c>
      <c r="DG303" s="641">
        <v>0.1</v>
      </c>
      <c r="DH303" s="641">
        <v>0</v>
      </c>
      <c r="DI303" s="214" t="s">
        <v>1190</v>
      </c>
    </row>
    <row r="304" spans="2:113" s="214" customFormat="1" x14ac:dyDescent="0.2">
      <c r="B304" s="609" t="s">
        <v>690</v>
      </c>
      <c r="C304" s="609" t="s">
        <v>689</v>
      </c>
      <c r="D304" s="239">
        <v>-65077</v>
      </c>
      <c r="E304" s="239">
        <v>0</v>
      </c>
      <c r="F304" s="239">
        <v>-65077</v>
      </c>
      <c r="G304" s="239">
        <v>0</v>
      </c>
      <c r="H304" s="239">
        <v>0</v>
      </c>
      <c r="I304" s="239">
        <v>0</v>
      </c>
      <c r="J304" s="239">
        <v>-65077</v>
      </c>
      <c r="K304" s="239">
        <v>0</v>
      </c>
      <c r="L304" s="239">
        <v>-65077</v>
      </c>
      <c r="M304" s="239">
        <v>179430</v>
      </c>
      <c r="N304" s="239">
        <v>179430</v>
      </c>
      <c r="O304" s="239">
        <v>0</v>
      </c>
      <c r="P304" s="239">
        <v>0</v>
      </c>
      <c r="Q304" s="239">
        <v>0</v>
      </c>
      <c r="R304" s="239">
        <v>0</v>
      </c>
      <c r="S304" s="239">
        <v>0</v>
      </c>
      <c r="T304" s="239">
        <v>0</v>
      </c>
      <c r="U304" s="239">
        <v>0</v>
      </c>
      <c r="V304" s="239">
        <v>0</v>
      </c>
      <c r="W304" s="239">
        <v>0</v>
      </c>
      <c r="X304" s="239">
        <v>0</v>
      </c>
      <c r="Y304" s="239">
        <v>0</v>
      </c>
      <c r="Z304" s="239">
        <v>0</v>
      </c>
      <c r="AA304" s="239">
        <v>0</v>
      </c>
      <c r="AB304" s="239">
        <v>0</v>
      </c>
      <c r="AC304" s="239">
        <v>0</v>
      </c>
      <c r="AD304" s="239">
        <v>0</v>
      </c>
      <c r="AE304" s="239">
        <v>0</v>
      </c>
      <c r="AF304" s="239">
        <v>0</v>
      </c>
      <c r="AG304" s="239">
        <v>0</v>
      </c>
      <c r="AH304" s="239">
        <v>0</v>
      </c>
      <c r="AI304" s="239">
        <v>0</v>
      </c>
      <c r="AJ304" s="239">
        <v>0</v>
      </c>
      <c r="AK304" s="239">
        <v>497259.64132231404</v>
      </c>
      <c r="AL304" s="239">
        <v>124314.91033057851</v>
      </c>
      <c r="AM304" s="239">
        <v>0</v>
      </c>
      <c r="AN304" s="239">
        <v>452276</v>
      </c>
      <c r="AO304" s="239">
        <v>113069</v>
      </c>
      <c r="AP304" s="239">
        <v>0</v>
      </c>
      <c r="AQ304" s="239">
        <v>44984</v>
      </c>
      <c r="AR304" s="239">
        <v>11246</v>
      </c>
      <c r="AS304" s="239">
        <v>0</v>
      </c>
      <c r="AT304" s="239">
        <v>0</v>
      </c>
      <c r="AU304" s="239">
        <v>0</v>
      </c>
      <c r="AV304" s="239">
        <v>0</v>
      </c>
      <c r="AW304" s="239">
        <v>1058</v>
      </c>
      <c r="AX304" s="239">
        <v>264</v>
      </c>
      <c r="AY304" s="239">
        <v>0</v>
      </c>
      <c r="AZ304" s="239">
        <v>-1058</v>
      </c>
      <c r="BA304" s="239">
        <v>-264</v>
      </c>
      <c r="BB304" s="239">
        <v>0</v>
      </c>
      <c r="BC304" s="239">
        <v>0</v>
      </c>
      <c r="BD304" s="239">
        <v>0</v>
      </c>
      <c r="BE304" s="239">
        <v>0</v>
      </c>
      <c r="BF304" s="239">
        <v>0</v>
      </c>
      <c r="BG304" s="239">
        <v>0</v>
      </c>
      <c r="BH304" s="239">
        <v>0</v>
      </c>
      <c r="BI304" s="239">
        <v>0</v>
      </c>
      <c r="BJ304" s="239">
        <v>0</v>
      </c>
      <c r="BK304" s="239">
        <v>0</v>
      </c>
      <c r="BL304" s="239">
        <v>4833.7123966942154</v>
      </c>
      <c r="BM304" s="239">
        <v>1208.4280991735538</v>
      </c>
      <c r="BN304" s="239">
        <v>0</v>
      </c>
      <c r="BO304" s="239">
        <v>5259</v>
      </c>
      <c r="BP304" s="239">
        <v>1315</v>
      </c>
      <c r="BQ304" s="239">
        <v>0</v>
      </c>
      <c r="BR304" s="239">
        <v>-425</v>
      </c>
      <c r="BS304" s="239">
        <v>-107</v>
      </c>
      <c r="BT304" s="239">
        <v>0</v>
      </c>
      <c r="BU304" s="239">
        <v>-2547.1132231404958</v>
      </c>
      <c r="BV304" s="239">
        <v>-636.77830578512396</v>
      </c>
      <c r="BW304" s="239">
        <v>0</v>
      </c>
      <c r="BX304" s="239">
        <v>0</v>
      </c>
      <c r="BY304" s="239">
        <v>0</v>
      </c>
      <c r="BZ304" s="239">
        <v>0</v>
      </c>
      <c r="CA304" s="239">
        <v>-2547</v>
      </c>
      <c r="CB304" s="239">
        <v>-637</v>
      </c>
      <c r="CC304" s="239">
        <v>0</v>
      </c>
      <c r="CD304" s="239">
        <v>0</v>
      </c>
      <c r="CE304" s="239">
        <v>0</v>
      </c>
      <c r="CF304" s="239">
        <v>0</v>
      </c>
      <c r="CG304" s="239">
        <v>0</v>
      </c>
      <c r="CH304" s="239">
        <v>0</v>
      </c>
      <c r="CI304" s="239">
        <v>0</v>
      </c>
      <c r="CJ304" s="239">
        <v>0</v>
      </c>
      <c r="CK304" s="239">
        <v>0</v>
      </c>
      <c r="CL304" s="239">
        <v>0</v>
      </c>
      <c r="CM304" s="239">
        <v>197.21157024793388</v>
      </c>
      <c r="CN304" s="239">
        <v>49.302892561983469</v>
      </c>
      <c r="CO304" s="239">
        <v>0</v>
      </c>
      <c r="CP304" s="239">
        <v>164</v>
      </c>
      <c r="CQ304" s="239">
        <v>41</v>
      </c>
      <c r="CR304" s="239">
        <v>0</v>
      </c>
      <c r="CS304" s="239">
        <v>33</v>
      </c>
      <c r="CT304" s="239">
        <v>8</v>
      </c>
      <c r="CU304" s="239">
        <v>0</v>
      </c>
      <c r="CV304" s="239">
        <v>210200.70909090913</v>
      </c>
      <c r="CW304" s="239">
        <v>52550.177272727284</v>
      </c>
      <c r="CX304" s="239">
        <v>0</v>
      </c>
      <c r="CY304" s="239">
        <v>217618</v>
      </c>
      <c r="CZ304" s="239">
        <v>54404</v>
      </c>
      <c r="DA304" s="239">
        <v>0</v>
      </c>
      <c r="DB304" s="239">
        <v>-7417</v>
      </c>
      <c r="DC304" s="239">
        <v>-1854</v>
      </c>
      <c r="DD304" s="239">
        <v>0</v>
      </c>
      <c r="DE304" s="641">
        <v>0.5</v>
      </c>
      <c r="DF304" s="641">
        <v>0.4</v>
      </c>
      <c r="DG304" s="641">
        <v>0.1</v>
      </c>
      <c r="DH304" s="641">
        <v>0</v>
      </c>
      <c r="DI304" s="214" t="s">
        <v>1190</v>
      </c>
    </row>
    <row r="305" spans="2:113" s="214" customFormat="1" x14ac:dyDescent="0.2">
      <c r="B305" s="609" t="s">
        <v>692</v>
      </c>
      <c r="C305" s="609" t="s">
        <v>691</v>
      </c>
      <c r="D305" s="239">
        <v>-66595</v>
      </c>
      <c r="E305" s="239">
        <v>0</v>
      </c>
      <c r="F305" s="239">
        <v>-66595</v>
      </c>
      <c r="G305" s="239">
        <v>0</v>
      </c>
      <c r="H305" s="239">
        <v>0</v>
      </c>
      <c r="I305" s="239">
        <v>0</v>
      </c>
      <c r="J305" s="239">
        <v>-66595</v>
      </c>
      <c r="K305" s="239">
        <v>0</v>
      </c>
      <c r="L305" s="239">
        <v>-66595</v>
      </c>
      <c r="M305" s="239">
        <v>211815</v>
      </c>
      <c r="N305" s="239">
        <v>211815</v>
      </c>
      <c r="O305" s="239">
        <v>0</v>
      </c>
      <c r="P305" s="239">
        <v>0</v>
      </c>
      <c r="Q305" s="239">
        <v>0</v>
      </c>
      <c r="R305" s="239">
        <v>0</v>
      </c>
      <c r="S305" s="239">
        <v>174696</v>
      </c>
      <c r="T305" s="239">
        <v>0</v>
      </c>
      <c r="U305" s="239">
        <v>160507</v>
      </c>
      <c r="V305" s="239">
        <v>0</v>
      </c>
      <c r="W305" s="239">
        <v>14189</v>
      </c>
      <c r="X305" s="239">
        <v>0</v>
      </c>
      <c r="Y305" s="239">
        <v>0</v>
      </c>
      <c r="Z305" s="239">
        <v>0</v>
      </c>
      <c r="AA305" s="239">
        <v>0</v>
      </c>
      <c r="AB305" s="239">
        <v>0</v>
      </c>
      <c r="AC305" s="239">
        <v>0</v>
      </c>
      <c r="AD305" s="239">
        <v>0</v>
      </c>
      <c r="AE305" s="239">
        <v>0</v>
      </c>
      <c r="AF305" s="239">
        <v>0</v>
      </c>
      <c r="AG305" s="239">
        <v>0</v>
      </c>
      <c r="AH305" s="239">
        <v>0</v>
      </c>
      <c r="AI305" s="239">
        <v>0</v>
      </c>
      <c r="AJ305" s="239">
        <v>0</v>
      </c>
      <c r="AK305" s="239">
        <v>1105736.2607438017</v>
      </c>
      <c r="AL305" s="239">
        <v>248790.65866735534</v>
      </c>
      <c r="AM305" s="239">
        <v>27643.406518595042</v>
      </c>
      <c r="AN305" s="239">
        <v>991204</v>
      </c>
      <c r="AO305" s="239">
        <v>223021</v>
      </c>
      <c r="AP305" s="239">
        <v>24780</v>
      </c>
      <c r="AQ305" s="239">
        <v>114532</v>
      </c>
      <c r="AR305" s="239">
        <v>25770</v>
      </c>
      <c r="AS305" s="239">
        <v>2863</v>
      </c>
      <c r="AT305" s="239">
        <v>4937.5933884297519</v>
      </c>
      <c r="AU305" s="239">
        <v>1110.958512396694</v>
      </c>
      <c r="AV305" s="239">
        <v>123.4398347107438</v>
      </c>
      <c r="AW305" s="239">
        <v>989</v>
      </c>
      <c r="AX305" s="239">
        <v>223</v>
      </c>
      <c r="AY305" s="239">
        <v>25</v>
      </c>
      <c r="AZ305" s="239">
        <v>3949</v>
      </c>
      <c r="BA305" s="239">
        <v>888</v>
      </c>
      <c r="BB305" s="239">
        <v>98</v>
      </c>
      <c r="BC305" s="239">
        <v>0</v>
      </c>
      <c r="BD305" s="239">
        <v>0</v>
      </c>
      <c r="BE305" s="239">
        <v>0</v>
      </c>
      <c r="BF305" s="239">
        <v>0</v>
      </c>
      <c r="BG305" s="239">
        <v>0</v>
      </c>
      <c r="BH305" s="239">
        <v>0</v>
      </c>
      <c r="BI305" s="239">
        <v>0</v>
      </c>
      <c r="BJ305" s="239">
        <v>0</v>
      </c>
      <c r="BK305" s="239">
        <v>0</v>
      </c>
      <c r="BL305" s="239">
        <v>2552.7942148760335</v>
      </c>
      <c r="BM305" s="239">
        <v>574.3786983471075</v>
      </c>
      <c r="BN305" s="239">
        <v>63.819855371900829</v>
      </c>
      <c r="BO305" s="239">
        <v>623</v>
      </c>
      <c r="BP305" s="239">
        <v>140</v>
      </c>
      <c r="BQ305" s="239">
        <v>16</v>
      </c>
      <c r="BR305" s="239">
        <v>1930</v>
      </c>
      <c r="BS305" s="239">
        <v>434</v>
      </c>
      <c r="BT305" s="239">
        <v>48</v>
      </c>
      <c r="BU305" s="239">
        <v>-1051.7950413223141</v>
      </c>
      <c r="BV305" s="239">
        <v>-236.65388429752068</v>
      </c>
      <c r="BW305" s="239">
        <v>-26.294876033057854</v>
      </c>
      <c r="BX305" s="239">
        <v>0</v>
      </c>
      <c r="BY305" s="239">
        <v>0</v>
      </c>
      <c r="BZ305" s="239">
        <v>0</v>
      </c>
      <c r="CA305" s="239">
        <v>-1052</v>
      </c>
      <c r="CB305" s="239">
        <v>-237</v>
      </c>
      <c r="CC305" s="239">
        <v>-26</v>
      </c>
      <c r="CD305" s="239">
        <v>0</v>
      </c>
      <c r="CE305" s="239">
        <v>0</v>
      </c>
      <c r="CF305" s="239">
        <v>0</v>
      </c>
      <c r="CG305" s="239">
        <v>0</v>
      </c>
      <c r="CH305" s="239">
        <v>0</v>
      </c>
      <c r="CI305" s="239">
        <v>0</v>
      </c>
      <c r="CJ305" s="239">
        <v>0</v>
      </c>
      <c r="CK305" s="239">
        <v>0</v>
      </c>
      <c r="CL305" s="239">
        <v>0</v>
      </c>
      <c r="CM305" s="239">
        <v>1893.7991735537191</v>
      </c>
      <c r="CN305" s="239">
        <v>426.10481404958682</v>
      </c>
      <c r="CO305" s="239">
        <v>47.344979338842975</v>
      </c>
      <c r="CP305" s="239">
        <v>3617</v>
      </c>
      <c r="CQ305" s="239">
        <v>814</v>
      </c>
      <c r="CR305" s="239">
        <v>90</v>
      </c>
      <c r="CS305" s="239">
        <v>-1723</v>
      </c>
      <c r="CT305" s="239">
        <v>-388</v>
      </c>
      <c r="CU305" s="239">
        <v>-43</v>
      </c>
      <c r="CV305" s="239">
        <v>176666.17355371901</v>
      </c>
      <c r="CW305" s="239">
        <v>39181.405165289252</v>
      </c>
      <c r="CX305" s="239">
        <v>4353.4894628099173</v>
      </c>
      <c r="CY305" s="239">
        <v>180708</v>
      </c>
      <c r="CZ305" s="239">
        <v>40137</v>
      </c>
      <c r="DA305" s="239">
        <v>4460</v>
      </c>
      <c r="DB305" s="239">
        <v>-4042</v>
      </c>
      <c r="DC305" s="239">
        <v>-956</v>
      </c>
      <c r="DD305" s="239">
        <v>-107</v>
      </c>
      <c r="DE305" s="641">
        <v>0.5</v>
      </c>
      <c r="DF305" s="641">
        <v>0.4</v>
      </c>
      <c r="DG305" s="641">
        <v>0.09</v>
      </c>
      <c r="DH305" s="641">
        <v>0.01</v>
      </c>
      <c r="DI305" s="214" t="s">
        <v>1190</v>
      </c>
    </row>
    <row r="306" spans="2:113" s="214" customFormat="1" x14ac:dyDescent="0.2">
      <c r="B306" s="609" t="s">
        <v>694</v>
      </c>
      <c r="C306" s="609" t="s">
        <v>693</v>
      </c>
      <c r="D306" s="239">
        <v>676</v>
      </c>
      <c r="E306" s="239">
        <v>0</v>
      </c>
      <c r="F306" s="239">
        <v>676</v>
      </c>
      <c r="G306" s="239">
        <v>0</v>
      </c>
      <c r="H306" s="239">
        <v>0</v>
      </c>
      <c r="I306" s="239">
        <v>0</v>
      </c>
      <c r="J306" s="239">
        <v>676</v>
      </c>
      <c r="K306" s="239">
        <v>0</v>
      </c>
      <c r="L306" s="239">
        <v>676</v>
      </c>
      <c r="M306" s="239">
        <v>111171</v>
      </c>
      <c r="N306" s="239">
        <v>111171</v>
      </c>
      <c r="O306" s="239">
        <v>0</v>
      </c>
      <c r="P306" s="239">
        <v>0</v>
      </c>
      <c r="Q306" s="239">
        <v>0</v>
      </c>
      <c r="R306" s="239">
        <v>0</v>
      </c>
      <c r="S306" s="239">
        <v>33987</v>
      </c>
      <c r="T306" s="239">
        <v>0</v>
      </c>
      <c r="U306" s="239">
        <v>33987</v>
      </c>
      <c r="V306" s="239">
        <v>0</v>
      </c>
      <c r="W306" s="239">
        <v>0</v>
      </c>
      <c r="X306" s="239">
        <v>0</v>
      </c>
      <c r="Y306" s="239">
        <v>0</v>
      </c>
      <c r="Z306" s="239">
        <v>0</v>
      </c>
      <c r="AA306" s="239">
        <v>0</v>
      </c>
      <c r="AB306" s="239">
        <v>0</v>
      </c>
      <c r="AC306" s="239">
        <v>0</v>
      </c>
      <c r="AD306" s="239">
        <v>0</v>
      </c>
      <c r="AE306" s="239">
        <v>0</v>
      </c>
      <c r="AF306" s="239">
        <v>0</v>
      </c>
      <c r="AG306" s="239">
        <v>0</v>
      </c>
      <c r="AH306" s="239">
        <v>0</v>
      </c>
      <c r="AI306" s="239">
        <v>0</v>
      </c>
      <c r="AJ306" s="239">
        <v>0</v>
      </c>
      <c r="AK306" s="239">
        <v>434778.47107438016</v>
      </c>
      <c r="AL306" s="239">
        <v>108694.61776859504</v>
      </c>
      <c r="AM306" s="239">
        <v>0</v>
      </c>
      <c r="AN306" s="239">
        <v>406526</v>
      </c>
      <c r="AO306" s="239">
        <v>101631</v>
      </c>
      <c r="AP306" s="239">
        <v>0</v>
      </c>
      <c r="AQ306" s="239">
        <v>28252</v>
      </c>
      <c r="AR306" s="239">
        <v>7064</v>
      </c>
      <c r="AS306" s="239">
        <v>0</v>
      </c>
      <c r="AT306" s="239">
        <v>0</v>
      </c>
      <c r="AU306" s="239">
        <v>0</v>
      </c>
      <c r="AV306" s="239">
        <v>0</v>
      </c>
      <c r="AW306" s="239">
        <v>0</v>
      </c>
      <c r="AX306" s="239">
        <v>0</v>
      </c>
      <c r="AY306" s="239">
        <v>0</v>
      </c>
      <c r="AZ306" s="239">
        <v>0</v>
      </c>
      <c r="BA306" s="239">
        <v>0</v>
      </c>
      <c r="BB306" s="239">
        <v>0</v>
      </c>
      <c r="BC306" s="239">
        <v>7650.2669421487608</v>
      </c>
      <c r="BD306" s="239">
        <v>1912.5667355371902</v>
      </c>
      <c r="BE306" s="239">
        <v>0</v>
      </c>
      <c r="BF306" s="239">
        <v>0</v>
      </c>
      <c r="BG306" s="239">
        <v>0</v>
      </c>
      <c r="BH306" s="239">
        <v>0</v>
      </c>
      <c r="BI306" s="239">
        <v>7650</v>
      </c>
      <c r="BJ306" s="239">
        <v>1913</v>
      </c>
      <c r="BK306" s="239">
        <v>0</v>
      </c>
      <c r="BL306" s="239">
        <v>32808.944628099176</v>
      </c>
      <c r="BM306" s="239">
        <v>8202.236157024794</v>
      </c>
      <c r="BN306" s="239">
        <v>0</v>
      </c>
      <c r="BO306" s="239">
        <v>23174</v>
      </c>
      <c r="BP306" s="239">
        <v>5793</v>
      </c>
      <c r="BQ306" s="239">
        <v>0</v>
      </c>
      <c r="BR306" s="239">
        <v>9635</v>
      </c>
      <c r="BS306" s="239">
        <v>2409</v>
      </c>
      <c r="BT306" s="239">
        <v>0</v>
      </c>
      <c r="BU306" s="239">
        <v>4148.3413223140496</v>
      </c>
      <c r="BV306" s="239">
        <v>1037.0853305785124</v>
      </c>
      <c r="BW306" s="239">
        <v>0</v>
      </c>
      <c r="BX306" s="239">
        <v>0</v>
      </c>
      <c r="BY306" s="239">
        <v>0</v>
      </c>
      <c r="BZ306" s="239">
        <v>0</v>
      </c>
      <c r="CA306" s="239">
        <v>4148</v>
      </c>
      <c r="CB306" s="239">
        <v>1037</v>
      </c>
      <c r="CC306" s="239">
        <v>0</v>
      </c>
      <c r="CD306" s="239">
        <v>0</v>
      </c>
      <c r="CE306" s="239">
        <v>0</v>
      </c>
      <c r="CF306" s="239">
        <v>0</v>
      </c>
      <c r="CG306" s="239">
        <v>0</v>
      </c>
      <c r="CH306" s="239">
        <v>0</v>
      </c>
      <c r="CI306" s="239">
        <v>0</v>
      </c>
      <c r="CJ306" s="239">
        <v>0</v>
      </c>
      <c r="CK306" s="239">
        <v>0</v>
      </c>
      <c r="CL306" s="239">
        <v>0</v>
      </c>
      <c r="CM306" s="239">
        <v>0</v>
      </c>
      <c r="CN306" s="239">
        <v>0</v>
      </c>
      <c r="CO306" s="239">
        <v>0</v>
      </c>
      <c r="CP306" s="239">
        <v>0</v>
      </c>
      <c r="CQ306" s="239">
        <v>0</v>
      </c>
      <c r="CR306" s="239">
        <v>0</v>
      </c>
      <c r="CS306" s="239">
        <v>0</v>
      </c>
      <c r="CT306" s="239">
        <v>0</v>
      </c>
      <c r="CU306" s="239">
        <v>0</v>
      </c>
      <c r="CV306" s="239">
        <v>163401.73181818184</v>
      </c>
      <c r="CW306" s="239">
        <v>40727.546074380174</v>
      </c>
      <c r="CX306" s="239">
        <v>0</v>
      </c>
      <c r="CY306" s="239">
        <v>175541</v>
      </c>
      <c r="CZ306" s="239">
        <v>43762</v>
      </c>
      <c r="DA306" s="239">
        <v>0</v>
      </c>
      <c r="DB306" s="239">
        <v>-12139</v>
      </c>
      <c r="DC306" s="239">
        <v>-3034</v>
      </c>
      <c r="DD306" s="239">
        <v>0</v>
      </c>
      <c r="DE306" s="641">
        <v>0.5</v>
      </c>
      <c r="DF306" s="641">
        <v>0.4</v>
      </c>
      <c r="DG306" s="641">
        <v>0.1</v>
      </c>
      <c r="DH306" s="641">
        <v>0</v>
      </c>
      <c r="DI306" s="214" t="s">
        <v>1190</v>
      </c>
    </row>
    <row r="307" spans="2:113" s="214" customFormat="1" x14ac:dyDescent="0.2">
      <c r="B307" s="609" t="s">
        <v>696</v>
      </c>
      <c r="C307" s="609" t="s">
        <v>695</v>
      </c>
      <c r="D307" s="239">
        <v>-106646</v>
      </c>
      <c r="E307" s="239">
        <v>0</v>
      </c>
      <c r="F307" s="239">
        <v>-106646</v>
      </c>
      <c r="G307" s="239">
        <v>0</v>
      </c>
      <c r="H307" s="239">
        <v>0</v>
      </c>
      <c r="I307" s="239">
        <v>0</v>
      </c>
      <c r="J307" s="239">
        <v>-106646</v>
      </c>
      <c r="K307" s="239">
        <v>0</v>
      </c>
      <c r="L307" s="239">
        <v>-106646</v>
      </c>
      <c r="M307" s="239">
        <v>154290</v>
      </c>
      <c r="N307" s="239">
        <v>154290</v>
      </c>
      <c r="O307" s="239">
        <v>0</v>
      </c>
      <c r="P307" s="239">
        <v>0</v>
      </c>
      <c r="Q307" s="239">
        <v>0</v>
      </c>
      <c r="R307" s="239">
        <v>0</v>
      </c>
      <c r="S307" s="239">
        <v>0</v>
      </c>
      <c r="T307" s="239">
        <v>0</v>
      </c>
      <c r="U307" s="239">
        <v>0</v>
      </c>
      <c r="V307" s="239">
        <v>0</v>
      </c>
      <c r="W307" s="239">
        <v>0</v>
      </c>
      <c r="X307" s="239">
        <v>0</v>
      </c>
      <c r="Y307" s="239">
        <v>0</v>
      </c>
      <c r="Z307" s="239">
        <v>0</v>
      </c>
      <c r="AA307" s="239">
        <v>0</v>
      </c>
      <c r="AB307" s="239">
        <v>0</v>
      </c>
      <c r="AC307" s="239">
        <v>0</v>
      </c>
      <c r="AD307" s="239">
        <v>0</v>
      </c>
      <c r="AE307" s="239">
        <v>0</v>
      </c>
      <c r="AF307" s="239">
        <v>0</v>
      </c>
      <c r="AG307" s="239">
        <v>0</v>
      </c>
      <c r="AH307" s="239">
        <v>0</v>
      </c>
      <c r="AI307" s="239">
        <v>0</v>
      </c>
      <c r="AJ307" s="239">
        <v>0</v>
      </c>
      <c r="AK307" s="239">
        <v>293328.26942148758</v>
      </c>
      <c r="AL307" s="239">
        <v>73332.067355371895</v>
      </c>
      <c r="AM307" s="239">
        <v>0</v>
      </c>
      <c r="AN307" s="239">
        <v>270202</v>
      </c>
      <c r="AO307" s="239">
        <v>67550</v>
      </c>
      <c r="AP307" s="239">
        <v>0</v>
      </c>
      <c r="AQ307" s="239">
        <v>23126</v>
      </c>
      <c r="AR307" s="239">
        <v>5782</v>
      </c>
      <c r="AS307" s="239">
        <v>0</v>
      </c>
      <c r="AT307" s="239">
        <v>0</v>
      </c>
      <c r="AU307" s="239">
        <v>0</v>
      </c>
      <c r="AV307" s="239">
        <v>0</v>
      </c>
      <c r="AW307" s="239">
        <v>0</v>
      </c>
      <c r="AX307" s="239">
        <v>0</v>
      </c>
      <c r="AY307" s="239">
        <v>0</v>
      </c>
      <c r="AZ307" s="239">
        <v>0</v>
      </c>
      <c r="BA307" s="239">
        <v>0</v>
      </c>
      <c r="BB307" s="239">
        <v>0</v>
      </c>
      <c r="BC307" s="239">
        <v>0</v>
      </c>
      <c r="BD307" s="239">
        <v>0</v>
      </c>
      <c r="BE307" s="239">
        <v>0</v>
      </c>
      <c r="BF307" s="239">
        <v>0</v>
      </c>
      <c r="BG307" s="239">
        <v>0</v>
      </c>
      <c r="BH307" s="239">
        <v>0</v>
      </c>
      <c r="BI307" s="239">
        <v>0</v>
      </c>
      <c r="BJ307" s="239">
        <v>0</v>
      </c>
      <c r="BK307" s="239">
        <v>0</v>
      </c>
      <c r="BL307" s="239">
        <v>10860.43305785124</v>
      </c>
      <c r="BM307" s="239">
        <v>2715.10826446281</v>
      </c>
      <c r="BN307" s="239">
        <v>0</v>
      </c>
      <c r="BO307" s="239">
        <v>5319</v>
      </c>
      <c r="BP307" s="239">
        <v>1330</v>
      </c>
      <c r="BQ307" s="239">
        <v>0</v>
      </c>
      <c r="BR307" s="239">
        <v>5541</v>
      </c>
      <c r="BS307" s="239">
        <v>1385</v>
      </c>
      <c r="BT307" s="239">
        <v>0</v>
      </c>
      <c r="BU307" s="239">
        <v>4082.1983471074382</v>
      </c>
      <c r="BV307" s="239">
        <v>1020.5495867768595</v>
      </c>
      <c r="BW307" s="239">
        <v>0</v>
      </c>
      <c r="BX307" s="239">
        <v>0</v>
      </c>
      <c r="BY307" s="239">
        <v>0</v>
      </c>
      <c r="BZ307" s="239">
        <v>0</v>
      </c>
      <c r="CA307" s="239">
        <v>4082</v>
      </c>
      <c r="CB307" s="239">
        <v>1021</v>
      </c>
      <c r="CC307" s="239">
        <v>0</v>
      </c>
      <c r="CD307" s="239">
        <v>0</v>
      </c>
      <c r="CE307" s="239">
        <v>0</v>
      </c>
      <c r="CF307" s="239">
        <v>0</v>
      </c>
      <c r="CG307" s="239">
        <v>0</v>
      </c>
      <c r="CH307" s="239">
        <v>0</v>
      </c>
      <c r="CI307" s="239">
        <v>0</v>
      </c>
      <c r="CJ307" s="239">
        <v>0</v>
      </c>
      <c r="CK307" s="239">
        <v>0</v>
      </c>
      <c r="CL307" s="239">
        <v>0</v>
      </c>
      <c r="CM307" s="239">
        <v>304.74462809917355</v>
      </c>
      <c r="CN307" s="239">
        <v>76.186157024793388</v>
      </c>
      <c r="CO307" s="239">
        <v>0</v>
      </c>
      <c r="CP307" s="239">
        <v>1466</v>
      </c>
      <c r="CQ307" s="239">
        <v>366</v>
      </c>
      <c r="CR307" s="239">
        <v>0</v>
      </c>
      <c r="CS307" s="239">
        <v>-1161</v>
      </c>
      <c r="CT307" s="239">
        <v>-290</v>
      </c>
      <c r="CU307" s="239">
        <v>0</v>
      </c>
      <c r="CV307" s="239">
        <v>325293.49421487609</v>
      </c>
      <c r="CW307" s="239">
        <v>81323.373553719022</v>
      </c>
      <c r="CX307" s="239">
        <v>0</v>
      </c>
      <c r="CY307" s="239">
        <v>347854</v>
      </c>
      <c r="CZ307" s="239">
        <v>86964</v>
      </c>
      <c r="DA307" s="239">
        <v>0</v>
      </c>
      <c r="DB307" s="239">
        <v>-22561</v>
      </c>
      <c r="DC307" s="239">
        <v>-5641</v>
      </c>
      <c r="DD307" s="239">
        <v>0</v>
      </c>
      <c r="DE307" s="641">
        <v>0.5</v>
      </c>
      <c r="DF307" s="641">
        <v>0.4</v>
      </c>
      <c r="DG307" s="641">
        <v>0.1</v>
      </c>
      <c r="DH307" s="641">
        <v>0</v>
      </c>
      <c r="DI307" s="214" t="s">
        <v>1190</v>
      </c>
    </row>
    <row r="308" spans="2:113" s="214" customFormat="1" x14ac:dyDescent="0.2">
      <c r="B308" s="609" t="s">
        <v>698</v>
      </c>
      <c r="C308" s="609" t="s">
        <v>697</v>
      </c>
      <c r="D308" s="239">
        <v>-141864</v>
      </c>
      <c r="E308" s="239">
        <v>0</v>
      </c>
      <c r="F308" s="239">
        <v>-141864</v>
      </c>
      <c r="G308" s="239">
        <v>0</v>
      </c>
      <c r="H308" s="239">
        <v>0</v>
      </c>
      <c r="I308" s="239">
        <v>0</v>
      </c>
      <c r="J308" s="239">
        <v>-141864</v>
      </c>
      <c r="K308" s="239">
        <v>0</v>
      </c>
      <c r="L308" s="239">
        <v>-141864</v>
      </c>
      <c r="M308" s="239">
        <v>259093</v>
      </c>
      <c r="N308" s="239">
        <v>259093</v>
      </c>
      <c r="O308" s="239">
        <v>0</v>
      </c>
      <c r="P308" s="239">
        <v>0</v>
      </c>
      <c r="Q308" s="239">
        <v>0</v>
      </c>
      <c r="R308" s="239">
        <v>0</v>
      </c>
      <c r="S308" s="239">
        <v>0</v>
      </c>
      <c r="T308" s="239">
        <v>0</v>
      </c>
      <c r="U308" s="239">
        <v>0</v>
      </c>
      <c r="V308" s="239">
        <v>0</v>
      </c>
      <c r="W308" s="239">
        <v>0</v>
      </c>
      <c r="X308" s="239">
        <v>0</v>
      </c>
      <c r="Y308" s="239">
        <v>0</v>
      </c>
      <c r="Z308" s="239">
        <v>0</v>
      </c>
      <c r="AA308" s="239">
        <v>0</v>
      </c>
      <c r="AB308" s="239">
        <v>0</v>
      </c>
      <c r="AC308" s="239">
        <v>0</v>
      </c>
      <c r="AD308" s="239">
        <v>0</v>
      </c>
      <c r="AE308" s="239">
        <v>0</v>
      </c>
      <c r="AF308" s="239">
        <v>0</v>
      </c>
      <c r="AG308" s="239">
        <v>0</v>
      </c>
      <c r="AH308" s="239">
        <v>0</v>
      </c>
      <c r="AI308" s="239">
        <v>0</v>
      </c>
      <c r="AJ308" s="239">
        <v>0</v>
      </c>
      <c r="AK308" s="239">
        <v>644558.75366735528</v>
      </c>
      <c r="AL308" s="239">
        <v>0</v>
      </c>
      <c r="AM308" s="239">
        <v>13154.26027892562</v>
      </c>
      <c r="AN308" s="239">
        <v>589691</v>
      </c>
      <c r="AO308" s="239">
        <v>0</v>
      </c>
      <c r="AP308" s="239">
        <v>12035</v>
      </c>
      <c r="AQ308" s="239">
        <v>54868</v>
      </c>
      <c r="AR308" s="239">
        <v>0</v>
      </c>
      <c r="AS308" s="239">
        <v>1119</v>
      </c>
      <c r="AT308" s="239">
        <v>18361.391363636365</v>
      </c>
      <c r="AU308" s="239">
        <v>0</v>
      </c>
      <c r="AV308" s="239">
        <v>374.72227272727275</v>
      </c>
      <c r="AW308" s="239">
        <v>4010</v>
      </c>
      <c r="AX308" s="239">
        <v>0</v>
      </c>
      <c r="AY308" s="239">
        <v>82</v>
      </c>
      <c r="AZ308" s="239">
        <v>14351</v>
      </c>
      <c r="BA308" s="239">
        <v>0</v>
      </c>
      <c r="BB308" s="239">
        <v>293</v>
      </c>
      <c r="BC308" s="239">
        <v>808.26309917355377</v>
      </c>
      <c r="BD308" s="239">
        <v>0</v>
      </c>
      <c r="BE308" s="239">
        <v>16.4951652892562</v>
      </c>
      <c r="BF308" s="239">
        <v>0</v>
      </c>
      <c r="BG308" s="239">
        <v>0</v>
      </c>
      <c r="BH308" s="239">
        <v>0</v>
      </c>
      <c r="BI308" s="239">
        <v>808</v>
      </c>
      <c r="BJ308" s="239">
        <v>0</v>
      </c>
      <c r="BK308" s="239">
        <v>16</v>
      </c>
      <c r="BL308" s="239">
        <v>7838.5613842975208</v>
      </c>
      <c r="BM308" s="239">
        <v>0</v>
      </c>
      <c r="BN308" s="239">
        <v>159.97064049586777</v>
      </c>
      <c r="BO308" s="239">
        <v>0</v>
      </c>
      <c r="BP308" s="239">
        <v>0</v>
      </c>
      <c r="BQ308" s="239">
        <v>0</v>
      </c>
      <c r="BR308" s="239">
        <v>7839</v>
      </c>
      <c r="BS308" s="239">
        <v>0</v>
      </c>
      <c r="BT308" s="239">
        <v>160</v>
      </c>
      <c r="BU308" s="239">
        <v>10020.772334710744</v>
      </c>
      <c r="BV308" s="239">
        <v>0</v>
      </c>
      <c r="BW308" s="239">
        <v>204.5055578512397</v>
      </c>
      <c r="BX308" s="239">
        <v>0</v>
      </c>
      <c r="BY308" s="239">
        <v>0</v>
      </c>
      <c r="BZ308" s="239">
        <v>0</v>
      </c>
      <c r="CA308" s="239">
        <v>10021</v>
      </c>
      <c r="CB308" s="239">
        <v>0</v>
      </c>
      <c r="CC308" s="239">
        <v>205</v>
      </c>
      <c r="CD308" s="239">
        <v>0</v>
      </c>
      <c r="CE308" s="239">
        <v>0</v>
      </c>
      <c r="CF308" s="239">
        <v>0</v>
      </c>
      <c r="CG308" s="239">
        <v>0</v>
      </c>
      <c r="CH308" s="239">
        <v>0</v>
      </c>
      <c r="CI308" s="239">
        <v>0</v>
      </c>
      <c r="CJ308" s="239">
        <v>0</v>
      </c>
      <c r="CK308" s="239">
        <v>0</v>
      </c>
      <c r="CL308" s="239">
        <v>0</v>
      </c>
      <c r="CM308" s="239">
        <v>0</v>
      </c>
      <c r="CN308" s="239">
        <v>0</v>
      </c>
      <c r="CO308" s="239">
        <v>0</v>
      </c>
      <c r="CP308" s="239">
        <v>0</v>
      </c>
      <c r="CQ308" s="239">
        <v>0</v>
      </c>
      <c r="CR308" s="239">
        <v>0</v>
      </c>
      <c r="CS308" s="239">
        <v>0</v>
      </c>
      <c r="CT308" s="239">
        <v>0</v>
      </c>
      <c r="CU308" s="239">
        <v>0</v>
      </c>
      <c r="CV308" s="239">
        <v>614350.17014462803</v>
      </c>
      <c r="CW308" s="239">
        <v>0</v>
      </c>
      <c r="CX308" s="239">
        <v>12537.758574380166</v>
      </c>
      <c r="CY308" s="239">
        <v>619445</v>
      </c>
      <c r="CZ308" s="239">
        <v>0</v>
      </c>
      <c r="DA308" s="239">
        <v>12642</v>
      </c>
      <c r="DB308" s="239">
        <v>-5095</v>
      </c>
      <c r="DC308" s="239">
        <v>0</v>
      </c>
      <c r="DD308" s="239">
        <v>-104</v>
      </c>
      <c r="DE308" s="641">
        <v>0.5</v>
      </c>
      <c r="DF308" s="641">
        <v>0.49</v>
      </c>
      <c r="DG308" s="641">
        <v>0</v>
      </c>
      <c r="DH308" s="641">
        <v>0.01</v>
      </c>
      <c r="DI308" s="214" t="s">
        <v>747</v>
      </c>
    </row>
    <row r="309" spans="2:113" s="214" customFormat="1" x14ac:dyDescent="0.2">
      <c r="B309" s="609" t="s">
        <v>700</v>
      </c>
      <c r="C309" s="609" t="s">
        <v>699</v>
      </c>
      <c r="D309" s="239">
        <v>-142423</v>
      </c>
      <c r="E309" s="239">
        <v>0</v>
      </c>
      <c r="F309" s="239">
        <v>-142423</v>
      </c>
      <c r="G309" s="239">
        <v>0</v>
      </c>
      <c r="H309" s="239">
        <v>0</v>
      </c>
      <c r="I309" s="239">
        <v>0</v>
      </c>
      <c r="J309" s="239">
        <v>-142423</v>
      </c>
      <c r="K309" s="239">
        <v>0</v>
      </c>
      <c r="L309" s="239">
        <v>-142423</v>
      </c>
      <c r="M309" s="239">
        <v>85017</v>
      </c>
      <c r="N309" s="239">
        <v>85017</v>
      </c>
      <c r="O309" s="239">
        <v>0</v>
      </c>
      <c r="P309" s="239">
        <v>0</v>
      </c>
      <c r="Q309" s="239">
        <v>0</v>
      </c>
      <c r="R309" s="239">
        <v>0</v>
      </c>
      <c r="S309" s="239">
        <v>0</v>
      </c>
      <c r="T309" s="239">
        <v>0</v>
      </c>
      <c r="U309" s="239">
        <v>0</v>
      </c>
      <c r="V309" s="239">
        <v>0</v>
      </c>
      <c r="W309" s="239">
        <v>0</v>
      </c>
      <c r="X309" s="239">
        <v>0</v>
      </c>
      <c r="Y309" s="239">
        <v>0</v>
      </c>
      <c r="Z309" s="239">
        <v>0</v>
      </c>
      <c r="AA309" s="239">
        <v>0</v>
      </c>
      <c r="AB309" s="239">
        <v>0</v>
      </c>
      <c r="AC309" s="239">
        <v>0</v>
      </c>
      <c r="AD309" s="239">
        <v>0</v>
      </c>
      <c r="AE309" s="239">
        <v>0</v>
      </c>
      <c r="AF309" s="239">
        <v>0</v>
      </c>
      <c r="AG309" s="239">
        <v>0</v>
      </c>
      <c r="AH309" s="239">
        <v>0</v>
      </c>
      <c r="AI309" s="239">
        <v>0</v>
      </c>
      <c r="AJ309" s="239">
        <v>0</v>
      </c>
      <c r="AK309" s="239">
        <v>339941.82107438019</v>
      </c>
      <c r="AL309" s="239">
        <v>76486.909741735522</v>
      </c>
      <c r="AM309" s="239">
        <v>8498.5455268595033</v>
      </c>
      <c r="AN309" s="239">
        <v>344858</v>
      </c>
      <c r="AO309" s="239">
        <v>77593</v>
      </c>
      <c r="AP309" s="239">
        <v>8621</v>
      </c>
      <c r="AQ309" s="239">
        <v>-4916</v>
      </c>
      <c r="AR309" s="239">
        <v>-1106</v>
      </c>
      <c r="AS309" s="239">
        <v>-122</v>
      </c>
      <c r="AT309" s="239">
        <v>0</v>
      </c>
      <c r="AU309" s="239">
        <v>0</v>
      </c>
      <c r="AV309" s="239">
        <v>0</v>
      </c>
      <c r="AW309" s="239">
        <v>0</v>
      </c>
      <c r="AX309" s="239">
        <v>0</v>
      </c>
      <c r="AY309" s="239">
        <v>0</v>
      </c>
      <c r="AZ309" s="239">
        <v>0</v>
      </c>
      <c r="BA309" s="239">
        <v>0</v>
      </c>
      <c r="BB309" s="239">
        <v>0</v>
      </c>
      <c r="BC309" s="239">
        <v>239.00743801652894</v>
      </c>
      <c r="BD309" s="239">
        <v>53.776673553719007</v>
      </c>
      <c r="BE309" s="239">
        <v>5.9751859504132234</v>
      </c>
      <c r="BF309" s="239">
        <v>4058</v>
      </c>
      <c r="BG309" s="239">
        <v>913</v>
      </c>
      <c r="BH309" s="239">
        <v>101</v>
      </c>
      <c r="BI309" s="239">
        <v>-3819</v>
      </c>
      <c r="BJ309" s="239">
        <v>-859</v>
      </c>
      <c r="BK309" s="239">
        <v>-95</v>
      </c>
      <c r="BL309" s="239">
        <v>-90.490082644628103</v>
      </c>
      <c r="BM309" s="239">
        <v>-20.360268595041322</v>
      </c>
      <c r="BN309" s="239">
        <v>-2.2622520661157028</v>
      </c>
      <c r="BO309" s="239">
        <v>2028</v>
      </c>
      <c r="BP309" s="239">
        <v>457</v>
      </c>
      <c r="BQ309" s="239">
        <v>51</v>
      </c>
      <c r="BR309" s="239">
        <v>-2118</v>
      </c>
      <c r="BS309" s="239">
        <v>-477</v>
      </c>
      <c r="BT309" s="239">
        <v>-53</v>
      </c>
      <c r="BU309" s="239">
        <v>3447.9561983471076</v>
      </c>
      <c r="BV309" s="239">
        <v>775.79014462809914</v>
      </c>
      <c r="BW309" s="239">
        <v>86.198904958677687</v>
      </c>
      <c r="BX309" s="239">
        <v>0</v>
      </c>
      <c r="BY309" s="239">
        <v>0</v>
      </c>
      <c r="BZ309" s="239">
        <v>0</v>
      </c>
      <c r="CA309" s="239">
        <v>3448</v>
      </c>
      <c r="CB309" s="239">
        <v>776</v>
      </c>
      <c r="CC309" s="239">
        <v>86</v>
      </c>
      <c r="CD309" s="239">
        <v>0</v>
      </c>
      <c r="CE309" s="239">
        <v>0</v>
      </c>
      <c r="CF309" s="239">
        <v>0</v>
      </c>
      <c r="CG309" s="239">
        <v>0</v>
      </c>
      <c r="CH309" s="239">
        <v>0</v>
      </c>
      <c r="CI309" s="239">
        <v>0</v>
      </c>
      <c r="CJ309" s="239">
        <v>0</v>
      </c>
      <c r="CK309" s="239">
        <v>0</v>
      </c>
      <c r="CL309" s="239">
        <v>0</v>
      </c>
      <c r="CM309" s="239">
        <v>2736.2090909090912</v>
      </c>
      <c r="CN309" s="239">
        <v>615.64704545454538</v>
      </c>
      <c r="CO309" s="239">
        <v>68.405227272727274</v>
      </c>
      <c r="CP309" s="239">
        <v>6242</v>
      </c>
      <c r="CQ309" s="239">
        <v>1404</v>
      </c>
      <c r="CR309" s="239">
        <v>156</v>
      </c>
      <c r="CS309" s="239">
        <v>-3506</v>
      </c>
      <c r="CT309" s="239">
        <v>-788</v>
      </c>
      <c r="CU309" s="239">
        <v>-88</v>
      </c>
      <c r="CV309" s="239">
        <v>64773.672727272722</v>
      </c>
      <c r="CW309" s="239">
        <v>14574.076363636361</v>
      </c>
      <c r="CX309" s="239">
        <v>1619.3418181818181</v>
      </c>
      <c r="CY309" s="239">
        <v>61774</v>
      </c>
      <c r="CZ309" s="239">
        <v>13899</v>
      </c>
      <c r="DA309" s="239">
        <v>1544</v>
      </c>
      <c r="DB309" s="239">
        <v>3000</v>
      </c>
      <c r="DC309" s="239">
        <v>675</v>
      </c>
      <c r="DD309" s="239">
        <v>75</v>
      </c>
      <c r="DE309" s="641">
        <v>0.5</v>
      </c>
      <c r="DF309" s="641">
        <v>0.4</v>
      </c>
      <c r="DG309" s="641">
        <v>0.09</v>
      </c>
      <c r="DH309" s="641">
        <v>0.01</v>
      </c>
      <c r="DI309" s="214" t="s">
        <v>1190</v>
      </c>
    </row>
    <row r="310" spans="2:113" s="214" customFormat="1" x14ac:dyDescent="0.2">
      <c r="B310" s="609" t="s">
        <v>702</v>
      </c>
      <c r="C310" s="609" t="s">
        <v>701</v>
      </c>
      <c r="D310" s="239">
        <v>-41863</v>
      </c>
      <c r="E310" s="239">
        <v>0</v>
      </c>
      <c r="F310" s="239">
        <v>-41863</v>
      </c>
      <c r="G310" s="239">
        <v>0</v>
      </c>
      <c r="H310" s="239">
        <v>0</v>
      </c>
      <c r="I310" s="239">
        <v>0</v>
      </c>
      <c r="J310" s="239">
        <v>-41863</v>
      </c>
      <c r="K310" s="239">
        <v>0</v>
      </c>
      <c r="L310" s="239">
        <v>-41863</v>
      </c>
      <c r="M310" s="239">
        <v>209221</v>
      </c>
      <c r="N310" s="239">
        <v>209221</v>
      </c>
      <c r="O310" s="239">
        <v>0</v>
      </c>
      <c r="P310" s="239">
        <v>0</v>
      </c>
      <c r="Q310" s="239">
        <v>0</v>
      </c>
      <c r="R310" s="239">
        <v>0</v>
      </c>
      <c r="S310" s="239">
        <v>172579</v>
      </c>
      <c r="T310" s="239">
        <v>3960</v>
      </c>
      <c r="U310" s="239">
        <v>92069</v>
      </c>
      <c r="V310" s="239">
        <v>0</v>
      </c>
      <c r="W310" s="239">
        <v>80510</v>
      </c>
      <c r="X310" s="239">
        <v>3960</v>
      </c>
      <c r="Y310" s="239">
        <v>0</v>
      </c>
      <c r="Z310" s="239">
        <v>0</v>
      </c>
      <c r="AA310" s="239">
        <v>0</v>
      </c>
      <c r="AB310" s="239">
        <v>0</v>
      </c>
      <c r="AC310" s="239">
        <v>0</v>
      </c>
      <c r="AD310" s="239">
        <v>0</v>
      </c>
      <c r="AE310" s="239">
        <v>0</v>
      </c>
      <c r="AF310" s="239">
        <v>0</v>
      </c>
      <c r="AG310" s="239">
        <v>0</v>
      </c>
      <c r="AH310" s="239">
        <v>0</v>
      </c>
      <c r="AI310" s="239">
        <v>0</v>
      </c>
      <c r="AJ310" s="239">
        <v>0</v>
      </c>
      <c r="AK310" s="239">
        <v>865244.8665289256</v>
      </c>
      <c r="AL310" s="239">
        <v>194680.09496900826</v>
      </c>
      <c r="AM310" s="239">
        <v>21631.121663223141</v>
      </c>
      <c r="AN310" s="239">
        <v>800045</v>
      </c>
      <c r="AO310" s="239">
        <v>180010</v>
      </c>
      <c r="AP310" s="239">
        <v>20001</v>
      </c>
      <c r="AQ310" s="239">
        <v>65200</v>
      </c>
      <c r="AR310" s="239">
        <v>14670</v>
      </c>
      <c r="AS310" s="239">
        <v>1630</v>
      </c>
      <c r="AT310" s="239">
        <v>2685.4859504132232</v>
      </c>
      <c r="AU310" s="239">
        <v>604.23433884297515</v>
      </c>
      <c r="AV310" s="239">
        <v>67.137148760330575</v>
      </c>
      <c r="AW310" s="239">
        <v>1694</v>
      </c>
      <c r="AX310" s="239">
        <v>381</v>
      </c>
      <c r="AY310" s="239">
        <v>42</v>
      </c>
      <c r="AZ310" s="239">
        <v>991</v>
      </c>
      <c r="BA310" s="239">
        <v>223</v>
      </c>
      <c r="BB310" s="239">
        <v>25</v>
      </c>
      <c r="BC310" s="239">
        <v>27721.210743801654</v>
      </c>
      <c r="BD310" s="239">
        <v>6237.2724173553715</v>
      </c>
      <c r="BE310" s="239">
        <v>693.03026859504132</v>
      </c>
      <c r="BF310" s="239">
        <v>2419</v>
      </c>
      <c r="BG310" s="239">
        <v>545</v>
      </c>
      <c r="BH310" s="239">
        <v>61</v>
      </c>
      <c r="BI310" s="239">
        <v>25302</v>
      </c>
      <c r="BJ310" s="239">
        <v>5692</v>
      </c>
      <c r="BK310" s="239">
        <v>632</v>
      </c>
      <c r="BL310" s="239">
        <v>5274.3950413223138</v>
      </c>
      <c r="BM310" s="239">
        <v>1186.7388842975206</v>
      </c>
      <c r="BN310" s="239">
        <v>131.85987603305784</v>
      </c>
      <c r="BO310" s="239">
        <v>5226</v>
      </c>
      <c r="BP310" s="239">
        <v>1176</v>
      </c>
      <c r="BQ310" s="239">
        <v>131</v>
      </c>
      <c r="BR310" s="239">
        <v>48</v>
      </c>
      <c r="BS310" s="239">
        <v>11</v>
      </c>
      <c r="BT310" s="239">
        <v>1</v>
      </c>
      <c r="BU310" s="239">
        <v>-932.49421487603308</v>
      </c>
      <c r="BV310" s="239">
        <v>-209.81119834710742</v>
      </c>
      <c r="BW310" s="239">
        <v>-23.312355371900825</v>
      </c>
      <c r="BX310" s="239">
        <v>0</v>
      </c>
      <c r="BY310" s="239">
        <v>0</v>
      </c>
      <c r="BZ310" s="239">
        <v>0</v>
      </c>
      <c r="CA310" s="239">
        <v>-932</v>
      </c>
      <c r="CB310" s="239">
        <v>-210</v>
      </c>
      <c r="CC310" s="239">
        <v>-23</v>
      </c>
      <c r="CD310" s="239">
        <v>-235.76115702479339</v>
      </c>
      <c r="CE310" s="239">
        <v>-53.046260330578505</v>
      </c>
      <c r="CF310" s="239">
        <v>-5.8940289256198346</v>
      </c>
      <c r="CG310" s="239">
        <v>0</v>
      </c>
      <c r="CH310" s="239">
        <v>0</v>
      </c>
      <c r="CI310" s="239">
        <v>0</v>
      </c>
      <c r="CJ310" s="239">
        <v>-236</v>
      </c>
      <c r="CK310" s="239">
        <v>-53</v>
      </c>
      <c r="CL310" s="239">
        <v>-6</v>
      </c>
      <c r="CM310" s="239">
        <v>3832.6404958677685</v>
      </c>
      <c r="CN310" s="239">
        <v>862.34411157024783</v>
      </c>
      <c r="CO310" s="239">
        <v>95.816012396694205</v>
      </c>
      <c r="CP310" s="239">
        <v>3845</v>
      </c>
      <c r="CQ310" s="239">
        <v>865</v>
      </c>
      <c r="CR310" s="239">
        <v>96</v>
      </c>
      <c r="CS310" s="239">
        <v>-12</v>
      </c>
      <c r="CT310" s="239">
        <v>-3</v>
      </c>
      <c r="CU310" s="239">
        <v>0</v>
      </c>
      <c r="CV310" s="239">
        <v>165247.48719008264</v>
      </c>
      <c r="CW310" s="239">
        <v>36676.362458677686</v>
      </c>
      <c r="CX310" s="239">
        <v>4068.7877479338845</v>
      </c>
      <c r="CY310" s="239">
        <v>168124</v>
      </c>
      <c r="CZ310" s="239">
        <v>37528</v>
      </c>
      <c r="DA310" s="239">
        <v>4170</v>
      </c>
      <c r="DB310" s="239">
        <v>-2877</v>
      </c>
      <c r="DC310" s="239">
        <v>-852</v>
      </c>
      <c r="DD310" s="239">
        <v>-101</v>
      </c>
      <c r="DE310" s="641">
        <v>0.5</v>
      </c>
      <c r="DF310" s="641">
        <v>0.4</v>
      </c>
      <c r="DG310" s="641">
        <v>0.09</v>
      </c>
      <c r="DH310" s="641">
        <v>0.01</v>
      </c>
      <c r="DI310" s="214" t="s">
        <v>1190</v>
      </c>
    </row>
    <row r="311" spans="2:113" s="214" customFormat="1" x14ac:dyDescent="0.2">
      <c r="B311" s="609" t="s">
        <v>704</v>
      </c>
      <c r="C311" s="609" t="s">
        <v>703</v>
      </c>
      <c r="D311" s="239">
        <v>314808</v>
      </c>
      <c r="E311" s="239">
        <v>0</v>
      </c>
      <c r="F311" s="239">
        <v>314808</v>
      </c>
      <c r="G311" s="239">
        <v>0</v>
      </c>
      <c r="H311" s="239">
        <v>0</v>
      </c>
      <c r="I311" s="239">
        <v>0</v>
      </c>
      <c r="J311" s="239">
        <v>314808</v>
      </c>
      <c r="K311" s="239">
        <v>0</v>
      </c>
      <c r="L311" s="239">
        <v>314808</v>
      </c>
      <c r="M311" s="239">
        <v>132268</v>
      </c>
      <c r="N311" s="239">
        <v>132268</v>
      </c>
      <c r="O311" s="239">
        <v>0</v>
      </c>
      <c r="P311" s="239">
        <v>0</v>
      </c>
      <c r="Q311" s="239">
        <v>0</v>
      </c>
      <c r="R311" s="239">
        <v>0</v>
      </c>
      <c r="S311" s="239">
        <v>0</v>
      </c>
      <c r="T311" s="239">
        <v>0</v>
      </c>
      <c r="U311" s="239">
        <v>0</v>
      </c>
      <c r="V311" s="239">
        <v>0</v>
      </c>
      <c r="W311" s="239">
        <v>0</v>
      </c>
      <c r="X311" s="239">
        <v>0</v>
      </c>
      <c r="Y311" s="239">
        <v>0</v>
      </c>
      <c r="Z311" s="239">
        <v>0</v>
      </c>
      <c r="AA311" s="239">
        <v>0</v>
      </c>
      <c r="AB311" s="239">
        <v>0</v>
      </c>
      <c r="AC311" s="239">
        <v>0</v>
      </c>
      <c r="AD311" s="239">
        <v>0</v>
      </c>
      <c r="AE311" s="239">
        <v>0</v>
      </c>
      <c r="AF311" s="239">
        <v>0</v>
      </c>
      <c r="AG311" s="239">
        <v>0</v>
      </c>
      <c r="AH311" s="239">
        <v>0</v>
      </c>
      <c r="AI311" s="239">
        <v>0</v>
      </c>
      <c r="AJ311" s="239">
        <v>0</v>
      </c>
      <c r="AK311" s="239">
        <v>468924.88347107446</v>
      </c>
      <c r="AL311" s="239">
        <v>105508.09878099174</v>
      </c>
      <c r="AM311" s="239">
        <v>11723.122086776861</v>
      </c>
      <c r="AN311" s="239">
        <v>437965</v>
      </c>
      <c r="AO311" s="239">
        <v>98542</v>
      </c>
      <c r="AP311" s="239">
        <v>10949</v>
      </c>
      <c r="AQ311" s="239">
        <v>30960</v>
      </c>
      <c r="AR311" s="239">
        <v>6966</v>
      </c>
      <c r="AS311" s="239">
        <v>774</v>
      </c>
      <c r="AT311" s="239">
        <v>2114.5462809917358</v>
      </c>
      <c r="AU311" s="239">
        <v>475.77291322314056</v>
      </c>
      <c r="AV311" s="239">
        <v>52.86365702479339</v>
      </c>
      <c r="AW311" s="239">
        <v>3051</v>
      </c>
      <c r="AX311" s="239">
        <v>686</v>
      </c>
      <c r="AY311" s="239">
        <v>76</v>
      </c>
      <c r="AZ311" s="239">
        <v>-936</v>
      </c>
      <c r="BA311" s="239">
        <v>-210</v>
      </c>
      <c r="BB311" s="239">
        <v>-23</v>
      </c>
      <c r="BC311" s="239">
        <v>0</v>
      </c>
      <c r="BD311" s="239">
        <v>0</v>
      </c>
      <c r="BE311" s="239">
        <v>0</v>
      </c>
      <c r="BF311" s="239">
        <v>0</v>
      </c>
      <c r="BG311" s="239">
        <v>0</v>
      </c>
      <c r="BH311" s="239">
        <v>0</v>
      </c>
      <c r="BI311" s="239">
        <v>0</v>
      </c>
      <c r="BJ311" s="239">
        <v>0</v>
      </c>
      <c r="BK311" s="239">
        <v>0</v>
      </c>
      <c r="BL311" s="239">
        <v>2968.318181818182</v>
      </c>
      <c r="BM311" s="239">
        <v>667.87159090909097</v>
      </c>
      <c r="BN311" s="239">
        <v>74.207954545454555</v>
      </c>
      <c r="BO311" s="239">
        <v>2028</v>
      </c>
      <c r="BP311" s="239">
        <v>457</v>
      </c>
      <c r="BQ311" s="239">
        <v>51</v>
      </c>
      <c r="BR311" s="239">
        <v>940</v>
      </c>
      <c r="BS311" s="239">
        <v>211</v>
      </c>
      <c r="BT311" s="239">
        <v>23</v>
      </c>
      <c r="BU311" s="239">
        <v>0</v>
      </c>
      <c r="BV311" s="239">
        <v>0</v>
      </c>
      <c r="BW311" s="239">
        <v>0</v>
      </c>
      <c r="BX311" s="239">
        <v>0</v>
      </c>
      <c r="BY311" s="239">
        <v>0</v>
      </c>
      <c r="BZ311" s="239">
        <v>0</v>
      </c>
      <c r="CA311" s="239">
        <v>0</v>
      </c>
      <c r="CB311" s="239">
        <v>0</v>
      </c>
      <c r="CC311" s="239">
        <v>0</v>
      </c>
      <c r="CD311" s="239">
        <v>0</v>
      </c>
      <c r="CE311" s="239">
        <v>0</v>
      </c>
      <c r="CF311" s="239">
        <v>0</v>
      </c>
      <c r="CG311" s="239">
        <v>0</v>
      </c>
      <c r="CH311" s="239">
        <v>0</v>
      </c>
      <c r="CI311" s="239">
        <v>0</v>
      </c>
      <c r="CJ311" s="239">
        <v>0</v>
      </c>
      <c r="CK311" s="239">
        <v>0</v>
      </c>
      <c r="CL311" s="239">
        <v>0</v>
      </c>
      <c r="CM311" s="239">
        <v>5317.0024793388438</v>
      </c>
      <c r="CN311" s="239">
        <v>1196.3255578512396</v>
      </c>
      <c r="CO311" s="239">
        <v>132.92506198347107</v>
      </c>
      <c r="CP311" s="239">
        <v>3497</v>
      </c>
      <c r="CQ311" s="239">
        <v>787</v>
      </c>
      <c r="CR311" s="239">
        <v>87</v>
      </c>
      <c r="CS311" s="239">
        <v>1820</v>
      </c>
      <c r="CT311" s="239">
        <v>409</v>
      </c>
      <c r="CU311" s="239">
        <v>46</v>
      </c>
      <c r="CV311" s="239">
        <v>190325.4702479339</v>
      </c>
      <c r="CW311" s="239">
        <v>42823.230805785119</v>
      </c>
      <c r="CX311" s="239">
        <v>4758.136756198347</v>
      </c>
      <c r="CY311" s="239">
        <v>186865</v>
      </c>
      <c r="CZ311" s="239">
        <v>42045</v>
      </c>
      <c r="DA311" s="239">
        <v>4672</v>
      </c>
      <c r="DB311" s="239">
        <v>3460</v>
      </c>
      <c r="DC311" s="239">
        <v>778</v>
      </c>
      <c r="DD311" s="239">
        <v>86</v>
      </c>
      <c r="DE311" s="641">
        <v>0.5</v>
      </c>
      <c r="DF311" s="641">
        <v>0.4</v>
      </c>
      <c r="DG311" s="641">
        <v>0.09</v>
      </c>
      <c r="DH311" s="641">
        <v>0.01</v>
      </c>
      <c r="DI311" s="214" t="s">
        <v>1190</v>
      </c>
    </row>
    <row r="312" spans="2:113" s="214" customFormat="1" x14ac:dyDescent="0.2">
      <c r="B312" s="609" t="s">
        <v>706</v>
      </c>
      <c r="C312" s="609" t="s">
        <v>705</v>
      </c>
      <c r="D312" s="239">
        <v>-324749</v>
      </c>
      <c r="E312" s="239">
        <v>0</v>
      </c>
      <c r="F312" s="239">
        <v>-324749</v>
      </c>
      <c r="G312" s="239">
        <v>0</v>
      </c>
      <c r="H312" s="239">
        <v>0</v>
      </c>
      <c r="I312" s="239">
        <v>0</v>
      </c>
      <c r="J312" s="239">
        <v>-324749</v>
      </c>
      <c r="K312" s="239">
        <v>0</v>
      </c>
      <c r="L312" s="239">
        <v>-324749</v>
      </c>
      <c r="M312" s="239">
        <v>106298</v>
      </c>
      <c r="N312" s="239">
        <v>106298</v>
      </c>
      <c r="O312" s="239">
        <v>0</v>
      </c>
      <c r="P312" s="239">
        <v>0</v>
      </c>
      <c r="Q312" s="239">
        <v>0</v>
      </c>
      <c r="R312" s="239">
        <v>0</v>
      </c>
      <c r="S312" s="239">
        <v>25326</v>
      </c>
      <c r="T312" s="239">
        <v>0</v>
      </c>
      <c r="U312" s="239">
        <v>20244</v>
      </c>
      <c r="V312" s="239">
        <v>0</v>
      </c>
      <c r="W312" s="239">
        <v>5082</v>
      </c>
      <c r="X312" s="239">
        <v>0</v>
      </c>
      <c r="Y312" s="239">
        <v>0</v>
      </c>
      <c r="Z312" s="239">
        <v>0</v>
      </c>
      <c r="AA312" s="239">
        <v>0</v>
      </c>
      <c r="AB312" s="239">
        <v>0</v>
      </c>
      <c r="AC312" s="239">
        <v>0</v>
      </c>
      <c r="AD312" s="239">
        <v>0</v>
      </c>
      <c r="AE312" s="239">
        <v>0</v>
      </c>
      <c r="AF312" s="239">
        <v>0</v>
      </c>
      <c r="AG312" s="239">
        <v>0</v>
      </c>
      <c r="AH312" s="239">
        <v>0</v>
      </c>
      <c r="AI312" s="239">
        <v>0</v>
      </c>
      <c r="AJ312" s="239">
        <v>0</v>
      </c>
      <c r="AK312" s="239">
        <v>396010.3690082645</v>
      </c>
      <c r="AL312" s="239">
        <v>99002.592252066126</v>
      </c>
      <c r="AM312" s="239">
        <v>0</v>
      </c>
      <c r="AN312" s="239">
        <v>365135</v>
      </c>
      <c r="AO312" s="239">
        <v>91284</v>
      </c>
      <c r="AP312" s="239">
        <v>0</v>
      </c>
      <c r="AQ312" s="239">
        <v>30875</v>
      </c>
      <c r="AR312" s="239">
        <v>7719</v>
      </c>
      <c r="AS312" s="239">
        <v>0</v>
      </c>
      <c r="AT312" s="239">
        <v>2953.7099173553725</v>
      </c>
      <c r="AU312" s="239">
        <v>738.42747933884311</v>
      </c>
      <c r="AV312" s="239">
        <v>0</v>
      </c>
      <c r="AW312" s="239">
        <v>0</v>
      </c>
      <c r="AX312" s="239">
        <v>0</v>
      </c>
      <c r="AY312" s="239">
        <v>0</v>
      </c>
      <c r="AZ312" s="239">
        <v>2954</v>
      </c>
      <c r="BA312" s="239">
        <v>738</v>
      </c>
      <c r="BB312" s="239">
        <v>0</v>
      </c>
      <c r="BC312" s="239">
        <v>4081.7925619834714</v>
      </c>
      <c r="BD312" s="239">
        <v>1020.4481404958678</v>
      </c>
      <c r="BE312" s="239">
        <v>0</v>
      </c>
      <c r="BF312" s="239">
        <v>24654</v>
      </c>
      <c r="BG312" s="239">
        <v>6164</v>
      </c>
      <c r="BH312" s="239">
        <v>0</v>
      </c>
      <c r="BI312" s="239">
        <v>-20572</v>
      </c>
      <c r="BJ312" s="239">
        <v>-5144</v>
      </c>
      <c r="BK312" s="239">
        <v>0</v>
      </c>
      <c r="BL312" s="239">
        <v>1661.2842975206613</v>
      </c>
      <c r="BM312" s="239">
        <v>415.32107438016533</v>
      </c>
      <c r="BN312" s="239">
        <v>0</v>
      </c>
      <c r="BO312" s="239">
        <v>3782</v>
      </c>
      <c r="BP312" s="239">
        <v>945</v>
      </c>
      <c r="BQ312" s="239">
        <v>0</v>
      </c>
      <c r="BR312" s="239">
        <v>-2121</v>
      </c>
      <c r="BS312" s="239">
        <v>-530</v>
      </c>
      <c r="BT312" s="239">
        <v>0</v>
      </c>
      <c r="BU312" s="239">
        <v>1362.6264462809918</v>
      </c>
      <c r="BV312" s="239">
        <v>340.65661157024795</v>
      </c>
      <c r="BW312" s="239">
        <v>0</v>
      </c>
      <c r="BX312" s="239">
        <v>0</v>
      </c>
      <c r="BY312" s="239">
        <v>0</v>
      </c>
      <c r="BZ312" s="239">
        <v>0</v>
      </c>
      <c r="CA312" s="239">
        <v>1363</v>
      </c>
      <c r="CB312" s="239">
        <v>341</v>
      </c>
      <c r="CC312" s="239">
        <v>0</v>
      </c>
      <c r="CD312" s="239">
        <v>0</v>
      </c>
      <c r="CE312" s="239">
        <v>0</v>
      </c>
      <c r="CF312" s="239">
        <v>0</v>
      </c>
      <c r="CG312" s="239">
        <v>0</v>
      </c>
      <c r="CH312" s="239">
        <v>0</v>
      </c>
      <c r="CI312" s="239">
        <v>0</v>
      </c>
      <c r="CJ312" s="239">
        <v>0</v>
      </c>
      <c r="CK312" s="239">
        <v>0</v>
      </c>
      <c r="CL312" s="239">
        <v>0</v>
      </c>
      <c r="CM312" s="239">
        <v>0</v>
      </c>
      <c r="CN312" s="239">
        <v>0</v>
      </c>
      <c r="CO312" s="239">
        <v>0</v>
      </c>
      <c r="CP312" s="239">
        <v>0</v>
      </c>
      <c r="CQ312" s="239">
        <v>0</v>
      </c>
      <c r="CR312" s="239">
        <v>0</v>
      </c>
      <c r="CS312" s="239">
        <v>0</v>
      </c>
      <c r="CT312" s="239">
        <v>0</v>
      </c>
      <c r="CU312" s="239">
        <v>0</v>
      </c>
      <c r="CV312" s="239">
        <v>90287.764462809922</v>
      </c>
      <c r="CW312" s="239">
        <v>22480.369834710742</v>
      </c>
      <c r="CX312" s="239">
        <v>0</v>
      </c>
      <c r="CY312" s="239">
        <v>96513</v>
      </c>
      <c r="CZ312" s="239">
        <v>24055</v>
      </c>
      <c r="DA312" s="239">
        <v>0</v>
      </c>
      <c r="DB312" s="239">
        <v>-6225</v>
      </c>
      <c r="DC312" s="239">
        <v>-1575</v>
      </c>
      <c r="DD312" s="239">
        <v>0</v>
      </c>
      <c r="DE312" s="641">
        <v>0.5</v>
      </c>
      <c r="DF312" s="641">
        <v>0.4</v>
      </c>
      <c r="DG312" s="641">
        <v>0.1</v>
      </c>
      <c r="DH312" s="641">
        <v>0</v>
      </c>
      <c r="DI312" s="214" t="s">
        <v>1190</v>
      </c>
    </row>
    <row r="313" spans="2:113" s="214" customFormat="1" x14ac:dyDescent="0.2">
      <c r="B313" s="609" t="s">
        <v>708</v>
      </c>
      <c r="C313" s="609" t="s">
        <v>707</v>
      </c>
      <c r="D313" s="239">
        <v>21973</v>
      </c>
      <c r="E313" s="239">
        <v>0</v>
      </c>
      <c r="F313" s="239">
        <v>21973</v>
      </c>
      <c r="G313" s="239">
        <v>0</v>
      </c>
      <c r="H313" s="239">
        <v>0</v>
      </c>
      <c r="I313" s="239">
        <v>0</v>
      </c>
      <c r="J313" s="239">
        <v>21973</v>
      </c>
      <c r="K313" s="239">
        <v>0</v>
      </c>
      <c r="L313" s="239">
        <v>21973</v>
      </c>
      <c r="M313" s="239">
        <v>164154</v>
      </c>
      <c r="N313" s="239">
        <v>164154</v>
      </c>
      <c r="O313" s="239">
        <v>0</v>
      </c>
      <c r="P313" s="239">
        <v>0</v>
      </c>
      <c r="Q313" s="239">
        <v>0</v>
      </c>
      <c r="R313" s="239">
        <v>0</v>
      </c>
      <c r="S313" s="239">
        <v>260832</v>
      </c>
      <c r="T313" s="239">
        <v>0</v>
      </c>
      <c r="U313" s="239">
        <v>251358</v>
      </c>
      <c r="V313" s="239">
        <v>0</v>
      </c>
      <c r="W313" s="239">
        <v>9474</v>
      </c>
      <c r="X313" s="239">
        <v>0</v>
      </c>
      <c r="Y313" s="239">
        <v>0</v>
      </c>
      <c r="Z313" s="239">
        <v>0</v>
      </c>
      <c r="AA313" s="239">
        <v>0</v>
      </c>
      <c r="AB313" s="239">
        <v>0</v>
      </c>
      <c r="AC313" s="239">
        <v>0</v>
      </c>
      <c r="AD313" s="239">
        <v>0</v>
      </c>
      <c r="AE313" s="239">
        <v>0</v>
      </c>
      <c r="AF313" s="239">
        <v>0</v>
      </c>
      <c r="AG313" s="239">
        <v>0</v>
      </c>
      <c r="AH313" s="239">
        <v>0</v>
      </c>
      <c r="AI313" s="239">
        <v>0</v>
      </c>
      <c r="AJ313" s="239">
        <v>0</v>
      </c>
      <c r="AK313" s="239">
        <v>483998.17768595048</v>
      </c>
      <c r="AL313" s="239">
        <v>120999.54442148762</v>
      </c>
      <c r="AM313" s="239">
        <v>0</v>
      </c>
      <c r="AN313" s="239">
        <v>514792</v>
      </c>
      <c r="AO313" s="239">
        <v>128698</v>
      </c>
      <c r="AP313" s="239">
        <v>0</v>
      </c>
      <c r="AQ313" s="239">
        <v>-30794</v>
      </c>
      <c r="AR313" s="239">
        <v>-7698</v>
      </c>
      <c r="AS313" s="239">
        <v>0</v>
      </c>
      <c r="AT313" s="239">
        <v>5934.2016528925624</v>
      </c>
      <c r="AU313" s="239">
        <v>1483.5504132231406</v>
      </c>
      <c r="AV313" s="239">
        <v>0</v>
      </c>
      <c r="AW313" s="239">
        <v>3424</v>
      </c>
      <c r="AX313" s="239">
        <v>856</v>
      </c>
      <c r="AY313" s="239">
        <v>0</v>
      </c>
      <c r="AZ313" s="239">
        <v>2510</v>
      </c>
      <c r="BA313" s="239">
        <v>628</v>
      </c>
      <c r="BB313" s="239">
        <v>0</v>
      </c>
      <c r="BC313" s="239">
        <v>0</v>
      </c>
      <c r="BD313" s="239">
        <v>0</v>
      </c>
      <c r="BE313" s="239">
        <v>0</v>
      </c>
      <c r="BF313" s="239">
        <v>0</v>
      </c>
      <c r="BG313" s="239">
        <v>0</v>
      </c>
      <c r="BH313" s="239">
        <v>0</v>
      </c>
      <c r="BI313" s="239">
        <v>0</v>
      </c>
      <c r="BJ313" s="239">
        <v>0</v>
      </c>
      <c r="BK313" s="239">
        <v>0</v>
      </c>
      <c r="BL313" s="239">
        <v>1399.5528925619835</v>
      </c>
      <c r="BM313" s="239">
        <v>349.88822314049588</v>
      </c>
      <c r="BN313" s="239">
        <v>0</v>
      </c>
      <c r="BO313" s="239">
        <v>1428</v>
      </c>
      <c r="BP313" s="239">
        <v>357</v>
      </c>
      <c r="BQ313" s="239">
        <v>0</v>
      </c>
      <c r="BR313" s="239">
        <v>-28</v>
      </c>
      <c r="BS313" s="239">
        <v>-7</v>
      </c>
      <c r="BT313" s="239">
        <v>0</v>
      </c>
      <c r="BU313" s="239">
        <v>2242.3685950413224</v>
      </c>
      <c r="BV313" s="239">
        <v>560.59214876033059</v>
      </c>
      <c r="BW313" s="239">
        <v>0</v>
      </c>
      <c r="BX313" s="239">
        <v>0</v>
      </c>
      <c r="BY313" s="239">
        <v>0</v>
      </c>
      <c r="BZ313" s="239">
        <v>0</v>
      </c>
      <c r="CA313" s="239">
        <v>2242</v>
      </c>
      <c r="CB313" s="239">
        <v>561</v>
      </c>
      <c r="CC313" s="239">
        <v>0</v>
      </c>
      <c r="CD313" s="239">
        <v>0</v>
      </c>
      <c r="CE313" s="239">
        <v>0</v>
      </c>
      <c r="CF313" s="239">
        <v>0</v>
      </c>
      <c r="CG313" s="239">
        <v>0</v>
      </c>
      <c r="CH313" s="239">
        <v>0</v>
      </c>
      <c r="CI313" s="239">
        <v>0</v>
      </c>
      <c r="CJ313" s="239">
        <v>0</v>
      </c>
      <c r="CK313" s="239">
        <v>0</v>
      </c>
      <c r="CL313" s="239">
        <v>0</v>
      </c>
      <c r="CM313" s="239">
        <v>2314.5983471074383</v>
      </c>
      <c r="CN313" s="239">
        <v>578.64958677685956</v>
      </c>
      <c r="CO313" s="239">
        <v>0</v>
      </c>
      <c r="CP313" s="239">
        <v>2314</v>
      </c>
      <c r="CQ313" s="239">
        <v>579</v>
      </c>
      <c r="CR313" s="239">
        <v>0</v>
      </c>
      <c r="CS313" s="239">
        <v>1</v>
      </c>
      <c r="CT313" s="239">
        <v>0</v>
      </c>
      <c r="CU313" s="239">
        <v>0</v>
      </c>
      <c r="CV313" s="239">
        <v>202823.74462809917</v>
      </c>
      <c r="CW313" s="239">
        <v>49762.845247933888</v>
      </c>
      <c r="CX313" s="239">
        <v>0</v>
      </c>
      <c r="CY313" s="239">
        <v>197779</v>
      </c>
      <c r="CZ313" s="239">
        <v>48536</v>
      </c>
      <c r="DA313" s="239">
        <v>0</v>
      </c>
      <c r="DB313" s="239">
        <v>5045</v>
      </c>
      <c r="DC313" s="239">
        <v>1227</v>
      </c>
      <c r="DD313" s="239">
        <v>0</v>
      </c>
      <c r="DE313" s="641">
        <v>0.5</v>
      </c>
      <c r="DF313" s="641">
        <v>0.4</v>
      </c>
      <c r="DG313" s="641">
        <v>0.1</v>
      </c>
      <c r="DH313" s="641">
        <v>0</v>
      </c>
      <c r="DI313" s="214" t="s">
        <v>1190</v>
      </c>
    </row>
    <row r="314" spans="2:113" s="214" customFormat="1" x14ac:dyDescent="0.2">
      <c r="B314" s="609" t="s">
        <v>710</v>
      </c>
      <c r="C314" s="609" t="s">
        <v>709</v>
      </c>
      <c r="D314" s="239">
        <v>-170361</v>
      </c>
      <c r="E314" s="239">
        <v>0</v>
      </c>
      <c r="F314" s="239">
        <v>-170361</v>
      </c>
      <c r="G314" s="239">
        <v>0</v>
      </c>
      <c r="H314" s="239">
        <v>0</v>
      </c>
      <c r="I314" s="239">
        <v>0</v>
      </c>
      <c r="J314" s="239">
        <v>-170361</v>
      </c>
      <c r="K314" s="239">
        <v>0</v>
      </c>
      <c r="L314" s="239">
        <v>-170361</v>
      </c>
      <c r="M314" s="239">
        <v>73383</v>
      </c>
      <c r="N314" s="239">
        <v>73383</v>
      </c>
      <c r="O314" s="239">
        <v>0</v>
      </c>
      <c r="P314" s="239">
        <v>0</v>
      </c>
      <c r="Q314" s="239">
        <v>0</v>
      </c>
      <c r="R314" s="239">
        <v>0</v>
      </c>
      <c r="S314" s="239">
        <v>29394</v>
      </c>
      <c r="T314" s="239">
        <v>0</v>
      </c>
      <c r="U314" s="239">
        <v>50000</v>
      </c>
      <c r="V314" s="239">
        <v>0</v>
      </c>
      <c r="W314" s="239">
        <v>-20606</v>
      </c>
      <c r="X314" s="239">
        <v>0</v>
      </c>
      <c r="Y314" s="239">
        <v>0</v>
      </c>
      <c r="Z314" s="239">
        <v>0</v>
      </c>
      <c r="AA314" s="239">
        <v>0</v>
      </c>
      <c r="AB314" s="239">
        <v>0</v>
      </c>
      <c r="AC314" s="239">
        <v>0</v>
      </c>
      <c r="AD314" s="239">
        <v>0</v>
      </c>
      <c r="AE314" s="239">
        <v>0</v>
      </c>
      <c r="AF314" s="239">
        <v>0</v>
      </c>
      <c r="AG314" s="239">
        <v>0</v>
      </c>
      <c r="AH314" s="239">
        <v>0</v>
      </c>
      <c r="AI314" s="239">
        <v>0</v>
      </c>
      <c r="AJ314" s="239">
        <v>0</v>
      </c>
      <c r="AK314" s="239">
        <v>307185.83140495862</v>
      </c>
      <c r="AL314" s="239">
        <v>69116.812066115701</v>
      </c>
      <c r="AM314" s="239">
        <v>7679.6457851239666</v>
      </c>
      <c r="AN314" s="239">
        <v>287397</v>
      </c>
      <c r="AO314" s="239">
        <v>64664</v>
      </c>
      <c r="AP314" s="239">
        <v>7185</v>
      </c>
      <c r="AQ314" s="239">
        <v>19789</v>
      </c>
      <c r="AR314" s="239">
        <v>4453</v>
      </c>
      <c r="AS314" s="239">
        <v>495</v>
      </c>
      <c r="AT314" s="239">
        <v>0</v>
      </c>
      <c r="AU314" s="239">
        <v>0</v>
      </c>
      <c r="AV314" s="239">
        <v>0</v>
      </c>
      <c r="AW314" s="239">
        <v>811</v>
      </c>
      <c r="AX314" s="239">
        <v>183</v>
      </c>
      <c r="AY314" s="239">
        <v>20</v>
      </c>
      <c r="AZ314" s="239">
        <v>-811</v>
      </c>
      <c r="BA314" s="239">
        <v>-183</v>
      </c>
      <c r="BB314" s="239">
        <v>-20</v>
      </c>
      <c r="BC314" s="239">
        <v>861.0760330578513</v>
      </c>
      <c r="BD314" s="239">
        <v>193.74210743801652</v>
      </c>
      <c r="BE314" s="239">
        <v>21.52690082644628</v>
      </c>
      <c r="BF314" s="239">
        <v>7602</v>
      </c>
      <c r="BG314" s="239">
        <v>1710</v>
      </c>
      <c r="BH314" s="239">
        <v>190</v>
      </c>
      <c r="BI314" s="239">
        <v>-6741</v>
      </c>
      <c r="BJ314" s="239">
        <v>-1516</v>
      </c>
      <c r="BK314" s="239">
        <v>-168</v>
      </c>
      <c r="BL314" s="239">
        <v>0</v>
      </c>
      <c r="BM314" s="239">
        <v>0</v>
      </c>
      <c r="BN314" s="239">
        <v>0</v>
      </c>
      <c r="BO314" s="239">
        <v>0</v>
      </c>
      <c r="BP314" s="239">
        <v>0</v>
      </c>
      <c r="BQ314" s="239">
        <v>0</v>
      </c>
      <c r="BR314" s="239">
        <v>0</v>
      </c>
      <c r="BS314" s="239">
        <v>0</v>
      </c>
      <c r="BT314" s="239">
        <v>0</v>
      </c>
      <c r="BU314" s="239">
        <v>1592.300826446281</v>
      </c>
      <c r="BV314" s="239">
        <v>358.26768595041318</v>
      </c>
      <c r="BW314" s="239">
        <v>39.807520661157021</v>
      </c>
      <c r="BX314" s="239">
        <v>0</v>
      </c>
      <c r="BY314" s="239">
        <v>0</v>
      </c>
      <c r="BZ314" s="239">
        <v>0</v>
      </c>
      <c r="CA314" s="239">
        <v>1592</v>
      </c>
      <c r="CB314" s="239">
        <v>358</v>
      </c>
      <c r="CC314" s="239">
        <v>40</v>
      </c>
      <c r="CD314" s="239">
        <v>0</v>
      </c>
      <c r="CE314" s="239">
        <v>0</v>
      </c>
      <c r="CF314" s="239">
        <v>0</v>
      </c>
      <c r="CG314" s="239">
        <v>0</v>
      </c>
      <c r="CH314" s="239">
        <v>0</v>
      </c>
      <c r="CI314" s="239">
        <v>0</v>
      </c>
      <c r="CJ314" s="239">
        <v>0</v>
      </c>
      <c r="CK314" s="239">
        <v>0</v>
      </c>
      <c r="CL314" s="239">
        <v>0</v>
      </c>
      <c r="CM314" s="239">
        <v>2887.9727272727273</v>
      </c>
      <c r="CN314" s="239">
        <v>649.79386363636365</v>
      </c>
      <c r="CO314" s="239">
        <v>72.199318181818185</v>
      </c>
      <c r="CP314" s="239">
        <v>5884</v>
      </c>
      <c r="CQ314" s="239">
        <v>1324</v>
      </c>
      <c r="CR314" s="239">
        <v>147</v>
      </c>
      <c r="CS314" s="239">
        <v>-2996</v>
      </c>
      <c r="CT314" s="239">
        <v>-674</v>
      </c>
      <c r="CU314" s="239">
        <v>-75</v>
      </c>
      <c r="CV314" s="239">
        <v>77963.489256198358</v>
      </c>
      <c r="CW314" s="239">
        <v>17446.133119834711</v>
      </c>
      <c r="CX314" s="239">
        <v>1938.4592355371904</v>
      </c>
      <c r="CY314" s="239">
        <v>63867</v>
      </c>
      <c r="CZ314" s="239">
        <v>14207</v>
      </c>
      <c r="DA314" s="239">
        <v>1579</v>
      </c>
      <c r="DB314" s="239">
        <v>14096</v>
      </c>
      <c r="DC314" s="239">
        <v>3239</v>
      </c>
      <c r="DD314" s="239">
        <v>359</v>
      </c>
      <c r="DE314" s="641">
        <v>0.5</v>
      </c>
      <c r="DF314" s="641">
        <v>0.4</v>
      </c>
      <c r="DG314" s="641">
        <v>0.09</v>
      </c>
      <c r="DH314" s="641">
        <v>0.01</v>
      </c>
      <c r="DI314" s="214" t="s">
        <v>1190</v>
      </c>
    </row>
    <row r="315" spans="2:113" s="214" customFormat="1" x14ac:dyDescent="0.2">
      <c r="B315" s="609" t="s">
        <v>712</v>
      </c>
      <c r="C315" s="609" t="s">
        <v>711</v>
      </c>
      <c r="D315" s="239">
        <v>-18719169</v>
      </c>
      <c r="E315" s="239">
        <v>0</v>
      </c>
      <c r="F315" s="239">
        <v>-18719169</v>
      </c>
      <c r="G315" s="239">
        <v>0</v>
      </c>
      <c r="H315" s="239">
        <v>0</v>
      </c>
      <c r="I315" s="239">
        <v>0</v>
      </c>
      <c r="J315" s="239">
        <v>-18719169</v>
      </c>
      <c r="K315" s="239">
        <v>0</v>
      </c>
      <c r="L315" s="239">
        <v>-18719169</v>
      </c>
      <c r="M315" s="239">
        <v>3097183</v>
      </c>
      <c r="N315" s="239">
        <v>3097183</v>
      </c>
      <c r="O315" s="239">
        <v>0</v>
      </c>
      <c r="P315" s="239">
        <v>0</v>
      </c>
      <c r="Q315" s="239">
        <v>0</v>
      </c>
      <c r="R315" s="239">
        <v>0</v>
      </c>
      <c r="S315" s="239">
        <v>0</v>
      </c>
      <c r="T315" s="239">
        <v>0</v>
      </c>
      <c r="U315" s="239">
        <v>0</v>
      </c>
      <c r="V315" s="239">
        <v>0</v>
      </c>
      <c r="W315" s="239">
        <v>0</v>
      </c>
      <c r="X315" s="239">
        <v>0</v>
      </c>
      <c r="Y315" s="239">
        <v>0</v>
      </c>
      <c r="Z315" s="239">
        <v>0</v>
      </c>
      <c r="AA315" s="239">
        <v>0</v>
      </c>
      <c r="AB315" s="239">
        <v>0</v>
      </c>
      <c r="AC315" s="239">
        <v>0</v>
      </c>
      <c r="AD315" s="239">
        <v>0</v>
      </c>
      <c r="AE315" s="239">
        <v>0</v>
      </c>
      <c r="AF315" s="239">
        <v>0</v>
      </c>
      <c r="AG315" s="239">
        <v>0</v>
      </c>
      <c r="AH315" s="239">
        <v>0</v>
      </c>
      <c r="AI315" s="239">
        <v>0</v>
      </c>
      <c r="AJ315" s="239">
        <v>0</v>
      </c>
      <c r="AK315" s="239">
        <v>396754.83254132228</v>
      </c>
      <c r="AL315" s="239">
        <v>264503.22169421491</v>
      </c>
      <c r="AM315" s="239">
        <v>0</v>
      </c>
      <c r="AN315" s="239">
        <v>335619</v>
      </c>
      <c r="AO315" s="239">
        <v>223746</v>
      </c>
      <c r="AP315" s="239">
        <v>0</v>
      </c>
      <c r="AQ315" s="239">
        <v>61136</v>
      </c>
      <c r="AR315" s="239">
        <v>40757</v>
      </c>
      <c r="AS315" s="239">
        <v>0</v>
      </c>
      <c r="AT315" s="239">
        <v>0</v>
      </c>
      <c r="AU315" s="239">
        <v>0</v>
      </c>
      <c r="AV315" s="239">
        <v>0</v>
      </c>
      <c r="AW315" s="239">
        <v>0</v>
      </c>
      <c r="AX315" s="239">
        <v>0</v>
      </c>
      <c r="AY315" s="239">
        <v>0</v>
      </c>
      <c r="AZ315" s="239">
        <v>0</v>
      </c>
      <c r="BA315" s="239">
        <v>0</v>
      </c>
      <c r="BB315" s="239">
        <v>0</v>
      </c>
      <c r="BC315" s="239">
        <v>229309.579338843</v>
      </c>
      <c r="BD315" s="239">
        <v>152873.052892562</v>
      </c>
      <c r="BE315" s="239">
        <v>0</v>
      </c>
      <c r="BF315" s="239">
        <v>0</v>
      </c>
      <c r="BG315" s="239">
        <v>0</v>
      </c>
      <c r="BH315" s="239">
        <v>0</v>
      </c>
      <c r="BI315" s="239">
        <v>229310</v>
      </c>
      <c r="BJ315" s="239">
        <v>152873</v>
      </c>
      <c r="BK315" s="239">
        <v>0</v>
      </c>
      <c r="BL315" s="239">
        <v>76875.078719008263</v>
      </c>
      <c r="BM315" s="239">
        <v>51250.052479338847</v>
      </c>
      <c r="BN315" s="239">
        <v>0</v>
      </c>
      <c r="BO315" s="239">
        <v>55645</v>
      </c>
      <c r="BP315" s="239">
        <v>37096</v>
      </c>
      <c r="BQ315" s="239">
        <v>0</v>
      </c>
      <c r="BR315" s="239">
        <v>21230</v>
      </c>
      <c r="BS315" s="239">
        <v>14154</v>
      </c>
      <c r="BT315" s="239">
        <v>0</v>
      </c>
      <c r="BU315" s="239">
        <v>-5471.0993801652885</v>
      </c>
      <c r="BV315" s="239">
        <v>-3647.3995867768595</v>
      </c>
      <c r="BW315" s="239">
        <v>0</v>
      </c>
      <c r="BX315" s="239">
        <v>0</v>
      </c>
      <c r="BY315" s="239">
        <v>0</v>
      </c>
      <c r="BZ315" s="239">
        <v>0</v>
      </c>
      <c r="CA315" s="239">
        <v>-5471</v>
      </c>
      <c r="CB315" s="239">
        <v>-3647</v>
      </c>
      <c r="CC315" s="239">
        <v>0</v>
      </c>
      <c r="CD315" s="239">
        <v>0</v>
      </c>
      <c r="CE315" s="239">
        <v>0</v>
      </c>
      <c r="CF315" s="239">
        <v>0</v>
      </c>
      <c r="CG315" s="239">
        <v>0</v>
      </c>
      <c r="CH315" s="239">
        <v>0</v>
      </c>
      <c r="CI315" s="239">
        <v>0</v>
      </c>
      <c r="CJ315" s="239">
        <v>0</v>
      </c>
      <c r="CK315" s="239">
        <v>0</v>
      </c>
      <c r="CL315" s="239">
        <v>0</v>
      </c>
      <c r="CM315" s="239">
        <v>4935.4630165289254</v>
      </c>
      <c r="CN315" s="239">
        <v>3290.3086776859504</v>
      </c>
      <c r="CO315" s="239">
        <v>0</v>
      </c>
      <c r="CP315" s="239">
        <v>4729</v>
      </c>
      <c r="CQ315" s="239">
        <v>3153</v>
      </c>
      <c r="CR315" s="239">
        <v>0</v>
      </c>
      <c r="CS315" s="239">
        <v>206</v>
      </c>
      <c r="CT315" s="239">
        <v>137</v>
      </c>
      <c r="CU315" s="239">
        <v>0</v>
      </c>
      <c r="CV315" s="239">
        <v>8221608.1847107429</v>
      </c>
      <c r="CW315" s="239">
        <v>5481072.1231404953</v>
      </c>
      <c r="CX315" s="239">
        <v>0</v>
      </c>
      <c r="CY315" s="239">
        <v>7617445</v>
      </c>
      <c r="CZ315" s="239">
        <v>5078297</v>
      </c>
      <c r="DA315" s="239">
        <v>0</v>
      </c>
      <c r="DB315" s="239">
        <v>604163</v>
      </c>
      <c r="DC315" s="239">
        <v>402775</v>
      </c>
      <c r="DD315" s="239">
        <v>0</v>
      </c>
      <c r="DE315" s="641">
        <v>0.5</v>
      </c>
      <c r="DF315" s="641">
        <v>0.3</v>
      </c>
      <c r="DG315" s="641">
        <v>0.2</v>
      </c>
      <c r="DH315" s="641">
        <v>0</v>
      </c>
      <c r="DI315" s="214" t="s">
        <v>1193</v>
      </c>
    </row>
    <row r="316" spans="2:113" s="214" customFormat="1" x14ac:dyDescent="0.2">
      <c r="B316" s="609" t="s">
        <v>714</v>
      </c>
      <c r="C316" s="609" t="s">
        <v>713</v>
      </c>
      <c r="D316" s="239">
        <v>-118282</v>
      </c>
      <c r="E316" s="239">
        <v>0</v>
      </c>
      <c r="F316" s="239">
        <v>-118282</v>
      </c>
      <c r="G316" s="239">
        <v>0</v>
      </c>
      <c r="H316" s="239">
        <v>0</v>
      </c>
      <c r="I316" s="239">
        <v>0</v>
      </c>
      <c r="J316" s="239">
        <v>-118282</v>
      </c>
      <c r="K316" s="239">
        <v>0</v>
      </c>
      <c r="L316" s="239">
        <v>-118282</v>
      </c>
      <c r="M316" s="239">
        <v>107015</v>
      </c>
      <c r="N316" s="239">
        <v>107015</v>
      </c>
      <c r="O316" s="239">
        <v>0</v>
      </c>
      <c r="P316" s="239">
        <v>0</v>
      </c>
      <c r="Q316" s="239">
        <v>0</v>
      </c>
      <c r="R316" s="239">
        <v>0</v>
      </c>
      <c r="S316" s="239">
        <v>0</v>
      </c>
      <c r="T316" s="239">
        <v>0</v>
      </c>
      <c r="U316" s="239">
        <v>0</v>
      </c>
      <c r="V316" s="239">
        <v>0</v>
      </c>
      <c r="W316" s="239">
        <v>0</v>
      </c>
      <c r="X316" s="239">
        <v>0</v>
      </c>
      <c r="Y316" s="239">
        <v>0</v>
      </c>
      <c r="Z316" s="239">
        <v>0</v>
      </c>
      <c r="AA316" s="239">
        <v>0</v>
      </c>
      <c r="AB316" s="239">
        <v>0</v>
      </c>
      <c r="AC316" s="239">
        <v>0</v>
      </c>
      <c r="AD316" s="239">
        <v>0</v>
      </c>
      <c r="AE316" s="239">
        <v>0</v>
      </c>
      <c r="AF316" s="239">
        <v>0</v>
      </c>
      <c r="AG316" s="239">
        <v>0</v>
      </c>
      <c r="AH316" s="239">
        <v>0</v>
      </c>
      <c r="AI316" s="239">
        <v>0</v>
      </c>
      <c r="AJ316" s="239">
        <v>0</v>
      </c>
      <c r="AK316" s="239">
        <v>358116.12520661158</v>
      </c>
      <c r="AL316" s="239">
        <v>80576.128171487595</v>
      </c>
      <c r="AM316" s="239">
        <v>8952.9031301652885</v>
      </c>
      <c r="AN316" s="239">
        <v>327722</v>
      </c>
      <c r="AO316" s="239">
        <v>73737</v>
      </c>
      <c r="AP316" s="239">
        <v>8193</v>
      </c>
      <c r="AQ316" s="239">
        <v>30394</v>
      </c>
      <c r="AR316" s="239">
        <v>6839</v>
      </c>
      <c r="AS316" s="239">
        <v>760</v>
      </c>
      <c r="AT316" s="239">
        <v>2393.7264462809921</v>
      </c>
      <c r="AU316" s="239">
        <v>538.5884504132232</v>
      </c>
      <c r="AV316" s="239">
        <v>59.843161157024795</v>
      </c>
      <c r="AW316" s="239">
        <v>620</v>
      </c>
      <c r="AX316" s="239">
        <v>139</v>
      </c>
      <c r="AY316" s="239">
        <v>15</v>
      </c>
      <c r="AZ316" s="239">
        <v>1774</v>
      </c>
      <c r="BA316" s="239">
        <v>400</v>
      </c>
      <c r="BB316" s="239">
        <v>45</v>
      </c>
      <c r="BC316" s="239">
        <v>0</v>
      </c>
      <c r="BD316" s="239">
        <v>0</v>
      </c>
      <c r="BE316" s="239">
        <v>0</v>
      </c>
      <c r="BF316" s="239">
        <v>0</v>
      </c>
      <c r="BG316" s="239">
        <v>0</v>
      </c>
      <c r="BH316" s="239">
        <v>0</v>
      </c>
      <c r="BI316" s="239">
        <v>0</v>
      </c>
      <c r="BJ316" s="239">
        <v>0</v>
      </c>
      <c r="BK316" s="239">
        <v>0</v>
      </c>
      <c r="BL316" s="239">
        <v>15162.566942148762</v>
      </c>
      <c r="BM316" s="239">
        <v>3411.5775619834708</v>
      </c>
      <c r="BN316" s="239">
        <v>379.064173553719</v>
      </c>
      <c r="BO316" s="239">
        <v>0</v>
      </c>
      <c r="BP316" s="239">
        <v>0</v>
      </c>
      <c r="BQ316" s="239">
        <v>0</v>
      </c>
      <c r="BR316" s="239">
        <v>15163</v>
      </c>
      <c r="BS316" s="239">
        <v>3412</v>
      </c>
      <c r="BT316" s="239">
        <v>379</v>
      </c>
      <c r="BU316" s="239">
        <v>-1567.1421487603307</v>
      </c>
      <c r="BV316" s="239">
        <v>-352.60698347107439</v>
      </c>
      <c r="BW316" s="239">
        <v>-39.178553719008264</v>
      </c>
      <c r="BX316" s="239">
        <v>0</v>
      </c>
      <c r="BY316" s="239">
        <v>0</v>
      </c>
      <c r="BZ316" s="239">
        <v>0</v>
      </c>
      <c r="CA316" s="239">
        <v>-1567</v>
      </c>
      <c r="CB316" s="239">
        <v>-353</v>
      </c>
      <c r="CC316" s="239">
        <v>-39</v>
      </c>
      <c r="CD316" s="239">
        <v>0</v>
      </c>
      <c r="CE316" s="239">
        <v>0</v>
      </c>
      <c r="CF316" s="239">
        <v>0</v>
      </c>
      <c r="CG316" s="239">
        <v>0</v>
      </c>
      <c r="CH316" s="239">
        <v>0</v>
      </c>
      <c r="CI316" s="239">
        <v>0</v>
      </c>
      <c r="CJ316" s="239">
        <v>0</v>
      </c>
      <c r="CK316" s="239">
        <v>0</v>
      </c>
      <c r="CL316" s="239">
        <v>0</v>
      </c>
      <c r="CM316" s="239">
        <v>4.4636363636363638</v>
      </c>
      <c r="CN316" s="239">
        <v>1.0043181818181817</v>
      </c>
      <c r="CO316" s="239">
        <v>0.11159090909090909</v>
      </c>
      <c r="CP316" s="239">
        <v>5</v>
      </c>
      <c r="CQ316" s="239">
        <v>1</v>
      </c>
      <c r="CR316" s="239">
        <v>0</v>
      </c>
      <c r="CS316" s="239">
        <v>-1</v>
      </c>
      <c r="CT316" s="239">
        <v>0</v>
      </c>
      <c r="CU316" s="239">
        <v>0</v>
      </c>
      <c r="CV316" s="239">
        <v>91030.747933884297</v>
      </c>
      <c r="CW316" s="239">
        <v>20481.918285123964</v>
      </c>
      <c r="CX316" s="239">
        <v>2275.7686983471076</v>
      </c>
      <c r="CY316" s="239">
        <v>92666</v>
      </c>
      <c r="CZ316" s="239">
        <v>20850</v>
      </c>
      <c r="DA316" s="239">
        <v>2317</v>
      </c>
      <c r="DB316" s="239">
        <v>-1635</v>
      </c>
      <c r="DC316" s="239">
        <v>-368</v>
      </c>
      <c r="DD316" s="239">
        <v>-41</v>
      </c>
      <c r="DE316" s="641">
        <v>0.5</v>
      </c>
      <c r="DF316" s="641">
        <v>0.4</v>
      </c>
      <c r="DG316" s="641">
        <v>0.09</v>
      </c>
      <c r="DH316" s="641">
        <v>0.01</v>
      </c>
      <c r="DI316" s="214" t="s">
        <v>1190</v>
      </c>
    </row>
    <row r="317" spans="2:113" s="214" customFormat="1" x14ac:dyDescent="0.2">
      <c r="B317" s="609" t="s">
        <v>716</v>
      </c>
      <c r="C317" s="609" t="s">
        <v>715</v>
      </c>
      <c r="D317" s="239">
        <v>-381220</v>
      </c>
      <c r="E317" s="239">
        <v>0</v>
      </c>
      <c r="F317" s="239">
        <v>-381220</v>
      </c>
      <c r="G317" s="239">
        <v>0</v>
      </c>
      <c r="H317" s="239">
        <v>0</v>
      </c>
      <c r="I317" s="239">
        <v>0</v>
      </c>
      <c r="J317" s="239">
        <v>-381220</v>
      </c>
      <c r="K317" s="239">
        <v>0</v>
      </c>
      <c r="L317" s="239">
        <v>-381220</v>
      </c>
      <c r="M317" s="239">
        <v>385297</v>
      </c>
      <c r="N317" s="239">
        <v>385297</v>
      </c>
      <c r="O317" s="239">
        <v>0</v>
      </c>
      <c r="P317" s="239">
        <v>0</v>
      </c>
      <c r="Q317" s="239">
        <v>0</v>
      </c>
      <c r="R317" s="239">
        <v>0</v>
      </c>
      <c r="S317" s="239">
        <v>0</v>
      </c>
      <c r="T317" s="239">
        <v>0</v>
      </c>
      <c r="U317" s="239">
        <v>0</v>
      </c>
      <c r="V317" s="239">
        <v>0</v>
      </c>
      <c r="W317" s="239">
        <v>0</v>
      </c>
      <c r="X317" s="239">
        <v>0</v>
      </c>
      <c r="Y317" s="239">
        <v>0</v>
      </c>
      <c r="Z317" s="239">
        <v>0</v>
      </c>
      <c r="AA317" s="239">
        <v>0</v>
      </c>
      <c r="AB317" s="239">
        <v>0</v>
      </c>
      <c r="AC317" s="239">
        <v>0</v>
      </c>
      <c r="AD317" s="239">
        <v>0</v>
      </c>
      <c r="AE317" s="239">
        <v>0</v>
      </c>
      <c r="AF317" s="239">
        <v>0</v>
      </c>
      <c r="AG317" s="239">
        <v>0</v>
      </c>
      <c r="AH317" s="239">
        <v>0</v>
      </c>
      <c r="AI317" s="239">
        <v>0</v>
      </c>
      <c r="AJ317" s="239">
        <v>0</v>
      </c>
      <c r="AK317" s="239">
        <v>1885770.5170557851</v>
      </c>
      <c r="AL317" s="239">
        <v>0</v>
      </c>
      <c r="AM317" s="239">
        <v>38485.112592975209</v>
      </c>
      <c r="AN317" s="239">
        <v>1744567</v>
      </c>
      <c r="AO317" s="239">
        <v>0</v>
      </c>
      <c r="AP317" s="239">
        <v>35603</v>
      </c>
      <c r="AQ317" s="239">
        <v>141204</v>
      </c>
      <c r="AR317" s="239">
        <v>0</v>
      </c>
      <c r="AS317" s="239">
        <v>2882</v>
      </c>
      <c r="AT317" s="239">
        <v>17940.358863636364</v>
      </c>
      <c r="AU317" s="239">
        <v>0</v>
      </c>
      <c r="AV317" s="239">
        <v>366.12977272727272</v>
      </c>
      <c r="AW317" s="239">
        <v>16504</v>
      </c>
      <c r="AX317" s="239">
        <v>0</v>
      </c>
      <c r="AY317" s="239">
        <v>337</v>
      </c>
      <c r="AZ317" s="239">
        <v>1436</v>
      </c>
      <c r="BA317" s="239">
        <v>0</v>
      </c>
      <c r="BB317" s="239">
        <v>29</v>
      </c>
      <c r="BC317" s="239">
        <v>93564.158574380155</v>
      </c>
      <c r="BD317" s="239">
        <v>0</v>
      </c>
      <c r="BE317" s="239">
        <v>1909.4726239669421</v>
      </c>
      <c r="BF317" s="239">
        <v>0</v>
      </c>
      <c r="BG317" s="239">
        <v>0</v>
      </c>
      <c r="BH317" s="239">
        <v>0</v>
      </c>
      <c r="BI317" s="239">
        <v>93564</v>
      </c>
      <c r="BJ317" s="239">
        <v>0</v>
      </c>
      <c r="BK317" s="239">
        <v>1909</v>
      </c>
      <c r="BL317" s="239">
        <v>48320.811404958673</v>
      </c>
      <c r="BM317" s="239">
        <v>0</v>
      </c>
      <c r="BN317" s="239">
        <v>986.13900826446275</v>
      </c>
      <c r="BO317" s="239">
        <v>42203</v>
      </c>
      <c r="BP317" s="239">
        <v>0</v>
      </c>
      <c r="BQ317" s="239">
        <v>861</v>
      </c>
      <c r="BR317" s="239">
        <v>6118</v>
      </c>
      <c r="BS317" s="239">
        <v>0</v>
      </c>
      <c r="BT317" s="239">
        <v>125</v>
      </c>
      <c r="BU317" s="239">
        <v>16162.776549586779</v>
      </c>
      <c r="BV317" s="239">
        <v>0</v>
      </c>
      <c r="BW317" s="239">
        <v>329.85258264462811</v>
      </c>
      <c r="BX317" s="239">
        <v>0</v>
      </c>
      <c r="BY317" s="239">
        <v>0</v>
      </c>
      <c r="BZ317" s="239">
        <v>0</v>
      </c>
      <c r="CA317" s="239">
        <v>16163</v>
      </c>
      <c r="CB317" s="239">
        <v>0</v>
      </c>
      <c r="CC317" s="239">
        <v>330</v>
      </c>
      <c r="CD317" s="239">
        <v>599.48665289256201</v>
      </c>
      <c r="CE317" s="239">
        <v>0</v>
      </c>
      <c r="CF317" s="239">
        <v>12.234421487603306</v>
      </c>
      <c r="CG317" s="239">
        <v>0</v>
      </c>
      <c r="CH317" s="239">
        <v>0</v>
      </c>
      <c r="CI317" s="239">
        <v>0</v>
      </c>
      <c r="CJ317" s="239">
        <v>599</v>
      </c>
      <c r="CK317" s="239">
        <v>0</v>
      </c>
      <c r="CL317" s="239">
        <v>12</v>
      </c>
      <c r="CM317" s="239">
        <v>0</v>
      </c>
      <c r="CN317" s="239">
        <v>0</v>
      </c>
      <c r="CO317" s="239">
        <v>0</v>
      </c>
      <c r="CP317" s="239">
        <v>0</v>
      </c>
      <c r="CQ317" s="239">
        <v>0</v>
      </c>
      <c r="CR317" s="239">
        <v>0</v>
      </c>
      <c r="CS317" s="239">
        <v>0</v>
      </c>
      <c r="CT317" s="239">
        <v>0</v>
      </c>
      <c r="CU317" s="239">
        <v>0</v>
      </c>
      <c r="CV317" s="239">
        <v>559866.37766528921</v>
      </c>
      <c r="CW317" s="239">
        <v>0</v>
      </c>
      <c r="CX317" s="239">
        <v>11425.84444214876</v>
      </c>
      <c r="CY317" s="239">
        <v>584990</v>
      </c>
      <c r="CZ317" s="239">
        <v>0</v>
      </c>
      <c r="DA317" s="239">
        <v>11939</v>
      </c>
      <c r="DB317" s="239">
        <v>-25124</v>
      </c>
      <c r="DC317" s="239">
        <v>0</v>
      </c>
      <c r="DD317" s="239">
        <v>-513</v>
      </c>
      <c r="DE317" s="641">
        <v>0.5</v>
      </c>
      <c r="DF317" s="641">
        <v>0.49</v>
      </c>
      <c r="DG317" s="641">
        <v>0</v>
      </c>
      <c r="DH317" s="641">
        <v>0.01</v>
      </c>
      <c r="DI317" s="214" t="s">
        <v>1192</v>
      </c>
    </row>
    <row r="318" spans="2:113" s="214" customFormat="1" x14ac:dyDescent="0.2">
      <c r="B318" s="609" t="s">
        <v>718</v>
      </c>
      <c r="C318" s="609" t="s">
        <v>717</v>
      </c>
      <c r="D318" s="239">
        <v>-211374</v>
      </c>
      <c r="E318" s="239">
        <v>0</v>
      </c>
      <c r="F318" s="239">
        <v>-211374</v>
      </c>
      <c r="G318" s="239">
        <v>0</v>
      </c>
      <c r="H318" s="239">
        <v>0</v>
      </c>
      <c r="I318" s="239">
        <v>0</v>
      </c>
      <c r="J318" s="239">
        <v>-211374</v>
      </c>
      <c r="K318" s="239">
        <v>0</v>
      </c>
      <c r="L318" s="239">
        <v>-211374</v>
      </c>
      <c r="M318" s="239">
        <v>625526</v>
      </c>
      <c r="N318" s="239">
        <v>625526</v>
      </c>
      <c r="O318" s="239">
        <v>0</v>
      </c>
      <c r="P318" s="239">
        <v>0</v>
      </c>
      <c r="Q318" s="239">
        <v>0</v>
      </c>
      <c r="R318" s="239">
        <v>0</v>
      </c>
      <c r="S318" s="239">
        <v>1560758</v>
      </c>
      <c r="T318" s="239">
        <v>0</v>
      </c>
      <c r="U318" s="239">
        <v>691252</v>
      </c>
      <c r="V318" s="239">
        <v>0</v>
      </c>
      <c r="W318" s="239">
        <v>869506</v>
      </c>
      <c r="X318" s="239">
        <v>0</v>
      </c>
      <c r="Y318" s="239">
        <v>0</v>
      </c>
      <c r="Z318" s="239">
        <v>0</v>
      </c>
      <c r="AA318" s="239">
        <v>0</v>
      </c>
      <c r="AB318" s="239">
        <v>0</v>
      </c>
      <c r="AC318" s="239">
        <v>0</v>
      </c>
      <c r="AD318" s="239">
        <v>0</v>
      </c>
      <c r="AE318" s="239">
        <v>0</v>
      </c>
      <c r="AF318" s="239">
        <v>0</v>
      </c>
      <c r="AG318" s="239">
        <v>0</v>
      </c>
      <c r="AH318" s="239">
        <v>0</v>
      </c>
      <c r="AI318" s="239">
        <v>0</v>
      </c>
      <c r="AJ318" s="239">
        <v>0</v>
      </c>
      <c r="AK318" s="239">
        <v>2752935.9138533054</v>
      </c>
      <c r="AL318" s="239">
        <v>0</v>
      </c>
      <c r="AM318" s="239">
        <v>56182.365588842971</v>
      </c>
      <c r="AN318" s="239">
        <v>2513692</v>
      </c>
      <c r="AO318" s="239">
        <v>0</v>
      </c>
      <c r="AP318" s="239">
        <v>51300</v>
      </c>
      <c r="AQ318" s="239">
        <v>239244</v>
      </c>
      <c r="AR318" s="239">
        <v>0</v>
      </c>
      <c r="AS318" s="239">
        <v>4882</v>
      </c>
      <c r="AT318" s="239">
        <v>36025.369979338844</v>
      </c>
      <c r="AU318" s="239">
        <v>0</v>
      </c>
      <c r="AV318" s="239">
        <v>735.21163223140502</v>
      </c>
      <c r="AW318" s="239">
        <v>13210</v>
      </c>
      <c r="AX318" s="239">
        <v>0</v>
      </c>
      <c r="AY318" s="239">
        <v>270</v>
      </c>
      <c r="AZ318" s="239">
        <v>22815</v>
      </c>
      <c r="BA318" s="239">
        <v>0</v>
      </c>
      <c r="BB318" s="239">
        <v>465</v>
      </c>
      <c r="BC318" s="239">
        <v>45925.350227272727</v>
      </c>
      <c r="BD318" s="239">
        <v>0</v>
      </c>
      <c r="BE318" s="239">
        <v>937.25204545454551</v>
      </c>
      <c r="BF318" s="239">
        <v>57971</v>
      </c>
      <c r="BG318" s="239">
        <v>0</v>
      </c>
      <c r="BH318" s="239">
        <v>1183</v>
      </c>
      <c r="BI318" s="239">
        <v>-12046</v>
      </c>
      <c r="BJ318" s="239">
        <v>0</v>
      </c>
      <c r="BK318" s="239">
        <v>-246</v>
      </c>
      <c r="BL318" s="239">
        <v>66068.797685950412</v>
      </c>
      <c r="BM318" s="239">
        <v>0</v>
      </c>
      <c r="BN318" s="239">
        <v>1348.3428099173555</v>
      </c>
      <c r="BO318" s="239">
        <v>20184</v>
      </c>
      <c r="BP318" s="239">
        <v>0</v>
      </c>
      <c r="BQ318" s="239">
        <v>412</v>
      </c>
      <c r="BR318" s="239">
        <v>45885</v>
      </c>
      <c r="BS318" s="239">
        <v>0</v>
      </c>
      <c r="BT318" s="239">
        <v>936</v>
      </c>
      <c r="BU318" s="239">
        <v>3222.1164876033058</v>
      </c>
      <c r="BV318" s="239">
        <v>0</v>
      </c>
      <c r="BW318" s="239">
        <v>65.757479338842984</v>
      </c>
      <c r="BX318" s="239">
        <v>0</v>
      </c>
      <c r="BY318" s="239">
        <v>0</v>
      </c>
      <c r="BZ318" s="239">
        <v>0</v>
      </c>
      <c r="CA318" s="239">
        <v>3222</v>
      </c>
      <c r="CB318" s="239">
        <v>0</v>
      </c>
      <c r="CC318" s="239">
        <v>66</v>
      </c>
      <c r="CD318" s="239">
        <v>-592.52743801652889</v>
      </c>
      <c r="CE318" s="239">
        <v>0</v>
      </c>
      <c r="CF318" s="239">
        <v>-12.092396694214877</v>
      </c>
      <c r="CG318" s="239">
        <v>0</v>
      </c>
      <c r="CH318" s="239">
        <v>0</v>
      </c>
      <c r="CI318" s="239">
        <v>0</v>
      </c>
      <c r="CJ318" s="239">
        <v>-593</v>
      </c>
      <c r="CK318" s="239">
        <v>0</v>
      </c>
      <c r="CL318" s="239">
        <v>-12</v>
      </c>
      <c r="CM318" s="239">
        <v>0</v>
      </c>
      <c r="CN318" s="239">
        <v>0</v>
      </c>
      <c r="CO318" s="239">
        <v>0</v>
      </c>
      <c r="CP318" s="239">
        <v>0</v>
      </c>
      <c r="CQ318" s="239">
        <v>0</v>
      </c>
      <c r="CR318" s="239">
        <v>0</v>
      </c>
      <c r="CS318" s="239">
        <v>0</v>
      </c>
      <c r="CT318" s="239">
        <v>0</v>
      </c>
      <c r="CU318" s="239">
        <v>0</v>
      </c>
      <c r="CV318" s="239">
        <v>1087292.8954132232</v>
      </c>
      <c r="CW318" s="239">
        <v>0</v>
      </c>
      <c r="CX318" s="239">
        <v>21728.978553719007</v>
      </c>
      <c r="CY318" s="239">
        <v>1035146</v>
      </c>
      <c r="CZ318" s="239">
        <v>0</v>
      </c>
      <c r="DA318" s="239">
        <v>20921</v>
      </c>
      <c r="DB318" s="239">
        <v>52147</v>
      </c>
      <c r="DC318" s="239">
        <v>0</v>
      </c>
      <c r="DD318" s="239">
        <v>808</v>
      </c>
      <c r="DE318" s="641">
        <v>0.5</v>
      </c>
      <c r="DF318" s="641">
        <v>0.49</v>
      </c>
      <c r="DG318" s="641">
        <v>0</v>
      </c>
      <c r="DH318" s="641">
        <v>0.01</v>
      </c>
      <c r="DI318" s="214" t="s">
        <v>747</v>
      </c>
    </row>
    <row r="319" spans="2:113" s="214" customFormat="1" x14ac:dyDescent="0.2">
      <c r="B319" s="609" t="s">
        <v>720</v>
      </c>
      <c r="C319" s="609" t="s">
        <v>719</v>
      </c>
      <c r="D319" s="239">
        <v>-166816</v>
      </c>
      <c r="E319" s="239">
        <v>0</v>
      </c>
      <c r="F319" s="239">
        <v>-166816</v>
      </c>
      <c r="G319" s="239">
        <v>0</v>
      </c>
      <c r="H319" s="239">
        <v>0</v>
      </c>
      <c r="I319" s="239">
        <v>0</v>
      </c>
      <c r="J319" s="239">
        <v>-166816</v>
      </c>
      <c r="K319" s="239">
        <v>0</v>
      </c>
      <c r="L319" s="239">
        <v>-166816</v>
      </c>
      <c r="M319" s="239">
        <v>198716</v>
      </c>
      <c r="N319" s="239">
        <v>198716</v>
      </c>
      <c r="O319" s="239">
        <v>0</v>
      </c>
      <c r="P319" s="239">
        <v>0</v>
      </c>
      <c r="Q319" s="239">
        <v>0</v>
      </c>
      <c r="R319" s="239">
        <v>0</v>
      </c>
      <c r="S319" s="239">
        <v>286071</v>
      </c>
      <c r="T319" s="239">
        <v>0</v>
      </c>
      <c r="U319" s="239">
        <v>285743</v>
      </c>
      <c r="V319" s="239">
        <v>0</v>
      </c>
      <c r="W319" s="239">
        <v>328</v>
      </c>
      <c r="X319" s="239">
        <v>0</v>
      </c>
      <c r="Y319" s="239">
        <v>0</v>
      </c>
      <c r="Z319" s="239">
        <v>0</v>
      </c>
      <c r="AA319" s="239">
        <v>0</v>
      </c>
      <c r="AB319" s="239">
        <v>0</v>
      </c>
      <c r="AC319" s="239">
        <v>0</v>
      </c>
      <c r="AD319" s="239">
        <v>0</v>
      </c>
      <c r="AE319" s="239">
        <v>0</v>
      </c>
      <c r="AF319" s="239">
        <v>0</v>
      </c>
      <c r="AG319" s="239">
        <v>0</v>
      </c>
      <c r="AH319" s="239">
        <v>0</v>
      </c>
      <c r="AI319" s="239">
        <v>0</v>
      </c>
      <c r="AJ319" s="239">
        <v>0</v>
      </c>
      <c r="AK319" s="239">
        <v>588256.95537190093</v>
      </c>
      <c r="AL319" s="239">
        <v>132357.81495867769</v>
      </c>
      <c r="AM319" s="239">
        <v>14706.423884297521</v>
      </c>
      <c r="AN319" s="239">
        <v>565557</v>
      </c>
      <c r="AO319" s="239">
        <v>127251</v>
      </c>
      <c r="AP319" s="239">
        <v>14139</v>
      </c>
      <c r="AQ319" s="239">
        <v>22700</v>
      </c>
      <c r="AR319" s="239">
        <v>5107</v>
      </c>
      <c r="AS319" s="239">
        <v>567</v>
      </c>
      <c r="AT319" s="239">
        <v>0</v>
      </c>
      <c r="AU319" s="239">
        <v>0</v>
      </c>
      <c r="AV319" s="239">
        <v>0</v>
      </c>
      <c r="AW319" s="239">
        <v>1412</v>
      </c>
      <c r="AX319" s="239">
        <v>318</v>
      </c>
      <c r="AY319" s="239">
        <v>35</v>
      </c>
      <c r="AZ319" s="239">
        <v>-1412</v>
      </c>
      <c r="BA319" s="239">
        <v>-318</v>
      </c>
      <c r="BB319" s="239">
        <v>-35</v>
      </c>
      <c r="BC319" s="239">
        <v>0</v>
      </c>
      <c r="BD319" s="239">
        <v>0</v>
      </c>
      <c r="BE319" s="239">
        <v>0</v>
      </c>
      <c r="BF319" s="239">
        <v>0</v>
      </c>
      <c r="BG319" s="239">
        <v>0</v>
      </c>
      <c r="BH319" s="239">
        <v>0</v>
      </c>
      <c r="BI319" s="239">
        <v>0</v>
      </c>
      <c r="BJ319" s="239">
        <v>0</v>
      </c>
      <c r="BK319" s="239">
        <v>0</v>
      </c>
      <c r="BL319" s="239">
        <v>3514.9107438016531</v>
      </c>
      <c r="BM319" s="239">
        <v>790.85491735537187</v>
      </c>
      <c r="BN319" s="239">
        <v>87.872768595041322</v>
      </c>
      <c r="BO319" s="239">
        <v>2039</v>
      </c>
      <c r="BP319" s="239">
        <v>459</v>
      </c>
      <c r="BQ319" s="239">
        <v>51</v>
      </c>
      <c r="BR319" s="239">
        <v>1476</v>
      </c>
      <c r="BS319" s="239">
        <v>332</v>
      </c>
      <c r="BT319" s="239">
        <v>37</v>
      </c>
      <c r="BU319" s="239">
        <v>-58.433057851239667</v>
      </c>
      <c r="BV319" s="239">
        <v>-13.147438016528923</v>
      </c>
      <c r="BW319" s="239">
        <v>-1.4608264462809917</v>
      </c>
      <c r="BX319" s="239">
        <v>0</v>
      </c>
      <c r="BY319" s="239">
        <v>0</v>
      </c>
      <c r="BZ319" s="239">
        <v>0</v>
      </c>
      <c r="CA319" s="239">
        <v>-58</v>
      </c>
      <c r="CB319" s="239">
        <v>-13</v>
      </c>
      <c r="CC319" s="239">
        <v>-1</v>
      </c>
      <c r="CD319" s="239">
        <v>0</v>
      </c>
      <c r="CE319" s="239">
        <v>0</v>
      </c>
      <c r="CF319" s="239">
        <v>0</v>
      </c>
      <c r="CG319" s="239">
        <v>0</v>
      </c>
      <c r="CH319" s="239">
        <v>0</v>
      </c>
      <c r="CI319" s="239">
        <v>0</v>
      </c>
      <c r="CJ319" s="239">
        <v>0</v>
      </c>
      <c r="CK319" s="239">
        <v>0</v>
      </c>
      <c r="CL319" s="239">
        <v>0</v>
      </c>
      <c r="CM319" s="239">
        <v>2293.9033057851243</v>
      </c>
      <c r="CN319" s="239">
        <v>516.12824380165284</v>
      </c>
      <c r="CO319" s="239">
        <v>57.347582644628105</v>
      </c>
      <c r="CP319" s="239">
        <v>6226</v>
      </c>
      <c r="CQ319" s="239">
        <v>1401</v>
      </c>
      <c r="CR319" s="239">
        <v>156</v>
      </c>
      <c r="CS319" s="239">
        <v>-3932</v>
      </c>
      <c r="CT319" s="239">
        <v>-885</v>
      </c>
      <c r="CU319" s="239">
        <v>-99</v>
      </c>
      <c r="CV319" s="239">
        <v>334950.96900826448</v>
      </c>
      <c r="CW319" s="239">
        <v>74433.055165289246</v>
      </c>
      <c r="CX319" s="239">
        <v>8270.3394628099177</v>
      </c>
      <c r="CY319" s="239">
        <v>332795</v>
      </c>
      <c r="CZ319" s="239">
        <v>73949</v>
      </c>
      <c r="DA319" s="239">
        <v>8217</v>
      </c>
      <c r="DB319" s="239">
        <v>2156</v>
      </c>
      <c r="DC319" s="239">
        <v>484</v>
      </c>
      <c r="DD319" s="239">
        <v>53</v>
      </c>
      <c r="DE319" s="641">
        <v>0.5</v>
      </c>
      <c r="DF319" s="641">
        <v>0.4</v>
      </c>
      <c r="DG319" s="641">
        <v>0.09</v>
      </c>
      <c r="DH319" s="641">
        <v>0.01</v>
      </c>
      <c r="DI319" s="214" t="s">
        <v>1190</v>
      </c>
    </row>
    <row r="320" spans="2:113" s="214" customFormat="1" x14ac:dyDescent="0.2">
      <c r="B320" s="609" t="s">
        <v>722</v>
      </c>
      <c r="C320" s="609" t="s">
        <v>721</v>
      </c>
      <c r="D320" s="239">
        <v>-36942</v>
      </c>
      <c r="E320" s="239">
        <v>0</v>
      </c>
      <c r="F320" s="239">
        <v>-36942</v>
      </c>
      <c r="G320" s="239">
        <v>0</v>
      </c>
      <c r="H320" s="239">
        <v>0</v>
      </c>
      <c r="I320" s="239">
        <v>0</v>
      </c>
      <c r="J320" s="239">
        <v>-36942</v>
      </c>
      <c r="K320" s="239">
        <v>0</v>
      </c>
      <c r="L320" s="239">
        <v>-36942</v>
      </c>
      <c r="M320" s="239">
        <v>242888</v>
      </c>
      <c r="N320" s="239">
        <v>242888</v>
      </c>
      <c r="O320" s="239">
        <v>0</v>
      </c>
      <c r="P320" s="239">
        <v>0</v>
      </c>
      <c r="Q320" s="239">
        <v>0</v>
      </c>
      <c r="R320" s="239">
        <v>0</v>
      </c>
      <c r="S320" s="239">
        <v>7356</v>
      </c>
      <c r="T320" s="239">
        <v>0</v>
      </c>
      <c r="U320" s="239">
        <v>7296</v>
      </c>
      <c r="V320" s="239">
        <v>0</v>
      </c>
      <c r="W320" s="239">
        <v>60</v>
      </c>
      <c r="X320" s="239">
        <v>0</v>
      </c>
      <c r="Y320" s="239">
        <v>0</v>
      </c>
      <c r="Z320" s="239">
        <v>0</v>
      </c>
      <c r="AA320" s="239">
        <v>0</v>
      </c>
      <c r="AB320" s="239">
        <v>0</v>
      </c>
      <c r="AC320" s="239">
        <v>0</v>
      </c>
      <c r="AD320" s="239">
        <v>0</v>
      </c>
      <c r="AE320" s="239">
        <v>0</v>
      </c>
      <c r="AF320" s="239">
        <v>0</v>
      </c>
      <c r="AG320" s="239">
        <v>0</v>
      </c>
      <c r="AH320" s="239">
        <v>0</v>
      </c>
      <c r="AI320" s="239">
        <v>0</v>
      </c>
      <c r="AJ320" s="239">
        <v>0</v>
      </c>
      <c r="AK320" s="239">
        <v>489064.29336776858</v>
      </c>
      <c r="AL320" s="239">
        <v>0</v>
      </c>
      <c r="AM320" s="239">
        <v>9980.9039462809924</v>
      </c>
      <c r="AN320" s="239">
        <v>446633</v>
      </c>
      <c r="AO320" s="239">
        <v>0</v>
      </c>
      <c r="AP320" s="239">
        <v>9115</v>
      </c>
      <c r="AQ320" s="239">
        <v>42431</v>
      </c>
      <c r="AR320" s="239">
        <v>0</v>
      </c>
      <c r="AS320" s="239">
        <v>866</v>
      </c>
      <c r="AT320" s="239">
        <v>0</v>
      </c>
      <c r="AU320" s="239">
        <v>0</v>
      </c>
      <c r="AV320" s="239">
        <v>0</v>
      </c>
      <c r="AW320" s="239">
        <v>0</v>
      </c>
      <c r="AX320" s="239">
        <v>0</v>
      </c>
      <c r="AY320" s="239">
        <v>0</v>
      </c>
      <c r="AZ320" s="239">
        <v>0</v>
      </c>
      <c r="BA320" s="239">
        <v>0</v>
      </c>
      <c r="BB320" s="239">
        <v>0</v>
      </c>
      <c r="BC320" s="239">
        <v>8436.5567768595047</v>
      </c>
      <c r="BD320" s="239">
        <v>0</v>
      </c>
      <c r="BE320" s="239">
        <v>172.17462809917356</v>
      </c>
      <c r="BF320" s="239">
        <v>0</v>
      </c>
      <c r="BG320" s="239">
        <v>0</v>
      </c>
      <c r="BH320" s="239">
        <v>0</v>
      </c>
      <c r="BI320" s="239">
        <v>8437</v>
      </c>
      <c r="BJ320" s="239">
        <v>0</v>
      </c>
      <c r="BK320" s="239">
        <v>172</v>
      </c>
      <c r="BL320" s="239">
        <v>79707.367582644627</v>
      </c>
      <c r="BM320" s="239">
        <v>0</v>
      </c>
      <c r="BN320" s="239">
        <v>1626.6809710743801</v>
      </c>
      <c r="BO320" s="239">
        <v>63291</v>
      </c>
      <c r="BP320" s="239">
        <v>0</v>
      </c>
      <c r="BQ320" s="239">
        <v>1292</v>
      </c>
      <c r="BR320" s="239">
        <v>16416</v>
      </c>
      <c r="BS320" s="239">
        <v>0</v>
      </c>
      <c r="BT320" s="239">
        <v>335</v>
      </c>
      <c r="BU320" s="239">
        <v>-2030.102396694215</v>
      </c>
      <c r="BV320" s="239">
        <v>0</v>
      </c>
      <c r="BW320" s="239">
        <v>-41.430661157024801</v>
      </c>
      <c r="BX320" s="239">
        <v>0</v>
      </c>
      <c r="BY320" s="239">
        <v>0</v>
      </c>
      <c r="BZ320" s="239">
        <v>0</v>
      </c>
      <c r="CA320" s="239">
        <v>-2030</v>
      </c>
      <c r="CB320" s="239">
        <v>0</v>
      </c>
      <c r="CC320" s="239">
        <v>-41</v>
      </c>
      <c r="CD320" s="239">
        <v>0</v>
      </c>
      <c r="CE320" s="239">
        <v>0</v>
      </c>
      <c r="CF320" s="239">
        <v>0</v>
      </c>
      <c r="CG320" s="239">
        <v>0</v>
      </c>
      <c r="CH320" s="239">
        <v>0</v>
      </c>
      <c r="CI320" s="239">
        <v>0</v>
      </c>
      <c r="CJ320" s="239">
        <v>0</v>
      </c>
      <c r="CK320" s="239">
        <v>0</v>
      </c>
      <c r="CL320" s="239">
        <v>0</v>
      </c>
      <c r="CM320" s="239">
        <v>8147.2522727272726</v>
      </c>
      <c r="CN320" s="239">
        <v>0</v>
      </c>
      <c r="CO320" s="239">
        <v>166.27045454545453</v>
      </c>
      <c r="CP320" s="239">
        <v>14576</v>
      </c>
      <c r="CQ320" s="239">
        <v>0</v>
      </c>
      <c r="CR320" s="239">
        <v>297</v>
      </c>
      <c r="CS320" s="239">
        <v>-6429</v>
      </c>
      <c r="CT320" s="239">
        <v>0</v>
      </c>
      <c r="CU320" s="239">
        <v>-131</v>
      </c>
      <c r="CV320" s="239">
        <v>571370.50727272721</v>
      </c>
      <c r="CW320" s="239">
        <v>0</v>
      </c>
      <c r="CX320" s="239">
        <v>11658.451404958678</v>
      </c>
      <c r="CY320" s="239">
        <v>593700</v>
      </c>
      <c r="CZ320" s="239">
        <v>0</v>
      </c>
      <c r="DA320" s="239">
        <v>12114</v>
      </c>
      <c r="DB320" s="239">
        <v>-22329</v>
      </c>
      <c r="DC320" s="239">
        <v>0</v>
      </c>
      <c r="DD320" s="239">
        <v>-456</v>
      </c>
      <c r="DE320" s="641">
        <v>0.5</v>
      </c>
      <c r="DF320" s="641">
        <v>0.49</v>
      </c>
      <c r="DG320" s="641">
        <v>0</v>
      </c>
      <c r="DH320" s="641">
        <v>0.01</v>
      </c>
      <c r="DI320" s="214" t="s">
        <v>747</v>
      </c>
    </row>
    <row r="321" spans="2:113" s="214" customFormat="1" x14ac:dyDescent="0.2">
      <c r="B321" s="609" t="s">
        <v>724</v>
      </c>
      <c r="C321" s="609" t="s">
        <v>723</v>
      </c>
      <c r="D321" s="239">
        <v>-12844</v>
      </c>
      <c r="E321" s="239">
        <v>0</v>
      </c>
      <c r="F321" s="239">
        <v>-12844</v>
      </c>
      <c r="G321" s="239">
        <v>0</v>
      </c>
      <c r="H321" s="239">
        <v>0</v>
      </c>
      <c r="I321" s="239">
        <v>0</v>
      </c>
      <c r="J321" s="239">
        <v>-12844</v>
      </c>
      <c r="K321" s="239">
        <v>0</v>
      </c>
      <c r="L321" s="239">
        <v>-12844</v>
      </c>
      <c r="M321" s="239">
        <v>337829</v>
      </c>
      <c r="N321" s="239">
        <v>337829</v>
      </c>
      <c r="O321" s="239">
        <v>0</v>
      </c>
      <c r="P321" s="239">
        <v>195982</v>
      </c>
      <c r="Q321" s="239">
        <v>472369</v>
      </c>
      <c r="R321" s="239">
        <v>-276387</v>
      </c>
      <c r="S321" s="239">
        <v>0</v>
      </c>
      <c r="T321" s="239">
        <v>0</v>
      </c>
      <c r="U321" s="239">
        <v>0</v>
      </c>
      <c r="V321" s="239">
        <v>0</v>
      </c>
      <c r="W321" s="239">
        <v>0</v>
      </c>
      <c r="X321" s="239">
        <v>0</v>
      </c>
      <c r="Y321" s="239">
        <v>136102.35950413224</v>
      </c>
      <c r="Z321" s="239">
        <v>136102.35950413224</v>
      </c>
      <c r="AA321" s="239">
        <v>0</v>
      </c>
      <c r="AB321" s="239">
        <v>0</v>
      </c>
      <c r="AC321" s="239">
        <v>0</v>
      </c>
      <c r="AD321" s="239">
        <v>0</v>
      </c>
      <c r="AE321" s="239">
        <v>0</v>
      </c>
      <c r="AF321" s="239">
        <v>0</v>
      </c>
      <c r="AG321" s="239">
        <v>136102</v>
      </c>
      <c r="AH321" s="239">
        <v>136102</v>
      </c>
      <c r="AI321" s="239">
        <v>0</v>
      </c>
      <c r="AJ321" s="239">
        <v>0</v>
      </c>
      <c r="AK321" s="239">
        <v>1682425.9611673555</v>
      </c>
      <c r="AL321" s="239">
        <v>0</v>
      </c>
      <c r="AM321" s="239">
        <v>34123.480464876033</v>
      </c>
      <c r="AN321" s="239">
        <v>1621179</v>
      </c>
      <c r="AO321" s="239">
        <v>0</v>
      </c>
      <c r="AP321" s="239">
        <v>32511</v>
      </c>
      <c r="AQ321" s="239">
        <v>61247</v>
      </c>
      <c r="AR321" s="239">
        <v>0</v>
      </c>
      <c r="AS321" s="239">
        <v>1612</v>
      </c>
      <c r="AT321" s="239">
        <v>12147.806652892561</v>
      </c>
      <c r="AU321" s="239">
        <v>0</v>
      </c>
      <c r="AV321" s="239">
        <v>247.91442148760331</v>
      </c>
      <c r="AW321" s="239">
        <v>7336</v>
      </c>
      <c r="AX321" s="239">
        <v>0</v>
      </c>
      <c r="AY321" s="239">
        <v>150</v>
      </c>
      <c r="AZ321" s="239">
        <v>4812</v>
      </c>
      <c r="BA321" s="239">
        <v>0</v>
      </c>
      <c r="BB321" s="239">
        <v>98</v>
      </c>
      <c r="BC321" s="239">
        <v>0</v>
      </c>
      <c r="BD321" s="239">
        <v>0</v>
      </c>
      <c r="BE321" s="239">
        <v>0</v>
      </c>
      <c r="BF321" s="239">
        <v>24855</v>
      </c>
      <c r="BG321" s="239">
        <v>0</v>
      </c>
      <c r="BH321" s="239">
        <v>507</v>
      </c>
      <c r="BI321" s="239">
        <v>-24855</v>
      </c>
      <c r="BJ321" s="239">
        <v>0</v>
      </c>
      <c r="BK321" s="239">
        <v>-507</v>
      </c>
      <c r="BL321" s="239">
        <v>16872.616466942149</v>
      </c>
      <c r="BM321" s="239">
        <v>0</v>
      </c>
      <c r="BN321" s="239">
        <v>344.33911157024789</v>
      </c>
      <c r="BO321" s="239">
        <v>11334</v>
      </c>
      <c r="BP321" s="239">
        <v>0</v>
      </c>
      <c r="BQ321" s="239">
        <v>231</v>
      </c>
      <c r="BR321" s="239">
        <v>5539</v>
      </c>
      <c r="BS321" s="239">
        <v>0</v>
      </c>
      <c r="BT321" s="239">
        <v>113</v>
      </c>
      <c r="BU321" s="239">
        <v>-5602.6650619834709</v>
      </c>
      <c r="BV321" s="239">
        <v>0</v>
      </c>
      <c r="BW321" s="239">
        <v>-114.34010330578512</v>
      </c>
      <c r="BX321" s="239">
        <v>0</v>
      </c>
      <c r="BY321" s="239">
        <v>0</v>
      </c>
      <c r="BZ321" s="239">
        <v>0</v>
      </c>
      <c r="CA321" s="239">
        <v>-5603</v>
      </c>
      <c r="CB321" s="239">
        <v>0</v>
      </c>
      <c r="CC321" s="239">
        <v>-114</v>
      </c>
      <c r="CD321" s="239">
        <v>-2684.2685950413224</v>
      </c>
      <c r="CE321" s="239">
        <v>0</v>
      </c>
      <c r="CF321" s="239">
        <v>-54.780991735537192</v>
      </c>
      <c r="CG321" s="239">
        <v>0</v>
      </c>
      <c r="CH321" s="239">
        <v>0</v>
      </c>
      <c r="CI321" s="239">
        <v>0</v>
      </c>
      <c r="CJ321" s="239">
        <v>-2684</v>
      </c>
      <c r="CK321" s="239">
        <v>0</v>
      </c>
      <c r="CL321" s="239">
        <v>-55</v>
      </c>
      <c r="CM321" s="239">
        <v>1978.9024586776861</v>
      </c>
      <c r="CN321" s="239">
        <v>0</v>
      </c>
      <c r="CO321" s="239">
        <v>40.385764462809917</v>
      </c>
      <c r="CP321" s="239">
        <v>3243</v>
      </c>
      <c r="CQ321" s="239">
        <v>0</v>
      </c>
      <c r="CR321" s="239">
        <v>66</v>
      </c>
      <c r="CS321" s="239">
        <v>-1264</v>
      </c>
      <c r="CT321" s="239">
        <v>0</v>
      </c>
      <c r="CU321" s="239">
        <v>-26</v>
      </c>
      <c r="CV321" s="239">
        <v>511099.66712809913</v>
      </c>
      <c r="CW321" s="239">
        <v>0</v>
      </c>
      <c r="CX321" s="239">
        <v>10372.759524793388</v>
      </c>
      <c r="CY321" s="239">
        <v>510513</v>
      </c>
      <c r="CZ321" s="239">
        <v>0</v>
      </c>
      <c r="DA321" s="239">
        <v>10279</v>
      </c>
      <c r="DB321" s="239">
        <v>587</v>
      </c>
      <c r="DC321" s="239">
        <v>0</v>
      </c>
      <c r="DD321" s="239">
        <v>94</v>
      </c>
      <c r="DE321" s="641">
        <v>0.5</v>
      </c>
      <c r="DF321" s="641">
        <v>0.49</v>
      </c>
      <c r="DG321" s="641">
        <v>0</v>
      </c>
      <c r="DH321" s="641">
        <v>0.01</v>
      </c>
      <c r="DI321" s="214" t="s">
        <v>1192</v>
      </c>
    </row>
    <row r="322" spans="2:113" s="214" customFormat="1" x14ac:dyDescent="0.2">
      <c r="B322" s="609" t="s">
        <v>726</v>
      </c>
      <c r="C322" s="609" t="s">
        <v>725</v>
      </c>
      <c r="D322" s="239">
        <v>2120</v>
      </c>
      <c r="E322" s="239">
        <v>0</v>
      </c>
      <c r="F322" s="239">
        <v>2120</v>
      </c>
      <c r="G322" s="239">
        <v>0</v>
      </c>
      <c r="H322" s="239">
        <v>0</v>
      </c>
      <c r="I322" s="239">
        <v>0</v>
      </c>
      <c r="J322" s="239">
        <v>2120</v>
      </c>
      <c r="K322" s="239">
        <v>0</v>
      </c>
      <c r="L322" s="239">
        <v>2120</v>
      </c>
      <c r="M322" s="239">
        <v>138353</v>
      </c>
      <c r="N322" s="239">
        <v>138353</v>
      </c>
      <c r="O322" s="239">
        <v>0</v>
      </c>
      <c r="P322" s="239">
        <v>0</v>
      </c>
      <c r="Q322" s="239">
        <v>0</v>
      </c>
      <c r="R322" s="239">
        <v>0</v>
      </c>
      <c r="S322" s="239">
        <v>0</v>
      </c>
      <c r="T322" s="239">
        <v>0</v>
      </c>
      <c r="U322" s="239">
        <v>0</v>
      </c>
      <c r="V322" s="239">
        <v>0</v>
      </c>
      <c r="W322" s="239">
        <v>0</v>
      </c>
      <c r="X322" s="239">
        <v>0</v>
      </c>
      <c r="Y322" s="239">
        <v>0</v>
      </c>
      <c r="Z322" s="239">
        <v>0</v>
      </c>
      <c r="AA322" s="239">
        <v>0</v>
      </c>
      <c r="AB322" s="239">
        <v>0</v>
      </c>
      <c r="AC322" s="239">
        <v>0</v>
      </c>
      <c r="AD322" s="239">
        <v>0</v>
      </c>
      <c r="AE322" s="239">
        <v>0</v>
      </c>
      <c r="AF322" s="239">
        <v>0</v>
      </c>
      <c r="AG322" s="239">
        <v>0</v>
      </c>
      <c r="AH322" s="239">
        <v>0</v>
      </c>
      <c r="AI322" s="239">
        <v>0</v>
      </c>
      <c r="AJ322" s="239">
        <v>0</v>
      </c>
      <c r="AK322" s="239">
        <v>230924.19834710748</v>
      </c>
      <c r="AL322" s="239">
        <v>57731.04958677687</v>
      </c>
      <c r="AM322" s="239">
        <v>0</v>
      </c>
      <c r="AN322" s="239">
        <v>230054</v>
      </c>
      <c r="AO322" s="239">
        <v>57513</v>
      </c>
      <c r="AP322" s="239">
        <v>0</v>
      </c>
      <c r="AQ322" s="239">
        <v>870</v>
      </c>
      <c r="AR322" s="239">
        <v>218</v>
      </c>
      <c r="AS322" s="239">
        <v>0</v>
      </c>
      <c r="AT322" s="239">
        <v>0</v>
      </c>
      <c r="AU322" s="239">
        <v>0</v>
      </c>
      <c r="AV322" s="239">
        <v>0</v>
      </c>
      <c r="AW322" s="239">
        <v>0</v>
      </c>
      <c r="AX322" s="239">
        <v>0</v>
      </c>
      <c r="AY322" s="239">
        <v>0</v>
      </c>
      <c r="AZ322" s="239">
        <v>0</v>
      </c>
      <c r="BA322" s="239">
        <v>0</v>
      </c>
      <c r="BB322" s="239">
        <v>0</v>
      </c>
      <c r="BC322" s="239">
        <v>31959.230578512397</v>
      </c>
      <c r="BD322" s="239">
        <v>7989.8076446280993</v>
      </c>
      <c r="BE322" s="239">
        <v>0</v>
      </c>
      <c r="BF322" s="239">
        <v>0</v>
      </c>
      <c r="BG322" s="239">
        <v>0</v>
      </c>
      <c r="BH322" s="239">
        <v>0</v>
      </c>
      <c r="BI322" s="239">
        <v>31959</v>
      </c>
      <c r="BJ322" s="239">
        <v>7990</v>
      </c>
      <c r="BK322" s="239">
        <v>0</v>
      </c>
      <c r="BL322" s="239">
        <v>40482.747107438016</v>
      </c>
      <c r="BM322" s="239">
        <v>10120.686776859504</v>
      </c>
      <c r="BN322" s="239">
        <v>0</v>
      </c>
      <c r="BO322" s="239">
        <v>1651</v>
      </c>
      <c r="BP322" s="239">
        <v>413</v>
      </c>
      <c r="BQ322" s="239">
        <v>0</v>
      </c>
      <c r="BR322" s="239">
        <v>38832</v>
      </c>
      <c r="BS322" s="239">
        <v>9708</v>
      </c>
      <c r="BT322" s="239">
        <v>0</v>
      </c>
      <c r="BU322" s="239">
        <v>-16.637190082644629</v>
      </c>
      <c r="BV322" s="239">
        <v>-4.1592975206611573</v>
      </c>
      <c r="BW322" s="239">
        <v>0</v>
      </c>
      <c r="BX322" s="239">
        <v>0</v>
      </c>
      <c r="BY322" s="239">
        <v>0</v>
      </c>
      <c r="BZ322" s="239">
        <v>0</v>
      </c>
      <c r="CA322" s="239">
        <v>-17</v>
      </c>
      <c r="CB322" s="239">
        <v>-4</v>
      </c>
      <c r="CC322" s="239">
        <v>0</v>
      </c>
      <c r="CD322" s="239">
        <v>0</v>
      </c>
      <c r="CE322" s="239">
        <v>0</v>
      </c>
      <c r="CF322" s="239">
        <v>0</v>
      </c>
      <c r="CG322" s="239">
        <v>0</v>
      </c>
      <c r="CH322" s="239">
        <v>0</v>
      </c>
      <c r="CI322" s="239">
        <v>0</v>
      </c>
      <c r="CJ322" s="239">
        <v>0</v>
      </c>
      <c r="CK322" s="239">
        <v>0</v>
      </c>
      <c r="CL322" s="239">
        <v>0</v>
      </c>
      <c r="CM322" s="239">
        <v>1096.4314049586781</v>
      </c>
      <c r="CN322" s="239">
        <v>274.10785123966951</v>
      </c>
      <c r="CO322" s="239">
        <v>0</v>
      </c>
      <c r="CP322" s="239">
        <v>0</v>
      </c>
      <c r="CQ322" s="239">
        <v>0</v>
      </c>
      <c r="CR322" s="239">
        <v>0</v>
      </c>
      <c r="CS322" s="239">
        <v>1096</v>
      </c>
      <c r="CT322" s="239">
        <v>274</v>
      </c>
      <c r="CU322" s="239">
        <v>0</v>
      </c>
      <c r="CV322" s="239">
        <v>288518.47355371906</v>
      </c>
      <c r="CW322" s="239">
        <v>72129.618388429764</v>
      </c>
      <c r="CX322" s="239">
        <v>0</v>
      </c>
      <c r="CY322" s="239">
        <v>275020</v>
      </c>
      <c r="CZ322" s="239">
        <v>68755</v>
      </c>
      <c r="DA322" s="239">
        <v>0</v>
      </c>
      <c r="DB322" s="239">
        <v>13498</v>
      </c>
      <c r="DC322" s="239">
        <v>3375</v>
      </c>
      <c r="DD322" s="239">
        <v>0</v>
      </c>
      <c r="DE322" s="641">
        <v>0.5</v>
      </c>
      <c r="DF322" s="641">
        <v>0.4</v>
      </c>
      <c r="DG322" s="641">
        <v>0.1</v>
      </c>
      <c r="DH322" s="641">
        <v>0</v>
      </c>
      <c r="DI322" s="214" t="s">
        <v>1190</v>
      </c>
    </row>
    <row r="323" spans="2:113" s="214" customFormat="1" x14ac:dyDescent="0.2">
      <c r="B323" s="609" t="s">
        <v>728</v>
      </c>
      <c r="C323" s="609" t="s">
        <v>727</v>
      </c>
      <c r="D323" s="239">
        <v>-31720</v>
      </c>
      <c r="E323" s="239">
        <v>0</v>
      </c>
      <c r="F323" s="239">
        <v>-31720</v>
      </c>
      <c r="G323" s="239">
        <v>0</v>
      </c>
      <c r="H323" s="239">
        <v>0</v>
      </c>
      <c r="I323" s="239">
        <v>0</v>
      </c>
      <c r="J323" s="239">
        <v>-31720</v>
      </c>
      <c r="K323" s="239">
        <v>0</v>
      </c>
      <c r="L323" s="239">
        <v>-31720</v>
      </c>
      <c r="M323" s="239">
        <v>183365</v>
      </c>
      <c r="N323" s="239">
        <v>183365</v>
      </c>
      <c r="O323" s="239">
        <v>0</v>
      </c>
      <c r="P323" s="239">
        <v>0</v>
      </c>
      <c r="Q323" s="239">
        <v>0</v>
      </c>
      <c r="R323" s="239">
        <v>0</v>
      </c>
      <c r="S323" s="239">
        <v>19880</v>
      </c>
      <c r="T323" s="239">
        <v>0</v>
      </c>
      <c r="U323" s="239">
        <v>19880</v>
      </c>
      <c r="V323" s="239">
        <v>0</v>
      </c>
      <c r="W323" s="239">
        <v>0</v>
      </c>
      <c r="X323" s="239">
        <v>0</v>
      </c>
      <c r="Y323" s="239">
        <v>0</v>
      </c>
      <c r="Z323" s="239">
        <v>0</v>
      </c>
      <c r="AA323" s="239">
        <v>0</v>
      </c>
      <c r="AB323" s="239">
        <v>0</v>
      </c>
      <c r="AC323" s="239">
        <v>0</v>
      </c>
      <c r="AD323" s="239">
        <v>0</v>
      </c>
      <c r="AE323" s="239">
        <v>0</v>
      </c>
      <c r="AF323" s="239">
        <v>0</v>
      </c>
      <c r="AG323" s="239">
        <v>0</v>
      </c>
      <c r="AH323" s="239">
        <v>0</v>
      </c>
      <c r="AI323" s="239">
        <v>0</v>
      </c>
      <c r="AJ323" s="239">
        <v>0</v>
      </c>
      <c r="AK323" s="239">
        <v>524078.26822200412</v>
      </c>
      <c r="AL323" s="239">
        <v>0</v>
      </c>
      <c r="AM323" s="239">
        <v>10695.474861673552</v>
      </c>
      <c r="AN323" s="239">
        <v>471633</v>
      </c>
      <c r="AO323" s="239">
        <v>0</v>
      </c>
      <c r="AP323" s="239">
        <v>9625</v>
      </c>
      <c r="AQ323" s="239">
        <v>52445</v>
      </c>
      <c r="AR323" s="239">
        <v>0</v>
      </c>
      <c r="AS323" s="239">
        <v>1070</v>
      </c>
      <c r="AT323" s="239">
        <v>20.027626239669189</v>
      </c>
      <c r="AU323" s="239">
        <v>0</v>
      </c>
      <c r="AV323" s="239">
        <v>0.40872706611569498</v>
      </c>
      <c r="AW323" s="239">
        <v>4305</v>
      </c>
      <c r="AX323" s="239">
        <v>0</v>
      </c>
      <c r="AY323" s="239">
        <v>88</v>
      </c>
      <c r="AZ323" s="239">
        <v>-4285</v>
      </c>
      <c r="BA323" s="239">
        <v>0</v>
      </c>
      <c r="BB323" s="239">
        <v>-88</v>
      </c>
      <c r="BC323" s="239">
        <v>13097.242396694215</v>
      </c>
      <c r="BD323" s="239">
        <v>0</v>
      </c>
      <c r="BE323" s="239">
        <v>267.29066115702483</v>
      </c>
      <c r="BF323" s="239">
        <v>0</v>
      </c>
      <c r="BG323" s="239">
        <v>0</v>
      </c>
      <c r="BH323" s="239">
        <v>0</v>
      </c>
      <c r="BI323" s="239">
        <v>13097</v>
      </c>
      <c r="BJ323" s="239">
        <v>0</v>
      </c>
      <c r="BK323" s="239">
        <v>267</v>
      </c>
      <c r="BL323" s="239">
        <v>37595.667107438014</v>
      </c>
      <c r="BM323" s="239">
        <v>0</v>
      </c>
      <c r="BN323" s="239">
        <v>767.25851239669419</v>
      </c>
      <c r="BO323" s="239">
        <v>18076</v>
      </c>
      <c r="BP323" s="239">
        <v>0</v>
      </c>
      <c r="BQ323" s="239">
        <v>369</v>
      </c>
      <c r="BR323" s="239">
        <v>19520</v>
      </c>
      <c r="BS323" s="239">
        <v>0</v>
      </c>
      <c r="BT323" s="239">
        <v>398</v>
      </c>
      <c r="BU323" s="239">
        <v>5594.7116735537184</v>
      </c>
      <c r="BV323" s="239">
        <v>0</v>
      </c>
      <c r="BW323" s="239">
        <v>114.17778925619834</v>
      </c>
      <c r="BX323" s="239">
        <v>0</v>
      </c>
      <c r="BY323" s="239">
        <v>0</v>
      </c>
      <c r="BZ323" s="239">
        <v>0</v>
      </c>
      <c r="CA323" s="239">
        <v>5595</v>
      </c>
      <c r="CB323" s="239">
        <v>0</v>
      </c>
      <c r="CC323" s="239">
        <v>114</v>
      </c>
      <c r="CD323" s="239">
        <v>0</v>
      </c>
      <c r="CE323" s="239">
        <v>0</v>
      </c>
      <c r="CF323" s="239">
        <v>0</v>
      </c>
      <c r="CG323" s="239">
        <v>0</v>
      </c>
      <c r="CH323" s="239">
        <v>0</v>
      </c>
      <c r="CI323" s="239">
        <v>0</v>
      </c>
      <c r="CJ323" s="239">
        <v>0</v>
      </c>
      <c r="CK323" s="239">
        <v>0</v>
      </c>
      <c r="CL323" s="239">
        <v>0</v>
      </c>
      <c r="CM323" s="239">
        <v>500.06929752066117</v>
      </c>
      <c r="CN323" s="239">
        <v>0</v>
      </c>
      <c r="CO323" s="239">
        <v>10.205495867768594</v>
      </c>
      <c r="CP323" s="239">
        <v>1032</v>
      </c>
      <c r="CQ323" s="239">
        <v>0</v>
      </c>
      <c r="CR323" s="239">
        <v>21</v>
      </c>
      <c r="CS323" s="239">
        <v>-532</v>
      </c>
      <c r="CT323" s="239">
        <v>0</v>
      </c>
      <c r="CU323" s="239">
        <v>-11</v>
      </c>
      <c r="CV323" s="239">
        <v>390579.91419421486</v>
      </c>
      <c r="CW323" s="239">
        <v>0</v>
      </c>
      <c r="CX323" s="239">
        <v>7965.1508884297527</v>
      </c>
      <c r="CY323" s="239">
        <v>409163</v>
      </c>
      <c r="CZ323" s="239">
        <v>0</v>
      </c>
      <c r="DA323" s="239">
        <v>8344</v>
      </c>
      <c r="DB323" s="239">
        <v>-18583</v>
      </c>
      <c r="DC323" s="239">
        <v>0</v>
      </c>
      <c r="DD323" s="239">
        <v>-379</v>
      </c>
      <c r="DE323" s="641">
        <v>0.5</v>
      </c>
      <c r="DF323" s="641">
        <v>0.49</v>
      </c>
      <c r="DG323" s="641">
        <v>0</v>
      </c>
      <c r="DH323" s="641">
        <v>0.01</v>
      </c>
      <c r="DI323" s="214" t="s">
        <v>747</v>
      </c>
    </row>
    <row r="324" spans="2:113" s="214" customFormat="1" x14ac:dyDescent="0.2">
      <c r="B324" s="609" t="s">
        <v>730</v>
      </c>
      <c r="C324" s="609" t="s">
        <v>729</v>
      </c>
      <c r="D324" s="239">
        <v>-886281</v>
      </c>
      <c r="E324" s="239">
        <v>0</v>
      </c>
      <c r="F324" s="239">
        <v>-886281</v>
      </c>
      <c r="G324" s="239">
        <v>0</v>
      </c>
      <c r="H324" s="239">
        <v>0</v>
      </c>
      <c r="I324" s="239">
        <v>0</v>
      </c>
      <c r="J324" s="239">
        <v>-886281</v>
      </c>
      <c r="K324" s="239">
        <v>0</v>
      </c>
      <c r="L324" s="239">
        <v>-886281</v>
      </c>
      <c r="M324" s="239">
        <v>344356</v>
      </c>
      <c r="N324" s="239">
        <v>344356</v>
      </c>
      <c r="O324" s="239">
        <v>0</v>
      </c>
      <c r="P324" s="239">
        <v>46265</v>
      </c>
      <c r="Q324" s="239">
        <v>0</v>
      </c>
      <c r="R324" s="239">
        <v>46265</v>
      </c>
      <c r="S324" s="239">
        <v>0</v>
      </c>
      <c r="T324" s="239">
        <v>0</v>
      </c>
      <c r="U324" s="239">
        <v>0</v>
      </c>
      <c r="V324" s="239">
        <v>0</v>
      </c>
      <c r="W324" s="239">
        <v>0</v>
      </c>
      <c r="X324" s="239">
        <v>0</v>
      </c>
      <c r="Y324" s="239">
        <v>0</v>
      </c>
      <c r="Z324" s="239">
        <v>0</v>
      </c>
      <c r="AA324" s="239">
        <v>0</v>
      </c>
      <c r="AB324" s="239">
        <v>0</v>
      </c>
      <c r="AC324" s="239">
        <v>0</v>
      </c>
      <c r="AD324" s="239">
        <v>0</v>
      </c>
      <c r="AE324" s="239">
        <v>0</v>
      </c>
      <c r="AF324" s="239">
        <v>0</v>
      </c>
      <c r="AG324" s="239">
        <v>0</v>
      </c>
      <c r="AH324" s="239">
        <v>0</v>
      </c>
      <c r="AI324" s="239">
        <v>0</v>
      </c>
      <c r="AJ324" s="239">
        <v>0</v>
      </c>
      <c r="AK324" s="239">
        <v>1562979.2651136362</v>
      </c>
      <c r="AL324" s="239">
        <v>0</v>
      </c>
      <c r="AM324" s="239">
        <v>31897.536022727272</v>
      </c>
      <c r="AN324" s="239">
        <v>1406816</v>
      </c>
      <c r="AO324" s="239">
        <v>0</v>
      </c>
      <c r="AP324" s="239">
        <v>28711</v>
      </c>
      <c r="AQ324" s="239">
        <v>156163</v>
      </c>
      <c r="AR324" s="239">
        <v>0</v>
      </c>
      <c r="AS324" s="239">
        <v>3187</v>
      </c>
      <c r="AT324" s="239">
        <v>9625.5883471074376</v>
      </c>
      <c r="AU324" s="239">
        <v>0</v>
      </c>
      <c r="AV324" s="239">
        <v>196.44057851239668</v>
      </c>
      <c r="AW324" s="239">
        <v>7594</v>
      </c>
      <c r="AX324" s="239">
        <v>0</v>
      </c>
      <c r="AY324" s="239">
        <v>155</v>
      </c>
      <c r="AZ324" s="239">
        <v>2032</v>
      </c>
      <c r="BA324" s="239">
        <v>0</v>
      </c>
      <c r="BB324" s="239">
        <v>41</v>
      </c>
      <c r="BC324" s="239">
        <v>5321.3139462809922</v>
      </c>
      <c r="BD324" s="239">
        <v>0</v>
      </c>
      <c r="BE324" s="239">
        <v>108.5982438016529</v>
      </c>
      <c r="BF324" s="239">
        <v>2964</v>
      </c>
      <c r="BG324" s="239">
        <v>0</v>
      </c>
      <c r="BH324" s="239">
        <v>61</v>
      </c>
      <c r="BI324" s="239">
        <v>2357</v>
      </c>
      <c r="BJ324" s="239">
        <v>0</v>
      </c>
      <c r="BK324" s="239">
        <v>48</v>
      </c>
      <c r="BL324" s="239">
        <v>43299.737871900827</v>
      </c>
      <c r="BM324" s="239">
        <v>0</v>
      </c>
      <c r="BN324" s="239">
        <v>883.66811983471075</v>
      </c>
      <c r="BO324" s="239">
        <v>12569</v>
      </c>
      <c r="BP324" s="239">
        <v>0</v>
      </c>
      <c r="BQ324" s="239">
        <v>257</v>
      </c>
      <c r="BR324" s="239">
        <v>30731</v>
      </c>
      <c r="BS324" s="239">
        <v>0</v>
      </c>
      <c r="BT324" s="239">
        <v>627</v>
      </c>
      <c r="BU324" s="239">
        <v>19652.325723140493</v>
      </c>
      <c r="BV324" s="239">
        <v>0</v>
      </c>
      <c r="BW324" s="239">
        <v>401.06787190082645</v>
      </c>
      <c r="BX324" s="239">
        <v>0</v>
      </c>
      <c r="BY324" s="239">
        <v>0</v>
      </c>
      <c r="BZ324" s="239">
        <v>0</v>
      </c>
      <c r="CA324" s="239">
        <v>19652</v>
      </c>
      <c r="CB324" s="239">
        <v>0</v>
      </c>
      <c r="CC324" s="239">
        <v>401</v>
      </c>
      <c r="CD324" s="239">
        <v>0</v>
      </c>
      <c r="CE324" s="239">
        <v>0</v>
      </c>
      <c r="CF324" s="239">
        <v>0</v>
      </c>
      <c r="CG324" s="239">
        <v>0</v>
      </c>
      <c r="CH324" s="239">
        <v>0</v>
      </c>
      <c r="CI324" s="239">
        <v>0</v>
      </c>
      <c r="CJ324" s="239">
        <v>0</v>
      </c>
      <c r="CK324" s="239">
        <v>0</v>
      </c>
      <c r="CL324" s="239">
        <v>0</v>
      </c>
      <c r="CM324" s="239">
        <v>-2834.3888016528927</v>
      </c>
      <c r="CN324" s="239">
        <v>0</v>
      </c>
      <c r="CO324" s="239">
        <v>-57.844669421487602</v>
      </c>
      <c r="CP324" s="239">
        <v>0</v>
      </c>
      <c r="CQ324" s="239">
        <v>0</v>
      </c>
      <c r="CR324" s="239">
        <v>0</v>
      </c>
      <c r="CS324" s="239">
        <v>-2834</v>
      </c>
      <c r="CT324" s="239">
        <v>0</v>
      </c>
      <c r="CU324" s="239">
        <v>-58</v>
      </c>
      <c r="CV324" s="239">
        <v>493330.58119834709</v>
      </c>
      <c r="CW324" s="239">
        <v>0</v>
      </c>
      <c r="CX324" s="239">
        <v>10054.31549586777</v>
      </c>
      <c r="CY324" s="239">
        <v>546772</v>
      </c>
      <c r="CZ324" s="239">
        <v>0</v>
      </c>
      <c r="DA324" s="239">
        <v>11159</v>
      </c>
      <c r="DB324" s="239">
        <v>-53441</v>
      </c>
      <c r="DC324" s="239">
        <v>0</v>
      </c>
      <c r="DD324" s="239">
        <v>-1105</v>
      </c>
      <c r="DE324" s="641">
        <v>0.5</v>
      </c>
      <c r="DF324" s="641">
        <v>0.49</v>
      </c>
      <c r="DG324" s="641">
        <v>0</v>
      </c>
      <c r="DH324" s="641">
        <v>0.01</v>
      </c>
      <c r="DI324" s="214" t="s">
        <v>1192</v>
      </c>
    </row>
    <row r="325" spans="2:113" s="214" customFormat="1" x14ac:dyDescent="0.2">
      <c r="B325" s="609" t="s">
        <v>732</v>
      </c>
      <c r="C325" s="609" t="s">
        <v>731</v>
      </c>
      <c r="D325" s="239">
        <v>-55336</v>
      </c>
      <c r="E325" s="239">
        <v>0</v>
      </c>
      <c r="F325" s="239">
        <v>-55336</v>
      </c>
      <c r="G325" s="239">
        <v>0</v>
      </c>
      <c r="H325" s="239">
        <v>0</v>
      </c>
      <c r="I325" s="239">
        <v>0</v>
      </c>
      <c r="J325" s="239">
        <v>-55336</v>
      </c>
      <c r="K325" s="239">
        <v>0</v>
      </c>
      <c r="L325" s="239">
        <v>-55336</v>
      </c>
      <c r="M325" s="239">
        <v>136997</v>
      </c>
      <c r="N325" s="239">
        <v>136997</v>
      </c>
      <c r="O325" s="239">
        <v>0</v>
      </c>
      <c r="P325" s="239">
        <v>0</v>
      </c>
      <c r="Q325" s="239">
        <v>0</v>
      </c>
      <c r="R325" s="239">
        <v>0</v>
      </c>
      <c r="S325" s="239">
        <v>0</v>
      </c>
      <c r="T325" s="239">
        <v>0</v>
      </c>
      <c r="U325" s="239">
        <v>0</v>
      </c>
      <c r="V325" s="239">
        <v>0</v>
      </c>
      <c r="W325" s="239">
        <v>0</v>
      </c>
      <c r="X325" s="239">
        <v>0</v>
      </c>
      <c r="Y325" s="239">
        <v>0</v>
      </c>
      <c r="Z325" s="239">
        <v>0</v>
      </c>
      <c r="AA325" s="239">
        <v>0</v>
      </c>
      <c r="AB325" s="239">
        <v>0</v>
      </c>
      <c r="AC325" s="239">
        <v>0</v>
      </c>
      <c r="AD325" s="239">
        <v>0</v>
      </c>
      <c r="AE325" s="239">
        <v>0</v>
      </c>
      <c r="AF325" s="239">
        <v>0</v>
      </c>
      <c r="AG325" s="239">
        <v>0</v>
      </c>
      <c r="AH325" s="239">
        <v>0</v>
      </c>
      <c r="AI325" s="239">
        <v>0</v>
      </c>
      <c r="AJ325" s="239">
        <v>0</v>
      </c>
      <c r="AK325" s="239">
        <v>399833.67644628102</v>
      </c>
      <c r="AL325" s="239">
        <v>89962.577200413216</v>
      </c>
      <c r="AM325" s="239">
        <v>9995.8419111570256</v>
      </c>
      <c r="AN325" s="239">
        <v>380332</v>
      </c>
      <c r="AO325" s="239">
        <v>85575</v>
      </c>
      <c r="AP325" s="239">
        <v>9508</v>
      </c>
      <c r="AQ325" s="239">
        <v>19502</v>
      </c>
      <c r="AR325" s="239">
        <v>4388</v>
      </c>
      <c r="AS325" s="239">
        <v>488</v>
      </c>
      <c r="AT325" s="239">
        <v>2901.7694214876033</v>
      </c>
      <c r="AU325" s="239">
        <v>652.89811983471077</v>
      </c>
      <c r="AV325" s="239">
        <v>72.544235537190076</v>
      </c>
      <c r="AW325" s="239">
        <v>2534</v>
      </c>
      <c r="AX325" s="239">
        <v>570</v>
      </c>
      <c r="AY325" s="239">
        <v>63</v>
      </c>
      <c r="AZ325" s="239">
        <v>368</v>
      </c>
      <c r="BA325" s="239">
        <v>83</v>
      </c>
      <c r="BB325" s="239">
        <v>10</v>
      </c>
      <c r="BC325" s="239">
        <v>5852.2330578512401</v>
      </c>
      <c r="BD325" s="239">
        <v>1316.7524380165289</v>
      </c>
      <c r="BE325" s="239">
        <v>146.305826446281</v>
      </c>
      <c r="BF325" s="239">
        <v>20521</v>
      </c>
      <c r="BG325" s="239">
        <v>4617</v>
      </c>
      <c r="BH325" s="239">
        <v>513</v>
      </c>
      <c r="BI325" s="239">
        <v>-14669</v>
      </c>
      <c r="BJ325" s="239">
        <v>-3300</v>
      </c>
      <c r="BK325" s="239">
        <v>-367</v>
      </c>
      <c r="BL325" s="239">
        <v>11964.168595041325</v>
      </c>
      <c r="BM325" s="239">
        <v>2691.9379338842978</v>
      </c>
      <c r="BN325" s="239">
        <v>299.1042148760331</v>
      </c>
      <c r="BO325" s="239">
        <v>18814</v>
      </c>
      <c r="BP325" s="239">
        <v>4233</v>
      </c>
      <c r="BQ325" s="239">
        <v>470</v>
      </c>
      <c r="BR325" s="239">
        <v>-6850</v>
      </c>
      <c r="BS325" s="239">
        <v>-1541</v>
      </c>
      <c r="BT325" s="239">
        <v>-171</v>
      </c>
      <c r="BU325" s="239">
        <v>2717.542975206612</v>
      </c>
      <c r="BV325" s="239">
        <v>611.44716942148762</v>
      </c>
      <c r="BW325" s="239">
        <v>67.938574380165292</v>
      </c>
      <c r="BX325" s="239">
        <v>0</v>
      </c>
      <c r="BY325" s="239">
        <v>0</v>
      </c>
      <c r="BZ325" s="239">
        <v>0</v>
      </c>
      <c r="CA325" s="239">
        <v>2718</v>
      </c>
      <c r="CB325" s="239">
        <v>611</v>
      </c>
      <c r="CC325" s="239">
        <v>68</v>
      </c>
      <c r="CD325" s="239">
        <v>-34.491735537190088</v>
      </c>
      <c r="CE325" s="239">
        <v>-7.7606404958677686</v>
      </c>
      <c r="CF325" s="239">
        <v>-0.86229338842975212</v>
      </c>
      <c r="CG325" s="239">
        <v>0</v>
      </c>
      <c r="CH325" s="239">
        <v>0</v>
      </c>
      <c r="CI325" s="239">
        <v>0</v>
      </c>
      <c r="CJ325" s="239">
        <v>-34</v>
      </c>
      <c r="CK325" s="239">
        <v>-8</v>
      </c>
      <c r="CL325" s="239">
        <v>-1</v>
      </c>
      <c r="CM325" s="239">
        <v>815.22231404958688</v>
      </c>
      <c r="CN325" s="239">
        <v>183.42502066115702</v>
      </c>
      <c r="CO325" s="239">
        <v>20.380557851239669</v>
      </c>
      <c r="CP325" s="239">
        <v>2723</v>
      </c>
      <c r="CQ325" s="239">
        <v>613</v>
      </c>
      <c r="CR325" s="239">
        <v>68</v>
      </c>
      <c r="CS325" s="239">
        <v>-1908</v>
      </c>
      <c r="CT325" s="239">
        <v>-430</v>
      </c>
      <c r="CU325" s="239">
        <v>-48</v>
      </c>
      <c r="CV325" s="239">
        <v>240655.93884297521</v>
      </c>
      <c r="CW325" s="239">
        <v>54147.586239669421</v>
      </c>
      <c r="CX325" s="239">
        <v>6016.3984710743798</v>
      </c>
      <c r="CY325" s="239">
        <v>236023</v>
      </c>
      <c r="CZ325" s="239">
        <v>53105</v>
      </c>
      <c r="DA325" s="239">
        <v>5901</v>
      </c>
      <c r="DB325" s="239">
        <v>4633</v>
      </c>
      <c r="DC325" s="239">
        <v>1043</v>
      </c>
      <c r="DD325" s="239">
        <v>115</v>
      </c>
      <c r="DE325" s="641">
        <v>0.5</v>
      </c>
      <c r="DF325" s="641">
        <v>0.4</v>
      </c>
      <c r="DG325" s="641">
        <v>0.09</v>
      </c>
      <c r="DH325" s="641">
        <v>0.01</v>
      </c>
      <c r="DI325" s="214" t="s">
        <v>1190</v>
      </c>
    </row>
    <row r="326" spans="2:113" s="214" customFormat="1" x14ac:dyDescent="0.2">
      <c r="B326" s="609" t="s">
        <v>734</v>
      </c>
      <c r="C326" s="609" t="s">
        <v>733</v>
      </c>
      <c r="D326" s="239">
        <v>-47546</v>
      </c>
      <c r="E326" s="239">
        <v>0</v>
      </c>
      <c r="F326" s="239">
        <v>-47546</v>
      </c>
      <c r="G326" s="239">
        <v>0</v>
      </c>
      <c r="H326" s="239">
        <v>0</v>
      </c>
      <c r="I326" s="239">
        <v>0</v>
      </c>
      <c r="J326" s="239">
        <v>-47546</v>
      </c>
      <c r="K326" s="239">
        <v>0</v>
      </c>
      <c r="L326" s="239">
        <v>-47546</v>
      </c>
      <c r="M326" s="239">
        <v>131043</v>
      </c>
      <c r="N326" s="239">
        <v>131043</v>
      </c>
      <c r="O326" s="239">
        <v>0</v>
      </c>
      <c r="P326" s="239">
        <v>0</v>
      </c>
      <c r="Q326" s="239">
        <v>0</v>
      </c>
      <c r="R326" s="239">
        <v>0</v>
      </c>
      <c r="S326" s="239">
        <v>0</v>
      </c>
      <c r="T326" s="239">
        <v>0</v>
      </c>
      <c r="U326" s="239">
        <v>0</v>
      </c>
      <c r="V326" s="239">
        <v>0</v>
      </c>
      <c r="W326" s="239">
        <v>0</v>
      </c>
      <c r="X326" s="239">
        <v>0</v>
      </c>
      <c r="Y326" s="239">
        <v>0</v>
      </c>
      <c r="Z326" s="239">
        <v>0</v>
      </c>
      <c r="AA326" s="239">
        <v>0</v>
      </c>
      <c r="AB326" s="239">
        <v>0</v>
      </c>
      <c r="AC326" s="239">
        <v>0</v>
      </c>
      <c r="AD326" s="239">
        <v>0</v>
      </c>
      <c r="AE326" s="239">
        <v>0</v>
      </c>
      <c r="AF326" s="239">
        <v>0</v>
      </c>
      <c r="AG326" s="239">
        <v>0</v>
      </c>
      <c r="AH326" s="239">
        <v>0</v>
      </c>
      <c r="AI326" s="239">
        <v>0</v>
      </c>
      <c r="AJ326" s="239">
        <v>0</v>
      </c>
      <c r="AK326" s="239">
        <v>448272.24669421493</v>
      </c>
      <c r="AL326" s="239">
        <v>112068.06167355373</v>
      </c>
      <c r="AM326" s="239">
        <v>0</v>
      </c>
      <c r="AN326" s="239">
        <v>436729</v>
      </c>
      <c r="AO326" s="239">
        <v>109182</v>
      </c>
      <c r="AP326" s="239">
        <v>0</v>
      </c>
      <c r="AQ326" s="239">
        <v>11543</v>
      </c>
      <c r="AR326" s="239">
        <v>2886</v>
      </c>
      <c r="AS326" s="239">
        <v>0</v>
      </c>
      <c r="AT326" s="239">
        <v>0</v>
      </c>
      <c r="AU326" s="239">
        <v>0</v>
      </c>
      <c r="AV326" s="239">
        <v>0</v>
      </c>
      <c r="AW326" s="239">
        <v>0</v>
      </c>
      <c r="AX326" s="239">
        <v>0</v>
      </c>
      <c r="AY326" s="239">
        <v>0</v>
      </c>
      <c r="AZ326" s="239">
        <v>0</v>
      </c>
      <c r="BA326" s="239">
        <v>0</v>
      </c>
      <c r="BB326" s="239">
        <v>0</v>
      </c>
      <c r="BC326" s="239">
        <v>0</v>
      </c>
      <c r="BD326" s="239">
        <v>0</v>
      </c>
      <c r="BE326" s="239">
        <v>0</v>
      </c>
      <c r="BF326" s="239">
        <v>0</v>
      </c>
      <c r="BG326" s="239">
        <v>0</v>
      </c>
      <c r="BH326" s="239">
        <v>0</v>
      </c>
      <c r="BI326" s="239">
        <v>0</v>
      </c>
      <c r="BJ326" s="239">
        <v>0</v>
      </c>
      <c r="BK326" s="239">
        <v>0</v>
      </c>
      <c r="BL326" s="239">
        <v>0</v>
      </c>
      <c r="BM326" s="239">
        <v>0</v>
      </c>
      <c r="BN326" s="239">
        <v>0</v>
      </c>
      <c r="BO326" s="239">
        <v>12896</v>
      </c>
      <c r="BP326" s="239">
        <v>3224</v>
      </c>
      <c r="BQ326" s="239">
        <v>0</v>
      </c>
      <c r="BR326" s="239">
        <v>-12896</v>
      </c>
      <c r="BS326" s="239">
        <v>-3224</v>
      </c>
      <c r="BT326" s="239">
        <v>0</v>
      </c>
      <c r="BU326" s="239">
        <v>-3083.5611570247934</v>
      </c>
      <c r="BV326" s="239">
        <v>-770.89028925619834</v>
      </c>
      <c r="BW326" s="239">
        <v>0</v>
      </c>
      <c r="BX326" s="239">
        <v>0</v>
      </c>
      <c r="BY326" s="239">
        <v>0</v>
      </c>
      <c r="BZ326" s="239">
        <v>0</v>
      </c>
      <c r="CA326" s="239">
        <v>-3084</v>
      </c>
      <c r="CB326" s="239">
        <v>-771</v>
      </c>
      <c r="CC326" s="239">
        <v>0</v>
      </c>
      <c r="CD326" s="239">
        <v>0</v>
      </c>
      <c r="CE326" s="239">
        <v>0</v>
      </c>
      <c r="CF326" s="239">
        <v>0</v>
      </c>
      <c r="CG326" s="239">
        <v>0</v>
      </c>
      <c r="CH326" s="239">
        <v>0</v>
      </c>
      <c r="CI326" s="239">
        <v>0</v>
      </c>
      <c r="CJ326" s="239">
        <v>0</v>
      </c>
      <c r="CK326" s="239">
        <v>0</v>
      </c>
      <c r="CL326" s="239">
        <v>0</v>
      </c>
      <c r="CM326" s="239">
        <v>714.18181818181824</v>
      </c>
      <c r="CN326" s="239">
        <v>178.54545454545456</v>
      </c>
      <c r="CO326" s="239">
        <v>0</v>
      </c>
      <c r="CP326" s="239">
        <v>2990</v>
      </c>
      <c r="CQ326" s="239">
        <v>747</v>
      </c>
      <c r="CR326" s="239">
        <v>0</v>
      </c>
      <c r="CS326" s="239">
        <v>-2276</v>
      </c>
      <c r="CT326" s="239">
        <v>-568</v>
      </c>
      <c r="CU326" s="239">
        <v>0</v>
      </c>
      <c r="CV326" s="239">
        <v>188004.72727272726</v>
      </c>
      <c r="CW326" s="239">
        <v>47001.181818181816</v>
      </c>
      <c r="CX326" s="239">
        <v>0</v>
      </c>
      <c r="CY326" s="239">
        <v>188021</v>
      </c>
      <c r="CZ326" s="239">
        <v>47005</v>
      </c>
      <c r="DA326" s="239">
        <v>0</v>
      </c>
      <c r="DB326" s="239">
        <v>-16</v>
      </c>
      <c r="DC326" s="239">
        <v>-4</v>
      </c>
      <c r="DD326" s="239">
        <v>0</v>
      </c>
      <c r="DE326" s="641">
        <v>0.5</v>
      </c>
      <c r="DF326" s="641">
        <v>0.4</v>
      </c>
      <c r="DG326" s="641">
        <v>0.1</v>
      </c>
      <c r="DH326" s="641">
        <v>0</v>
      </c>
      <c r="DI326" s="214" t="s">
        <v>1190</v>
      </c>
    </row>
    <row r="327" spans="2:113" s="214" customFormat="1" x14ac:dyDescent="0.2">
      <c r="B327" s="609" t="s">
        <v>736</v>
      </c>
      <c r="C327" s="609" t="s">
        <v>735</v>
      </c>
      <c r="D327" s="239">
        <v>-146980</v>
      </c>
      <c r="E327" s="239">
        <v>0</v>
      </c>
      <c r="F327" s="239">
        <v>-146980</v>
      </c>
      <c r="G327" s="239">
        <v>0</v>
      </c>
      <c r="H327" s="239">
        <v>0</v>
      </c>
      <c r="I327" s="239">
        <v>0</v>
      </c>
      <c r="J327" s="239">
        <v>-146980</v>
      </c>
      <c r="K327" s="239">
        <v>0</v>
      </c>
      <c r="L327" s="239">
        <v>-146980</v>
      </c>
      <c r="M327" s="239">
        <v>187199</v>
      </c>
      <c r="N327" s="239">
        <v>187199</v>
      </c>
      <c r="O327" s="239">
        <v>0</v>
      </c>
      <c r="P327" s="239">
        <v>0</v>
      </c>
      <c r="Q327" s="239">
        <v>0</v>
      </c>
      <c r="R327" s="239">
        <v>0</v>
      </c>
      <c r="S327" s="239">
        <v>207552</v>
      </c>
      <c r="T327" s="239">
        <v>0</v>
      </c>
      <c r="U327" s="239">
        <v>30157</v>
      </c>
      <c r="V327" s="239">
        <v>0</v>
      </c>
      <c r="W327" s="239">
        <v>177395</v>
      </c>
      <c r="X327" s="239">
        <v>0</v>
      </c>
      <c r="Y327" s="239">
        <v>0</v>
      </c>
      <c r="Z327" s="239">
        <v>0</v>
      </c>
      <c r="AA327" s="239">
        <v>0</v>
      </c>
      <c r="AB327" s="239">
        <v>0</v>
      </c>
      <c r="AC327" s="239">
        <v>0</v>
      </c>
      <c r="AD327" s="239">
        <v>0</v>
      </c>
      <c r="AE327" s="239">
        <v>0</v>
      </c>
      <c r="AF327" s="239">
        <v>0</v>
      </c>
      <c r="AG327" s="239">
        <v>0</v>
      </c>
      <c r="AH327" s="239">
        <v>0</v>
      </c>
      <c r="AI327" s="239">
        <v>0</v>
      </c>
      <c r="AJ327" s="239">
        <v>0</v>
      </c>
      <c r="AK327" s="239">
        <v>705234.45909090911</v>
      </c>
      <c r="AL327" s="239">
        <v>158677.75329545455</v>
      </c>
      <c r="AM327" s="239">
        <v>17630.861477272727</v>
      </c>
      <c r="AN327" s="239">
        <v>647640</v>
      </c>
      <c r="AO327" s="239">
        <v>145719</v>
      </c>
      <c r="AP327" s="239">
        <v>16191</v>
      </c>
      <c r="AQ327" s="239">
        <v>57594</v>
      </c>
      <c r="AR327" s="239">
        <v>12959</v>
      </c>
      <c r="AS327" s="239">
        <v>1440</v>
      </c>
      <c r="AT327" s="239">
        <v>2479.7528925619836</v>
      </c>
      <c r="AU327" s="239">
        <v>557.94440082644633</v>
      </c>
      <c r="AV327" s="239">
        <v>61.993822314049595</v>
      </c>
      <c r="AW327" s="239">
        <v>4147</v>
      </c>
      <c r="AX327" s="239">
        <v>933</v>
      </c>
      <c r="AY327" s="239">
        <v>104</v>
      </c>
      <c r="AZ327" s="239">
        <v>-1667</v>
      </c>
      <c r="BA327" s="239">
        <v>-375</v>
      </c>
      <c r="BB327" s="239">
        <v>-42</v>
      </c>
      <c r="BC327" s="239">
        <v>34.085950413223145</v>
      </c>
      <c r="BD327" s="239">
        <v>7.6693388429752058</v>
      </c>
      <c r="BE327" s="239">
        <v>0.85214876033057863</v>
      </c>
      <c r="BF327" s="239">
        <v>0</v>
      </c>
      <c r="BG327" s="239">
        <v>0</v>
      </c>
      <c r="BH327" s="239">
        <v>0</v>
      </c>
      <c r="BI327" s="239">
        <v>34</v>
      </c>
      <c r="BJ327" s="239">
        <v>8</v>
      </c>
      <c r="BK327" s="239">
        <v>1</v>
      </c>
      <c r="BL327" s="239">
        <v>10245.262809917356</v>
      </c>
      <c r="BM327" s="239">
        <v>2305.1841322314049</v>
      </c>
      <c r="BN327" s="239">
        <v>256.13157024793389</v>
      </c>
      <c r="BO327" s="239">
        <v>12331</v>
      </c>
      <c r="BP327" s="239">
        <v>2775</v>
      </c>
      <c r="BQ327" s="239">
        <v>308</v>
      </c>
      <c r="BR327" s="239">
        <v>-2086</v>
      </c>
      <c r="BS327" s="239">
        <v>-470</v>
      </c>
      <c r="BT327" s="239">
        <v>-52</v>
      </c>
      <c r="BU327" s="239">
        <v>4816.6694214876034</v>
      </c>
      <c r="BV327" s="239">
        <v>1083.7506198347107</v>
      </c>
      <c r="BW327" s="239">
        <v>120.41673553719009</v>
      </c>
      <c r="BX327" s="239">
        <v>0</v>
      </c>
      <c r="BY327" s="239">
        <v>0</v>
      </c>
      <c r="BZ327" s="239">
        <v>0</v>
      </c>
      <c r="CA327" s="239">
        <v>4817</v>
      </c>
      <c r="CB327" s="239">
        <v>1084</v>
      </c>
      <c r="CC327" s="239">
        <v>120</v>
      </c>
      <c r="CD327" s="239">
        <v>0</v>
      </c>
      <c r="CE327" s="239">
        <v>0</v>
      </c>
      <c r="CF327" s="239">
        <v>0</v>
      </c>
      <c r="CG327" s="239">
        <v>0</v>
      </c>
      <c r="CH327" s="239">
        <v>0</v>
      </c>
      <c r="CI327" s="239">
        <v>0</v>
      </c>
      <c r="CJ327" s="239">
        <v>0</v>
      </c>
      <c r="CK327" s="239">
        <v>0</v>
      </c>
      <c r="CL327" s="239">
        <v>0</v>
      </c>
      <c r="CM327" s="239">
        <v>2301.6132231404958</v>
      </c>
      <c r="CN327" s="239">
        <v>517.86297520661151</v>
      </c>
      <c r="CO327" s="239">
        <v>57.540330578512396</v>
      </c>
      <c r="CP327" s="239">
        <v>4511</v>
      </c>
      <c r="CQ327" s="239">
        <v>1015</v>
      </c>
      <c r="CR327" s="239">
        <v>113</v>
      </c>
      <c r="CS327" s="239">
        <v>-2209</v>
      </c>
      <c r="CT327" s="239">
        <v>-497</v>
      </c>
      <c r="CU327" s="239">
        <v>-55</v>
      </c>
      <c r="CV327" s="239">
        <v>239644.45619834709</v>
      </c>
      <c r="CW327" s="239">
        <v>53244.600991735533</v>
      </c>
      <c r="CX327" s="239">
        <v>5916.0667768595049</v>
      </c>
      <c r="CY327" s="239">
        <v>231559</v>
      </c>
      <c r="CZ327" s="239">
        <v>52003</v>
      </c>
      <c r="DA327" s="239">
        <v>5778</v>
      </c>
      <c r="DB327" s="239">
        <v>8085</v>
      </c>
      <c r="DC327" s="239">
        <v>1242</v>
      </c>
      <c r="DD327" s="239">
        <v>138</v>
      </c>
      <c r="DE327" s="641">
        <v>0.5</v>
      </c>
      <c r="DF327" s="641">
        <v>0.4</v>
      </c>
      <c r="DG327" s="641">
        <v>0.09</v>
      </c>
      <c r="DH327" s="641">
        <v>0.01</v>
      </c>
      <c r="DI327" s="214" t="s">
        <v>1190</v>
      </c>
    </row>
    <row r="328" spans="2:113" s="214" customFormat="1" x14ac:dyDescent="0.2">
      <c r="B328" s="609" t="s">
        <v>738</v>
      </c>
      <c r="C328" s="609" t="s">
        <v>737</v>
      </c>
      <c r="D328" s="239">
        <v>173170</v>
      </c>
      <c r="E328" s="239">
        <v>0</v>
      </c>
      <c r="F328" s="239">
        <v>173170</v>
      </c>
      <c r="G328" s="239">
        <v>0</v>
      </c>
      <c r="H328" s="239">
        <v>0</v>
      </c>
      <c r="I328" s="239">
        <v>0</v>
      </c>
      <c r="J328" s="239">
        <v>173170</v>
      </c>
      <c r="K328" s="239">
        <v>0</v>
      </c>
      <c r="L328" s="239">
        <v>173170</v>
      </c>
      <c r="M328" s="239">
        <v>240953</v>
      </c>
      <c r="N328" s="239">
        <v>240953</v>
      </c>
      <c r="O328" s="239">
        <v>0</v>
      </c>
      <c r="P328" s="239">
        <v>0</v>
      </c>
      <c r="Q328" s="239">
        <v>0</v>
      </c>
      <c r="R328" s="239">
        <v>0</v>
      </c>
      <c r="S328" s="239">
        <v>0</v>
      </c>
      <c r="T328" s="239">
        <v>0</v>
      </c>
      <c r="U328" s="239">
        <v>0</v>
      </c>
      <c r="V328" s="239">
        <v>0</v>
      </c>
      <c r="W328" s="239">
        <v>0</v>
      </c>
      <c r="X328" s="239">
        <v>0</v>
      </c>
      <c r="Y328" s="239">
        <v>0</v>
      </c>
      <c r="Z328" s="239">
        <v>0</v>
      </c>
      <c r="AA328" s="239">
        <v>0</v>
      </c>
      <c r="AB328" s="239">
        <v>0</v>
      </c>
      <c r="AC328" s="239">
        <v>0</v>
      </c>
      <c r="AD328" s="239">
        <v>0</v>
      </c>
      <c r="AE328" s="239">
        <v>0</v>
      </c>
      <c r="AF328" s="239">
        <v>0</v>
      </c>
      <c r="AG328" s="239">
        <v>0</v>
      </c>
      <c r="AH328" s="239">
        <v>0</v>
      </c>
      <c r="AI328" s="239">
        <v>0</v>
      </c>
      <c r="AJ328" s="239">
        <v>0</v>
      </c>
      <c r="AK328" s="239">
        <v>597479.23388429754</v>
      </c>
      <c r="AL328" s="239">
        <v>134432.82762396694</v>
      </c>
      <c r="AM328" s="239">
        <v>14936.980847107439</v>
      </c>
      <c r="AN328" s="239">
        <v>483686</v>
      </c>
      <c r="AO328" s="239">
        <v>108829</v>
      </c>
      <c r="AP328" s="239">
        <v>12092</v>
      </c>
      <c r="AQ328" s="239">
        <v>113793</v>
      </c>
      <c r="AR328" s="239">
        <v>25604</v>
      </c>
      <c r="AS328" s="239">
        <v>2845</v>
      </c>
      <c r="AT328" s="239">
        <v>-1342.7429752066118</v>
      </c>
      <c r="AU328" s="239">
        <v>-302.11716942148757</v>
      </c>
      <c r="AV328" s="239">
        <v>-33.568574380165288</v>
      </c>
      <c r="AW328" s="239">
        <v>5476</v>
      </c>
      <c r="AX328" s="239">
        <v>1232</v>
      </c>
      <c r="AY328" s="239">
        <v>137</v>
      </c>
      <c r="AZ328" s="239">
        <v>-6819</v>
      </c>
      <c r="BA328" s="239">
        <v>-1534</v>
      </c>
      <c r="BB328" s="239">
        <v>-171</v>
      </c>
      <c r="BC328" s="239">
        <v>0</v>
      </c>
      <c r="BD328" s="239">
        <v>0</v>
      </c>
      <c r="BE328" s="239">
        <v>0</v>
      </c>
      <c r="BF328" s="239">
        <v>0</v>
      </c>
      <c r="BG328" s="239">
        <v>0</v>
      </c>
      <c r="BH328" s="239">
        <v>0</v>
      </c>
      <c r="BI328" s="239">
        <v>0</v>
      </c>
      <c r="BJ328" s="239">
        <v>0</v>
      </c>
      <c r="BK328" s="239">
        <v>0</v>
      </c>
      <c r="BL328" s="239">
        <v>14960.89173553719</v>
      </c>
      <c r="BM328" s="239">
        <v>3366.2006404958674</v>
      </c>
      <c r="BN328" s="239">
        <v>374.02229338842972</v>
      </c>
      <c r="BO328" s="239">
        <v>3659</v>
      </c>
      <c r="BP328" s="239">
        <v>824</v>
      </c>
      <c r="BQ328" s="239">
        <v>92</v>
      </c>
      <c r="BR328" s="239">
        <v>11302</v>
      </c>
      <c r="BS328" s="239">
        <v>2542</v>
      </c>
      <c r="BT328" s="239">
        <v>282</v>
      </c>
      <c r="BU328" s="239">
        <v>29569.561983471074</v>
      </c>
      <c r="BV328" s="239">
        <v>6653.151446280991</v>
      </c>
      <c r="BW328" s="239">
        <v>739.23904958677679</v>
      </c>
      <c r="BX328" s="239">
        <v>0</v>
      </c>
      <c r="BY328" s="239">
        <v>0</v>
      </c>
      <c r="BZ328" s="239">
        <v>0</v>
      </c>
      <c r="CA328" s="239">
        <v>29570</v>
      </c>
      <c r="CB328" s="239">
        <v>6653</v>
      </c>
      <c r="CC328" s="239">
        <v>739</v>
      </c>
      <c r="CD328" s="239">
        <v>0</v>
      </c>
      <c r="CE328" s="239">
        <v>0</v>
      </c>
      <c r="CF328" s="239">
        <v>0</v>
      </c>
      <c r="CG328" s="239">
        <v>0</v>
      </c>
      <c r="CH328" s="239">
        <v>0</v>
      </c>
      <c r="CI328" s="239">
        <v>0</v>
      </c>
      <c r="CJ328" s="239">
        <v>0</v>
      </c>
      <c r="CK328" s="239">
        <v>0</v>
      </c>
      <c r="CL328" s="239">
        <v>0</v>
      </c>
      <c r="CM328" s="239">
        <v>4259.5264462809919</v>
      </c>
      <c r="CN328" s="239">
        <v>958.39345041322315</v>
      </c>
      <c r="CO328" s="239">
        <v>106.48816115702481</v>
      </c>
      <c r="CP328" s="239">
        <v>8843</v>
      </c>
      <c r="CQ328" s="239">
        <v>1990</v>
      </c>
      <c r="CR328" s="239">
        <v>221</v>
      </c>
      <c r="CS328" s="239">
        <v>-4583</v>
      </c>
      <c r="CT328" s="239">
        <v>-1032</v>
      </c>
      <c r="CU328" s="239">
        <v>-115</v>
      </c>
      <c r="CV328" s="239">
        <v>417473.15041322319</v>
      </c>
      <c r="CW328" s="239">
        <v>93931.458842975204</v>
      </c>
      <c r="CX328" s="239">
        <v>10436.828760330578</v>
      </c>
      <c r="CY328" s="239">
        <v>427797</v>
      </c>
      <c r="CZ328" s="239">
        <v>96254</v>
      </c>
      <c r="DA328" s="239">
        <v>10695</v>
      </c>
      <c r="DB328" s="239">
        <v>-10324</v>
      </c>
      <c r="DC328" s="239">
        <v>-2323</v>
      </c>
      <c r="DD328" s="239">
        <v>-258</v>
      </c>
      <c r="DE328" s="641">
        <v>0.5</v>
      </c>
      <c r="DF328" s="641">
        <v>0.4</v>
      </c>
      <c r="DG328" s="641">
        <v>0.09</v>
      </c>
      <c r="DH328" s="641">
        <v>0.01</v>
      </c>
      <c r="DI328" s="214" t="s">
        <v>1190</v>
      </c>
    </row>
    <row r="329" spans="2:113" s="214" customFormat="1" x14ac:dyDescent="0.2">
      <c r="B329" s="609" t="s">
        <v>740</v>
      </c>
      <c r="C329" s="609" t="s">
        <v>739</v>
      </c>
      <c r="D329" s="239">
        <v>-123156</v>
      </c>
      <c r="E329" s="239">
        <v>0</v>
      </c>
      <c r="F329" s="239">
        <v>-123156</v>
      </c>
      <c r="G329" s="239">
        <v>0</v>
      </c>
      <c r="H329" s="239">
        <v>0</v>
      </c>
      <c r="I329" s="239">
        <v>0</v>
      </c>
      <c r="J329" s="239">
        <v>-123156</v>
      </c>
      <c r="K329" s="239">
        <v>0</v>
      </c>
      <c r="L329" s="239">
        <v>-123156</v>
      </c>
      <c r="M329" s="239">
        <v>153244</v>
      </c>
      <c r="N329" s="239">
        <v>153244</v>
      </c>
      <c r="O329" s="239">
        <v>0</v>
      </c>
      <c r="P329" s="239">
        <v>55289</v>
      </c>
      <c r="Q329" s="239">
        <v>0</v>
      </c>
      <c r="R329" s="239">
        <v>55289</v>
      </c>
      <c r="S329" s="239">
        <v>0</v>
      </c>
      <c r="T329" s="239">
        <v>0</v>
      </c>
      <c r="U329" s="239">
        <v>0</v>
      </c>
      <c r="V329" s="239">
        <v>0</v>
      </c>
      <c r="W329" s="239">
        <v>0</v>
      </c>
      <c r="X329" s="239">
        <v>0</v>
      </c>
      <c r="Y329" s="239">
        <v>0</v>
      </c>
      <c r="Z329" s="239">
        <v>0</v>
      </c>
      <c r="AA329" s="239">
        <v>0</v>
      </c>
      <c r="AB329" s="239">
        <v>0</v>
      </c>
      <c r="AC329" s="239">
        <v>0</v>
      </c>
      <c r="AD329" s="239">
        <v>0</v>
      </c>
      <c r="AE329" s="239">
        <v>0</v>
      </c>
      <c r="AF329" s="239">
        <v>0</v>
      </c>
      <c r="AG329" s="239">
        <v>0</v>
      </c>
      <c r="AH329" s="239">
        <v>0</v>
      </c>
      <c r="AI329" s="239">
        <v>0</v>
      </c>
      <c r="AJ329" s="239">
        <v>0</v>
      </c>
      <c r="AK329" s="239">
        <v>636679.9028925621</v>
      </c>
      <c r="AL329" s="239">
        <v>140307.35857438017</v>
      </c>
      <c r="AM329" s="239">
        <v>15589.706508264462</v>
      </c>
      <c r="AN329" s="239">
        <v>621585</v>
      </c>
      <c r="AO329" s="239">
        <v>137428</v>
      </c>
      <c r="AP329" s="239">
        <v>15270</v>
      </c>
      <c r="AQ329" s="239">
        <v>15095</v>
      </c>
      <c r="AR329" s="239">
        <v>2879</v>
      </c>
      <c r="AS329" s="239">
        <v>320</v>
      </c>
      <c r="AT329" s="239">
        <v>8152.6289256198352</v>
      </c>
      <c r="AU329" s="239">
        <v>1564.0886157024793</v>
      </c>
      <c r="AV329" s="239">
        <v>173.78762396694214</v>
      </c>
      <c r="AW329" s="239">
        <v>4300</v>
      </c>
      <c r="AX329" s="239">
        <v>967</v>
      </c>
      <c r="AY329" s="239">
        <v>107</v>
      </c>
      <c r="AZ329" s="239">
        <v>3853</v>
      </c>
      <c r="BA329" s="239">
        <v>597</v>
      </c>
      <c r="BB329" s="239">
        <v>67</v>
      </c>
      <c r="BC329" s="239">
        <v>0</v>
      </c>
      <c r="BD329" s="239">
        <v>0</v>
      </c>
      <c r="BE329" s="239">
        <v>0</v>
      </c>
      <c r="BF329" s="239">
        <v>0</v>
      </c>
      <c r="BG329" s="239">
        <v>0</v>
      </c>
      <c r="BH329" s="239">
        <v>0</v>
      </c>
      <c r="BI329" s="239">
        <v>0</v>
      </c>
      <c r="BJ329" s="239">
        <v>0</v>
      </c>
      <c r="BK329" s="239">
        <v>0</v>
      </c>
      <c r="BL329" s="239">
        <v>515.75289256198346</v>
      </c>
      <c r="BM329" s="239">
        <v>116.04440082644628</v>
      </c>
      <c r="BN329" s="239">
        <v>12.893822314049586</v>
      </c>
      <c r="BO329" s="239">
        <v>775</v>
      </c>
      <c r="BP329" s="239">
        <v>174</v>
      </c>
      <c r="BQ329" s="239">
        <v>19</v>
      </c>
      <c r="BR329" s="239">
        <v>-259</v>
      </c>
      <c r="BS329" s="239">
        <v>-58</v>
      </c>
      <c r="BT329" s="239">
        <v>-6</v>
      </c>
      <c r="BU329" s="239">
        <v>-1701.4570247933884</v>
      </c>
      <c r="BV329" s="239">
        <v>-382.82783057851236</v>
      </c>
      <c r="BW329" s="239">
        <v>-42.536425619834709</v>
      </c>
      <c r="BX329" s="239">
        <v>0</v>
      </c>
      <c r="BY329" s="239">
        <v>0</v>
      </c>
      <c r="BZ329" s="239">
        <v>0</v>
      </c>
      <c r="CA329" s="239">
        <v>-1701</v>
      </c>
      <c r="CB329" s="239">
        <v>-383</v>
      </c>
      <c r="CC329" s="239">
        <v>-43</v>
      </c>
      <c r="CD329" s="239">
        <v>-102.25785123966944</v>
      </c>
      <c r="CE329" s="239">
        <v>-23.008016528925619</v>
      </c>
      <c r="CF329" s="239">
        <v>-2.5564462809917354</v>
      </c>
      <c r="CG329" s="239">
        <v>0</v>
      </c>
      <c r="CH329" s="239">
        <v>0</v>
      </c>
      <c r="CI329" s="239">
        <v>0</v>
      </c>
      <c r="CJ329" s="239">
        <v>-102</v>
      </c>
      <c r="CK329" s="239">
        <v>-23</v>
      </c>
      <c r="CL329" s="239">
        <v>-3</v>
      </c>
      <c r="CM329" s="239">
        <v>0</v>
      </c>
      <c r="CN329" s="239">
        <v>0</v>
      </c>
      <c r="CO329" s="239">
        <v>0</v>
      </c>
      <c r="CP329" s="239">
        <v>4058</v>
      </c>
      <c r="CQ329" s="239">
        <v>913</v>
      </c>
      <c r="CR329" s="239">
        <v>101</v>
      </c>
      <c r="CS329" s="239">
        <v>-4058</v>
      </c>
      <c r="CT329" s="239">
        <v>-913</v>
      </c>
      <c r="CU329" s="239">
        <v>-101</v>
      </c>
      <c r="CV329" s="239">
        <v>152584.10537190083</v>
      </c>
      <c r="CW329" s="239">
        <v>34151.505991735532</v>
      </c>
      <c r="CX329" s="239">
        <v>3794.6117768595041</v>
      </c>
      <c r="CY329" s="239">
        <v>156032</v>
      </c>
      <c r="CZ329" s="239">
        <v>35107</v>
      </c>
      <c r="DA329" s="239">
        <v>3901</v>
      </c>
      <c r="DB329" s="239">
        <v>-3448</v>
      </c>
      <c r="DC329" s="239">
        <v>-955</v>
      </c>
      <c r="DD329" s="239">
        <v>-106</v>
      </c>
      <c r="DE329" s="641">
        <v>0.5</v>
      </c>
      <c r="DF329" s="641">
        <v>0.4</v>
      </c>
      <c r="DG329" s="641">
        <v>0.09</v>
      </c>
      <c r="DH329" s="641">
        <v>0.01</v>
      </c>
      <c r="DI329" s="214" t="s">
        <v>1190</v>
      </c>
    </row>
    <row r="330" spans="2:113" s="214" customFormat="1" x14ac:dyDescent="0.2">
      <c r="B330" s="609" t="s">
        <v>742</v>
      </c>
      <c r="C330" s="609" t="s">
        <v>741</v>
      </c>
      <c r="D330" s="239">
        <v>-36844</v>
      </c>
      <c r="E330" s="239">
        <v>0</v>
      </c>
      <c r="F330" s="239">
        <v>-36844</v>
      </c>
      <c r="G330" s="239">
        <v>0</v>
      </c>
      <c r="H330" s="239">
        <v>0</v>
      </c>
      <c r="I330" s="239">
        <v>0</v>
      </c>
      <c r="J330" s="239">
        <v>-36844</v>
      </c>
      <c r="K330" s="239">
        <v>0</v>
      </c>
      <c r="L330" s="239">
        <v>-36844</v>
      </c>
      <c r="M330" s="239">
        <v>134079</v>
      </c>
      <c r="N330" s="239">
        <v>134079</v>
      </c>
      <c r="O330" s="239">
        <v>0</v>
      </c>
      <c r="P330" s="239">
        <v>0</v>
      </c>
      <c r="Q330" s="239">
        <v>0</v>
      </c>
      <c r="R330" s="239">
        <v>0</v>
      </c>
      <c r="S330" s="239">
        <v>4237</v>
      </c>
      <c r="T330" s="239">
        <v>0</v>
      </c>
      <c r="U330" s="239">
        <v>0</v>
      </c>
      <c r="V330" s="239">
        <v>0</v>
      </c>
      <c r="W330" s="239">
        <v>4237</v>
      </c>
      <c r="X330" s="239">
        <v>0</v>
      </c>
      <c r="Y330" s="239">
        <v>0</v>
      </c>
      <c r="Z330" s="239">
        <v>0</v>
      </c>
      <c r="AA330" s="239">
        <v>0</v>
      </c>
      <c r="AB330" s="239">
        <v>0</v>
      </c>
      <c r="AC330" s="239">
        <v>0</v>
      </c>
      <c r="AD330" s="239">
        <v>0</v>
      </c>
      <c r="AE330" s="239">
        <v>0</v>
      </c>
      <c r="AF330" s="239">
        <v>0</v>
      </c>
      <c r="AG330" s="239">
        <v>0</v>
      </c>
      <c r="AH330" s="239">
        <v>0</v>
      </c>
      <c r="AI330" s="239">
        <v>0</v>
      </c>
      <c r="AJ330" s="239">
        <v>0</v>
      </c>
      <c r="AK330" s="239">
        <v>496815.91528925626</v>
      </c>
      <c r="AL330" s="239">
        <v>111783.58094008264</v>
      </c>
      <c r="AM330" s="239">
        <v>12420.397882231406</v>
      </c>
      <c r="AN330" s="239">
        <v>456388</v>
      </c>
      <c r="AO330" s="239">
        <v>102688</v>
      </c>
      <c r="AP330" s="239">
        <v>11410</v>
      </c>
      <c r="AQ330" s="239">
        <v>40428</v>
      </c>
      <c r="AR330" s="239">
        <v>9096</v>
      </c>
      <c r="AS330" s="239">
        <v>1010</v>
      </c>
      <c r="AT330" s="239">
        <v>0</v>
      </c>
      <c r="AU330" s="239">
        <v>0</v>
      </c>
      <c r="AV330" s="239">
        <v>0</v>
      </c>
      <c r="AW330" s="239">
        <v>0</v>
      </c>
      <c r="AX330" s="239">
        <v>0</v>
      </c>
      <c r="AY330" s="239">
        <v>0</v>
      </c>
      <c r="AZ330" s="239">
        <v>0</v>
      </c>
      <c r="BA330" s="239">
        <v>0</v>
      </c>
      <c r="BB330" s="239">
        <v>0</v>
      </c>
      <c r="BC330" s="239">
        <v>0</v>
      </c>
      <c r="BD330" s="239">
        <v>0</v>
      </c>
      <c r="BE330" s="239">
        <v>0</v>
      </c>
      <c r="BF330" s="239">
        <v>0</v>
      </c>
      <c r="BG330" s="239">
        <v>0</v>
      </c>
      <c r="BH330" s="239">
        <v>0</v>
      </c>
      <c r="BI330" s="239">
        <v>0</v>
      </c>
      <c r="BJ330" s="239">
        <v>0</v>
      </c>
      <c r="BK330" s="239">
        <v>0</v>
      </c>
      <c r="BL330" s="239">
        <v>3993.7371900826442</v>
      </c>
      <c r="BM330" s="239">
        <v>898.59086776859488</v>
      </c>
      <c r="BN330" s="239">
        <v>99.8434297520661</v>
      </c>
      <c r="BO330" s="239">
        <v>0</v>
      </c>
      <c r="BP330" s="239">
        <v>0</v>
      </c>
      <c r="BQ330" s="239">
        <v>0</v>
      </c>
      <c r="BR330" s="239">
        <v>3994</v>
      </c>
      <c r="BS330" s="239">
        <v>899</v>
      </c>
      <c r="BT330" s="239">
        <v>100</v>
      </c>
      <c r="BU330" s="239">
        <v>12417.836363636365</v>
      </c>
      <c r="BV330" s="239">
        <v>2794.0131818181817</v>
      </c>
      <c r="BW330" s="239">
        <v>310.44590909090908</v>
      </c>
      <c r="BX330" s="239">
        <v>0</v>
      </c>
      <c r="BY330" s="239">
        <v>0</v>
      </c>
      <c r="BZ330" s="239">
        <v>0</v>
      </c>
      <c r="CA330" s="239">
        <v>12418</v>
      </c>
      <c r="CB330" s="239">
        <v>2794</v>
      </c>
      <c r="CC330" s="239">
        <v>310</v>
      </c>
      <c r="CD330" s="239">
        <v>0</v>
      </c>
      <c r="CE330" s="239">
        <v>0</v>
      </c>
      <c r="CF330" s="239">
        <v>0</v>
      </c>
      <c r="CG330" s="239">
        <v>0</v>
      </c>
      <c r="CH330" s="239">
        <v>0</v>
      </c>
      <c r="CI330" s="239">
        <v>0</v>
      </c>
      <c r="CJ330" s="239">
        <v>0</v>
      </c>
      <c r="CK330" s="239">
        <v>0</v>
      </c>
      <c r="CL330" s="239">
        <v>0</v>
      </c>
      <c r="CM330" s="239">
        <v>-186.6611570247934</v>
      </c>
      <c r="CN330" s="239">
        <v>-41.998760330578513</v>
      </c>
      <c r="CO330" s="239">
        <v>-4.6665289256198346</v>
      </c>
      <c r="CP330" s="239">
        <v>104</v>
      </c>
      <c r="CQ330" s="239">
        <v>24</v>
      </c>
      <c r="CR330" s="239">
        <v>3</v>
      </c>
      <c r="CS330" s="239">
        <v>-291</v>
      </c>
      <c r="CT330" s="239">
        <v>-66</v>
      </c>
      <c r="CU330" s="239">
        <v>-8</v>
      </c>
      <c r="CV330" s="239">
        <v>169082.30702479341</v>
      </c>
      <c r="CW330" s="239">
        <v>38029.731322314045</v>
      </c>
      <c r="CX330" s="239">
        <v>4225.5257024793391</v>
      </c>
      <c r="CY330" s="239">
        <v>165925</v>
      </c>
      <c r="CZ330" s="239">
        <v>37333</v>
      </c>
      <c r="DA330" s="239">
        <v>4148</v>
      </c>
      <c r="DB330" s="239">
        <v>3157</v>
      </c>
      <c r="DC330" s="239">
        <v>697</v>
      </c>
      <c r="DD330" s="239">
        <v>78</v>
      </c>
      <c r="DE330" s="641">
        <v>0.5</v>
      </c>
      <c r="DF330" s="641">
        <v>0.4</v>
      </c>
      <c r="DG330" s="641">
        <v>0.09</v>
      </c>
      <c r="DH330" s="641">
        <v>0.01</v>
      </c>
      <c r="DI330" s="214" t="s">
        <v>1190</v>
      </c>
    </row>
    <row r="331" spans="2:113" s="214" customFormat="1" x14ac:dyDescent="0.2">
      <c r="B331" s="609" t="s">
        <v>744</v>
      </c>
      <c r="C331" s="609" t="s">
        <v>743</v>
      </c>
      <c r="D331" s="239">
        <v>-173047</v>
      </c>
      <c r="E331" s="239">
        <v>0</v>
      </c>
      <c r="F331" s="239">
        <v>-173047</v>
      </c>
      <c r="G331" s="239">
        <v>0</v>
      </c>
      <c r="H331" s="239">
        <v>0</v>
      </c>
      <c r="I331" s="239">
        <v>0</v>
      </c>
      <c r="J331" s="239">
        <v>-173047</v>
      </c>
      <c r="K331" s="239">
        <v>0</v>
      </c>
      <c r="L331" s="239">
        <v>-173047</v>
      </c>
      <c r="M331" s="239">
        <v>298324</v>
      </c>
      <c r="N331" s="239">
        <v>298324</v>
      </c>
      <c r="O331" s="239">
        <v>0</v>
      </c>
      <c r="P331" s="239">
        <v>0</v>
      </c>
      <c r="Q331" s="239">
        <v>0</v>
      </c>
      <c r="R331" s="239">
        <v>0</v>
      </c>
      <c r="S331" s="239">
        <v>0</v>
      </c>
      <c r="T331" s="239">
        <v>0</v>
      </c>
      <c r="U331" s="239">
        <v>0</v>
      </c>
      <c r="V331" s="239">
        <v>0</v>
      </c>
      <c r="W331" s="239">
        <v>0</v>
      </c>
      <c r="X331" s="239">
        <v>0</v>
      </c>
      <c r="Y331" s="239">
        <v>0</v>
      </c>
      <c r="Z331" s="239">
        <v>0</v>
      </c>
      <c r="AA331" s="239">
        <v>0</v>
      </c>
      <c r="AB331" s="239">
        <v>0</v>
      </c>
      <c r="AC331" s="239">
        <v>0</v>
      </c>
      <c r="AD331" s="239">
        <v>0</v>
      </c>
      <c r="AE331" s="239">
        <v>0</v>
      </c>
      <c r="AF331" s="239">
        <v>0</v>
      </c>
      <c r="AG331" s="239">
        <v>0</v>
      </c>
      <c r="AH331" s="239">
        <v>0</v>
      </c>
      <c r="AI331" s="239">
        <v>0</v>
      </c>
      <c r="AJ331" s="239">
        <v>0</v>
      </c>
      <c r="AK331" s="239">
        <v>934489.09005165286</v>
      </c>
      <c r="AL331" s="239">
        <v>0</v>
      </c>
      <c r="AM331" s="239">
        <v>19071.205919421489</v>
      </c>
      <c r="AN331" s="239">
        <v>889068</v>
      </c>
      <c r="AO331" s="239">
        <v>0</v>
      </c>
      <c r="AP331" s="239">
        <v>18144</v>
      </c>
      <c r="AQ331" s="239">
        <v>45421</v>
      </c>
      <c r="AR331" s="239">
        <v>0</v>
      </c>
      <c r="AS331" s="239">
        <v>927</v>
      </c>
      <c r="AT331" s="239">
        <v>16263.685165289258</v>
      </c>
      <c r="AU331" s="239">
        <v>0</v>
      </c>
      <c r="AV331" s="239">
        <v>331.91194214876032</v>
      </c>
      <c r="AW331" s="239">
        <v>13532</v>
      </c>
      <c r="AX331" s="239">
        <v>0</v>
      </c>
      <c r="AY331" s="239">
        <v>276</v>
      </c>
      <c r="AZ331" s="239">
        <v>2732</v>
      </c>
      <c r="BA331" s="239">
        <v>0</v>
      </c>
      <c r="BB331" s="239">
        <v>56</v>
      </c>
      <c r="BC331" s="239">
        <v>-414.57037190082656</v>
      </c>
      <c r="BD331" s="239">
        <v>0</v>
      </c>
      <c r="BE331" s="239">
        <v>-8.4606198347107444</v>
      </c>
      <c r="BF331" s="239">
        <v>35704</v>
      </c>
      <c r="BG331" s="239">
        <v>0</v>
      </c>
      <c r="BH331" s="239">
        <v>729</v>
      </c>
      <c r="BI331" s="239">
        <v>-36119</v>
      </c>
      <c r="BJ331" s="239">
        <v>0</v>
      </c>
      <c r="BK331" s="239">
        <v>-737</v>
      </c>
      <c r="BL331" s="239">
        <v>53283.725785123963</v>
      </c>
      <c r="BM331" s="239">
        <v>0</v>
      </c>
      <c r="BN331" s="239">
        <v>1087.4229752066117</v>
      </c>
      <c r="BO331" s="239">
        <v>70962</v>
      </c>
      <c r="BP331" s="239">
        <v>0</v>
      </c>
      <c r="BQ331" s="239">
        <v>1448</v>
      </c>
      <c r="BR331" s="239">
        <v>-17678</v>
      </c>
      <c r="BS331" s="239">
        <v>0</v>
      </c>
      <c r="BT331" s="239">
        <v>-361</v>
      </c>
      <c r="BU331" s="239">
        <v>4745.190371900826</v>
      </c>
      <c r="BV331" s="239">
        <v>0</v>
      </c>
      <c r="BW331" s="239">
        <v>96.840619834710751</v>
      </c>
      <c r="BX331" s="239">
        <v>0</v>
      </c>
      <c r="BY331" s="239">
        <v>0</v>
      </c>
      <c r="BZ331" s="239">
        <v>0</v>
      </c>
      <c r="CA331" s="239">
        <v>4745</v>
      </c>
      <c r="CB331" s="239">
        <v>0</v>
      </c>
      <c r="CC331" s="239">
        <v>97</v>
      </c>
      <c r="CD331" s="239">
        <v>-16857.206776859504</v>
      </c>
      <c r="CE331" s="239">
        <v>0</v>
      </c>
      <c r="CF331" s="239">
        <v>-344.02462809917358</v>
      </c>
      <c r="CG331" s="239">
        <v>0</v>
      </c>
      <c r="CH331" s="239">
        <v>0</v>
      </c>
      <c r="CI331" s="239">
        <v>0</v>
      </c>
      <c r="CJ331" s="239">
        <v>-16857</v>
      </c>
      <c r="CK331" s="239">
        <v>0</v>
      </c>
      <c r="CL331" s="239">
        <v>-344</v>
      </c>
      <c r="CM331" s="239">
        <v>0</v>
      </c>
      <c r="CN331" s="239">
        <v>0</v>
      </c>
      <c r="CO331" s="239">
        <v>0</v>
      </c>
      <c r="CP331" s="239">
        <v>0</v>
      </c>
      <c r="CQ331" s="239">
        <v>0</v>
      </c>
      <c r="CR331" s="239">
        <v>0</v>
      </c>
      <c r="CS331" s="239">
        <v>0</v>
      </c>
      <c r="CT331" s="239">
        <v>0</v>
      </c>
      <c r="CU331" s="239">
        <v>0</v>
      </c>
      <c r="CV331" s="239">
        <v>741614.6861570247</v>
      </c>
      <c r="CW331" s="239">
        <v>0</v>
      </c>
      <c r="CX331" s="239">
        <v>15134.993595041324</v>
      </c>
      <c r="CY331" s="239">
        <v>727450</v>
      </c>
      <c r="CZ331" s="239">
        <v>0</v>
      </c>
      <c r="DA331" s="239">
        <v>14846</v>
      </c>
      <c r="DB331" s="239">
        <v>14165</v>
      </c>
      <c r="DC331" s="239">
        <v>0</v>
      </c>
      <c r="DD331" s="239">
        <v>289</v>
      </c>
      <c r="DE331" s="641">
        <v>0.5</v>
      </c>
      <c r="DF331" s="641">
        <v>0.49</v>
      </c>
      <c r="DG331" s="641">
        <v>0</v>
      </c>
      <c r="DH331" s="641">
        <v>0.01</v>
      </c>
      <c r="DI331" s="214" t="s">
        <v>747</v>
      </c>
    </row>
    <row r="332" spans="2:113" s="214" customFormat="1" x14ac:dyDescent="0.2">
      <c r="B332" s="609" t="s">
        <v>1182</v>
      </c>
      <c r="C332" s="609" t="s">
        <v>1176</v>
      </c>
      <c r="D332" s="239">
        <v>-108251428</v>
      </c>
      <c r="E332" s="239">
        <v>-770117</v>
      </c>
      <c r="F332" s="239">
        <v>-109021545</v>
      </c>
      <c r="G332" s="239">
        <v>0</v>
      </c>
      <c r="H332" s="239">
        <v>0</v>
      </c>
      <c r="I332" s="239">
        <v>0</v>
      </c>
      <c r="J332" s="239">
        <v>-108251428</v>
      </c>
      <c r="K332" s="239">
        <v>-770117</v>
      </c>
      <c r="L332" s="239">
        <v>-109021545</v>
      </c>
      <c r="M332" s="239">
        <v>84113460</v>
      </c>
      <c r="N332" s="239">
        <v>84146483</v>
      </c>
      <c r="O332" s="239">
        <v>-33023</v>
      </c>
      <c r="P332" s="239">
        <v>28737781</v>
      </c>
      <c r="Q332" s="239">
        <v>29459106</v>
      </c>
      <c r="R332" s="239">
        <v>-721325</v>
      </c>
      <c r="S332" s="239">
        <v>49461247</v>
      </c>
      <c r="T332" s="239">
        <v>1898219</v>
      </c>
      <c r="U332" s="239">
        <v>37320396</v>
      </c>
      <c r="V332" s="239">
        <v>1886128</v>
      </c>
      <c r="W332" s="239">
        <v>12140851</v>
      </c>
      <c r="X332" s="239">
        <v>12091</v>
      </c>
      <c r="Y332" s="239">
        <v>14315054.78409091</v>
      </c>
      <c r="Z332" s="239">
        <v>14026754.415537192</v>
      </c>
      <c r="AA332" s="239">
        <v>256327.03694214873</v>
      </c>
      <c r="AB332" s="239">
        <v>31973.331611570255</v>
      </c>
      <c r="AC332" s="239">
        <v>11970206</v>
      </c>
      <c r="AD332" s="239">
        <v>11711128</v>
      </c>
      <c r="AE332" s="239">
        <v>230400</v>
      </c>
      <c r="AF332" s="239">
        <v>28678</v>
      </c>
      <c r="AG332" s="239">
        <v>2344846</v>
      </c>
      <c r="AH332" s="239">
        <v>2315624</v>
      </c>
      <c r="AI332" s="239">
        <v>25926</v>
      </c>
      <c r="AJ332" s="239">
        <v>3296</v>
      </c>
      <c r="AK332" s="239">
        <v>264139714.82111874</v>
      </c>
      <c r="AL332" s="239">
        <v>37909503.901940823</v>
      </c>
      <c r="AM332" s="239">
        <v>4243236.2721729334</v>
      </c>
      <c r="AN332" s="239">
        <v>247066699</v>
      </c>
      <c r="AO332" s="239">
        <v>35348451</v>
      </c>
      <c r="AP332" s="239">
        <v>3979871</v>
      </c>
      <c r="AQ332" s="239">
        <v>17073016</v>
      </c>
      <c r="AR332" s="239">
        <v>2561056</v>
      </c>
      <c r="AS332" s="239">
        <v>263362</v>
      </c>
      <c r="AT332" s="239">
        <v>1492491.7241882235</v>
      </c>
      <c r="AU332" s="239">
        <v>164100.18818450414</v>
      </c>
      <c r="AV332" s="239">
        <v>25519.575468181814</v>
      </c>
      <c r="AW332" s="239">
        <v>1038958</v>
      </c>
      <c r="AX332" s="239">
        <v>106903</v>
      </c>
      <c r="AY332" s="239">
        <v>18791</v>
      </c>
      <c r="AZ332" s="239">
        <v>453539</v>
      </c>
      <c r="BA332" s="239">
        <v>57194</v>
      </c>
      <c r="BB332" s="239">
        <v>6726</v>
      </c>
      <c r="BC332" s="239">
        <v>3440461.7427479327</v>
      </c>
      <c r="BD332" s="239">
        <v>711120.13898760348</v>
      </c>
      <c r="BE332" s="239">
        <v>41723.982933884283</v>
      </c>
      <c r="BF332" s="239">
        <v>3395974</v>
      </c>
      <c r="BG332" s="239">
        <v>658293</v>
      </c>
      <c r="BH332" s="239">
        <v>40542</v>
      </c>
      <c r="BI332" s="239">
        <v>44488</v>
      </c>
      <c r="BJ332" s="239">
        <v>52830</v>
      </c>
      <c r="BK332" s="239">
        <v>1178</v>
      </c>
      <c r="BL332" s="239">
        <v>5438532.2936157053</v>
      </c>
      <c r="BM332" s="239">
        <v>743667.3623553724</v>
      </c>
      <c r="BN332" s="239">
        <v>81914.432871900892</v>
      </c>
      <c r="BO332" s="239">
        <v>4466887</v>
      </c>
      <c r="BP332" s="239">
        <v>562125</v>
      </c>
      <c r="BQ332" s="239">
        <v>71956</v>
      </c>
      <c r="BR332" s="239">
        <v>971642</v>
      </c>
      <c r="BS332" s="239">
        <v>181539</v>
      </c>
      <c r="BT332" s="239">
        <v>9959</v>
      </c>
      <c r="BU332" s="239">
        <v>760986.04826446227</v>
      </c>
      <c r="BV332" s="239">
        <v>127956.69993801651</v>
      </c>
      <c r="BW332" s="239">
        <v>11879.237768595045</v>
      </c>
      <c r="BX332" s="239">
        <v>0</v>
      </c>
      <c r="BY332" s="239">
        <v>0</v>
      </c>
      <c r="BZ332" s="239">
        <v>0</v>
      </c>
      <c r="CA332" s="239">
        <v>760986</v>
      </c>
      <c r="CB332" s="239">
        <v>127950</v>
      </c>
      <c r="CC332" s="239">
        <v>11872</v>
      </c>
      <c r="CD332" s="239">
        <v>1071341.1020661152</v>
      </c>
      <c r="CE332" s="239">
        <v>131843.8678099174</v>
      </c>
      <c r="CF332" s="239">
        <v>16116.648925619837</v>
      </c>
      <c r="CG332" s="239">
        <v>0</v>
      </c>
      <c r="CH332" s="239">
        <v>0</v>
      </c>
      <c r="CI332" s="239">
        <v>0</v>
      </c>
      <c r="CJ332" s="239">
        <v>1071342</v>
      </c>
      <c r="CK332" s="239">
        <v>131845</v>
      </c>
      <c r="CL332" s="239">
        <v>16115</v>
      </c>
      <c r="CM332" s="239">
        <v>843073.0282752061</v>
      </c>
      <c r="CN332" s="239">
        <v>154251.2817768594</v>
      </c>
      <c r="CO332" s="239">
        <v>13178.17908016529</v>
      </c>
      <c r="CP332" s="239">
        <v>2993069</v>
      </c>
      <c r="CQ332" s="239">
        <v>648906</v>
      </c>
      <c r="CR332" s="239">
        <v>42095</v>
      </c>
      <c r="CS332" s="239">
        <v>-2150000</v>
      </c>
      <c r="CT332" s="239">
        <v>-494649</v>
      </c>
      <c r="CU332" s="239">
        <v>-28916</v>
      </c>
      <c r="CV332" s="239">
        <v>138986786.39979893</v>
      </c>
      <c r="CW332" s="239">
        <v>30843835.543037187</v>
      </c>
      <c r="CX332" s="239">
        <v>1883069.0739303723</v>
      </c>
      <c r="CY332" s="239">
        <v>139054042</v>
      </c>
      <c r="CZ332" s="239">
        <v>30369849</v>
      </c>
      <c r="DA332" s="239">
        <v>1890407</v>
      </c>
      <c r="DB332" s="239">
        <v>-67253</v>
      </c>
      <c r="DC332" s="239">
        <v>473986</v>
      </c>
      <c r="DD332" s="239">
        <v>-7340</v>
      </c>
    </row>
  </sheetData>
  <mergeCells count="34">
    <mergeCell ref="AQ2:AS2"/>
    <mergeCell ref="D2:F2"/>
    <mergeCell ref="G2:I2"/>
    <mergeCell ref="J2:L2"/>
    <mergeCell ref="S2:T2"/>
    <mergeCell ref="U2:V2"/>
    <mergeCell ref="W2:X2"/>
    <mergeCell ref="Y2:AB2"/>
    <mergeCell ref="AC2:AF2"/>
    <mergeCell ref="AG2:AJ2"/>
    <mergeCell ref="AK2:AM2"/>
    <mergeCell ref="AN2:AP2"/>
    <mergeCell ref="CA2:CC2"/>
    <mergeCell ref="AT2:AV2"/>
    <mergeCell ref="AW2:AY2"/>
    <mergeCell ref="AZ2:BB2"/>
    <mergeCell ref="BC2:BE2"/>
    <mergeCell ref="BF2:BH2"/>
    <mergeCell ref="BI2:BK2"/>
    <mergeCell ref="BL2:BN2"/>
    <mergeCell ref="BO2:BQ2"/>
    <mergeCell ref="BR2:BT2"/>
    <mergeCell ref="BU2:BW2"/>
    <mergeCell ref="BX2:BZ2"/>
    <mergeCell ref="CV2:CX2"/>
    <mergeCell ref="CY2:DA2"/>
    <mergeCell ref="DB2:DD2"/>
    <mergeCell ref="DE2:DH2"/>
    <mergeCell ref="CD2:CF2"/>
    <mergeCell ref="CG2:CI2"/>
    <mergeCell ref="CJ2:CL2"/>
    <mergeCell ref="CM2:CO2"/>
    <mergeCell ref="CP2:CR2"/>
    <mergeCell ref="CS2:CU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332"/>
  <sheetViews>
    <sheetView workbookViewId="0">
      <selection activeCell="K8" sqref="K8"/>
    </sheetView>
  </sheetViews>
  <sheetFormatPr defaultRowHeight="12.75" x14ac:dyDescent="0.2"/>
  <cols>
    <col min="1" max="1" width="3.7109375" customWidth="1"/>
    <col min="3" max="3" width="32.5703125" customWidth="1"/>
    <col min="4" max="4" width="17.85546875" customWidth="1"/>
    <col min="5" max="6" width="12.7109375" bestFit="1" customWidth="1"/>
    <col min="7" max="7" width="11.140625" bestFit="1" customWidth="1"/>
    <col min="8" max="8" width="14.42578125" customWidth="1"/>
    <col min="9" max="9" width="10.5703125" customWidth="1"/>
    <col min="10" max="10" width="11.140625" customWidth="1"/>
    <col min="11" max="11" width="13.42578125" customWidth="1"/>
    <col min="12" max="16" width="10.140625" bestFit="1" customWidth="1"/>
    <col min="17" max="17" width="9.28515625" bestFit="1" customWidth="1"/>
    <col min="18" max="18" width="10.140625" bestFit="1" customWidth="1"/>
    <col min="19" max="22" width="9.28515625" bestFit="1" customWidth="1"/>
    <col min="23" max="23" width="11.140625" bestFit="1" customWidth="1"/>
    <col min="24" max="24" width="9.85546875" customWidth="1"/>
    <col min="25" max="25" width="10.140625" bestFit="1" customWidth="1"/>
    <col min="26" max="26" width="9.28515625" bestFit="1" customWidth="1"/>
    <col min="27" max="27" width="12.7109375" bestFit="1" customWidth="1"/>
    <col min="28" max="29" width="11.7109375" bestFit="1" customWidth="1"/>
    <col min="30" max="30" width="10.7109375" bestFit="1" customWidth="1"/>
    <col min="31" max="31" width="9.7109375" bestFit="1" customWidth="1"/>
    <col min="32" max="34" width="11.7109375" bestFit="1" customWidth="1"/>
    <col min="35" max="35" width="10.7109375" bestFit="1" customWidth="1"/>
    <col min="36" max="36" width="9.7109375" bestFit="1" customWidth="1"/>
    <col min="37" max="37" width="11.7109375" bestFit="1" customWidth="1"/>
    <col min="38" max="40" width="10.140625" bestFit="1" customWidth="1"/>
    <col min="41" max="41" width="9.28515625" bestFit="1" customWidth="1"/>
    <col min="42" max="42" width="11.140625" bestFit="1" customWidth="1"/>
    <col min="43" max="45" width="10.7109375" bestFit="1" customWidth="1"/>
    <col min="46" max="46" width="9.7109375" bestFit="1" customWidth="1"/>
    <col min="47" max="49" width="11.7109375" bestFit="1" customWidth="1"/>
    <col min="50" max="50" width="10.7109375" bestFit="1" customWidth="1"/>
    <col min="51" max="51" width="9.7109375" bestFit="1" customWidth="1"/>
    <col min="52" max="52" width="11.7109375" bestFit="1" customWidth="1"/>
    <col min="53" max="54" width="13.42578125" bestFit="1" customWidth="1"/>
    <col min="55" max="55" width="11.7109375" bestFit="1" customWidth="1"/>
    <col min="56" max="56" width="10.7109375" bestFit="1" customWidth="1"/>
    <col min="57" max="57" width="12.85546875" customWidth="1"/>
    <col min="58" max="59" width="11.140625" bestFit="1" customWidth="1"/>
    <col min="60" max="60" width="10.140625" bestFit="1" customWidth="1"/>
    <col min="61" max="61" width="9.28515625" bestFit="1" customWidth="1"/>
    <col min="62" max="62" width="11.140625" bestFit="1" customWidth="1"/>
    <col min="63" max="64" width="11.7109375" bestFit="1" customWidth="1"/>
    <col min="65" max="65" width="10.7109375" bestFit="1" customWidth="1"/>
    <col min="66" max="66" width="9.7109375" bestFit="1" customWidth="1"/>
    <col min="67" max="69" width="13.42578125" bestFit="1" customWidth="1"/>
    <col min="70" max="70" width="11.7109375" bestFit="1" customWidth="1"/>
    <col min="71" max="71" width="10.7109375" bestFit="1" customWidth="1"/>
    <col min="72" max="72" width="12.7109375" customWidth="1"/>
    <col min="73" max="75" width="11.7109375" bestFit="1" customWidth="1"/>
    <col min="76" max="76" width="9.7109375" bestFit="1" customWidth="1"/>
    <col min="77" max="77" width="13.42578125" bestFit="1" customWidth="1"/>
    <col min="78" max="79" width="11.7109375" bestFit="1" customWidth="1"/>
    <col min="80" max="80" width="10.7109375" bestFit="1" customWidth="1"/>
    <col min="81" max="81" width="9.7109375" bestFit="1" customWidth="1"/>
    <col min="82" max="84" width="11.7109375" bestFit="1" customWidth="1"/>
    <col min="85" max="85" width="10.7109375" bestFit="1" customWidth="1"/>
    <col min="86" max="86" width="9.7109375" bestFit="1" customWidth="1"/>
    <col min="87" max="87" width="11.7109375" bestFit="1" customWidth="1"/>
    <col min="88" max="88" width="13.85546875" bestFit="1" customWidth="1"/>
    <col min="89" max="90" width="12.7109375" bestFit="1" customWidth="1"/>
    <col min="91" max="91" width="11.140625" bestFit="1" customWidth="1"/>
    <col min="92" max="93" width="13.85546875" bestFit="1" customWidth="1"/>
    <col min="94" max="95" width="12.7109375" bestFit="1" customWidth="1"/>
    <col min="96" max="96" width="11.140625" bestFit="1" customWidth="1"/>
    <col min="97" max="97" width="13.85546875" bestFit="1" customWidth="1"/>
    <col min="98" max="99" width="11.7109375" bestFit="1" customWidth="1"/>
    <col min="100" max="100" width="10.7109375" bestFit="1" customWidth="1"/>
    <col min="101" max="101" width="9.7109375" bestFit="1" customWidth="1"/>
    <col min="102" max="105" width="11.7109375" bestFit="1" customWidth="1"/>
    <col min="106" max="106" width="9.7109375" bestFit="1" customWidth="1"/>
    <col min="107" max="107" width="11.85546875" customWidth="1"/>
  </cols>
  <sheetData>
    <row r="1" spans="2:113" s="214" customFormat="1" x14ac:dyDescent="0.2">
      <c r="D1" s="214">
        <v>3</v>
      </c>
      <c r="E1" s="214">
        <v>4</v>
      </c>
      <c r="F1" s="214">
        <v>5</v>
      </c>
      <c r="G1" s="214">
        <v>6</v>
      </c>
      <c r="H1" s="214">
        <v>7</v>
      </c>
      <c r="I1" s="214">
        <v>8</v>
      </c>
      <c r="J1" s="214">
        <v>9</v>
      </c>
      <c r="K1" s="214">
        <v>10</v>
      </c>
      <c r="L1" s="214">
        <v>11</v>
      </c>
      <c r="M1" s="214">
        <v>12</v>
      </c>
      <c r="N1" s="214">
        <v>13</v>
      </c>
      <c r="O1" s="214">
        <v>14</v>
      </c>
      <c r="P1" s="214">
        <v>15</v>
      </c>
      <c r="Q1" s="214">
        <v>16</v>
      </c>
      <c r="R1" s="214">
        <v>17</v>
      </c>
      <c r="S1" s="214">
        <v>18</v>
      </c>
      <c r="T1" s="214">
        <v>19</v>
      </c>
      <c r="U1" s="214">
        <v>20</v>
      </c>
      <c r="V1" s="214">
        <v>21</v>
      </c>
      <c r="W1" s="214">
        <v>22</v>
      </c>
      <c r="X1" s="214">
        <v>23</v>
      </c>
      <c r="Y1" s="214">
        <v>24</v>
      </c>
      <c r="Z1" s="214">
        <v>25</v>
      </c>
      <c r="AA1" s="214">
        <v>26</v>
      </c>
      <c r="AB1" s="214">
        <v>27</v>
      </c>
      <c r="AC1" s="214">
        <v>28</v>
      </c>
      <c r="AD1" s="214">
        <v>29</v>
      </c>
      <c r="AE1" s="214">
        <v>30</v>
      </c>
      <c r="AF1" s="214">
        <v>31</v>
      </c>
      <c r="AG1" s="214">
        <v>32</v>
      </c>
      <c r="AH1" s="214">
        <v>33</v>
      </c>
      <c r="AI1" s="214">
        <v>34</v>
      </c>
      <c r="AJ1" s="214">
        <v>35</v>
      </c>
      <c r="AK1" s="214">
        <v>36</v>
      </c>
      <c r="AL1" s="214">
        <v>37</v>
      </c>
      <c r="AM1" s="214">
        <v>38</v>
      </c>
      <c r="AN1" s="214">
        <v>39</v>
      </c>
      <c r="AO1" s="214">
        <v>40</v>
      </c>
      <c r="AP1" s="214">
        <v>41</v>
      </c>
      <c r="AQ1" s="214">
        <v>42</v>
      </c>
      <c r="AR1" s="214">
        <v>43</v>
      </c>
      <c r="AS1" s="214">
        <v>44</v>
      </c>
      <c r="AT1" s="214">
        <v>45</v>
      </c>
      <c r="AU1" s="214">
        <v>46</v>
      </c>
      <c r="AV1" s="214">
        <v>47</v>
      </c>
      <c r="AW1" s="214">
        <v>48</v>
      </c>
      <c r="AX1" s="214">
        <v>49</v>
      </c>
      <c r="AY1" s="214">
        <v>50</v>
      </c>
      <c r="AZ1" s="214">
        <v>51</v>
      </c>
      <c r="BA1" s="214">
        <v>52</v>
      </c>
      <c r="BB1" s="214">
        <v>53</v>
      </c>
      <c r="BC1" s="214">
        <v>54</v>
      </c>
      <c r="BD1" s="214">
        <v>55</v>
      </c>
      <c r="BE1" s="214">
        <v>56</v>
      </c>
      <c r="BF1" s="214">
        <v>57</v>
      </c>
      <c r="BG1" s="214">
        <v>58</v>
      </c>
      <c r="BH1" s="214">
        <v>59</v>
      </c>
      <c r="BI1" s="214">
        <v>60</v>
      </c>
      <c r="BJ1" s="214">
        <v>61</v>
      </c>
      <c r="BK1" s="214">
        <v>62</v>
      </c>
      <c r="BL1" s="214">
        <v>63</v>
      </c>
      <c r="BM1" s="214">
        <v>64</v>
      </c>
      <c r="BN1" s="214">
        <v>65</v>
      </c>
      <c r="BO1" s="214">
        <v>66</v>
      </c>
      <c r="BP1" s="214">
        <v>67</v>
      </c>
      <c r="BQ1" s="214">
        <v>68</v>
      </c>
      <c r="BR1" s="214">
        <v>69</v>
      </c>
      <c r="BS1" s="214">
        <v>70</v>
      </c>
      <c r="BT1" s="214">
        <v>71</v>
      </c>
      <c r="BU1" s="214">
        <v>72</v>
      </c>
      <c r="BV1" s="214">
        <v>73</v>
      </c>
      <c r="BW1" s="214">
        <v>74</v>
      </c>
      <c r="BX1" s="214">
        <v>75</v>
      </c>
      <c r="BY1" s="214">
        <v>76</v>
      </c>
      <c r="BZ1" s="214">
        <v>77</v>
      </c>
      <c r="CA1" s="214">
        <v>78</v>
      </c>
      <c r="CB1" s="214">
        <v>79</v>
      </c>
      <c r="CC1" s="214">
        <v>80</v>
      </c>
      <c r="CD1" s="214">
        <v>81</v>
      </c>
      <c r="CE1" s="214">
        <v>82</v>
      </c>
      <c r="CF1" s="214">
        <v>83</v>
      </c>
      <c r="CG1" s="214">
        <v>84</v>
      </c>
      <c r="CH1" s="214">
        <v>85</v>
      </c>
      <c r="CI1" s="214">
        <v>86</v>
      </c>
      <c r="CJ1" s="214">
        <v>87</v>
      </c>
      <c r="CK1" s="214">
        <v>88</v>
      </c>
      <c r="CL1" s="214">
        <v>89</v>
      </c>
      <c r="CM1" s="214">
        <v>90</v>
      </c>
      <c r="CN1" s="214">
        <v>91</v>
      </c>
      <c r="CO1" s="214">
        <v>92</v>
      </c>
      <c r="CP1" s="214">
        <v>93</v>
      </c>
      <c r="CQ1" s="214">
        <v>94</v>
      </c>
      <c r="CR1" s="214">
        <v>95</v>
      </c>
      <c r="CS1" s="214">
        <v>96</v>
      </c>
      <c r="CT1" s="214">
        <v>97</v>
      </c>
      <c r="CU1" s="214">
        <v>98</v>
      </c>
      <c r="CV1" s="214">
        <v>99</v>
      </c>
      <c r="CW1" s="214">
        <v>100</v>
      </c>
      <c r="CX1" s="214">
        <v>101</v>
      </c>
      <c r="CY1" s="214">
        <v>102</v>
      </c>
      <c r="CZ1" s="214">
        <v>103</v>
      </c>
      <c r="DA1" s="214">
        <v>104</v>
      </c>
      <c r="DB1" s="214">
        <v>105</v>
      </c>
      <c r="DC1" s="214">
        <v>106</v>
      </c>
      <c r="DD1" s="214">
        <v>107</v>
      </c>
      <c r="DE1" s="214">
        <v>108</v>
      </c>
      <c r="DF1" s="214">
        <v>109</v>
      </c>
      <c r="DG1" s="214">
        <v>110</v>
      </c>
      <c r="DH1" s="214">
        <v>111</v>
      </c>
    </row>
    <row r="2" spans="2:113" s="608" customFormat="1" ht="63.75" customHeight="1" x14ac:dyDescent="0.2">
      <c r="B2" s="634"/>
      <c r="C2" s="610"/>
      <c r="D2" s="935" t="s">
        <v>1162</v>
      </c>
      <c r="E2" s="935"/>
      <c r="F2" s="935"/>
      <c r="G2" s="935"/>
      <c r="H2" s="935"/>
      <c r="I2" s="935" t="s">
        <v>1163</v>
      </c>
      <c r="J2" s="935"/>
      <c r="K2" s="611" t="s">
        <v>1269</v>
      </c>
      <c r="L2" s="935" t="s">
        <v>1164</v>
      </c>
      <c r="M2" s="935"/>
      <c r="N2" s="935" t="s">
        <v>1165</v>
      </c>
      <c r="O2" s="935"/>
      <c r="P2" s="935" t="s">
        <v>1166</v>
      </c>
      <c r="Q2" s="935"/>
      <c r="R2" s="935"/>
      <c r="S2" s="935" t="s">
        <v>1163</v>
      </c>
      <c r="T2" s="935"/>
      <c r="U2" s="935"/>
      <c r="V2" s="935"/>
      <c r="W2" s="935" t="s">
        <v>1167</v>
      </c>
      <c r="X2" s="935"/>
      <c r="Y2" s="935"/>
      <c r="Z2" s="935"/>
      <c r="AA2" s="935"/>
      <c r="AB2" s="935" t="s">
        <v>1168</v>
      </c>
      <c r="AC2" s="935"/>
      <c r="AD2" s="935"/>
      <c r="AE2" s="935"/>
      <c r="AF2" s="935"/>
      <c r="AG2" s="935" t="s">
        <v>1268</v>
      </c>
      <c r="AH2" s="935"/>
      <c r="AI2" s="935"/>
      <c r="AJ2" s="935"/>
      <c r="AK2" s="935"/>
      <c r="AL2" s="935" t="s">
        <v>1169</v>
      </c>
      <c r="AM2" s="935"/>
      <c r="AN2" s="935"/>
      <c r="AO2" s="935"/>
      <c r="AP2" s="935"/>
      <c r="AQ2" s="935" t="s">
        <v>1170</v>
      </c>
      <c r="AR2" s="935"/>
      <c r="AS2" s="935"/>
      <c r="AT2" s="935"/>
      <c r="AU2" s="935"/>
      <c r="AV2" s="935" t="s">
        <v>1267</v>
      </c>
      <c r="AW2" s="935"/>
      <c r="AX2" s="935"/>
      <c r="AY2" s="935"/>
      <c r="AZ2" s="935"/>
      <c r="BA2" s="935" t="s">
        <v>1266</v>
      </c>
      <c r="BB2" s="935"/>
      <c r="BC2" s="935"/>
      <c r="BD2" s="935"/>
      <c r="BE2" s="935"/>
      <c r="BF2" s="935" t="s">
        <v>1171</v>
      </c>
      <c r="BG2" s="935"/>
      <c r="BH2" s="935"/>
      <c r="BI2" s="935"/>
      <c r="BJ2" s="935"/>
      <c r="BK2" s="935" t="s">
        <v>1172</v>
      </c>
      <c r="BL2" s="935"/>
      <c r="BM2" s="935"/>
      <c r="BN2" s="935"/>
      <c r="BO2" s="935"/>
      <c r="BP2" s="935" t="s">
        <v>1265</v>
      </c>
      <c r="BQ2" s="935"/>
      <c r="BR2" s="935"/>
      <c r="BS2" s="935"/>
      <c r="BT2" s="935"/>
      <c r="BU2" s="935" t="s">
        <v>1264</v>
      </c>
      <c r="BV2" s="935"/>
      <c r="BW2" s="935"/>
      <c r="BX2" s="935"/>
      <c r="BY2" s="935"/>
      <c r="BZ2" s="935" t="s">
        <v>1173</v>
      </c>
      <c r="CA2" s="935"/>
      <c r="CB2" s="935"/>
      <c r="CC2" s="935"/>
      <c r="CD2" s="935"/>
      <c r="CE2" s="935" t="s">
        <v>1174</v>
      </c>
      <c r="CF2" s="935"/>
      <c r="CG2" s="935"/>
      <c r="CH2" s="935"/>
      <c r="CI2" s="935"/>
      <c r="CJ2" s="935" t="s">
        <v>1263</v>
      </c>
      <c r="CK2" s="935"/>
      <c r="CL2" s="935"/>
      <c r="CM2" s="935"/>
      <c r="CN2" s="935"/>
      <c r="CO2" s="935" t="s">
        <v>1262</v>
      </c>
      <c r="CP2" s="935"/>
      <c r="CQ2" s="935"/>
      <c r="CR2" s="935"/>
      <c r="CS2" s="935"/>
      <c r="CT2" s="935" t="s">
        <v>1175</v>
      </c>
      <c r="CU2" s="935"/>
      <c r="CV2" s="935"/>
      <c r="CW2" s="935"/>
      <c r="CX2" s="935"/>
      <c r="CY2" s="935" t="s">
        <v>1261</v>
      </c>
      <c r="CZ2" s="935"/>
      <c r="DA2" s="935"/>
      <c r="DB2" s="935"/>
      <c r="DC2" s="935"/>
      <c r="DD2" s="935" t="s">
        <v>942</v>
      </c>
      <c r="DE2" s="935"/>
      <c r="DF2" s="935"/>
      <c r="DG2" s="935"/>
      <c r="DH2" s="935"/>
    </row>
    <row r="3" spans="2:113" s="214" customFormat="1" x14ac:dyDescent="0.2">
      <c r="C3" s="214" t="s">
        <v>1071</v>
      </c>
      <c r="D3" s="214">
        <v>1</v>
      </c>
      <c r="I3" s="214">
        <v>2</v>
      </c>
      <c r="K3" s="214">
        <v>3</v>
      </c>
      <c r="L3" s="214">
        <v>4</v>
      </c>
      <c r="N3" s="214">
        <v>5</v>
      </c>
      <c r="P3" s="214">
        <v>6</v>
      </c>
      <c r="S3" s="214">
        <v>7</v>
      </c>
      <c r="W3" s="214">
        <v>8</v>
      </c>
      <c r="AB3" s="214">
        <v>9</v>
      </c>
      <c r="AG3" s="214">
        <v>10</v>
      </c>
      <c r="AL3" s="214">
        <v>11</v>
      </c>
      <c r="AQ3" s="214">
        <v>12</v>
      </c>
      <c r="AV3" s="214">
        <v>13</v>
      </c>
      <c r="BA3" s="214">
        <v>14</v>
      </c>
      <c r="BF3" s="214">
        <v>15</v>
      </c>
      <c r="BK3" s="214">
        <v>16</v>
      </c>
      <c r="BP3" s="214">
        <v>17</v>
      </c>
      <c r="BU3" s="214">
        <v>18</v>
      </c>
      <c r="BZ3" s="214">
        <v>19</v>
      </c>
      <c r="CE3" s="214">
        <v>20</v>
      </c>
      <c r="CJ3" s="214">
        <v>21</v>
      </c>
      <c r="CO3" s="214">
        <v>22</v>
      </c>
      <c r="CT3" s="214">
        <v>23</v>
      </c>
      <c r="CY3" s="214">
        <v>24</v>
      </c>
      <c r="DD3" s="214">
        <v>25</v>
      </c>
    </row>
    <row r="4" spans="2:113" s="214" customFormat="1" x14ac:dyDescent="0.2">
      <c r="C4" s="214" t="s">
        <v>1084</v>
      </c>
      <c r="D4" s="214">
        <v>1</v>
      </c>
      <c r="E4" s="214">
        <v>2</v>
      </c>
      <c r="F4" s="214">
        <v>3</v>
      </c>
      <c r="G4" s="214">
        <v>4</v>
      </c>
      <c r="H4" s="214">
        <v>5</v>
      </c>
      <c r="I4" s="214">
        <v>1</v>
      </c>
      <c r="J4" s="214">
        <v>5</v>
      </c>
      <c r="K4" s="214">
        <v>1</v>
      </c>
      <c r="L4" s="214">
        <v>2</v>
      </c>
      <c r="M4" s="214">
        <v>5</v>
      </c>
      <c r="N4" s="214">
        <v>2</v>
      </c>
      <c r="O4" s="214">
        <v>5</v>
      </c>
      <c r="P4" s="214">
        <v>2</v>
      </c>
      <c r="Q4" s="214">
        <v>3</v>
      </c>
      <c r="R4" s="214">
        <v>5</v>
      </c>
      <c r="S4" s="214">
        <v>2</v>
      </c>
      <c r="T4" s="214">
        <v>3</v>
      </c>
      <c r="U4" s="214">
        <v>4</v>
      </c>
      <c r="V4" s="214">
        <v>5</v>
      </c>
      <c r="W4" s="214">
        <v>1</v>
      </c>
      <c r="X4" s="214">
        <v>2</v>
      </c>
      <c r="Y4" s="214">
        <v>3</v>
      </c>
      <c r="Z4" s="214">
        <v>4</v>
      </c>
      <c r="AA4" s="214">
        <v>5</v>
      </c>
      <c r="AB4" s="214">
        <v>1</v>
      </c>
      <c r="AC4" s="214">
        <v>2</v>
      </c>
      <c r="AD4" s="214">
        <v>3</v>
      </c>
      <c r="AE4" s="214">
        <v>4</v>
      </c>
      <c r="AF4" s="214">
        <v>5</v>
      </c>
      <c r="AG4" s="214">
        <v>1</v>
      </c>
      <c r="AH4" s="214">
        <v>2</v>
      </c>
      <c r="AI4" s="214">
        <v>3</v>
      </c>
      <c r="AJ4" s="214">
        <v>4</v>
      </c>
      <c r="AK4" s="214">
        <v>5</v>
      </c>
      <c r="AL4" s="214">
        <v>1</v>
      </c>
      <c r="AM4" s="214">
        <v>2</v>
      </c>
      <c r="AN4" s="214">
        <v>3</v>
      </c>
      <c r="AO4" s="214">
        <v>4</v>
      </c>
      <c r="AP4" s="214">
        <v>5</v>
      </c>
      <c r="AQ4" s="214">
        <v>1</v>
      </c>
      <c r="AR4" s="214">
        <v>2</v>
      </c>
      <c r="AS4" s="214">
        <v>3</v>
      </c>
      <c r="AT4" s="214">
        <v>4</v>
      </c>
      <c r="AU4" s="214">
        <v>5</v>
      </c>
      <c r="AV4" s="214">
        <v>1</v>
      </c>
      <c r="AW4" s="214">
        <v>2</v>
      </c>
      <c r="AX4" s="214">
        <v>3</v>
      </c>
      <c r="AY4" s="214">
        <v>4</v>
      </c>
      <c r="AZ4" s="214">
        <v>5</v>
      </c>
      <c r="BA4" s="214">
        <v>1</v>
      </c>
      <c r="BB4" s="214">
        <v>2</v>
      </c>
      <c r="BC4" s="214">
        <v>3</v>
      </c>
      <c r="BD4" s="214">
        <v>4</v>
      </c>
      <c r="BE4" s="214">
        <v>5</v>
      </c>
      <c r="BF4" s="214">
        <v>1</v>
      </c>
      <c r="BG4" s="214">
        <v>2</v>
      </c>
      <c r="BH4" s="214">
        <v>3</v>
      </c>
      <c r="BI4" s="214">
        <v>4</v>
      </c>
      <c r="BJ4" s="214">
        <v>5</v>
      </c>
      <c r="BK4" s="214">
        <v>1</v>
      </c>
      <c r="BL4" s="214">
        <v>2</v>
      </c>
      <c r="BM4" s="214">
        <v>3</v>
      </c>
      <c r="BN4" s="214">
        <v>4</v>
      </c>
      <c r="BO4" s="214">
        <v>5</v>
      </c>
      <c r="BP4" s="214">
        <v>1</v>
      </c>
      <c r="BQ4" s="214">
        <v>2</v>
      </c>
      <c r="BR4" s="214">
        <v>3</v>
      </c>
      <c r="BS4" s="214">
        <v>4</v>
      </c>
      <c r="BT4" s="214">
        <v>5</v>
      </c>
      <c r="BU4" s="214">
        <v>1</v>
      </c>
      <c r="BV4" s="214">
        <v>2</v>
      </c>
      <c r="BW4" s="214">
        <v>3</v>
      </c>
      <c r="BX4" s="214">
        <v>4</v>
      </c>
      <c r="BY4" s="214">
        <v>5</v>
      </c>
      <c r="BZ4" s="214">
        <v>1</v>
      </c>
      <c r="CA4" s="214">
        <v>2</v>
      </c>
      <c r="CB4" s="214">
        <v>3</v>
      </c>
      <c r="CC4" s="214">
        <v>4</v>
      </c>
      <c r="CD4" s="214">
        <v>5</v>
      </c>
      <c r="CE4" s="214">
        <v>1</v>
      </c>
      <c r="CF4" s="214">
        <v>2</v>
      </c>
      <c r="CG4" s="214">
        <v>3</v>
      </c>
      <c r="CH4" s="214">
        <v>4</v>
      </c>
      <c r="CI4" s="214">
        <v>5</v>
      </c>
      <c r="CJ4" s="214">
        <v>1</v>
      </c>
      <c r="CK4" s="214">
        <v>2</v>
      </c>
      <c r="CL4" s="214">
        <v>3</v>
      </c>
      <c r="CM4" s="214">
        <v>4</v>
      </c>
      <c r="CN4" s="214">
        <v>5</v>
      </c>
      <c r="CO4" s="214">
        <v>1</v>
      </c>
      <c r="CP4" s="214">
        <v>2</v>
      </c>
      <c r="CQ4" s="214">
        <v>3</v>
      </c>
      <c r="CR4" s="214">
        <v>4</v>
      </c>
      <c r="CS4" s="214">
        <v>5</v>
      </c>
      <c r="CT4" s="214">
        <v>1</v>
      </c>
      <c r="CU4" s="214">
        <v>2</v>
      </c>
      <c r="CV4" s="214">
        <v>3</v>
      </c>
      <c r="CW4" s="214">
        <v>4</v>
      </c>
      <c r="CX4" s="214">
        <v>5</v>
      </c>
      <c r="CY4" s="214">
        <v>1</v>
      </c>
      <c r="CZ4" s="214">
        <v>2</v>
      </c>
      <c r="DA4" s="214">
        <v>3</v>
      </c>
      <c r="DB4" s="214">
        <v>4</v>
      </c>
      <c r="DC4" s="214">
        <v>5</v>
      </c>
      <c r="DD4" s="214">
        <v>6</v>
      </c>
      <c r="DE4" s="214">
        <v>7</v>
      </c>
      <c r="DF4" s="214">
        <v>8</v>
      </c>
      <c r="DG4" s="214">
        <v>9</v>
      </c>
      <c r="DH4" s="214">
        <v>10</v>
      </c>
    </row>
    <row r="5" spans="2:113" s="634" customFormat="1" x14ac:dyDescent="0.2">
      <c r="B5" s="634" t="s">
        <v>1085</v>
      </c>
      <c r="C5" s="634" t="s">
        <v>1086</v>
      </c>
      <c r="DI5" s="634" t="s">
        <v>1189</v>
      </c>
    </row>
    <row r="6" spans="2:113" s="214" customFormat="1" x14ac:dyDescent="0.2">
      <c r="B6" s="609" t="s">
        <v>94</v>
      </c>
      <c r="C6" s="609" t="s">
        <v>93</v>
      </c>
      <c r="D6" s="239">
        <v>8716257</v>
      </c>
      <c r="E6" s="239">
        <v>6973006</v>
      </c>
      <c r="F6" s="239">
        <v>1743251</v>
      </c>
      <c r="G6" s="239">
        <v>0</v>
      </c>
      <c r="H6" s="239">
        <v>17432514</v>
      </c>
      <c r="I6" s="239">
        <v>0</v>
      </c>
      <c r="J6" s="239">
        <v>0</v>
      </c>
      <c r="K6" s="239">
        <v>8716257</v>
      </c>
      <c r="L6" s="239">
        <v>86697</v>
      </c>
      <c r="M6" s="239">
        <v>86697</v>
      </c>
      <c r="N6" s="239">
        <v>0</v>
      </c>
      <c r="O6" s="239">
        <v>0</v>
      </c>
      <c r="P6" s="239">
        <v>0</v>
      </c>
      <c r="Q6" s="239">
        <v>0</v>
      </c>
      <c r="R6" s="239">
        <v>0</v>
      </c>
      <c r="S6" s="239">
        <v>0</v>
      </c>
      <c r="T6" s="239">
        <v>0</v>
      </c>
      <c r="U6" s="239">
        <v>0</v>
      </c>
      <c r="V6" s="239">
        <v>0</v>
      </c>
      <c r="W6" s="239">
        <v>213953</v>
      </c>
      <c r="X6" s="239">
        <v>171163</v>
      </c>
      <c r="Y6" s="239">
        <v>42791</v>
      </c>
      <c r="Z6" s="239">
        <v>0</v>
      </c>
      <c r="AA6" s="239">
        <v>427907</v>
      </c>
      <c r="AB6" s="239">
        <v>-570425</v>
      </c>
      <c r="AC6" s="239">
        <v>-456340</v>
      </c>
      <c r="AD6" s="239">
        <v>-114085</v>
      </c>
      <c r="AE6" s="239">
        <v>0</v>
      </c>
      <c r="AF6" s="239">
        <v>-1140850</v>
      </c>
      <c r="AG6" s="239">
        <v>-240195</v>
      </c>
      <c r="AH6" s="239">
        <v>-192157</v>
      </c>
      <c r="AI6" s="239">
        <v>-48039</v>
      </c>
      <c r="AJ6" s="239">
        <v>0</v>
      </c>
      <c r="AK6" s="239">
        <v>-480391</v>
      </c>
      <c r="AL6" s="239">
        <v>72559</v>
      </c>
      <c r="AM6" s="239">
        <v>58048</v>
      </c>
      <c r="AN6" s="239">
        <v>14512</v>
      </c>
      <c r="AO6" s="239">
        <v>0</v>
      </c>
      <c r="AP6" s="239">
        <v>145119</v>
      </c>
      <c r="AQ6" s="239">
        <v>-8772</v>
      </c>
      <c r="AR6" s="239">
        <v>-7018</v>
      </c>
      <c r="AS6" s="239">
        <v>-1754</v>
      </c>
      <c r="AT6" s="239">
        <v>0</v>
      </c>
      <c r="AU6" s="239">
        <v>-17544</v>
      </c>
      <c r="AV6" s="239">
        <v>-176408</v>
      </c>
      <c r="AW6" s="239">
        <v>-141127</v>
      </c>
      <c r="AX6" s="239">
        <v>-35281</v>
      </c>
      <c r="AY6" s="239">
        <v>0</v>
      </c>
      <c r="AZ6" s="239">
        <v>-352816</v>
      </c>
      <c r="BA6" s="239">
        <v>-864773</v>
      </c>
      <c r="BB6" s="239">
        <v>-691817</v>
      </c>
      <c r="BC6" s="239">
        <v>-172954</v>
      </c>
      <c r="BD6" s="239">
        <v>0</v>
      </c>
      <c r="BE6" s="239">
        <v>-1729544</v>
      </c>
      <c r="BF6" s="239">
        <v>1054581</v>
      </c>
      <c r="BG6" s="239">
        <v>843664</v>
      </c>
      <c r="BH6" s="239">
        <v>210916</v>
      </c>
      <c r="BI6" s="239">
        <v>0</v>
      </c>
      <c r="BJ6" s="239">
        <v>2109161</v>
      </c>
      <c r="BK6" s="239">
        <v>-1081937</v>
      </c>
      <c r="BL6" s="239">
        <v>-865550</v>
      </c>
      <c r="BM6" s="239">
        <v>-216388</v>
      </c>
      <c r="BN6" s="239">
        <v>0</v>
      </c>
      <c r="BO6" s="239">
        <v>-2163875</v>
      </c>
      <c r="BP6" s="239">
        <v>-892129</v>
      </c>
      <c r="BQ6" s="239">
        <v>-713703</v>
      </c>
      <c r="BR6" s="239">
        <v>-178426</v>
      </c>
      <c r="BS6" s="239">
        <v>0</v>
      </c>
      <c r="BT6" s="239">
        <v>-1784258</v>
      </c>
      <c r="BU6" s="239">
        <v>890387</v>
      </c>
      <c r="BV6" s="239">
        <v>712310</v>
      </c>
      <c r="BW6" s="239">
        <v>178078</v>
      </c>
      <c r="BX6" s="239">
        <v>0</v>
      </c>
      <c r="BY6" s="239">
        <v>1780775</v>
      </c>
      <c r="BZ6" s="239">
        <v>475801</v>
      </c>
      <c r="CA6" s="239">
        <v>380640</v>
      </c>
      <c r="CB6" s="239">
        <v>95160</v>
      </c>
      <c r="CC6" s="239">
        <v>0</v>
      </c>
      <c r="CD6" s="239">
        <v>951601</v>
      </c>
      <c r="CE6" s="239">
        <v>414586</v>
      </c>
      <c r="CF6" s="239">
        <v>331670</v>
      </c>
      <c r="CG6" s="239">
        <v>82918</v>
      </c>
      <c r="CH6" s="239">
        <v>0</v>
      </c>
      <c r="CI6" s="239">
        <v>829174</v>
      </c>
      <c r="CJ6" s="239">
        <v>9434977</v>
      </c>
      <c r="CK6" s="239">
        <v>7547982</v>
      </c>
      <c r="CL6" s="239">
        <v>1886996</v>
      </c>
      <c r="CM6" s="239">
        <v>0</v>
      </c>
      <c r="CN6" s="239">
        <v>18869955</v>
      </c>
      <c r="CO6" s="239">
        <v>8716257</v>
      </c>
      <c r="CP6" s="239">
        <v>6973006</v>
      </c>
      <c r="CQ6" s="239">
        <v>1743251</v>
      </c>
      <c r="CR6" s="239">
        <v>0</v>
      </c>
      <c r="CS6" s="239">
        <v>17432514</v>
      </c>
      <c r="CT6" s="239">
        <v>-718720</v>
      </c>
      <c r="CU6" s="239">
        <v>-574976</v>
      </c>
      <c r="CV6" s="239">
        <v>-143745</v>
      </c>
      <c r="CW6" s="239">
        <v>0</v>
      </c>
      <c r="CX6" s="239">
        <v>-1437441</v>
      </c>
      <c r="CY6" s="239">
        <v>-304134</v>
      </c>
      <c r="CZ6" s="239">
        <v>-243306</v>
      </c>
      <c r="DA6" s="239">
        <v>-60827</v>
      </c>
      <c r="DB6" s="239">
        <v>0</v>
      </c>
      <c r="DC6" s="239">
        <v>-608267</v>
      </c>
      <c r="DD6" s="641">
        <v>0.5</v>
      </c>
      <c r="DE6" s="641">
        <v>0.4</v>
      </c>
      <c r="DF6" s="641">
        <v>0.1</v>
      </c>
      <c r="DG6" s="641">
        <v>0</v>
      </c>
      <c r="DH6" s="641">
        <v>1</v>
      </c>
      <c r="DI6" s="214" t="s">
        <v>1190</v>
      </c>
    </row>
    <row r="7" spans="2:113" s="214" customFormat="1" x14ac:dyDescent="0.2">
      <c r="B7" s="609" t="s">
        <v>96</v>
      </c>
      <c r="C7" s="609" t="s">
        <v>95</v>
      </c>
      <c r="D7" s="239">
        <v>13554693</v>
      </c>
      <c r="E7" s="239">
        <v>10843754</v>
      </c>
      <c r="F7" s="239">
        <v>2710939</v>
      </c>
      <c r="G7" s="239">
        <v>0</v>
      </c>
      <c r="H7" s="239">
        <v>27109386</v>
      </c>
      <c r="I7" s="239">
        <v>0</v>
      </c>
      <c r="J7" s="239">
        <v>0</v>
      </c>
      <c r="K7" s="239">
        <v>13554693</v>
      </c>
      <c r="L7" s="239">
        <v>182110</v>
      </c>
      <c r="M7" s="239">
        <v>182110</v>
      </c>
      <c r="N7" s="239">
        <v>0</v>
      </c>
      <c r="O7" s="239">
        <v>0</v>
      </c>
      <c r="P7" s="239">
        <v>434386</v>
      </c>
      <c r="Q7" s="239">
        <v>0</v>
      </c>
      <c r="R7" s="239">
        <v>434386</v>
      </c>
      <c r="S7" s="239">
        <v>0</v>
      </c>
      <c r="T7" s="239">
        <v>0</v>
      </c>
      <c r="U7" s="239">
        <v>0</v>
      </c>
      <c r="V7" s="239">
        <v>0</v>
      </c>
      <c r="W7" s="239">
        <v>396532</v>
      </c>
      <c r="X7" s="239">
        <v>317225</v>
      </c>
      <c r="Y7" s="239">
        <v>79306</v>
      </c>
      <c r="Z7" s="239">
        <v>0</v>
      </c>
      <c r="AA7" s="239">
        <v>793063</v>
      </c>
      <c r="AB7" s="239">
        <v>-93331</v>
      </c>
      <c r="AC7" s="239">
        <v>-74664</v>
      </c>
      <c r="AD7" s="239">
        <v>-18666</v>
      </c>
      <c r="AE7" s="239">
        <v>0</v>
      </c>
      <c r="AF7" s="239">
        <v>-186661</v>
      </c>
      <c r="AG7" s="239">
        <v>-226245</v>
      </c>
      <c r="AH7" s="239">
        <v>-180994</v>
      </c>
      <c r="AI7" s="239">
        <v>-45249</v>
      </c>
      <c r="AJ7" s="239">
        <v>0</v>
      </c>
      <c r="AK7" s="239">
        <v>-452488</v>
      </c>
      <c r="AL7" s="239">
        <v>126817</v>
      </c>
      <c r="AM7" s="239">
        <v>101453</v>
      </c>
      <c r="AN7" s="239">
        <v>25363</v>
      </c>
      <c r="AO7" s="239">
        <v>0</v>
      </c>
      <c r="AP7" s="239">
        <v>253633</v>
      </c>
      <c r="AQ7" s="239">
        <v>-84088</v>
      </c>
      <c r="AR7" s="239">
        <v>-67270</v>
      </c>
      <c r="AS7" s="239">
        <v>-16818</v>
      </c>
      <c r="AT7" s="239">
        <v>0</v>
      </c>
      <c r="AU7" s="239">
        <v>-168176</v>
      </c>
      <c r="AV7" s="239">
        <v>-183516</v>
      </c>
      <c r="AW7" s="239">
        <v>-146811</v>
      </c>
      <c r="AX7" s="239">
        <v>-36704</v>
      </c>
      <c r="AY7" s="239">
        <v>0</v>
      </c>
      <c r="AZ7" s="239">
        <v>-367031</v>
      </c>
      <c r="BA7" s="239">
        <v>-726650</v>
      </c>
      <c r="BB7" s="239">
        <v>-581319</v>
      </c>
      <c r="BC7" s="239">
        <v>-145330</v>
      </c>
      <c r="BD7" s="239">
        <v>0</v>
      </c>
      <c r="BE7" s="239">
        <v>-1453299</v>
      </c>
      <c r="BF7" s="239">
        <v>304316</v>
      </c>
      <c r="BG7" s="239">
        <v>243453</v>
      </c>
      <c r="BH7" s="239">
        <v>60863</v>
      </c>
      <c r="BI7" s="239">
        <v>0</v>
      </c>
      <c r="BJ7" s="239">
        <v>608632</v>
      </c>
      <c r="BK7" s="239">
        <v>-161049</v>
      </c>
      <c r="BL7" s="239">
        <v>-128839</v>
      </c>
      <c r="BM7" s="239">
        <v>-32210</v>
      </c>
      <c r="BN7" s="239">
        <v>0</v>
      </c>
      <c r="BO7" s="239">
        <v>-322098</v>
      </c>
      <c r="BP7" s="239">
        <v>-583383</v>
      </c>
      <c r="BQ7" s="239">
        <v>-466705</v>
      </c>
      <c r="BR7" s="239">
        <v>-116677</v>
      </c>
      <c r="BS7" s="239">
        <v>0</v>
      </c>
      <c r="BT7" s="239">
        <v>-1166765</v>
      </c>
      <c r="BU7" s="239">
        <v>-926911</v>
      </c>
      <c r="BV7" s="239">
        <v>-741529</v>
      </c>
      <c r="BW7" s="239">
        <v>-185382</v>
      </c>
      <c r="BX7" s="239">
        <v>0</v>
      </c>
      <c r="BY7" s="239">
        <v>-1853822</v>
      </c>
      <c r="BZ7" s="239">
        <v>-326194</v>
      </c>
      <c r="CA7" s="239">
        <v>-260956</v>
      </c>
      <c r="CB7" s="239">
        <v>-65239</v>
      </c>
      <c r="CC7" s="239">
        <v>0</v>
      </c>
      <c r="CD7" s="239">
        <v>-652389</v>
      </c>
      <c r="CE7" s="239">
        <v>-600717</v>
      </c>
      <c r="CF7" s="239">
        <v>-480573</v>
      </c>
      <c r="CG7" s="239">
        <v>-120143</v>
      </c>
      <c r="CH7" s="239">
        <v>0</v>
      </c>
      <c r="CI7" s="239">
        <v>-1201433</v>
      </c>
      <c r="CJ7" s="239">
        <v>13898923</v>
      </c>
      <c r="CK7" s="239">
        <v>11119139</v>
      </c>
      <c r="CL7" s="239">
        <v>2779785</v>
      </c>
      <c r="CM7" s="239">
        <v>0</v>
      </c>
      <c r="CN7" s="239">
        <v>27797847</v>
      </c>
      <c r="CO7" s="239">
        <v>13554693</v>
      </c>
      <c r="CP7" s="239">
        <v>10843754</v>
      </c>
      <c r="CQ7" s="239">
        <v>2710939</v>
      </c>
      <c r="CR7" s="239">
        <v>0</v>
      </c>
      <c r="CS7" s="239">
        <v>27109386</v>
      </c>
      <c r="CT7" s="239">
        <v>-344230</v>
      </c>
      <c r="CU7" s="239">
        <v>-275385</v>
      </c>
      <c r="CV7" s="239">
        <v>-68846</v>
      </c>
      <c r="CW7" s="239">
        <v>0</v>
      </c>
      <c r="CX7" s="239">
        <v>-688461</v>
      </c>
      <c r="CY7" s="239">
        <v>-944947</v>
      </c>
      <c r="CZ7" s="239">
        <v>-755958</v>
      </c>
      <c r="DA7" s="239">
        <v>-188989</v>
      </c>
      <c r="DB7" s="239">
        <v>0</v>
      </c>
      <c r="DC7" s="239">
        <v>-1889894</v>
      </c>
      <c r="DD7" s="641">
        <v>0.5</v>
      </c>
      <c r="DE7" s="641">
        <v>0.4</v>
      </c>
      <c r="DF7" s="641">
        <v>0.1</v>
      </c>
      <c r="DG7" s="641">
        <v>0</v>
      </c>
      <c r="DH7" s="641">
        <v>1</v>
      </c>
      <c r="DI7" s="214" t="s">
        <v>1190</v>
      </c>
    </row>
    <row r="8" spans="2:113" s="214" customFormat="1" x14ac:dyDescent="0.2">
      <c r="B8" s="609" t="s">
        <v>98</v>
      </c>
      <c r="C8" s="609" t="s">
        <v>97</v>
      </c>
      <c r="D8" s="239">
        <v>15079948</v>
      </c>
      <c r="E8" s="239">
        <v>12063959</v>
      </c>
      <c r="F8" s="239">
        <v>2714391</v>
      </c>
      <c r="G8" s="239">
        <v>301599</v>
      </c>
      <c r="H8" s="239">
        <v>30159897</v>
      </c>
      <c r="I8" s="239">
        <v>0</v>
      </c>
      <c r="J8" s="239">
        <v>0</v>
      </c>
      <c r="K8" s="239">
        <v>15079948</v>
      </c>
      <c r="L8" s="239">
        <v>151716</v>
      </c>
      <c r="M8" s="239">
        <v>151716</v>
      </c>
      <c r="N8" s="239">
        <v>0</v>
      </c>
      <c r="O8" s="239">
        <v>0</v>
      </c>
      <c r="P8" s="239">
        <v>8066</v>
      </c>
      <c r="Q8" s="239">
        <v>0</v>
      </c>
      <c r="R8" s="239">
        <v>8066</v>
      </c>
      <c r="S8" s="239">
        <v>0</v>
      </c>
      <c r="T8" s="239">
        <v>0</v>
      </c>
      <c r="U8" s="239">
        <v>0</v>
      </c>
      <c r="V8" s="239">
        <v>0</v>
      </c>
      <c r="W8" s="239">
        <v>186522</v>
      </c>
      <c r="X8" s="239">
        <v>149218</v>
      </c>
      <c r="Y8" s="239">
        <v>33574</v>
      </c>
      <c r="Z8" s="239">
        <v>3730</v>
      </c>
      <c r="AA8" s="239">
        <v>373044</v>
      </c>
      <c r="AB8" s="239">
        <v>-573911</v>
      </c>
      <c r="AC8" s="239">
        <v>-459129</v>
      </c>
      <c r="AD8" s="239">
        <v>-103304</v>
      </c>
      <c r="AE8" s="239">
        <v>-11478</v>
      </c>
      <c r="AF8" s="239">
        <v>-1147822</v>
      </c>
      <c r="AG8" s="239">
        <v>-200000</v>
      </c>
      <c r="AH8" s="239">
        <v>-160000</v>
      </c>
      <c r="AI8" s="239">
        <v>-36000</v>
      </c>
      <c r="AJ8" s="239">
        <v>-4000</v>
      </c>
      <c r="AK8" s="239">
        <v>-400000</v>
      </c>
      <c r="AL8" s="239">
        <v>87276</v>
      </c>
      <c r="AM8" s="239">
        <v>69821</v>
      </c>
      <c r="AN8" s="239">
        <v>15710</v>
      </c>
      <c r="AO8" s="239">
        <v>1746</v>
      </c>
      <c r="AP8" s="239">
        <v>174553</v>
      </c>
      <c r="AQ8" s="239">
        <v>-73798</v>
      </c>
      <c r="AR8" s="239">
        <v>-59039</v>
      </c>
      <c r="AS8" s="239">
        <v>-13284</v>
      </c>
      <c r="AT8" s="239">
        <v>-1476</v>
      </c>
      <c r="AU8" s="239">
        <v>-147597</v>
      </c>
      <c r="AV8" s="239">
        <v>-186522</v>
      </c>
      <c r="AW8" s="239">
        <v>-149218</v>
      </c>
      <c r="AX8" s="239">
        <v>-33574</v>
      </c>
      <c r="AY8" s="239">
        <v>-3730</v>
      </c>
      <c r="AZ8" s="239">
        <v>-373044</v>
      </c>
      <c r="BA8" s="239">
        <v>-750000</v>
      </c>
      <c r="BB8" s="239">
        <v>-600000</v>
      </c>
      <c r="BC8" s="239">
        <v>-135000</v>
      </c>
      <c r="BD8" s="239">
        <v>-15000</v>
      </c>
      <c r="BE8" s="239">
        <v>-1500000</v>
      </c>
      <c r="BF8" s="239">
        <v>820709</v>
      </c>
      <c r="BG8" s="239">
        <v>656568</v>
      </c>
      <c r="BH8" s="239">
        <v>147728</v>
      </c>
      <c r="BI8" s="239">
        <v>16414</v>
      </c>
      <c r="BJ8" s="239">
        <v>1641419</v>
      </c>
      <c r="BK8" s="239">
        <v>-770709</v>
      </c>
      <c r="BL8" s="239">
        <v>-616568</v>
      </c>
      <c r="BM8" s="239">
        <v>-138728</v>
      </c>
      <c r="BN8" s="239">
        <v>-15414</v>
      </c>
      <c r="BO8" s="239">
        <v>-1541419</v>
      </c>
      <c r="BP8" s="239">
        <v>-700000</v>
      </c>
      <c r="BQ8" s="239">
        <v>-560000</v>
      </c>
      <c r="BR8" s="239">
        <v>-126000</v>
      </c>
      <c r="BS8" s="239">
        <v>-14000</v>
      </c>
      <c r="BT8" s="239">
        <v>-1400000</v>
      </c>
      <c r="BU8" s="239">
        <v>150452</v>
      </c>
      <c r="BV8" s="239">
        <v>120361</v>
      </c>
      <c r="BW8" s="239">
        <v>27081</v>
      </c>
      <c r="BX8" s="239">
        <v>3009</v>
      </c>
      <c r="BY8" s="239">
        <v>300903</v>
      </c>
      <c r="BZ8" s="239">
        <v>-135747</v>
      </c>
      <c r="CA8" s="239">
        <v>-108597</v>
      </c>
      <c r="CB8" s="239">
        <v>-24434</v>
      </c>
      <c r="CC8" s="239">
        <v>-2715</v>
      </c>
      <c r="CD8" s="239">
        <v>-271493</v>
      </c>
      <c r="CE8" s="239">
        <v>286199</v>
      </c>
      <c r="CF8" s="239">
        <v>228958</v>
      </c>
      <c r="CG8" s="239">
        <v>51515</v>
      </c>
      <c r="CH8" s="239">
        <v>5724</v>
      </c>
      <c r="CI8" s="239">
        <v>572396</v>
      </c>
      <c r="CJ8" s="239">
        <v>15463172</v>
      </c>
      <c r="CK8" s="239">
        <v>12370537</v>
      </c>
      <c r="CL8" s="239">
        <v>2783371</v>
      </c>
      <c r="CM8" s="239">
        <v>309263</v>
      </c>
      <c r="CN8" s="239">
        <v>30926343</v>
      </c>
      <c r="CO8" s="239">
        <v>15079948</v>
      </c>
      <c r="CP8" s="239">
        <v>12063959</v>
      </c>
      <c r="CQ8" s="239">
        <v>2714391</v>
      </c>
      <c r="CR8" s="239">
        <v>301599</v>
      </c>
      <c r="CS8" s="239">
        <v>30159897</v>
      </c>
      <c r="CT8" s="239">
        <v>-383224</v>
      </c>
      <c r="CU8" s="239">
        <v>-306578</v>
      </c>
      <c r="CV8" s="239">
        <v>-68980</v>
      </c>
      <c r="CW8" s="239">
        <v>-7664</v>
      </c>
      <c r="CX8" s="239">
        <v>-766446</v>
      </c>
      <c r="CY8" s="239">
        <v>-97025</v>
      </c>
      <c r="CZ8" s="239">
        <v>-77620</v>
      </c>
      <c r="DA8" s="239">
        <v>-17465</v>
      </c>
      <c r="DB8" s="239">
        <v>-1940</v>
      </c>
      <c r="DC8" s="239">
        <v>-194050</v>
      </c>
      <c r="DD8" s="641">
        <v>0.5</v>
      </c>
      <c r="DE8" s="641">
        <v>0.4</v>
      </c>
      <c r="DF8" s="641">
        <v>0.09</v>
      </c>
      <c r="DG8" s="641">
        <v>0.01</v>
      </c>
      <c r="DH8" s="641">
        <v>1</v>
      </c>
      <c r="DI8" s="214" t="s">
        <v>1190</v>
      </c>
    </row>
    <row r="9" spans="2:113" s="214" customFormat="1" x14ac:dyDescent="0.2">
      <c r="B9" s="609" t="s">
        <v>100</v>
      </c>
      <c r="C9" s="609" t="s">
        <v>99</v>
      </c>
      <c r="D9" s="239">
        <v>18637271</v>
      </c>
      <c r="E9" s="239">
        <v>14909817</v>
      </c>
      <c r="F9" s="239">
        <v>3727454</v>
      </c>
      <c r="G9" s="239">
        <v>0</v>
      </c>
      <c r="H9" s="239">
        <v>37274542</v>
      </c>
      <c r="I9" s="239">
        <v>0</v>
      </c>
      <c r="J9" s="239">
        <v>0</v>
      </c>
      <c r="K9" s="239">
        <v>18637271</v>
      </c>
      <c r="L9" s="239">
        <v>177222</v>
      </c>
      <c r="M9" s="239">
        <v>177222</v>
      </c>
      <c r="N9" s="239">
        <v>0</v>
      </c>
      <c r="O9" s="239">
        <v>0</v>
      </c>
      <c r="P9" s="239">
        <v>0</v>
      </c>
      <c r="Q9" s="239">
        <v>0</v>
      </c>
      <c r="R9" s="239">
        <v>0</v>
      </c>
      <c r="S9" s="239">
        <v>0</v>
      </c>
      <c r="T9" s="239">
        <v>0</v>
      </c>
      <c r="U9" s="239">
        <v>0</v>
      </c>
      <c r="V9" s="239">
        <v>0</v>
      </c>
      <c r="W9" s="239">
        <v>411418</v>
      </c>
      <c r="X9" s="239">
        <v>329134</v>
      </c>
      <c r="Y9" s="239">
        <v>82284</v>
      </c>
      <c r="Z9" s="239">
        <v>0</v>
      </c>
      <c r="AA9" s="239">
        <v>822836</v>
      </c>
      <c r="AB9" s="239">
        <v>-172121</v>
      </c>
      <c r="AC9" s="239">
        <v>-137696</v>
      </c>
      <c r="AD9" s="239">
        <v>-34424</v>
      </c>
      <c r="AE9" s="239">
        <v>0</v>
      </c>
      <c r="AF9" s="239">
        <v>-344241</v>
      </c>
      <c r="AG9" s="239">
        <v>-133500</v>
      </c>
      <c r="AH9" s="239">
        <v>-106800</v>
      </c>
      <c r="AI9" s="239">
        <v>-26700</v>
      </c>
      <c r="AJ9" s="239">
        <v>0</v>
      </c>
      <c r="AK9" s="239">
        <v>-267000</v>
      </c>
      <c r="AL9" s="239">
        <v>133500</v>
      </c>
      <c r="AM9" s="239">
        <v>106800</v>
      </c>
      <c r="AN9" s="239">
        <v>26700</v>
      </c>
      <c r="AO9" s="239">
        <v>0</v>
      </c>
      <c r="AP9" s="239">
        <v>267000</v>
      </c>
      <c r="AQ9" s="239">
        <v>-154500</v>
      </c>
      <c r="AR9" s="239">
        <v>-123600</v>
      </c>
      <c r="AS9" s="239">
        <v>-30900</v>
      </c>
      <c r="AT9" s="239">
        <v>0</v>
      </c>
      <c r="AU9" s="239">
        <v>-309000</v>
      </c>
      <c r="AV9" s="239">
        <v>-154500</v>
      </c>
      <c r="AW9" s="239">
        <v>-123600</v>
      </c>
      <c r="AX9" s="239">
        <v>-30900</v>
      </c>
      <c r="AY9" s="239">
        <v>0</v>
      </c>
      <c r="AZ9" s="239">
        <v>-309000</v>
      </c>
      <c r="BA9" s="239">
        <v>-2626500</v>
      </c>
      <c r="BB9" s="239">
        <v>-2101200</v>
      </c>
      <c r="BC9" s="239">
        <v>-525300</v>
      </c>
      <c r="BD9" s="239">
        <v>0</v>
      </c>
      <c r="BE9" s="239">
        <v>-5253000</v>
      </c>
      <c r="BF9" s="239">
        <v>304048</v>
      </c>
      <c r="BG9" s="239">
        <v>243238</v>
      </c>
      <c r="BH9" s="239">
        <v>60810</v>
      </c>
      <c r="BI9" s="239">
        <v>0</v>
      </c>
      <c r="BJ9" s="239">
        <v>608096</v>
      </c>
      <c r="BK9" s="239">
        <v>-185548</v>
      </c>
      <c r="BL9" s="239">
        <v>-148438</v>
      </c>
      <c r="BM9" s="239">
        <v>-37110</v>
      </c>
      <c r="BN9" s="239">
        <v>0</v>
      </c>
      <c r="BO9" s="239">
        <v>-371096</v>
      </c>
      <c r="BP9" s="239">
        <v>-2508000</v>
      </c>
      <c r="BQ9" s="239">
        <v>-2006400</v>
      </c>
      <c r="BR9" s="239">
        <v>-501600</v>
      </c>
      <c r="BS9" s="239">
        <v>0</v>
      </c>
      <c r="BT9" s="239">
        <v>-5016000</v>
      </c>
      <c r="BU9" s="239">
        <v>-1985637</v>
      </c>
      <c r="BV9" s="239">
        <v>-1588510</v>
      </c>
      <c r="BW9" s="239">
        <v>-397127</v>
      </c>
      <c r="BX9" s="239">
        <v>0</v>
      </c>
      <c r="BY9" s="239">
        <v>-3971274</v>
      </c>
      <c r="BZ9" s="239">
        <v>-1805738</v>
      </c>
      <c r="CA9" s="239">
        <v>-1444591</v>
      </c>
      <c r="CB9" s="239">
        <v>-361148</v>
      </c>
      <c r="CC9" s="239">
        <v>0</v>
      </c>
      <c r="CD9" s="239">
        <v>-3611477</v>
      </c>
      <c r="CE9" s="239">
        <v>-179899</v>
      </c>
      <c r="CF9" s="239">
        <v>-143919</v>
      </c>
      <c r="CG9" s="239">
        <v>-35979</v>
      </c>
      <c r="CH9" s="239">
        <v>0</v>
      </c>
      <c r="CI9" s="239">
        <v>-359797</v>
      </c>
      <c r="CJ9" s="239">
        <v>17396859</v>
      </c>
      <c r="CK9" s="239">
        <v>13917487</v>
      </c>
      <c r="CL9" s="239">
        <v>3479372</v>
      </c>
      <c r="CM9" s="239">
        <v>0</v>
      </c>
      <c r="CN9" s="239">
        <v>34793718</v>
      </c>
      <c r="CO9" s="239">
        <v>18637271</v>
      </c>
      <c r="CP9" s="239">
        <v>14909817</v>
      </c>
      <c r="CQ9" s="239">
        <v>3727454</v>
      </c>
      <c r="CR9" s="239">
        <v>0</v>
      </c>
      <c r="CS9" s="239">
        <v>37274542</v>
      </c>
      <c r="CT9" s="239">
        <v>1240412</v>
      </c>
      <c r="CU9" s="239">
        <v>992330</v>
      </c>
      <c r="CV9" s="239">
        <v>248082</v>
      </c>
      <c r="CW9" s="239">
        <v>0</v>
      </c>
      <c r="CX9" s="239">
        <v>2480824</v>
      </c>
      <c r="CY9" s="239">
        <v>1060513</v>
      </c>
      <c r="CZ9" s="239">
        <v>848411</v>
      </c>
      <c r="DA9" s="239">
        <v>212103</v>
      </c>
      <c r="DB9" s="239">
        <v>0</v>
      </c>
      <c r="DC9" s="239">
        <v>2121027</v>
      </c>
      <c r="DD9" s="641">
        <v>0.5</v>
      </c>
      <c r="DE9" s="641">
        <v>0.4</v>
      </c>
      <c r="DF9" s="641">
        <v>0.1</v>
      </c>
      <c r="DG9" s="641">
        <v>0</v>
      </c>
      <c r="DH9" s="641">
        <v>1</v>
      </c>
      <c r="DI9" s="214" t="s">
        <v>1190</v>
      </c>
    </row>
    <row r="10" spans="2:113" s="214" customFormat="1" x14ac:dyDescent="0.2">
      <c r="B10" s="609" t="s">
        <v>102</v>
      </c>
      <c r="C10" s="609" t="s">
        <v>101</v>
      </c>
      <c r="D10" s="239">
        <v>17386141</v>
      </c>
      <c r="E10" s="239">
        <v>13908914</v>
      </c>
      <c r="F10" s="239">
        <v>3129506</v>
      </c>
      <c r="G10" s="239">
        <v>347723</v>
      </c>
      <c r="H10" s="239">
        <v>34772284</v>
      </c>
      <c r="I10" s="239">
        <v>0</v>
      </c>
      <c r="J10" s="239">
        <v>0</v>
      </c>
      <c r="K10" s="239">
        <v>17386141</v>
      </c>
      <c r="L10" s="239">
        <v>132117</v>
      </c>
      <c r="M10" s="239">
        <v>132117</v>
      </c>
      <c r="N10" s="239">
        <v>0</v>
      </c>
      <c r="O10" s="239">
        <v>0</v>
      </c>
      <c r="P10" s="239">
        <v>0</v>
      </c>
      <c r="Q10" s="239">
        <v>0</v>
      </c>
      <c r="R10" s="239">
        <v>0</v>
      </c>
      <c r="S10" s="239">
        <v>0</v>
      </c>
      <c r="T10" s="239">
        <v>0</v>
      </c>
      <c r="U10" s="239">
        <v>0</v>
      </c>
      <c r="V10" s="239">
        <v>0</v>
      </c>
      <c r="W10" s="239">
        <v>683406</v>
      </c>
      <c r="X10" s="239">
        <v>546724</v>
      </c>
      <c r="Y10" s="239">
        <v>123013</v>
      </c>
      <c r="Z10" s="239">
        <v>13668</v>
      </c>
      <c r="AA10" s="239">
        <v>1366811</v>
      </c>
      <c r="AB10" s="239">
        <v>-107416</v>
      </c>
      <c r="AC10" s="239">
        <v>-85932</v>
      </c>
      <c r="AD10" s="239">
        <v>-19335</v>
      </c>
      <c r="AE10" s="239">
        <v>-2148</v>
      </c>
      <c r="AF10" s="239">
        <v>-214831</v>
      </c>
      <c r="AG10" s="239">
        <v>-367132</v>
      </c>
      <c r="AH10" s="239">
        <v>-293703</v>
      </c>
      <c r="AI10" s="239">
        <v>-66082</v>
      </c>
      <c r="AJ10" s="239">
        <v>-7342</v>
      </c>
      <c r="AK10" s="239">
        <v>-734259</v>
      </c>
      <c r="AL10" s="239">
        <v>154714</v>
      </c>
      <c r="AM10" s="239">
        <v>123771</v>
      </c>
      <c r="AN10" s="239">
        <v>27848</v>
      </c>
      <c r="AO10" s="239">
        <v>3094</v>
      </c>
      <c r="AP10" s="239">
        <v>309427</v>
      </c>
      <c r="AQ10" s="239">
        <v>-121472</v>
      </c>
      <c r="AR10" s="239">
        <v>-97178</v>
      </c>
      <c r="AS10" s="239">
        <v>-21865</v>
      </c>
      <c r="AT10" s="239">
        <v>-2429</v>
      </c>
      <c r="AU10" s="239">
        <v>-242944</v>
      </c>
      <c r="AV10" s="239">
        <v>-333890</v>
      </c>
      <c r="AW10" s="239">
        <v>-267110</v>
      </c>
      <c r="AX10" s="239">
        <v>-60099</v>
      </c>
      <c r="AY10" s="239">
        <v>-6677</v>
      </c>
      <c r="AZ10" s="239">
        <v>-667776</v>
      </c>
      <c r="BA10" s="239">
        <v>-731816</v>
      </c>
      <c r="BB10" s="239">
        <v>-585452</v>
      </c>
      <c r="BC10" s="239">
        <v>-131727</v>
      </c>
      <c r="BD10" s="239">
        <v>-14636</v>
      </c>
      <c r="BE10" s="239">
        <v>-1463631</v>
      </c>
      <c r="BF10" s="239">
        <v>158847</v>
      </c>
      <c r="BG10" s="239">
        <v>127077</v>
      </c>
      <c r="BH10" s="239">
        <v>28592</v>
      </c>
      <c r="BI10" s="239">
        <v>3177</v>
      </c>
      <c r="BJ10" s="239">
        <v>317693</v>
      </c>
      <c r="BK10" s="239">
        <v>-882931</v>
      </c>
      <c r="BL10" s="239">
        <v>-706346</v>
      </c>
      <c r="BM10" s="239">
        <v>-158928</v>
      </c>
      <c r="BN10" s="239">
        <v>-17659</v>
      </c>
      <c r="BO10" s="239">
        <v>-1765864</v>
      </c>
      <c r="BP10" s="239">
        <v>-1455900</v>
      </c>
      <c r="BQ10" s="239">
        <v>-1164721</v>
      </c>
      <c r="BR10" s="239">
        <v>-262063</v>
      </c>
      <c r="BS10" s="239">
        <v>-29118</v>
      </c>
      <c r="BT10" s="239">
        <v>-2911802</v>
      </c>
      <c r="BU10" s="239">
        <v>-148674</v>
      </c>
      <c r="BV10" s="239">
        <v>-118939</v>
      </c>
      <c r="BW10" s="239">
        <v>-26761</v>
      </c>
      <c r="BX10" s="239">
        <v>-2973</v>
      </c>
      <c r="BY10" s="239">
        <v>-297347</v>
      </c>
      <c r="BZ10" s="239">
        <v>54288</v>
      </c>
      <c r="CA10" s="239">
        <v>43431</v>
      </c>
      <c r="CB10" s="239">
        <v>9772</v>
      </c>
      <c r="CC10" s="239">
        <v>1086</v>
      </c>
      <c r="CD10" s="239">
        <v>108577</v>
      </c>
      <c r="CE10" s="239">
        <v>-202962</v>
      </c>
      <c r="CF10" s="239">
        <v>-162370</v>
      </c>
      <c r="CG10" s="239">
        <v>-36533</v>
      </c>
      <c r="CH10" s="239">
        <v>-4059</v>
      </c>
      <c r="CI10" s="239">
        <v>-405924</v>
      </c>
      <c r="CJ10" s="239">
        <v>17450786</v>
      </c>
      <c r="CK10" s="239">
        <v>13960630</v>
      </c>
      <c r="CL10" s="239">
        <v>3141142</v>
      </c>
      <c r="CM10" s="239">
        <v>349016</v>
      </c>
      <c r="CN10" s="239">
        <v>34901574</v>
      </c>
      <c r="CO10" s="239">
        <v>17386141</v>
      </c>
      <c r="CP10" s="239">
        <v>13908914</v>
      </c>
      <c r="CQ10" s="239">
        <v>3129506</v>
      </c>
      <c r="CR10" s="239">
        <v>347723</v>
      </c>
      <c r="CS10" s="239">
        <v>34772284</v>
      </c>
      <c r="CT10" s="239">
        <v>-64645</v>
      </c>
      <c r="CU10" s="239">
        <v>-51716</v>
      </c>
      <c r="CV10" s="239">
        <v>-11636</v>
      </c>
      <c r="CW10" s="239">
        <v>-1293</v>
      </c>
      <c r="CX10" s="239">
        <v>-129290</v>
      </c>
      <c r="CY10" s="239">
        <v>-267607</v>
      </c>
      <c r="CZ10" s="239">
        <v>-214086</v>
      </c>
      <c r="DA10" s="239">
        <v>-48169</v>
      </c>
      <c r="DB10" s="239">
        <v>-5352</v>
      </c>
      <c r="DC10" s="239">
        <v>-535214</v>
      </c>
      <c r="DD10" s="641">
        <v>0.5</v>
      </c>
      <c r="DE10" s="641">
        <v>0.4</v>
      </c>
      <c r="DF10" s="641">
        <v>0.09</v>
      </c>
      <c r="DG10" s="641">
        <v>0.01</v>
      </c>
      <c r="DH10" s="641">
        <v>1</v>
      </c>
      <c r="DI10" s="214" t="s">
        <v>1190</v>
      </c>
    </row>
    <row r="11" spans="2:113" s="214" customFormat="1" x14ac:dyDescent="0.2">
      <c r="B11" s="609" t="s">
        <v>104</v>
      </c>
      <c r="C11" s="609" t="s">
        <v>103</v>
      </c>
      <c r="D11" s="239">
        <v>23642925</v>
      </c>
      <c r="E11" s="239">
        <v>18914340</v>
      </c>
      <c r="F11" s="239">
        <v>4255726</v>
      </c>
      <c r="G11" s="239">
        <v>472858</v>
      </c>
      <c r="H11" s="239">
        <v>47285849</v>
      </c>
      <c r="I11" s="239">
        <v>0</v>
      </c>
      <c r="J11" s="239">
        <v>0</v>
      </c>
      <c r="K11" s="239">
        <v>23642925</v>
      </c>
      <c r="L11" s="239">
        <v>180852</v>
      </c>
      <c r="M11" s="239">
        <v>180852</v>
      </c>
      <c r="N11" s="239">
        <v>0</v>
      </c>
      <c r="O11" s="239">
        <v>0</v>
      </c>
      <c r="P11" s="239">
        <v>100788</v>
      </c>
      <c r="Q11" s="239">
        <v>0</v>
      </c>
      <c r="R11" s="239">
        <v>100788</v>
      </c>
      <c r="S11" s="239">
        <v>0</v>
      </c>
      <c r="T11" s="239">
        <v>0</v>
      </c>
      <c r="U11" s="239">
        <v>0</v>
      </c>
      <c r="V11" s="239">
        <v>0</v>
      </c>
      <c r="W11" s="239">
        <v>69486</v>
      </c>
      <c r="X11" s="239">
        <v>55589</v>
      </c>
      <c r="Y11" s="239">
        <v>12507</v>
      </c>
      <c r="Z11" s="239">
        <v>1390</v>
      </c>
      <c r="AA11" s="239">
        <v>138972</v>
      </c>
      <c r="AB11" s="239">
        <v>-127516</v>
      </c>
      <c r="AC11" s="239">
        <v>-102012</v>
      </c>
      <c r="AD11" s="239">
        <v>-22953</v>
      </c>
      <c r="AE11" s="239">
        <v>-2550</v>
      </c>
      <c r="AF11" s="239">
        <v>-255031</v>
      </c>
      <c r="AG11" s="239">
        <v>-391577</v>
      </c>
      <c r="AH11" s="239">
        <v>-313261</v>
      </c>
      <c r="AI11" s="239">
        <v>-70484</v>
      </c>
      <c r="AJ11" s="239">
        <v>-7832</v>
      </c>
      <c r="AK11" s="239">
        <v>-783154</v>
      </c>
      <c r="AL11" s="239">
        <v>143428</v>
      </c>
      <c r="AM11" s="239">
        <v>114742</v>
      </c>
      <c r="AN11" s="239">
        <v>25817</v>
      </c>
      <c r="AO11" s="239">
        <v>2869</v>
      </c>
      <c r="AP11" s="239">
        <v>286856</v>
      </c>
      <c r="AQ11" s="239">
        <v>117760</v>
      </c>
      <c r="AR11" s="239">
        <v>94208</v>
      </c>
      <c r="AS11" s="239">
        <v>21197</v>
      </c>
      <c r="AT11" s="239">
        <v>2355</v>
      </c>
      <c r="AU11" s="239">
        <v>235520</v>
      </c>
      <c r="AV11" s="239">
        <v>-130389</v>
      </c>
      <c r="AW11" s="239">
        <v>-104311</v>
      </c>
      <c r="AX11" s="239">
        <v>-23470</v>
      </c>
      <c r="AY11" s="239">
        <v>-2608</v>
      </c>
      <c r="AZ11" s="239">
        <v>-260778</v>
      </c>
      <c r="BA11" s="239">
        <v>-1730562</v>
      </c>
      <c r="BB11" s="239">
        <v>-1384451</v>
      </c>
      <c r="BC11" s="239">
        <v>-311501</v>
      </c>
      <c r="BD11" s="239">
        <v>-34611</v>
      </c>
      <c r="BE11" s="239">
        <v>-3461125</v>
      </c>
      <c r="BF11" s="239">
        <v>840456</v>
      </c>
      <c r="BG11" s="239">
        <v>672364</v>
      </c>
      <c r="BH11" s="239">
        <v>151282</v>
      </c>
      <c r="BI11" s="239">
        <v>16809</v>
      </c>
      <c r="BJ11" s="239">
        <v>1680911</v>
      </c>
      <c r="BK11" s="239">
        <v>-756858</v>
      </c>
      <c r="BL11" s="239">
        <v>-605487</v>
      </c>
      <c r="BM11" s="239">
        <v>-136235</v>
      </c>
      <c r="BN11" s="239">
        <v>-15137</v>
      </c>
      <c r="BO11" s="239">
        <v>-1513717</v>
      </c>
      <c r="BP11" s="239">
        <v>-1646964</v>
      </c>
      <c r="BQ11" s="239">
        <v>-1317574</v>
      </c>
      <c r="BR11" s="239">
        <v>-296454</v>
      </c>
      <c r="BS11" s="239">
        <v>-32939</v>
      </c>
      <c r="BT11" s="239">
        <v>-3293931</v>
      </c>
      <c r="BU11" s="239">
        <v>-1430012</v>
      </c>
      <c r="BV11" s="239">
        <v>-1144010</v>
      </c>
      <c r="BW11" s="239">
        <v>-257402</v>
      </c>
      <c r="BX11" s="239">
        <v>-28600</v>
      </c>
      <c r="BY11" s="239">
        <v>-2860024</v>
      </c>
      <c r="BZ11" s="239">
        <v>-373383</v>
      </c>
      <c r="CA11" s="239">
        <v>-298707</v>
      </c>
      <c r="CB11" s="239">
        <v>-67209</v>
      </c>
      <c r="CC11" s="239">
        <v>-7468</v>
      </c>
      <c r="CD11" s="239">
        <v>-746767</v>
      </c>
      <c r="CE11" s="239">
        <v>-1056629</v>
      </c>
      <c r="CF11" s="239">
        <v>-845303</v>
      </c>
      <c r="CG11" s="239">
        <v>-190193</v>
      </c>
      <c r="CH11" s="239">
        <v>-21132</v>
      </c>
      <c r="CI11" s="239">
        <v>-2113257</v>
      </c>
      <c r="CJ11" s="239">
        <v>24020050</v>
      </c>
      <c r="CK11" s="239">
        <v>19216040</v>
      </c>
      <c r="CL11" s="239">
        <v>4323609</v>
      </c>
      <c r="CM11" s="239">
        <v>480401</v>
      </c>
      <c r="CN11" s="239">
        <v>48040100</v>
      </c>
      <c r="CO11" s="239">
        <v>23642925</v>
      </c>
      <c r="CP11" s="239">
        <v>18914340</v>
      </c>
      <c r="CQ11" s="239">
        <v>4255726</v>
      </c>
      <c r="CR11" s="239">
        <v>472858</v>
      </c>
      <c r="CS11" s="239">
        <v>47285849</v>
      </c>
      <c r="CT11" s="239">
        <v>-377125</v>
      </c>
      <c r="CU11" s="239">
        <v>-301700</v>
      </c>
      <c r="CV11" s="239">
        <v>-67883</v>
      </c>
      <c r="CW11" s="239">
        <v>-7543</v>
      </c>
      <c r="CX11" s="239">
        <v>-754251</v>
      </c>
      <c r="CY11" s="239">
        <v>-1433754</v>
      </c>
      <c r="CZ11" s="239">
        <v>-1147003</v>
      </c>
      <c r="DA11" s="239">
        <v>-258076</v>
      </c>
      <c r="DB11" s="239">
        <v>-28675</v>
      </c>
      <c r="DC11" s="239">
        <v>-2867508</v>
      </c>
      <c r="DD11" s="641">
        <v>0.5</v>
      </c>
      <c r="DE11" s="641">
        <v>0.4</v>
      </c>
      <c r="DF11" s="641">
        <v>0.09</v>
      </c>
      <c r="DG11" s="641">
        <v>0.01</v>
      </c>
      <c r="DH11" s="641">
        <v>1</v>
      </c>
      <c r="DI11" s="214" t="s">
        <v>1190</v>
      </c>
    </row>
    <row r="12" spans="2:113" s="214" customFormat="1" x14ac:dyDescent="0.2">
      <c r="B12" s="609" t="s">
        <v>106</v>
      </c>
      <c r="C12" s="609" t="s">
        <v>105</v>
      </c>
      <c r="D12" s="239">
        <v>27073102</v>
      </c>
      <c r="E12" s="239">
        <v>21658482</v>
      </c>
      <c r="F12" s="239">
        <v>4873158</v>
      </c>
      <c r="G12" s="239">
        <v>541462</v>
      </c>
      <c r="H12" s="239">
        <v>54146204</v>
      </c>
      <c r="I12" s="239">
        <v>0</v>
      </c>
      <c r="J12" s="239">
        <v>0</v>
      </c>
      <c r="K12" s="239">
        <v>27073102</v>
      </c>
      <c r="L12" s="239">
        <v>227027</v>
      </c>
      <c r="M12" s="239">
        <v>227027</v>
      </c>
      <c r="N12" s="239">
        <v>208743</v>
      </c>
      <c r="O12" s="239">
        <v>208743</v>
      </c>
      <c r="P12" s="239">
        <v>0</v>
      </c>
      <c r="Q12" s="239">
        <v>0</v>
      </c>
      <c r="R12" s="239">
        <v>0</v>
      </c>
      <c r="S12" s="239">
        <v>0</v>
      </c>
      <c r="T12" s="239">
        <v>0</v>
      </c>
      <c r="U12" s="239">
        <v>0</v>
      </c>
      <c r="V12" s="239">
        <v>0</v>
      </c>
      <c r="W12" s="239">
        <v>102347</v>
      </c>
      <c r="X12" s="239">
        <v>81877</v>
      </c>
      <c r="Y12" s="239">
        <v>18422</v>
      </c>
      <c r="Z12" s="239">
        <v>2047</v>
      </c>
      <c r="AA12" s="239">
        <v>204693</v>
      </c>
      <c r="AB12" s="239">
        <v>-596243</v>
      </c>
      <c r="AC12" s="239">
        <v>-476995</v>
      </c>
      <c r="AD12" s="239">
        <v>-107324</v>
      </c>
      <c r="AE12" s="239">
        <v>-11925</v>
      </c>
      <c r="AF12" s="239">
        <v>-1192487</v>
      </c>
      <c r="AG12" s="239">
        <v>0</v>
      </c>
      <c r="AH12" s="239">
        <v>0</v>
      </c>
      <c r="AI12" s="239">
        <v>0</v>
      </c>
      <c r="AJ12" s="239">
        <v>0</v>
      </c>
      <c r="AK12" s="239">
        <v>0</v>
      </c>
      <c r="AL12" s="239">
        <v>0</v>
      </c>
      <c r="AM12" s="239">
        <v>0</v>
      </c>
      <c r="AN12" s="239">
        <v>0</v>
      </c>
      <c r="AO12" s="239">
        <v>0</v>
      </c>
      <c r="AP12" s="239">
        <v>0</v>
      </c>
      <c r="AQ12" s="239">
        <v>0</v>
      </c>
      <c r="AR12" s="239">
        <v>0</v>
      </c>
      <c r="AS12" s="239">
        <v>0</v>
      </c>
      <c r="AT12" s="239">
        <v>0</v>
      </c>
      <c r="AU12" s="239">
        <v>0</v>
      </c>
      <c r="AV12" s="239">
        <v>0</v>
      </c>
      <c r="AW12" s="239">
        <v>0</v>
      </c>
      <c r="AX12" s="239">
        <v>0</v>
      </c>
      <c r="AY12" s="239">
        <v>0</v>
      </c>
      <c r="AZ12" s="239">
        <v>0</v>
      </c>
      <c r="BA12" s="239">
        <v>-2180313</v>
      </c>
      <c r="BB12" s="239">
        <v>-1744251</v>
      </c>
      <c r="BC12" s="239">
        <v>-392456</v>
      </c>
      <c r="BD12" s="239">
        <v>-43607</v>
      </c>
      <c r="BE12" s="239">
        <v>-4360627</v>
      </c>
      <c r="BF12" s="239">
        <v>180586</v>
      </c>
      <c r="BG12" s="239">
        <v>144470</v>
      </c>
      <c r="BH12" s="239">
        <v>32506</v>
      </c>
      <c r="BI12" s="239">
        <v>3612</v>
      </c>
      <c r="BJ12" s="239">
        <v>361174</v>
      </c>
      <c r="BK12" s="239">
        <v>1003303</v>
      </c>
      <c r="BL12" s="239">
        <v>802642</v>
      </c>
      <c r="BM12" s="239">
        <v>180594</v>
      </c>
      <c r="BN12" s="239">
        <v>20066</v>
      </c>
      <c r="BO12" s="239">
        <v>2006605</v>
      </c>
      <c r="BP12" s="239">
        <v>-996424</v>
      </c>
      <c r="BQ12" s="239">
        <v>-797139</v>
      </c>
      <c r="BR12" s="239">
        <v>-179356</v>
      </c>
      <c r="BS12" s="239">
        <v>-19929</v>
      </c>
      <c r="BT12" s="239">
        <v>-1992848</v>
      </c>
      <c r="BU12" s="239">
        <v>-762679</v>
      </c>
      <c r="BV12" s="239">
        <v>-610144</v>
      </c>
      <c r="BW12" s="239">
        <v>-137282</v>
      </c>
      <c r="BX12" s="239">
        <v>-15254</v>
      </c>
      <c r="BY12" s="239">
        <v>-1525359</v>
      </c>
      <c r="BZ12" s="239">
        <v>-222475</v>
      </c>
      <c r="CA12" s="239">
        <v>-177981</v>
      </c>
      <c r="CB12" s="239">
        <v>-40046</v>
      </c>
      <c r="CC12" s="239">
        <v>-4450</v>
      </c>
      <c r="CD12" s="239">
        <v>-444952</v>
      </c>
      <c r="CE12" s="239">
        <v>-540204</v>
      </c>
      <c r="CF12" s="239">
        <v>-432163</v>
      </c>
      <c r="CG12" s="239">
        <v>-97236</v>
      </c>
      <c r="CH12" s="239">
        <v>-10804</v>
      </c>
      <c r="CI12" s="239">
        <v>-1080407</v>
      </c>
      <c r="CJ12" s="239">
        <v>25577130</v>
      </c>
      <c r="CK12" s="239">
        <v>20461704</v>
      </c>
      <c r="CL12" s="239">
        <v>4603883</v>
      </c>
      <c r="CM12" s="239">
        <v>511543</v>
      </c>
      <c r="CN12" s="239">
        <v>51154260</v>
      </c>
      <c r="CO12" s="239">
        <v>27073102</v>
      </c>
      <c r="CP12" s="239">
        <v>21658482</v>
      </c>
      <c r="CQ12" s="239">
        <v>4873158</v>
      </c>
      <c r="CR12" s="239">
        <v>541462</v>
      </c>
      <c r="CS12" s="239">
        <v>54146204</v>
      </c>
      <c r="CT12" s="239">
        <v>1495972</v>
      </c>
      <c r="CU12" s="239">
        <v>1196778</v>
      </c>
      <c r="CV12" s="239">
        <v>269275</v>
      </c>
      <c r="CW12" s="239">
        <v>29919</v>
      </c>
      <c r="CX12" s="239">
        <v>2991944</v>
      </c>
      <c r="CY12" s="239">
        <v>955768</v>
      </c>
      <c r="CZ12" s="239">
        <v>764615</v>
      </c>
      <c r="DA12" s="239">
        <v>172039</v>
      </c>
      <c r="DB12" s="239">
        <v>19115</v>
      </c>
      <c r="DC12" s="239">
        <v>1911537</v>
      </c>
      <c r="DD12" s="641">
        <v>0.5</v>
      </c>
      <c r="DE12" s="641">
        <v>0.4</v>
      </c>
      <c r="DF12" s="641">
        <v>0.09</v>
      </c>
      <c r="DG12" s="641">
        <v>0.01</v>
      </c>
      <c r="DH12" s="641">
        <v>1</v>
      </c>
      <c r="DI12" s="214" t="s">
        <v>1190</v>
      </c>
    </row>
    <row r="13" spans="2:113" s="214" customFormat="1" x14ac:dyDescent="0.2">
      <c r="B13" s="609" t="s">
        <v>108</v>
      </c>
      <c r="C13" s="609" t="s">
        <v>107</v>
      </c>
      <c r="D13" s="239">
        <v>12040382</v>
      </c>
      <c r="E13" s="239">
        <v>9632305</v>
      </c>
      <c r="F13" s="239">
        <v>2408076</v>
      </c>
      <c r="G13" s="239">
        <v>0</v>
      </c>
      <c r="H13" s="239">
        <v>24080763</v>
      </c>
      <c r="I13" s="239">
        <v>0</v>
      </c>
      <c r="J13" s="239">
        <v>0</v>
      </c>
      <c r="K13" s="239">
        <v>12040382</v>
      </c>
      <c r="L13" s="239">
        <v>128746</v>
      </c>
      <c r="M13" s="239">
        <v>128746</v>
      </c>
      <c r="N13" s="239">
        <v>0</v>
      </c>
      <c r="O13" s="239">
        <v>0</v>
      </c>
      <c r="P13" s="239">
        <v>0</v>
      </c>
      <c r="Q13" s="239">
        <v>0</v>
      </c>
      <c r="R13" s="239">
        <v>0</v>
      </c>
      <c r="S13" s="239">
        <v>0</v>
      </c>
      <c r="T13" s="239">
        <v>0</v>
      </c>
      <c r="U13" s="239">
        <v>0</v>
      </c>
      <c r="V13" s="239">
        <v>0</v>
      </c>
      <c r="W13" s="239">
        <v>198901</v>
      </c>
      <c r="X13" s="239">
        <v>159120</v>
      </c>
      <c r="Y13" s="239">
        <v>39780</v>
      </c>
      <c r="Z13" s="239">
        <v>0</v>
      </c>
      <c r="AA13" s="239">
        <v>397801</v>
      </c>
      <c r="AB13" s="239">
        <v>-237531</v>
      </c>
      <c r="AC13" s="239">
        <v>-190024</v>
      </c>
      <c r="AD13" s="239">
        <v>-47506</v>
      </c>
      <c r="AE13" s="239">
        <v>0</v>
      </c>
      <c r="AF13" s="239">
        <v>-475061</v>
      </c>
      <c r="AG13" s="239">
        <v>-192097</v>
      </c>
      <c r="AH13" s="239">
        <v>-153678</v>
      </c>
      <c r="AI13" s="239">
        <v>-38420</v>
      </c>
      <c r="AJ13" s="239">
        <v>0</v>
      </c>
      <c r="AK13" s="239">
        <v>-384195</v>
      </c>
      <c r="AL13" s="239">
        <v>28785</v>
      </c>
      <c r="AM13" s="239">
        <v>23028</v>
      </c>
      <c r="AN13" s="239">
        <v>5757</v>
      </c>
      <c r="AO13" s="239">
        <v>0</v>
      </c>
      <c r="AP13" s="239">
        <v>57570</v>
      </c>
      <c r="AQ13" s="239">
        <v>0</v>
      </c>
      <c r="AR13" s="239">
        <v>0</v>
      </c>
      <c r="AS13" s="239">
        <v>0</v>
      </c>
      <c r="AT13" s="239">
        <v>0</v>
      </c>
      <c r="AU13" s="239">
        <v>0</v>
      </c>
      <c r="AV13" s="239">
        <v>-163312</v>
      </c>
      <c r="AW13" s="239">
        <v>-130650</v>
      </c>
      <c r="AX13" s="239">
        <v>-32663</v>
      </c>
      <c r="AY13" s="239">
        <v>0</v>
      </c>
      <c r="AZ13" s="239">
        <v>-326625</v>
      </c>
      <c r="BA13" s="239">
        <v>-921977</v>
      </c>
      <c r="BB13" s="239">
        <v>-737583</v>
      </c>
      <c r="BC13" s="239">
        <v>-184396</v>
      </c>
      <c r="BD13" s="239">
        <v>0</v>
      </c>
      <c r="BE13" s="239">
        <v>-1843956</v>
      </c>
      <c r="BF13" s="239">
        <v>239978</v>
      </c>
      <c r="BG13" s="239">
        <v>191983</v>
      </c>
      <c r="BH13" s="239">
        <v>47996</v>
      </c>
      <c r="BI13" s="239">
        <v>0</v>
      </c>
      <c r="BJ13" s="239">
        <v>479957</v>
      </c>
      <c r="BK13" s="239">
        <v>174743</v>
      </c>
      <c r="BL13" s="239">
        <v>139794</v>
      </c>
      <c r="BM13" s="239">
        <v>34949</v>
      </c>
      <c r="BN13" s="239">
        <v>0</v>
      </c>
      <c r="BO13" s="239">
        <v>349486</v>
      </c>
      <c r="BP13" s="239">
        <v>-507256</v>
      </c>
      <c r="BQ13" s="239">
        <v>-405806</v>
      </c>
      <c r="BR13" s="239">
        <v>-101451</v>
      </c>
      <c r="BS13" s="239">
        <v>0</v>
      </c>
      <c r="BT13" s="239">
        <v>-1014513</v>
      </c>
      <c r="BU13" s="239">
        <v>-254559</v>
      </c>
      <c r="BV13" s="239">
        <v>-203648</v>
      </c>
      <c r="BW13" s="239">
        <v>-50912</v>
      </c>
      <c r="BX13" s="239">
        <v>0</v>
      </c>
      <c r="BY13" s="239">
        <v>-509119</v>
      </c>
      <c r="BZ13" s="239">
        <v>-421382</v>
      </c>
      <c r="CA13" s="239">
        <v>-337106</v>
      </c>
      <c r="CB13" s="239">
        <v>-84276</v>
      </c>
      <c r="CC13" s="239">
        <v>0</v>
      </c>
      <c r="CD13" s="239">
        <v>-842764</v>
      </c>
      <c r="CE13" s="239">
        <v>166823</v>
      </c>
      <c r="CF13" s="239">
        <v>133458</v>
      </c>
      <c r="CG13" s="239">
        <v>33364</v>
      </c>
      <c r="CH13" s="239">
        <v>0</v>
      </c>
      <c r="CI13" s="239">
        <v>333645</v>
      </c>
      <c r="CJ13" s="239">
        <v>11920412</v>
      </c>
      <c r="CK13" s="239">
        <v>9536330</v>
      </c>
      <c r="CL13" s="239">
        <v>2384082</v>
      </c>
      <c r="CM13" s="239">
        <v>0</v>
      </c>
      <c r="CN13" s="239">
        <v>23840824</v>
      </c>
      <c r="CO13" s="239">
        <v>12040382</v>
      </c>
      <c r="CP13" s="239">
        <v>9632305</v>
      </c>
      <c r="CQ13" s="239">
        <v>2408076</v>
      </c>
      <c r="CR13" s="239">
        <v>0</v>
      </c>
      <c r="CS13" s="239">
        <v>24080763</v>
      </c>
      <c r="CT13" s="239">
        <v>119970</v>
      </c>
      <c r="CU13" s="239">
        <v>95975</v>
      </c>
      <c r="CV13" s="239">
        <v>23994</v>
      </c>
      <c r="CW13" s="239">
        <v>0</v>
      </c>
      <c r="CX13" s="239">
        <v>239939</v>
      </c>
      <c r="CY13" s="239">
        <v>286793</v>
      </c>
      <c r="CZ13" s="239">
        <v>229433</v>
      </c>
      <c r="DA13" s="239">
        <v>57358</v>
      </c>
      <c r="DB13" s="239">
        <v>0</v>
      </c>
      <c r="DC13" s="239">
        <v>573584</v>
      </c>
      <c r="DD13" s="641">
        <v>0.5</v>
      </c>
      <c r="DE13" s="641">
        <v>0.4</v>
      </c>
      <c r="DF13" s="641">
        <v>0.1</v>
      </c>
      <c r="DG13" s="641">
        <v>0</v>
      </c>
      <c r="DH13" s="641">
        <v>1</v>
      </c>
      <c r="DI13" s="214" t="s">
        <v>1190</v>
      </c>
    </row>
    <row r="14" spans="2:113" s="214" customFormat="1" x14ac:dyDescent="0.2">
      <c r="B14" s="609" t="s">
        <v>110</v>
      </c>
      <c r="C14" s="609" t="s">
        <v>109</v>
      </c>
      <c r="D14" s="239">
        <v>30464916</v>
      </c>
      <c r="E14" s="239">
        <v>18278950</v>
      </c>
      <c r="F14" s="239">
        <v>12185966</v>
      </c>
      <c r="G14" s="239">
        <v>0</v>
      </c>
      <c r="H14" s="239">
        <v>60929832</v>
      </c>
      <c r="I14" s="239">
        <v>0</v>
      </c>
      <c r="J14" s="239">
        <v>0</v>
      </c>
      <c r="K14" s="239">
        <v>30464916</v>
      </c>
      <c r="L14" s="239">
        <v>201892</v>
      </c>
      <c r="M14" s="239">
        <v>201892</v>
      </c>
      <c r="N14" s="239">
        <v>0</v>
      </c>
      <c r="O14" s="239">
        <v>0</v>
      </c>
      <c r="P14" s="239">
        <v>0</v>
      </c>
      <c r="Q14" s="239">
        <v>0</v>
      </c>
      <c r="R14" s="239">
        <v>0</v>
      </c>
      <c r="S14" s="239">
        <v>0</v>
      </c>
      <c r="T14" s="239">
        <v>0</v>
      </c>
      <c r="U14" s="239">
        <v>0</v>
      </c>
      <c r="V14" s="239">
        <v>0</v>
      </c>
      <c r="W14" s="239">
        <v>2672986</v>
      </c>
      <c r="X14" s="239">
        <v>1603792</v>
      </c>
      <c r="Y14" s="239">
        <v>1069194</v>
      </c>
      <c r="Z14" s="239">
        <v>0</v>
      </c>
      <c r="AA14" s="239">
        <v>5345972</v>
      </c>
      <c r="AB14" s="239">
        <v>-553131</v>
      </c>
      <c r="AC14" s="239">
        <v>-331879</v>
      </c>
      <c r="AD14" s="239">
        <v>-221253</v>
      </c>
      <c r="AE14" s="239">
        <v>0</v>
      </c>
      <c r="AF14" s="239">
        <v>-1106263</v>
      </c>
      <c r="AG14" s="239">
        <v>-2369500</v>
      </c>
      <c r="AH14" s="239">
        <v>-1421700</v>
      </c>
      <c r="AI14" s="239">
        <v>-947800</v>
      </c>
      <c r="AJ14" s="239">
        <v>0</v>
      </c>
      <c r="AK14" s="239">
        <v>-4739000</v>
      </c>
      <c r="AL14" s="239">
        <v>0</v>
      </c>
      <c r="AM14" s="239">
        <v>0</v>
      </c>
      <c r="AN14" s="239">
        <v>0</v>
      </c>
      <c r="AO14" s="239">
        <v>0</v>
      </c>
      <c r="AP14" s="239">
        <v>0</v>
      </c>
      <c r="AQ14" s="239">
        <v>-218500</v>
      </c>
      <c r="AR14" s="239">
        <v>-131100</v>
      </c>
      <c r="AS14" s="239">
        <v>-87400</v>
      </c>
      <c r="AT14" s="239">
        <v>0</v>
      </c>
      <c r="AU14" s="239">
        <v>-437000</v>
      </c>
      <c r="AV14" s="239">
        <v>-2588000</v>
      </c>
      <c r="AW14" s="239">
        <v>-1552800</v>
      </c>
      <c r="AX14" s="239">
        <v>-1035200</v>
      </c>
      <c r="AY14" s="239">
        <v>0</v>
      </c>
      <c r="AZ14" s="239">
        <v>-5176000</v>
      </c>
      <c r="BA14" s="239">
        <v>-7438459</v>
      </c>
      <c r="BB14" s="239">
        <v>-4463076</v>
      </c>
      <c r="BC14" s="239">
        <v>-2975384</v>
      </c>
      <c r="BD14" s="239">
        <v>0</v>
      </c>
      <c r="BE14" s="239">
        <v>-14876919</v>
      </c>
      <c r="BF14" s="239">
        <v>0</v>
      </c>
      <c r="BG14" s="239">
        <v>0</v>
      </c>
      <c r="BH14" s="239">
        <v>0</v>
      </c>
      <c r="BI14" s="239">
        <v>0</v>
      </c>
      <c r="BJ14" s="239">
        <v>0</v>
      </c>
      <c r="BK14" s="239">
        <v>2627274</v>
      </c>
      <c r="BL14" s="239">
        <v>1576365</v>
      </c>
      <c r="BM14" s="239">
        <v>1050910</v>
      </c>
      <c r="BN14" s="239">
        <v>0</v>
      </c>
      <c r="BO14" s="239">
        <v>5254549</v>
      </c>
      <c r="BP14" s="239">
        <v>-4811185</v>
      </c>
      <c r="BQ14" s="239">
        <v>-2886711</v>
      </c>
      <c r="BR14" s="239">
        <v>-1924474</v>
      </c>
      <c r="BS14" s="239">
        <v>0</v>
      </c>
      <c r="BT14" s="239">
        <v>-9622370</v>
      </c>
      <c r="BU14" s="239">
        <v>-1961956</v>
      </c>
      <c r="BV14" s="239">
        <v>-1177174</v>
      </c>
      <c r="BW14" s="239">
        <v>-784783</v>
      </c>
      <c r="BX14" s="239">
        <v>0</v>
      </c>
      <c r="BY14" s="239">
        <v>-3923913</v>
      </c>
      <c r="BZ14" s="239">
        <v>-1210704</v>
      </c>
      <c r="CA14" s="239">
        <v>-726423</v>
      </c>
      <c r="CB14" s="239">
        <v>-484282</v>
      </c>
      <c r="CC14" s="239">
        <v>0</v>
      </c>
      <c r="CD14" s="239">
        <v>-2421409</v>
      </c>
      <c r="CE14" s="239">
        <v>-751252</v>
      </c>
      <c r="CF14" s="239">
        <v>-450751</v>
      </c>
      <c r="CG14" s="239">
        <v>-300501</v>
      </c>
      <c r="CH14" s="239">
        <v>0</v>
      </c>
      <c r="CI14" s="239">
        <v>-1502504</v>
      </c>
      <c r="CJ14" s="239">
        <v>28921202</v>
      </c>
      <c r="CK14" s="239">
        <v>17352721</v>
      </c>
      <c r="CL14" s="239">
        <v>11568481</v>
      </c>
      <c r="CM14" s="239">
        <v>0</v>
      </c>
      <c r="CN14" s="239">
        <v>57842404</v>
      </c>
      <c r="CO14" s="239">
        <v>30464916</v>
      </c>
      <c r="CP14" s="239">
        <v>18278950</v>
      </c>
      <c r="CQ14" s="239">
        <v>12185966</v>
      </c>
      <c r="CR14" s="239">
        <v>0</v>
      </c>
      <c r="CS14" s="239">
        <v>60929832</v>
      </c>
      <c r="CT14" s="239">
        <v>1543714</v>
      </c>
      <c r="CU14" s="239">
        <v>926229</v>
      </c>
      <c r="CV14" s="239">
        <v>617485</v>
      </c>
      <c r="CW14" s="239">
        <v>0</v>
      </c>
      <c r="CX14" s="239">
        <v>3087428</v>
      </c>
      <c r="CY14" s="239">
        <v>792462</v>
      </c>
      <c r="CZ14" s="239">
        <v>475478</v>
      </c>
      <c r="DA14" s="239">
        <v>316984</v>
      </c>
      <c r="DB14" s="239">
        <v>0</v>
      </c>
      <c r="DC14" s="239">
        <v>1584924</v>
      </c>
      <c r="DD14" s="641">
        <v>0.5</v>
      </c>
      <c r="DE14" s="641">
        <v>0.3</v>
      </c>
      <c r="DF14" s="641">
        <v>0.2</v>
      </c>
      <c r="DG14" s="641">
        <v>0</v>
      </c>
      <c r="DH14" s="641">
        <v>1</v>
      </c>
      <c r="DI14" s="214" t="s">
        <v>1191</v>
      </c>
    </row>
    <row r="15" spans="2:113" s="214" customFormat="1" x14ac:dyDescent="0.2">
      <c r="B15" s="609" t="s">
        <v>112</v>
      </c>
      <c r="C15" s="609" t="s">
        <v>111</v>
      </c>
      <c r="D15" s="239">
        <v>53914169</v>
      </c>
      <c r="E15" s="239">
        <v>32348501</v>
      </c>
      <c r="F15" s="239">
        <v>21565668</v>
      </c>
      <c r="G15" s="239">
        <v>0</v>
      </c>
      <c r="H15" s="239">
        <v>107828338</v>
      </c>
      <c r="I15" s="239">
        <v>0</v>
      </c>
      <c r="J15" s="239">
        <v>0</v>
      </c>
      <c r="K15" s="239">
        <v>53914169</v>
      </c>
      <c r="L15" s="239">
        <v>415924</v>
      </c>
      <c r="M15" s="239">
        <v>415924</v>
      </c>
      <c r="N15" s="239">
        <v>0</v>
      </c>
      <c r="O15" s="239">
        <v>0</v>
      </c>
      <c r="P15" s="239">
        <v>0</v>
      </c>
      <c r="Q15" s="239">
        <v>0</v>
      </c>
      <c r="R15" s="239">
        <v>0</v>
      </c>
      <c r="S15" s="239">
        <v>0</v>
      </c>
      <c r="T15" s="239">
        <v>0</v>
      </c>
      <c r="U15" s="239">
        <v>0</v>
      </c>
      <c r="V15" s="239">
        <v>0</v>
      </c>
      <c r="W15" s="239">
        <v>5235038</v>
      </c>
      <c r="X15" s="239">
        <v>3141023</v>
      </c>
      <c r="Y15" s="239">
        <v>2094015</v>
      </c>
      <c r="Z15" s="239">
        <v>0</v>
      </c>
      <c r="AA15" s="239">
        <v>10470076</v>
      </c>
      <c r="AB15" s="239">
        <v>-2423931</v>
      </c>
      <c r="AC15" s="239">
        <v>-1454359</v>
      </c>
      <c r="AD15" s="239">
        <v>-969573</v>
      </c>
      <c r="AE15" s="239">
        <v>0</v>
      </c>
      <c r="AF15" s="239">
        <v>-4847863</v>
      </c>
      <c r="AG15" s="239">
        <v>624712</v>
      </c>
      <c r="AH15" s="239">
        <v>374827</v>
      </c>
      <c r="AI15" s="239">
        <v>249885</v>
      </c>
      <c r="AJ15" s="239">
        <v>0</v>
      </c>
      <c r="AK15" s="239">
        <v>1249424</v>
      </c>
      <c r="AL15" s="239">
        <v>1215941</v>
      </c>
      <c r="AM15" s="239">
        <v>729565</v>
      </c>
      <c r="AN15" s="239">
        <v>486376</v>
      </c>
      <c r="AO15" s="239">
        <v>0</v>
      </c>
      <c r="AP15" s="239">
        <v>2431882</v>
      </c>
      <c r="AQ15" s="239">
        <v>-880844</v>
      </c>
      <c r="AR15" s="239">
        <v>-528506</v>
      </c>
      <c r="AS15" s="239">
        <v>-352338</v>
      </c>
      <c r="AT15" s="239">
        <v>0</v>
      </c>
      <c r="AU15" s="239">
        <v>-1761688</v>
      </c>
      <c r="AV15" s="239">
        <v>959809</v>
      </c>
      <c r="AW15" s="239">
        <v>575886</v>
      </c>
      <c r="AX15" s="239">
        <v>383923</v>
      </c>
      <c r="AY15" s="239">
        <v>0</v>
      </c>
      <c r="AZ15" s="239">
        <v>1919618</v>
      </c>
      <c r="BA15" s="239">
        <v>-5136703</v>
      </c>
      <c r="BB15" s="239">
        <v>-3082022</v>
      </c>
      <c r="BC15" s="239">
        <v>-2054681</v>
      </c>
      <c r="BD15" s="239">
        <v>0</v>
      </c>
      <c r="BE15" s="239">
        <v>-10273406</v>
      </c>
      <c r="BF15" s="239">
        <v>0</v>
      </c>
      <c r="BG15" s="239">
        <v>0</v>
      </c>
      <c r="BH15" s="239">
        <v>0</v>
      </c>
      <c r="BI15" s="239">
        <v>0</v>
      </c>
      <c r="BJ15" s="239">
        <v>0</v>
      </c>
      <c r="BK15" s="239">
        <v>40697</v>
      </c>
      <c r="BL15" s="239">
        <v>24419</v>
      </c>
      <c r="BM15" s="239">
        <v>16279</v>
      </c>
      <c r="BN15" s="239">
        <v>0</v>
      </c>
      <c r="BO15" s="239">
        <v>81395</v>
      </c>
      <c r="BP15" s="239">
        <v>-5096006</v>
      </c>
      <c r="BQ15" s="239">
        <v>-3057603</v>
      </c>
      <c r="BR15" s="239">
        <v>-2038402</v>
      </c>
      <c r="BS15" s="239">
        <v>0</v>
      </c>
      <c r="BT15" s="239">
        <v>-10192011</v>
      </c>
      <c r="BU15" s="239">
        <v>-6771357</v>
      </c>
      <c r="BV15" s="239">
        <v>-4062814</v>
      </c>
      <c r="BW15" s="239">
        <v>-2708543</v>
      </c>
      <c r="BX15" s="239">
        <v>0</v>
      </c>
      <c r="BY15" s="239">
        <v>-13542714</v>
      </c>
      <c r="BZ15" s="239">
        <v>-7604375</v>
      </c>
      <c r="CA15" s="239">
        <v>-4562625</v>
      </c>
      <c r="CB15" s="239">
        <v>-3041750</v>
      </c>
      <c r="CC15" s="239">
        <v>0</v>
      </c>
      <c r="CD15" s="239">
        <v>-15208750</v>
      </c>
      <c r="CE15" s="239">
        <v>833018</v>
      </c>
      <c r="CF15" s="239">
        <v>499811</v>
      </c>
      <c r="CG15" s="239">
        <v>333207</v>
      </c>
      <c r="CH15" s="239">
        <v>0</v>
      </c>
      <c r="CI15" s="239">
        <v>1666036</v>
      </c>
      <c r="CJ15" s="239">
        <v>55145136</v>
      </c>
      <c r="CK15" s="239">
        <v>33087082</v>
      </c>
      <c r="CL15" s="239">
        <v>22058055</v>
      </c>
      <c r="CM15" s="239">
        <v>0</v>
      </c>
      <c r="CN15" s="239">
        <v>110290273</v>
      </c>
      <c r="CO15" s="239">
        <v>53914169</v>
      </c>
      <c r="CP15" s="239">
        <v>32348501</v>
      </c>
      <c r="CQ15" s="239">
        <v>21565668</v>
      </c>
      <c r="CR15" s="239">
        <v>0</v>
      </c>
      <c r="CS15" s="239">
        <v>107828338</v>
      </c>
      <c r="CT15" s="239">
        <v>-1230967</v>
      </c>
      <c r="CU15" s="239">
        <v>-738581</v>
      </c>
      <c r="CV15" s="239">
        <v>-492387</v>
      </c>
      <c r="CW15" s="239">
        <v>0</v>
      </c>
      <c r="CX15" s="239">
        <v>-2461935</v>
      </c>
      <c r="CY15" s="239">
        <v>-397949</v>
      </c>
      <c r="CZ15" s="239">
        <v>-238770</v>
      </c>
      <c r="DA15" s="239">
        <v>-159180</v>
      </c>
      <c r="DB15" s="239">
        <v>0</v>
      </c>
      <c r="DC15" s="239">
        <v>-795899</v>
      </c>
      <c r="DD15" s="641">
        <v>0.5</v>
      </c>
      <c r="DE15" s="641">
        <v>0.3</v>
      </c>
      <c r="DF15" s="641">
        <v>0.2</v>
      </c>
      <c r="DG15" s="641">
        <v>0</v>
      </c>
      <c r="DH15" s="641">
        <v>1</v>
      </c>
      <c r="DI15" s="214" t="s">
        <v>1191</v>
      </c>
    </row>
    <row r="16" spans="2:113" s="214" customFormat="1" x14ac:dyDescent="0.2">
      <c r="B16" s="609" t="s">
        <v>114</v>
      </c>
      <c r="C16" s="609" t="s">
        <v>113</v>
      </c>
      <c r="D16" s="239">
        <v>25948517</v>
      </c>
      <c r="E16" s="239">
        <v>25429546</v>
      </c>
      <c r="F16" s="239">
        <v>0</v>
      </c>
      <c r="G16" s="239">
        <v>518970</v>
      </c>
      <c r="H16" s="239">
        <v>51897033</v>
      </c>
      <c r="I16" s="239">
        <v>311123.57024793391</v>
      </c>
      <c r="J16" s="239">
        <v>311123.57024793391</v>
      </c>
      <c r="K16" s="239">
        <v>25637393.429752067</v>
      </c>
      <c r="L16" s="239">
        <v>270426</v>
      </c>
      <c r="M16" s="239">
        <v>270426</v>
      </c>
      <c r="N16" s="239">
        <v>443008</v>
      </c>
      <c r="O16" s="239">
        <v>443008</v>
      </c>
      <c r="P16" s="239">
        <v>52682</v>
      </c>
      <c r="Q16" s="239">
        <v>0</v>
      </c>
      <c r="R16" s="239">
        <v>52682</v>
      </c>
      <c r="S16" s="239">
        <v>311123.57024793391</v>
      </c>
      <c r="T16" s="239">
        <v>0</v>
      </c>
      <c r="U16" s="239">
        <v>0</v>
      </c>
      <c r="V16" s="239">
        <v>311123.57024793391</v>
      </c>
      <c r="W16" s="239">
        <v>1386997</v>
      </c>
      <c r="X16" s="239">
        <v>1359258</v>
      </c>
      <c r="Y16" s="239">
        <v>0</v>
      </c>
      <c r="Z16" s="239">
        <v>27740</v>
      </c>
      <c r="AA16" s="239">
        <v>2773995</v>
      </c>
      <c r="AB16" s="239">
        <v>-959102</v>
      </c>
      <c r="AC16" s="239">
        <v>-939919</v>
      </c>
      <c r="AD16" s="239">
        <v>0</v>
      </c>
      <c r="AE16" s="239">
        <v>-19182</v>
      </c>
      <c r="AF16" s="239">
        <v>-1918203</v>
      </c>
      <c r="AG16" s="239">
        <v>-936069</v>
      </c>
      <c r="AH16" s="239">
        <v>-917347</v>
      </c>
      <c r="AI16" s="239">
        <v>0</v>
      </c>
      <c r="AJ16" s="239">
        <v>-18721</v>
      </c>
      <c r="AK16" s="239">
        <v>-1872137</v>
      </c>
      <c r="AL16" s="239">
        <v>453489</v>
      </c>
      <c r="AM16" s="239">
        <v>444419</v>
      </c>
      <c r="AN16" s="239">
        <v>0</v>
      </c>
      <c r="AO16" s="239">
        <v>9070</v>
      </c>
      <c r="AP16" s="239">
        <v>906978</v>
      </c>
      <c r="AQ16" s="239">
        <v>-289842</v>
      </c>
      <c r="AR16" s="239">
        <v>-284045</v>
      </c>
      <c r="AS16" s="239">
        <v>0</v>
      </c>
      <c r="AT16" s="239">
        <v>-5797</v>
      </c>
      <c r="AU16" s="239">
        <v>-579684</v>
      </c>
      <c r="AV16" s="239">
        <v>-772422</v>
      </c>
      <c r="AW16" s="239">
        <v>-756973</v>
      </c>
      <c r="AX16" s="239">
        <v>0</v>
      </c>
      <c r="AY16" s="239">
        <v>-15448</v>
      </c>
      <c r="AZ16" s="239">
        <v>-1544843</v>
      </c>
      <c r="BA16" s="239">
        <v>-1612800</v>
      </c>
      <c r="BB16" s="239">
        <v>-1580544</v>
      </c>
      <c r="BC16" s="239">
        <v>0</v>
      </c>
      <c r="BD16" s="239">
        <v>-32256</v>
      </c>
      <c r="BE16" s="239">
        <v>-3225600</v>
      </c>
      <c r="BF16" s="239">
        <v>798757</v>
      </c>
      <c r="BG16" s="239">
        <v>782782</v>
      </c>
      <c r="BH16" s="239">
        <v>0</v>
      </c>
      <c r="BI16" s="239">
        <v>15975</v>
      </c>
      <c r="BJ16" s="239">
        <v>1597514</v>
      </c>
      <c r="BK16" s="239">
        <v>-2164624</v>
      </c>
      <c r="BL16" s="239">
        <v>-2121333</v>
      </c>
      <c r="BM16" s="239">
        <v>0</v>
      </c>
      <c r="BN16" s="239">
        <v>-43293</v>
      </c>
      <c r="BO16" s="239">
        <v>-4329250</v>
      </c>
      <c r="BP16" s="239">
        <v>-2978667</v>
      </c>
      <c r="BQ16" s="239">
        <v>-2919095</v>
      </c>
      <c r="BR16" s="239">
        <v>0</v>
      </c>
      <c r="BS16" s="239">
        <v>-59574</v>
      </c>
      <c r="BT16" s="239">
        <v>-5957336</v>
      </c>
      <c r="BU16" s="239">
        <v>185679</v>
      </c>
      <c r="BV16" s="239">
        <v>181966</v>
      </c>
      <c r="BW16" s="239">
        <v>0</v>
      </c>
      <c r="BX16" s="239">
        <v>3714</v>
      </c>
      <c r="BY16" s="239">
        <v>371359</v>
      </c>
      <c r="BZ16" s="239">
        <v>121844</v>
      </c>
      <c r="CA16" s="239">
        <v>119408</v>
      </c>
      <c r="CB16" s="239">
        <v>0</v>
      </c>
      <c r="CC16" s="239">
        <v>2437</v>
      </c>
      <c r="CD16" s="239">
        <v>243689</v>
      </c>
      <c r="CE16" s="239">
        <v>63835</v>
      </c>
      <c r="CF16" s="239">
        <v>62558</v>
      </c>
      <c r="CG16" s="239">
        <v>0</v>
      </c>
      <c r="CH16" s="239">
        <v>1277</v>
      </c>
      <c r="CI16" s="239">
        <v>127670</v>
      </c>
      <c r="CJ16" s="239">
        <v>25784442</v>
      </c>
      <c r="CK16" s="239">
        <v>25268753</v>
      </c>
      <c r="CL16" s="239">
        <v>0</v>
      </c>
      <c r="CM16" s="239">
        <v>515689</v>
      </c>
      <c r="CN16" s="239">
        <v>51568884</v>
      </c>
      <c r="CO16" s="239">
        <v>25948517</v>
      </c>
      <c r="CP16" s="239">
        <v>25429546</v>
      </c>
      <c r="CQ16" s="239">
        <v>0</v>
      </c>
      <c r="CR16" s="239">
        <v>518970</v>
      </c>
      <c r="CS16" s="239">
        <v>51897033</v>
      </c>
      <c r="CT16" s="239">
        <v>164075</v>
      </c>
      <c r="CU16" s="239">
        <v>160793</v>
      </c>
      <c r="CV16" s="239">
        <v>0</v>
      </c>
      <c r="CW16" s="239">
        <v>3281</v>
      </c>
      <c r="CX16" s="239">
        <v>328149</v>
      </c>
      <c r="CY16" s="239">
        <v>227910</v>
      </c>
      <c r="CZ16" s="239">
        <v>223351</v>
      </c>
      <c r="DA16" s="239">
        <v>0</v>
      </c>
      <c r="DB16" s="239">
        <v>4558</v>
      </c>
      <c r="DC16" s="239">
        <v>455819</v>
      </c>
      <c r="DD16" s="641">
        <v>0.5</v>
      </c>
      <c r="DE16" s="641">
        <v>0.49</v>
      </c>
      <c r="DF16" s="641">
        <v>0</v>
      </c>
      <c r="DG16" s="641">
        <v>0.01</v>
      </c>
      <c r="DH16" s="641">
        <v>1</v>
      </c>
      <c r="DI16" s="214" t="s">
        <v>1192</v>
      </c>
    </row>
    <row r="17" spans="2:113" s="214" customFormat="1" x14ac:dyDescent="0.2">
      <c r="B17" s="609" t="s">
        <v>116</v>
      </c>
      <c r="C17" s="609" t="s">
        <v>115</v>
      </c>
      <c r="D17" s="239">
        <v>11256737</v>
      </c>
      <c r="E17" s="239">
        <v>9005389</v>
      </c>
      <c r="F17" s="239">
        <v>2251347</v>
      </c>
      <c r="G17" s="239">
        <v>0</v>
      </c>
      <c r="H17" s="239">
        <v>22513473</v>
      </c>
      <c r="I17" s="239">
        <v>0</v>
      </c>
      <c r="J17" s="239">
        <v>0</v>
      </c>
      <c r="K17" s="239">
        <v>11256737</v>
      </c>
      <c r="L17" s="239">
        <v>95866</v>
      </c>
      <c r="M17" s="239">
        <v>95866</v>
      </c>
      <c r="N17" s="239">
        <v>0</v>
      </c>
      <c r="O17" s="239">
        <v>0</v>
      </c>
      <c r="P17" s="239">
        <v>92917</v>
      </c>
      <c r="Q17" s="239">
        <v>0</v>
      </c>
      <c r="R17" s="239">
        <v>92917</v>
      </c>
      <c r="S17" s="239">
        <v>0</v>
      </c>
      <c r="T17" s="239">
        <v>0</v>
      </c>
      <c r="U17" s="239">
        <v>0</v>
      </c>
      <c r="V17" s="239">
        <v>0</v>
      </c>
      <c r="W17" s="239">
        <v>729715</v>
      </c>
      <c r="X17" s="239">
        <v>583772</v>
      </c>
      <c r="Y17" s="239">
        <v>145943</v>
      </c>
      <c r="Z17" s="239">
        <v>0</v>
      </c>
      <c r="AA17" s="239">
        <v>1459430</v>
      </c>
      <c r="AB17" s="239">
        <v>-561536</v>
      </c>
      <c r="AC17" s="239">
        <v>-449229</v>
      </c>
      <c r="AD17" s="239">
        <v>-112307</v>
      </c>
      <c r="AE17" s="239">
        <v>0</v>
      </c>
      <c r="AF17" s="239">
        <v>-1123072</v>
      </c>
      <c r="AG17" s="239">
        <v>-509786</v>
      </c>
      <c r="AH17" s="239">
        <v>-407827</v>
      </c>
      <c r="AI17" s="239">
        <v>-101957</v>
      </c>
      <c r="AJ17" s="239">
        <v>0</v>
      </c>
      <c r="AK17" s="239">
        <v>-1019570</v>
      </c>
      <c r="AL17" s="239">
        <v>46632</v>
      </c>
      <c r="AM17" s="239">
        <v>37306</v>
      </c>
      <c r="AN17" s="239">
        <v>9327</v>
      </c>
      <c r="AO17" s="239">
        <v>0</v>
      </c>
      <c r="AP17" s="239">
        <v>93265</v>
      </c>
      <c r="AQ17" s="239">
        <v>-158213</v>
      </c>
      <c r="AR17" s="239">
        <v>-126571</v>
      </c>
      <c r="AS17" s="239">
        <v>-31643</v>
      </c>
      <c r="AT17" s="239">
        <v>0</v>
      </c>
      <c r="AU17" s="239">
        <v>-316427</v>
      </c>
      <c r="AV17" s="239">
        <v>-621367</v>
      </c>
      <c r="AW17" s="239">
        <v>-497092</v>
      </c>
      <c r="AX17" s="239">
        <v>-124273</v>
      </c>
      <c r="AY17" s="239">
        <v>0</v>
      </c>
      <c r="AZ17" s="239">
        <v>-1242732</v>
      </c>
      <c r="BA17" s="239">
        <v>-693275</v>
      </c>
      <c r="BB17" s="239">
        <v>-554620</v>
      </c>
      <c r="BC17" s="239">
        <v>-138656</v>
      </c>
      <c r="BD17" s="239">
        <v>0</v>
      </c>
      <c r="BE17" s="239">
        <v>-1386551</v>
      </c>
      <c r="BF17" s="239">
        <v>19027</v>
      </c>
      <c r="BG17" s="239">
        <v>15221</v>
      </c>
      <c r="BH17" s="239">
        <v>3805</v>
      </c>
      <c r="BI17" s="239">
        <v>0</v>
      </c>
      <c r="BJ17" s="239">
        <v>38053</v>
      </c>
      <c r="BK17" s="239">
        <v>17224</v>
      </c>
      <c r="BL17" s="239">
        <v>13780</v>
      </c>
      <c r="BM17" s="239">
        <v>3445</v>
      </c>
      <c r="BN17" s="239">
        <v>0</v>
      </c>
      <c r="BO17" s="239">
        <v>34449</v>
      </c>
      <c r="BP17" s="239">
        <v>-657024</v>
      </c>
      <c r="BQ17" s="239">
        <v>-525619</v>
      </c>
      <c r="BR17" s="239">
        <v>-131406</v>
      </c>
      <c r="BS17" s="239">
        <v>0</v>
      </c>
      <c r="BT17" s="239">
        <v>-1314049</v>
      </c>
      <c r="BU17" s="239">
        <v>-1626439</v>
      </c>
      <c r="BV17" s="239">
        <v>-1301152</v>
      </c>
      <c r="BW17" s="239">
        <v>-325288</v>
      </c>
      <c r="BX17" s="239">
        <v>0</v>
      </c>
      <c r="BY17" s="239">
        <v>-3252879</v>
      </c>
      <c r="BZ17" s="239">
        <v>-1348444</v>
      </c>
      <c r="CA17" s="239">
        <v>-1078755</v>
      </c>
      <c r="CB17" s="239">
        <v>-269689</v>
      </c>
      <c r="CC17" s="239">
        <v>0</v>
      </c>
      <c r="CD17" s="239">
        <v>-2696888</v>
      </c>
      <c r="CE17" s="239">
        <v>-277995</v>
      </c>
      <c r="CF17" s="239">
        <v>-222397</v>
      </c>
      <c r="CG17" s="239">
        <v>-55599</v>
      </c>
      <c r="CH17" s="239">
        <v>0</v>
      </c>
      <c r="CI17" s="239">
        <v>-555991</v>
      </c>
      <c r="CJ17" s="239">
        <v>11986265</v>
      </c>
      <c r="CK17" s="239">
        <v>9589012</v>
      </c>
      <c r="CL17" s="239">
        <v>2397253</v>
      </c>
      <c r="CM17" s="239">
        <v>0</v>
      </c>
      <c r="CN17" s="239">
        <v>23972530</v>
      </c>
      <c r="CO17" s="239">
        <v>11256737</v>
      </c>
      <c r="CP17" s="239">
        <v>9005389</v>
      </c>
      <c r="CQ17" s="239">
        <v>2251347</v>
      </c>
      <c r="CR17" s="239">
        <v>0</v>
      </c>
      <c r="CS17" s="239">
        <v>22513473</v>
      </c>
      <c r="CT17" s="239">
        <v>-729528</v>
      </c>
      <c r="CU17" s="239">
        <v>-583623</v>
      </c>
      <c r="CV17" s="239">
        <v>-145906</v>
      </c>
      <c r="CW17" s="239">
        <v>0</v>
      </c>
      <c r="CX17" s="239">
        <v>-1459057</v>
      </c>
      <c r="CY17" s="239">
        <v>-1007523</v>
      </c>
      <c r="CZ17" s="239">
        <v>-806020</v>
      </c>
      <c r="DA17" s="239">
        <v>-201505</v>
      </c>
      <c r="DB17" s="239">
        <v>0</v>
      </c>
      <c r="DC17" s="239">
        <v>-2015048</v>
      </c>
      <c r="DD17" s="641">
        <v>0.5</v>
      </c>
      <c r="DE17" s="641">
        <v>0.4</v>
      </c>
      <c r="DF17" s="641">
        <v>0.1</v>
      </c>
      <c r="DG17" s="641">
        <v>0</v>
      </c>
      <c r="DH17" s="641">
        <v>1</v>
      </c>
      <c r="DI17" s="214" t="s">
        <v>1190</v>
      </c>
    </row>
    <row r="18" spans="2:113" s="214" customFormat="1" x14ac:dyDescent="0.2">
      <c r="B18" s="609" t="s">
        <v>118</v>
      </c>
      <c r="C18" s="609" t="s">
        <v>117</v>
      </c>
      <c r="D18" s="239">
        <v>45936238</v>
      </c>
      <c r="E18" s="239">
        <v>36748990</v>
      </c>
      <c r="F18" s="239">
        <v>8268523</v>
      </c>
      <c r="G18" s="239">
        <v>918725</v>
      </c>
      <c r="H18" s="239">
        <v>91872476</v>
      </c>
      <c r="I18" s="239">
        <v>0</v>
      </c>
      <c r="J18" s="239">
        <v>0</v>
      </c>
      <c r="K18" s="239">
        <v>45936238</v>
      </c>
      <c r="L18" s="239">
        <v>244632</v>
      </c>
      <c r="M18" s="239">
        <v>244632</v>
      </c>
      <c r="N18" s="239">
        <v>0</v>
      </c>
      <c r="O18" s="239">
        <v>0</v>
      </c>
      <c r="P18" s="239">
        <v>55</v>
      </c>
      <c r="Q18" s="239">
        <v>0</v>
      </c>
      <c r="R18" s="239">
        <v>55</v>
      </c>
      <c r="S18" s="239">
        <v>0</v>
      </c>
      <c r="T18" s="239">
        <v>0</v>
      </c>
      <c r="U18" s="239">
        <v>0</v>
      </c>
      <c r="V18" s="239">
        <v>0</v>
      </c>
      <c r="W18" s="239">
        <v>1548978</v>
      </c>
      <c r="X18" s="239">
        <v>1239182</v>
      </c>
      <c r="Y18" s="239">
        <v>278816</v>
      </c>
      <c r="Z18" s="239">
        <v>30980</v>
      </c>
      <c r="AA18" s="239">
        <v>3097956</v>
      </c>
      <c r="AB18" s="239">
        <v>-551677</v>
      </c>
      <c r="AC18" s="239">
        <v>-441342</v>
      </c>
      <c r="AD18" s="239">
        <v>-99302</v>
      </c>
      <c r="AE18" s="239">
        <v>-11034</v>
      </c>
      <c r="AF18" s="239">
        <v>-1103355</v>
      </c>
      <c r="AG18" s="239">
        <v>-494850</v>
      </c>
      <c r="AH18" s="239">
        <v>-395880</v>
      </c>
      <c r="AI18" s="239">
        <v>-89073</v>
      </c>
      <c r="AJ18" s="239">
        <v>-9897</v>
      </c>
      <c r="AK18" s="239">
        <v>-989700</v>
      </c>
      <c r="AL18" s="239">
        <v>55998</v>
      </c>
      <c r="AM18" s="239">
        <v>44799</v>
      </c>
      <c r="AN18" s="239">
        <v>10080</v>
      </c>
      <c r="AO18" s="239">
        <v>1120</v>
      </c>
      <c r="AP18" s="239">
        <v>111997</v>
      </c>
      <c r="AQ18" s="239">
        <v>-177648</v>
      </c>
      <c r="AR18" s="239">
        <v>-142119</v>
      </c>
      <c r="AS18" s="239">
        <v>-31977</v>
      </c>
      <c r="AT18" s="239">
        <v>-3553</v>
      </c>
      <c r="AU18" s="239">
        <v>-355297</v>
      </c>
      <c r="AV18" s="239">
        <v>-616500</v>
      </c>
      <c r="AW18" s="239">
        <v>-493200</v>
      </c>
      <c r="AX18" s="239">
        <v>-110970</v>
      </c>
      <c r="AY18" s="239">
        <v>-12330</v>
      </c>
      <c r="AZ18" s="239">
        <v>-1233000</v>
      </c>
      <c r="BA18" s="239">
        <v>-8375000</v>
      </c>
      <c r="BB18" s="239">
        <v>-6700000</v>
      </c>
      <c r="BC18" s="239">
        <v>-1507500</v>
      </c>
      <c r="BD18" s="239">
        <v>-167500</v>
      </c>
      <c r="BE18" s="239">
        <v>-16750000</v>
      </c>
      <c r="BF18" s="239">
        <v>695402</v>
      </c>
      <c r="BG18" s="239">
        <v>556322</v>
      </c>
      <c r="BH18" s="239">
        <v>125172</v>
      </c>
      <c r="BI18" s="239">
        <v>13908</v>
      </c>
      <c r="BJ18" s="239">
        <v>1390804</v>
      </c>
      <c r="BK18" s="239">
        <v>3779598</v>
      </c>
      <c r="BL18" s="239">
        <v>3023678</v>
      </c>
      <c r="BM18" s="239">
        <v>680328</v>
      </c>
      <c r="BN18" s="239">
        <v>75592</v>
      </c>
      <c r="BO18" s="239">
        <v>7559196</v>
      </c>
      <c r="BP18" s="239">
        <v>-3900000</v>
      </c>
      <c r="BQ18" s="239">
        <v>-3120000</v>
      </c>
      <c r="BR18" s="239">
        <v>-702000</v>
      </c>
      <c r="BS18" s="239">
        <v>-78000</v>
      </c>
      <c r="BT18" s="239">
        <v>-7800000</v>
      </c>
      <c r="BU18" s="239">
        <v>-5722386</v>
      </c>
      <c r="BV18" s="239">
        <v>-4577908</v>
      </c>
      <c r="BW18" s="239">
        <v>-1030029</v>
      </c>
      <c r="BX18" s="239">
        <v>-114448</v>
      </c>
      <c r="BY18" s="239">
        <v>-11444771</v>
      </c>
      <c r="BZ18" s="239">
        <v>-3975520</v>
      </c>
      <c r="CA18" s="239">
        <v>-3180416</v>
      </c>
      <c r="CB18" s="239">
        <v>-715594</v>
      </c>
      <c r="CC18" s="239">
        <v>-79510</v>
      </c>
      <c r="CD18" s="239">
        <v>-7951040</v>
      </c>
      <c r="CE18" s="239">
        <v>-1746866</v>
      </c>
      <c r="CF18" s="239">
        <v>-1397492</v>
      </c>
      <c r="CG18" s="239">
        <v>-314435</v>
      </c>
      <c r="CH18" s="239">
        <v>-34938</v>
      </c>
      <c r="CI18" s="239">
        <v>-3493731</v>
      </c>
      <c r="CJ18" s="239">
        <v>41439551</v>
      </c>
      <c r="CK18" s="239">
        <v>33151640</v>
      </c>
      <c r="CL18" s="239">
        <v>7459119</v>
      </c>
      <c r="CM18" s="239">
        <v>828791</v>
      </c>
      <c r="CN18" s="239">
        <v>82879101</v>
      </c>
      <c r="CO18" s="239">
        <v>45936238</v>
      </c>
      <c r="CP18" s="239">
        <v>36748990</v>
      </c>
      <c r="CQ18" s="239">
        <v>8268523</v>
      </c>
      <c r="CR18" s="239">
        <v>918725</v>
      </c>
      <c r="CS18" s="239">
        <v>91872476</v>
      </c>
      <c r="CT18" s="239">
        <v>4496687</v>
      </c>
      <c r="CU18" s="239">
        <v>3597350</v>
      </c>
      <c r="CV18" s="239">
        <v>809404</v>
      </c>
      <c r="CW18" s="239">
        <v>89934</v>
      </c>
      <c r="CX18" s="239">
        <v>8993375</v>
      </c>
      <c r="CY18" s="239">
        <v>2749821</v>
      </c>
      <c r="CZ18" s="239">
        <v>2199858</v>
      </c>
      <c r="DA18" s="239">
        <v>494969</v>
      </c>
      <c r="DB18" s="239">
        <v>54996</v>
      </c>
      <c r="DC18" s="239">
        <v>5499644</v>
      </c>
      <c r="DD18" s="641">
        <v>0.5</v>
      </c>
      <c r="DE18" s="641">
        <v>0.4</v>
      </c>
      <c r="DF18" s="641">
        <v>0.09</v>
      </c>
      <c r="DG18" s="641">
        <v>0.01</v>
      </c>
      <c r="DH18" s="641">
        <v>1</v>
      </c>
      <c r="DI18" s="214" t="s">
        <v>1190</v>
      </c>
    </row>
    <row r="19" spans="2:113" s="214" customFormat="1" x14ac:dyDescent="0.2">
      <c r="B19" s="609" t="s">
        <v>120</v>
      </c>
      <c r="C19" s="609" t="s">
        <v>119</v>
      </c>
      <c r="D19" s="239">
        <v>36806311</v>
      </c>
      <c r="E19" s="239">
        <v>29445048</v>
      </c>
      <c r="F19" s="239">
        <v>6625136</v>
      </c>
      <c r="G19" s="239">
        <v>736126</v>
      </c>
      <c r="H19" s="239">
        <v>73612621</v>
      </c>
      <c r="I19" s="239">
        <v>0</v>
      </c>
      <c r="J19" s="239">
        <v>0</v>
      </c>
      <c r="K19" s="239">
        <v>36806311</v>
      </c>
      <c r="L19" s="239">
        <v>203511</v>
      </c>
      <c r="M19" s="239">
        <v>203511</v>
      </c>
      <c r="N19" s="239">
        <v>0</v>
      </c>
      <c r="O19" s="239">
        <v>0</v>
      </c>
      <c r="P19" s="239">
        <v>110379</v>
      </c>
      <c r="Q19" s="239">
        <v>203826</v>
      </c>
      <c r="R19" s="239">
        <v>314205</v>
      </c>
      <c r="S19" s="239">
        <v>0</v>
      </c>
      <c r="T19" s="239">
        <v>0</v>
      </c>
      <c r="U19" s="239">
        <v>0</v>
      </c>
      <c r="V19" s="239">
        <v>0</v>
      </c>
      <c r="W19" s="239">
        <v>899939</v>
      </c>
      <c r="X19" s="239">
        <v>719951</v>
      </c>
      <c r="Y19" s="239">
        <v>161989</v>
      </c>
      <c r="Z19" s="239">
        <v>17999</v>
      </c>
      <c r="AA19" s="239">
        <v>1799878</v>
      </c>
      <c r="AB19" s="239">
        <v>-997700</v>
      </c>
      <c r="AC19" s="239">
        <v>-798160</v>
      </c>
      <c r="AD19" s="239">
        <v>-179586</v>
      </c>
      <c r="AE19" s="239">
        <v>-19954</v>
      </c>
      <c r="AF19" s="239">
        <v>-1995400</v>
      </c>
      <c r="AG19" s="239">
        <v>-262501</v>
      </c>
      <c r="AH19" s="239">
        <v>-210000</v>
      </c>
      <c r="AI19" s="239">
        <v>-47250</v>
      </c>
      <c r="AJ19" s="239">
        <v>-5250</v>
      </c>
      <c r="AK19" s="239">
        <v>-525001</v>
      </c>
      <c r="AL19" s="239">
        <v>127243</v>
      </c>
      <c r="AM19" s="239">
        <v>101795</v>
      </c>
      <c r="AN19" s="239">
        <v>22904</v>
      </c>
      <c r="AO19" s="239">
        <v>2545</v>
      </c>
      <c r="AP19" s="239">
        <v>254487</v>
      </c>
      <c r="AQ19" s="239">
        <v>-82243</v>
      </c>
      <c r="AR19" s="239">
        <v>-65795</v>
      </c>
      <c r="AS19" s="239">
        <v>-14804</v>
      </c>
      <c r="AT19" s="239">
        <v>-1645</v>
      </c>
      <c r="AU19" s="239">
        <v>-164487</v>
      </c>
      <c r="AV19" s="239">
        <v>-217501</v>
      </c>
      <c r="AW19" s="239">
        <v>-174000</v>
      </c>
      <c r="AX19" s="239">
        <v>-39150</v>
      </c>
      <c r="AY19" s="239">
        <v>-4350</v>
      </c>
      <c r="AZ19" s="239">
        <v>-435001</v>
      </c>
      <c r="BA19" s="239">
        <v>-3500000</v>
      </c>
      <c r="BB19" s="239">
        <v>-2800000</v>
      </c>
      <c r="BC19" s="239">
        <v>-630000</v>
      </c>
      <c r="BD19" s="239">
        <v>-70000</v>
      </c>
      <c r="BE19" s="239">
        <v>-7000000</v>
      </c>
      <c r="BF19" s="239">
        <v>1671232</v>
      </c>
      <c r="BG19" s="239">
        <v>1336986</v>
      </c>
      <c r="BH19" s="239">
        <v>300822</v>
      </c>
      <c r="BI19" s="239">
        <v>33425</v>
      </c>
      <c r="BJ19" s="239">
        <v>3342465</v>
      </c>
      <c r="BK19" s="239">
        <v>-1621232</v>
      </c>
      <c r="BL19" s="239">
        <v>-1296986</v>
      </c>
      <c r="BM19" s="239">
        <v>-291822</v>
      </c>
      <c r="BN19" s="239">
        <v>-32425</v>
      </c>
      <c r="BO19" s="239">
        <v>-3242465</v>
      </c>
      <c r="BP19" s="239">
        <v>-3450000</v>
      </c>
      <c r="BQ19" s="239">
        <v>-2760000</v>
      </c>
      <c r="BR19" s="239">
        <v>-621000</v>
      </c>
      <c r="BS19" s="239">
        <v>-69000</v>
      </c>
      <c r="BT19" s="239">
        <v>-6900000</v>
      </c>
      <c r="BU19" s="239">
        <v>-1952972</v>
      </c>
      <c r="BV19" s="239">
        <v>-1562378</v>
      </c>
      <c r="BW19" s="239">
        <v>-351535</v>
      </c>
      <c r="BX19" s="239">
        <v>-39059</v>
      </c>
      <c r="BY19" s="239">
        <v>-3905944</v>
      </c>
      <c r="BZ19" s="239">
        <v>-1796871</v>
      </c>
      <c r="CA19" s="239">
        <v>-1437496</v>
      </c>
      <c r="CB19" s="239">
        <v>-323437</v>
      </c>
      <c r="CC19" s="239">
        <v>-35937</v>
      </c>
      <c r="CD19" s="239">
        <v>-3593741</v>
      </c>
      <c r="CE19" s="239">
        <v>-156101</v>
      </c>
      <c r="CF19" s="239">
        <v>-124882</v>
      </c>
      <c r="CG19" s="239">
        <v>-28098</v>
      </c>
      <c r="CH19" s="239">
        <v>-3122</v>
      </c>
      <c r="CI19" s="239">
        <v>-312203</v>
      </c>
      <c r="CJ19" s="239">
        <v>38229477</v>
      </c>
      <c r="CK19" s="239">
        <v>30583582</v>
      </c>
      <c r="CL19" s="239">
        <v>6881306</v>
      </c>
      <c r="CM19" s="239">
        <v>764590</v>
      </c>
      <c r="CN19" s="239">
        <v>76458955</v>
      </c>
      <c r="CO19" s="239">
        <v>36806311</v>
      </c>
      <c r="CP19" s="239">
        <v>29445048</v>
      </c>
      <c r="CQ19" s="239">
        <v>6625136</v>
      </c>
      <c r="CR19" s="239">
        <v>736126</v>
      </c>
      <c r="CS19" s="239">
        <v>73612621</v>
      </c>
      <c r="CT19" s="239">
        <v>-1423166</v>
      </c>
      <c r="CU19" s="239">
        <v>-1138534</v>
      </c>
      <c r="CV19" s="239">
        <v>-256170</v>
      </c>
      <c r="CW19" s="239">
        <v>-28464</v>
      </c>
      <c r="CX19" s="239">
        <v>-2846334</v>
      </c>
      <c r="CY19" s="239">
        <v>-1579267</v>
      </c>
      <c r="CZ19" s="239">
        <v>-1263416</v>
      </c>
      <c r="DA19" s="239">
        <v>-284268</v>
      </c>
      <c r="DB19" s="239">
        <v>-31586</v>
      </c>
      <c r="DC19" s="239">
        <v>-3158537</v>
      </c>
      <c r="DD19" s="641">
        <v>0.5</v>
      </c>
      <c r="DE19" s="641">
        <v>0.4</v>
      </c>
      <c r="DF19" s="641">
        <v>0.09</v>
      </c>
      <c r="DG19" s="641">
        <v>0.01</v>
      </c>
      <c r="DH19" s="641">
        <v>1</v>
      </c>
      <c r="DI19" s="214" t="s">
        <v>1190</v>
      </c>
    </row>
    <row r="20" spans="2:113" s="214" customFormat="1" x14ac:dyDescent="0.2">
      <c r="B20" s="609" t="s">
        <v>122</v>
      </c>
      <c r="C20" s="609" t="s">
        <v>121</v>
      </c>
      <c r="D20" s="239">
        <v>25579748</v>
      </c>
      <c r="E20" s="239">
        <v>20463799</v>
      </c>
      <c r="F20" s="239">
        <v>4604355</v>
      </c>
      <c r="G20" s="239">
        <v>511595</v>
      </c>
      <c r="H20" s="239">
        <v>51159497</v>
      </c>
      <c r="I20" s="239">
        <v>0</v>
      </c>
      <c r="J20" s="239">
        <v>0</v>
      </c>
      <c r="K20" s="239">
        <v>25579748</v>
      </c>
      <c r="L20" s="239">
        <v>174205</v>
      </c>
      <c r="M20" s="239">
        <v>174205</v>
      </c>
      <c r="N20" s="239">
        <v>0</v>
      </c>
      <c r="O20" s="239">
        <v>0</v>
      </c>
      <c r="P20" s="239">
        <v>550009</v>
      </c>
      <c r="Q20" s="239">
        <v>0</v>
      </c>
      <c r="R20" s="239">
        <v>550009</v>
      </c>
      <c r="S20" s="239">
        <v>0</v>
      </c>
      <c r="T20" s="239">
        <v>0</v>
      </c>
      <c r="U20" s="239">
        <v>0</v>
      </c>
      <c r="V20" s="239">
        <v>0</v>
      </c>
      <c r="W20" s="239">
        <v>1103396</v>
      </c>
      <c r="X20" s="239">
        <v>882717</v>
      </c>
      <c r="Y20" s="239">
        <v>198611</v>
      </c>
      <c r="Z20" s="239">
        <v>22068</v>
      </c>
      <c r="AA20" s="239">
        <v>2206792</v>
      </c>
      <c r="AB20" s="239">
        <v>-438441</v>
      </c>
      <c r="AC20" s="239">
        <v>-350753</v>
      </c>
      <c r="AD20" s="239">
        <v>-78919</v>
      </c>
      <c r="AE20" s="239">
        <v>-8769</v>
      </c>
      <c r="AF20" s="239">
        <v>-876882</v>
      </c>
      <c r="AG20" s="239">
        <v>-400409</v>
      </c>
      <c r="AH20" s="239">
        <v>-320326</v>
      </c>
      <c r="AI20" s="239">
        <v>-72073</v>
      </c>
      <c r="AJ20" s="239">
        <v>-8008</v>
      </c>
      <c r="AK20" s="239">
        <v>-800816</v>
      </c>
      <c r="AL20" s="239">
        <v>-2004</v>
      </c>
      <c r="AM20" s="239">
        <v>-1604</v>
      </c>
      <c r="AN20" s="239">
        <v>-361</v>
      </c>
      <c r="AO20" s="239">
        <v>-40</v>
      </c>
      <c r="AP20" s="239">
        <v>-4009</v>
      </c>
      <c r="AQ20" s="239">
        <v>-31164</v>
      </c>
      <c r="AR20" s="239">
        <v>-24931</v>
      </c>
      <c r="AS20" s="239">
        <v>-5609</v>
      </c>
      <c r="AT20" s="239">
        <v>-623</v>
      </c>
      <c r="AU20" s="239">
        <v>-62327</v>
      </c>
      <c r="AV20" s="239">
        <v>-433577</v>
      </c>
      <c r="AW20" s="239">
        <v>-346861</v>
      </c>
      <c r="AX20" s="239">
        <v>-78043</v>
      </c>
      <c r="AY20" s="239">
        <v>-8671</v>
      </c>
      <c r="AZ20" s="239">
        <v>-867152</v>
      </c>
      <c r="BA20" s="239">
        <v>-4936747</v>
      </c>
      <c r="BB20" s="239">
        <v>-3949397</v>
      </c>
      <c r="BC20" s="239">
        <v>-888615</v>
      </c>
      <c r="BD20" s="239">
        <v>-98735</v>
      </c>
      <c r="BE20" s="239">
        <v>-9873494</v>
      </c>
      <c r="BF20" s="239">
        <v>3443024</v>
      </c>
      <c r="BG20" s="239">
        <v>2754418</v>
      </c>
      <c r="BH20" s="239">
        <v>619744</v>
      </c>
      <c r="BI20" s="239">
        <v>68860</v>
      </c>
      <c r="BJ20" s="239">
        <v>6886046</v>
      </c>
      <c r="BK20" s="239">
        <v>-2934971</v>
      </c>
      <c r="BL20" s="239">
        <v>-2347976</v>
      </c>
      <c r="BM20" s="239">
        <v>-528295</v>
      </c>
      <c r="BN20" s="239">
        <v>-58699</v>
      </c>
      <c r="BO20" s="239">
        <v>-5869941</v>
      </c>
      <c r="BP20" s="239">
        <v>-4428694</v>
      </c>
      <c r="BQ20" s="239">
        <v>-3542955</v>
      </c>
      <c r="BR20" s="239">
        <v>-797166</v>
      </c>
      <c r="BS20" s="239">
        <v>-88574</v>
      </c>
      <c r="BT20" s="239">
        <v>-8857389</v>
      </c>
      <c r="BU20" s="239">
        <v>1696334</v>
      </c>
      <c r="BV20" s="239">
        <v>1357067</v>
      </c>
      <c r="BW20" s="239">
        <v>305340</v>
      </c>
      <c r="BX20" s="239">
        <v>33927</v>
      </c>
      <c r="BY20" s="239">
        <v>3392668</v>
      </c>
      <c r="BZ20" s="239">
        <v>3510476</v>
      </c>
      <c r="CA20" s="239">
        <v>2808381</v>
      </c>
      <c r="CB20" s="239">
        <v>631886</v>
      </c>
      <c r="CC20" s="239">
        <v>70210</v>
      </c>
      <c r="CD20" s="239">
        <v>7020953</v>
      </c>
      <c r="CE20" s="239">
        <v>-1814142</v>
      </c>
      <c r="CF20" s="239">
        <v>-1451314</v>
      </c>
      <c r="CG20" s="239">
        <v>-326546</v>
      </c>
      <c r="CH20" s="239">
        <v>-36283</v>
      </c>
      <c r="CI20" s="239">
        <v>-3628285</v>
      </c>
      <c r="CJ20" s="239">
        <v>24695718</v>
      </c>
      <c r="CK20" s="239">
        <v>19756574</v>
      </c>
      <c r="CL20" s="239">
        <v>4445229</v>
      </c>
      <c r="CM20" s="239">
        <v>493914</v>
      </c>
      <c r="CN20" s="239">
        <v>49391435</v>
      </c>
      <c r="CO20" s="239">
        <v>25579748</v>
      </c>
      <c r="CP20" s="239">
        <v>20463799</v>
      </c>
      <c r="CQ20" s="239">
        <v>4604355</v>
      </c>
      <c r="CR20" s="239">
        <v>511595</v>
      </c>
      <c r="CS20" s="239">
        <v>51159497</v>
      </c>
      <c r="CT20" s="239">
        <v>884030</v>
      </c>
      <c r="CU20" s="239">
        <v>707225</v>
      </c>
      <c r="CV20" s="239">
        <v>159126</v>
      </c>
      <c r="CW20" s="239">
        <v>17681</v>
      </c>
      <c r="CX20" s="239">
        <v>1768062</v>
      </c>
      <c r="CY20" s="239">
        <v>-930112</v>
      </c>
      <c r="CZ20" s="239">
        <v>-744089</v>
      </c>
      <c r="DA20" s="239">
        <v>-167420</v>
      </c>
      <c r="DB20" s="239">
        <v>-18602</v>
      </c>
      <c r="DC20" s="239">
        <v>-1860223</v>
      </c>
      <c r="DD20" s="641">
        <v>0.5</v>
      </c>
      <c r="DE20" s="641">
        <v>0.4</v>
      </c>
      <c r="DF20" s="641">
        <v>0.09</v>
      </c>
      <c r="DG20" s="641">
        <v>0.01</v>
      </c>
      <c r="DH20" s="641">
        <v>1</v>
      </c>
      <c r="DI20" s="214" t="s">
        <v>1190</v>
      </c>
    </row>
    <row r="21" spans="2:113" s="214" customFormat="1" x14ac:dyDescent="0.2">
      <c r="B21" s="609" t="s">
        <v>124</v>
      </c>
      <c r="C21" s="609" t="s">
        <v>123</v>
      </c>
      <c r="D21" s="239">
        <v>31309001</v>
      </c>
      <c r="E21" s="239">
        <v>30682820</v>
      </c>
      <c r="F21" s="239">
        <v>0</v>
      </c>
      <c r="G21" s="239">
        <v>626180</v>
      </c>
      <c r="H21" s="239">
        <v>62618001</v>
      </c>
      <c r="I21" s="239">
        <v>0</v>
      </c>
      <c r="J21" s="239">
        <v>0</v>
      </c>
      <c r="K21" s="239">
        <v>31309001</v>
      </c>
      <c r="L21" s="239">
        <v>259777</v>
      </c>
      <c r="M21" s="239">
        <v>259777</v>
      </c>
      <c r="N21" s="239">
        <v>594870</v>
      </c>
      <c r="O21" s="239">
        <v>594870</v>
      </c>
      <c r="P21" s="239">
        <v>46472</v>
      </c>
      <c r="Q21" s="239">
        <v>0</v>
      </c>
      <c r="R21" s="239">
        <v>46472</v>
      </c>
      <c r="S21" s="239">
        <v>0</v>
      </c>
      <c r="T21" s="239">
        <v>0</v>
      </c>
      <c r="U21" s="239">
        <v>0</v>
      </c>
      <c r="V21" s="239">
        <v>0</v>
      </c>
      <c r="W21" s="239">
        <v>947557</v>
      </c>
      <c r="X21" s="239">
        <v>928606</v>
      </c>
      <c r="Y21" s="239">
        <v>0</v>
      </c>
      <c r="Z21" s="239">
        <v>18951</v>
      </c>
      <c r="AA21" s="239">
        <v>1895114</v>
      </c>
      <c r="AB21" s="239">
        <v>-1043061</v>
      </c>
      <c r="AC21" s="239">
        <v>-1022200</v>
      </c>
      <c r="AD21" s="239">
        <v>0</v>
      </c>
      <c r="AE21" s="239">
        <v>-20861</v>
      </c>
      <c r="AF21" s="239">
        <v>-2086122</v>
      </c>
      <c r="AG21" s="239">
        <v>-367025</v>
      </c>
      <c r="AH21" s="239">
        <v>-359684</v>
      </c>
      <c r="AI21" s="239">
        <v>0</v>
      </c>
      <c r="AJ21" s="239">
        <v>-7341</v>
      </c>
      <c r="AK21" s="239">
        <v>-734050</v>
      </c>
      <c r="AL21" s="239">
        <v>367024</v>
      </c>
      <c r="AM21" s="239">
        <v>359685</v>
      </c>
      <c r="AN21" s="239">
        <v>0</v>
      </c>
      <c r="AO21" s="239">
        <v>7341</v>
      </c>
      <c r="AP21" s="239">
        <v>734050</v>
      </c>
      <c r="AQ21" s="239">
        <v>-232756</v>
      </c>
      <c r="AR21" s="239">
        <v>-228100</v>
      </c>
      <c r="AS21" s="239">
        <v>0</v>
      </c>
      <c r="AT21" s="239">
        <v>-4655</v>
      </c>
      <c r="AU21" s="239">
        <v>-465511</v>
      </c>
      <c r="AV21" s="239">
        <v>-232757</v>
      </c>
      <c r="AW21" s="239">
        <v>-228099</v>
      </c>
      <c r="AX21" s="239">
        <v>0</v>
      </c>
      <c r="AY21" s="239">
        <v>-4655</v>
      </c>
      <c r="AZ21" s="239">
        <v>-465511</v>
      </c>
      <c r="BA21" s="239">
        <v>-3803504</v>
      </c>
      <c r="BB21" s="239">
        <v>-3727436</v>
      </c>
      <c r="BC21" s="239">
        <v>0</v>
      </c>
      <c r="BD21" s="239">
        <v>-76071</v>
      </c>
      <c r="BE21" s="239">
        <v>-7607011</v>
      </c>
      <c r="BF21" s="239">
        <v>2669224</v>
      </c>
      <c r="BG21" s="239">
        <v>2615839</v>
      </c>
      <c r="BH21" s="239">
        <v>0</v>
      </c>
      <c r="BI21" s="239">
        <v>53384</v>
      </c>
      <c r="BJ21" s="239">
        <v>5338447</v>
      </c>
      <c r="BK21" s="239">
        <v>-1835880</v>
      </c>
      <c r="BL21" s="239">
        <v>-1799162</v>
      </c>
      <c r="BM21" s="239">
        <v>0</v>
      </c>
      <c r="BN21" s="239">
        <v>-36718</v>
      </c>
      <c r="BO21" s="239">
        <v>-3671760</v>
      </c>
      <c r="BP21" s="239">
        <v>-2970160</v>
      </c>
      <c r="BQ21" s="239">
        <v>-2910759</v>
      </c>
      <c r="BR21" s="239">
        <v>0</v>
      </c>
      <c r="BS21" s="239">
        <v>-59405</v>
      </c>
      <c r="BT21" s="239">
        <v>-5940324</v>
      </c>
      <c r="BU21" s="239">
        <v>-2379473</v>
      </c>
      <c r="BV21" s="239">
        <v>-2331883</v>
      </c>
      <c r="BW21" s="239">
        <v>0</v>
      </c>
      <c r="BX21" s="239">
        <v>-47589</v>
      </c>
      <c r="BY21" s="239">
        <v>-4758945</v>
      </c>
      <c r="BZ21" s="239">
        <v>-1161168</v>
      </c>
      <c r="CA21" s="239">
        <v>-1137945</v>
      </c>
      <c r="CB21" s="239">
        <v>0</v>
      </c>
      <c r="CC21" s="239">
        <v>-23223</v>
      </c>
      <c r="CD21" s="239">
        <v>-2322336</v>
      </c>
      <c r="CE21" s="239">
        <v>-1218305</v>
      </c>
      <c r="CF21" s="239">
        <v>-1193938</v>
      </c>
      <c r="CG21" s="239">
        <v>0</v>
      </c>
      <c r="CH21" s="239">
        <v>-24366</v>
      </c>
      <c r="CI21" s="239">
        <v>-2436609</v>
      </c>
      <c r="CJ21" s="239">
        <v>33089759</v>
      </c>
      <c r="CK21" s="239">
        <v>32427964</v>
      </c>
      <c r="CL21" s="239">
        <v>0</v>
      </c>
      <c r="CM21" s="239">
        <v>661795</v>
      </c>
      <c r="CN21" s="239">
        <v>66179518</v>
      </c>
      <c r="CO21" s="239">
        <v>31309001</v>
      </c>
      <c r="CP21" s="239">
        <v>30682820</v>
      </c>
      <c r="CQ21" s="239">
        <v>0</v>
      </c>
      <c r="CR21" s="239">
        <v>626180</v>
      </c>
      <c r="CS21" s="239">
        <v>62618001</v>
      </c>
      <c r="CT21" s="239">
        <v>-1780758</v>
      </c>
      <c r="CU21" s="239">
        <v>-1745144</v>
      </c>
      <c r="CV21" s="239">
        <v>0</v>
      </c>
      <c r="CW21" s="239">
        <v>-35615</v>
      </c>
      <c r="CX21" s="239">
        <v>-3561517</v>
      </c>
      <c r="CY21" s="239">
        <v>-2999063</v>
      </c>
      <c r="CZ21" s="239">
        <v>-2939082</v>
      </c>
      <c r="DA21" s="239">
        <v>0</v>
      </c>
      <c r="DB21" s="239">
        <v>-59981</v>
      </c>
      <c r="DC21" s="239">
        <v>-5998126</v>
      </c>
      <c r="DD21" s="641">
        <v>0.5</v>
      </c>
      <c r="DE21" s="641">
        <v>0.49</v>
      </c>
      <c r="DF21" s="641">
        <v>0</v>
      </c>
      <c r="DG21" s="641">
        <v>0.01</v>
      </c>
      <c r="DH21" s="641">
        <v>1</v>
      </c>
      <c r="DI21" s="214" t="s">
        <v>747</v>
      </c>
    </row>
    <row r="22" spans="2:113" s="214" customFormat="1" x14ac:dyDescent="0.2">
      <c r="B22" s="609" t="s">
        <v>126</v>
      </c>
      <c r="C22" s="609" t="s">
        <v>125</v>
      </c>
      <c r="D22" s="239">
        <v>32948341</v>
      </c>
      <c r="E22" s="239">
        <v>32289374</v>
      </c>
      <c r="F22" s="239">
        <v>0</v>
      </c>
      <c r="G22" s="239">
        <v>658967</v>
      </c>
      <c r="H22" s="239">
        <v>65896682</v>
      </c>
      <c r="I22" s="239">
        <v>0</v>
      </c>
      <c r="J22" s="239">
        <v>0</v>
      </c>
      <c r="K22" s="239">
        <v>32948341</v>
      </c>
      <c r="L22" s="239">
        <v>231612</v>
      </c>
      <c r="M22" s="239">
        <v>231612</v>
      </c>
      <c r="N22" s="239">
        <v>0</v>
      </c>
      <c r="O22" s="239">
        <v>0</v>
      </c>
      <c r="P22" s="239">
        <v>767999</v>
      </c>
      <c r="Q22" s="239">
        <v>0</v>
      </c>
      <c r="R22" s="239">
        <v>767999</v>
      </c>
      <c r="S22" s="239">
        <v>0</v>
      </c>
      <c r="T22" s="239">
        <v>0</v>
      </c>
      <c r="U22" s="239">
        <v>0</v>
      </c>
      <c r="V22" s="239">
        <v>0</v>
      </c>
      <c r="W22" s="239">
        <v>1603521</v>
      </c>
      <c r="X22" s="239">
        <v>1571450</v>
      </c>
      <c r="Y22" s="239">
        <v>0</v>
      </c>
      <c r="Z22" s="239">
        <v>32070</v>
      </c>
      <c r="AA22" s="239">
        <v>3207041</v>
      </c>
      <c r="AB22" s="239">
        <v>-449176</v>
      </c>
      <c r="AC22" s="239">
        <v>-440193</v>
      </c>
      <c r="AD22" s="239">
        <v>0</v>
      </c>
      <c r="AE22" s="239">
        <v>-8984</v>
      </c>
      <c r="AF22" s="239">
        <v>-898353</v>
      </c>
      <c r="AG22" s="239">
        <v>-979248</v>
      </c>
      <c r="AH22" s="239">
        <v>-959662</v>
      </c>
      <c r="AI22" s="239">
        <v>0</v>
      </c>
      <c r="AJ22" s="239">
        <v>-19585</v>
      </c>
      <c r="AK22" s="239">
        <v>-1958495</v>
      </c>
      <c r="AL22" s="239">
        <v>127440</v>
      </c>
      <c r="AM22" s="239">
        <v>124891</v>
      </c>
      <c r="AN22" s="239">
        <v>0</v>
      </c>
      <c r="AO22" s="239">
        <v>2549</v>
      </c>
      <c r="AP22" s="239">
        <v>254880</v>
      </c>
      <c r="AQ22" s="239">
        <v>-358000</v>
      </c>
      <c r="AR22" s="239">
        <v>-350840</v>
      </c>
      <c r="AS22" s="239">
        <v>0</v>
      </c>
      <c r="AT22" s="239">
        <v>-7160</v>
      </c>
      <c r="AU22" s="239">
        <v>-716000</v>
      </c>
      <c r="AV22" s="239">
        <v>-1209808</v>
      </c>
      <c r="AW22" s="239">
        <v>-1185611</v>
      </c>
      <c r="AX22" s="239">
        <v>0</v>
      </c>
      <c r="AY22" s="239">
        <v>-24196</v>
      </c>
      <c r="AZ22" s="239">
        <v>-2419615</v>
      </c>
      <c r="BA22" s="239">
        <v>-2535512</v>
      </c>
      <c r="BB22" s="239">
        <v>-2484802</v>
      </c>
      <c r="BC22" s="239">
        <v>0</v>
      </c>
      <c r="BD22" s="239">
        <v>-50710</v>
      </c>
      <c r="BE22" s="239">
        <v>-5071024</v>
      </c>
      <c r="BF22" s="239">
        <v>487275</v>
      </c>
      <c r="BG22" s="239">
        <v>477529</v>
      </c>
      <c r="BH22" s="239">
        <v>0</v>
      </c>
      <c r="BI22" s="239">
        <v>9745</v>
      </c>
      <c r="BJ22" s="239">
        <v>974549</v>
      </c>
      <c r="BK22" s="239">
        <v>-1176371</v>
      </c>
      <c r="BL22" s="239">
        <v>-1152844</v>
      </c>
      <c r="BM22" s="239">
        <v>0</v>
      </c>
      <c r="BN22" s="239">
        <v>-23527</v>
      </c>
      <c r="BO22" s="239">
        <v>-2352742</v>
      </c>
      <c r="BP22" s="239">
        <v>-3224608</v>
      </c>
      <c r="BQ22" s="239">
        <v>-3160117</v>
      </c>
      <c r="BR22" s="239">
        <v>0</v>
      </c>
      <c r="BS22" s="239">
        <v>-64492</v>
      </c>
      <c r="BT22" s="239">
        <v>-6449217</v>
      </c>
      <c r="BU22" s="239">
        <v>-1977188</v>
      </c>
      <c r="BV22" s="239">
        <v>-1937645</v>
      </c>
      <c r="BW22" s="239">
        <v>0</v>
      </c>
      <c r="BX22" s="239">
        <v>-39544</v>
      </c>
      <c r="BY22" s="239">
        <v>-3954377</v>
      </c>
      <c r="BZ22" s="239">
        <v>-1998960</v>
      </c>
      <c r="CA22" s="239">
        <v>-1958981</v>
      </c>
      <c r="CB22" s="239">
        <v>0</v>
      </c>
      <c r="CC22" s="239">
        <v>-39979</v>
      </c>
      <c r="CD22" s="239">
        <v>-3997920</v>
      </c>
      <c r="CE22" s="239">
        <v>21772</v>
      </c>
      <c r="CF22" s="239">
        <v>21336</v>
      </c>
      <c r="CG22" s="239">
        <v>0</v>
      </c>
      <c r="CH22" s="239">
        <v>435</v>
      </c>
      <c r="CI22" s="239">
        <v>43543</v>
      </c>
      <c r="CJ22" s="239">
        <v>33187564</v>
      </c>
      <c r="CK22" s="239">
        <v>32523813</v>
      </c>
      <c r="CL22" s="239">
        <v>0</v>
      </c>
      <c r="CM22" s="239">
        <v>663751</v>
      </c>
      <c r="CN22" s="239">
        <v>66375128</v>
      </c>
      <c r="CO22" s="239">
        <v>32948341</v>
      </c>
      <c r="CP22" s="239">
        <v>32289374</v>
      </c>
      <c r="CQ22" s="239">
        <v>0</v>
      </c>
      <c r="CR22" s="239">
        <v>658967</v>
      </c>
      <c r="CS22" s="239">
        <v>65896682</v>
      </c>
      <c r="CT22" s="239">
        <v>-239223</v>
      </c>
      <c r="CU22" s="239">
        <v>-234439</v>
      </c>
      <c r="CV22" s="239">
        <v>0</v>
      </c>
      <c r="CW22" s="239">
        <v>-4784</v>
      </c>
      <c r="CX22" s="239">
        <v>-478446</v>
      </c>
      <c r="CY22" s="239">
        <v>-217451</v>
      </c>
      <c r="CZ22" s="239">
        <v>-213103</v>
      </c>
      <c r="DA22" s="239">
        <v>0</v>
      </c>
      <c r="DB22" s="239">
        <v>-4349</v>
      </c>
      <c r="DC22" s="239">
        <v>-434903</v>
      </c>
      <c r="DD22" s="641">
        <v>0.5</v>
      </c>
      <c r="DE22" s="641">
        <v>0.49</v>
      </c>
      <c r="DF22" s="641">
        <v>0</v>
      </c>
      <c r="DG22" s="641">
        <v>0.01</v>
      </c>
      <c r="DH22" s="641">
        <v>1</v>
      </c>
      <c r="DI22" s="214" t="s">
        <v>747</v>
      </c>
    </row>
    <row r="23" spans="2:113" s="214" customFormat="1" x14ac:dyDescent="0.2">
      <c r="B23" s="609" t="s">
        <v>128</v>
      </c>
      <c r="C23" s="609" t="s">
        <v>127</v>
      </c>
      <c r="D23" s="239">
        <v>35862881</v>
      </c>
      <c r="E23" s="239">
        <v>21517728</v>
      </c>
      <c r="F23" s="239">
        <v>14345152</v>
      </c>
      <c r="G23" s="239">
        <v>0</v>
      </c>
      <c r="H23" s="239">
        <v>71725761</v>
      </c>
      <c r="I23" s="239">
        <v>0</v>
      </c>
      <c r="J23" s="239">
        <v>0</v>
      </c>
      <c r="K23" s="239">
        <v>35862881</v>
      </c>
      <c r="L23" s="239">
        <v>253817</v>
      </c>
      <c r="M23" s="239">
        <v>253817</v>
      </c>
      <c r="N23" s="239">
        <v>0</v>
      </c>
      <c r="O23" s="239">
        <v>0</v>
      </c>
      <c r="P23" s="239">
        <v>0</v>
      </c>
      <c r="Q23" s="239">
        <v>0</v>
      </c>
      <c r="R23" s="239">
        <v>0</v>
      </c>
      <c r="S23" s="239">
        <v>0</v>
      </c>
      <c r="T23" s="239">
        <v>0</v>
      </c>
      <c r="U23" s="239">
        <v>0</v>
      </c>
      <c r="V23" s="239">
        <v>0</v>
      </c>
      <c r="W23" s="239">
        <v>883634</v>
      </c>
      <c r="X23" s="239">
        <v>530180</v>
      </c>
      <c r="Y23" s="239">
        <v>353453</v>
      </c>
      <c r="Z23" s="239">
        <v>0</v>
      </c>
      <c r="AA23" s="239">
        <v>1767267</v>
      </c>
      <c r="AB23" s="239">
        <v>-1391052</v>
      </c>
      <c r="AC23" s="239">
        <v>-834631</v>
      </c>
      <c r="AD23" s="239">
        <v>-556421</v>
      </c>
      <c r="AE23" s="239">
        <v>0</v>
      </c>
      <c r="AF23" s="239">
        <v>-2782104</v>
      </c>
      <c r="AG23" s="239">
        <v>-848500</v>
      </c>
      <c r="AH23" s="239">
        <v>-509100</v>
      </c>
      <c r="AI23" s="239">
        <v>-339400</v>
      </c>
      <c r="AJ23" s="239">
        <v>0</v>
      </c>
      <c r="AK23" s="239">
        <v>-1697000</v>
      </c>
      <c r="AL23" s="239">
        <v>0</v>
      </c>
      <c r="AM23" s="239">
        <v>0</v>
      </c>
      <c r="AN23" s="239">
        <v>0</v>
      </c>
      <c r="AO23" s="239">
        <v>0</v>
      </c>
      <c r="AP23" s="239">
        <v>0</v>
      </c>
      <c r="AQ23" s="239">
        <v>25000</v>
      </c>
      <c r="AR23" s="239">
        <v>15000</v>
      </c>
      <c r="AS23" s="239">
        <v>10000</v>
      </c>
      <c r="AT23" s="239">
        <v>0</v>
      </c>
      <c r="AU23" s="239">
        <v>50000</v>
      </c>
      <c r="AV23" s="239">
        <v>-823500</v>
      </c>
      <c r="AW23" s="239">
        <v>-494100</v>
      </c>
      <c r="AX23" s="239">
        <v>-329400</v>
      </c>
      <c r="AY23" s="239">
        <v>0</v>
      </c>
      <c r="AZ23" s="239">
        <v>-1647000</v>
      </c>
      <c r="BA23" s="239">
        <v>-4121495</v>
      </c>
      <c r="BB23" s="239">
        <v>-2472899</v>
      </c>
      <c r="BC23" s="239">
        <v>-1648599</v>
      </c>
      <c r="BD23" s="239">
        <v>0</v>
      </c>
      <c r="BE23" s="239">
        <v>-8242993</v>
      </c>
      <c r="BF23" s="239">
        <v>0</v>
      </c>
      <c r="BG23" s="239">
        <v>0</v>
      </c>
      <c r="BH23" s="239">
        <v>0</v>
      </c>
      <c r="BI23" s="239">
        <v>0</v>
      </c>
      <c r="BJ23" s="239">
        <v>0</v>
      </c>
      <c r="BK23" s="239">
        <v>-342953</v>
      </c>
      <c r="BL23" s="239">
        <v>-205772</v>
      </c>
      <c r="BM23" s="239">
        <v>-137181</v>
      </c>
      <c r="BN23" s="239">
        <v>0</v>
      </c>
      <c r="BO23" s="239">
        <v>-685906</v>
      </c>
      <c r="BP23" s="239">
        <v>-4464448</v>
      </c>
      <c r="BQ23" s="239">
        <v>-2678671</v>
      </c>
      <c r="BR23" s="239">
        <v>-1785780</v>
      </c>
      <c r="BS23" s="239">
        <v>0</v>
      </c>
      <c r="BT23" s="239">
        <v>-8928899</v>
      </c>
      <c r="BU23" s="239">
        <v>-1346001</v>
      </c>
      <c r="BV23" s="239">
        <v>-807601</v>
      </c>
      <c r="BW23" s="239">
        <v>-538400</v>
      </c>
      <c r="BX23" s="239">
        <v>0</v>
      </c>
      <c r="BY23" s="239">
        <v>-2692002</v>
      </c>
      <c r="BZ23" s="239">
        <v>-877958</v>
      </c>
      <c r="CA23" s="239">
        <v>-526775</v>
      </c>
      <c r="CB23" s="239">
        <v>-351183</v>
      </c>
      <c r="CC23" s="239">
        <v>0</v>
      </c>
      <c r="CD23" s="239">
        <v>-1755916</v>
      </c>
      <c r="CE23" s="239">
        <v>-468043</v>
      </c>
      <c r="CF23" s="239">
        <v>-280826</v>
      </c>
      <c r="CG23" s="239">
        <v>-187217</v>
      </c>
      <c r="CH23" s="239">
        <v>0</v>
      </c>
      <c r="CI23" s="239">
        <v>-936086</v>
      </c>
      <c r="CJ23" s="239">
        <v>35874066</v>
      </c>
      <c r="CK23" s="239">
        <v>21524440</v>
      </c>
      <c r="CL23" s="239">
        <v>14349626</v>
      </c>
      <c r="CM23" s="239">
        <v>0</v>
      </c>
      <c r="CN23" s="239">
        <v>71748132</v>
      </c>
      <c r="CO23" s="239">
        <v>35862881</v>
      </c>
      <c r="CP23" s="239">
        <v>21517728</v>
      </c>
      <c r="CQ23" s="239">
        <v>14345152</v>
      </c>
      <c r="CR23" s="239">
        <v>0</v>
      </c>
      <c r="CS23" s="239">
        <v>71725761</v>
      </c>
      <c r="CT23" s="239">
        <v>-11185</v>
      </c>
      <c r="CU23" s="239">
        <v>-6712</v>
      </c>
      <c r="CV23" s="239">
        <v>-4474</v>
      </c>
      <c r="CW23" s="239">
        <v>0</v>
      </c>
      <c r="CX23" s="239">
        <v>-22371</v>
      </c>
      <c r="CY23" s="239">
        <v>-479228</v>
      </c>
      <c r="CZ23" s="239">
        <v>-287538</v>
      </c>
      <c r="DA23" s="239">
        <v>-191691</v>
      </c>
      <c r="DB23" s="239">
        <v>0</v>
      </c>
      <c r="DC23" s="239">
        <v>-958457</v>
      </c>
      <c r="DD23" s="641">
        <v>0.5</v>
      </c>
      <c r="DE23" s="641">
        <v>0.3</v>
      </c>
      <c r="DF23" s="641">
        <v>0.2</v>
      </c>
      <c r="DG23" s="641">
        <v>0</v>
      </c>
      <c r="DH23" s="641">
        <v>1</v>
      </c>
      <c r="DI23" s="214" t="s">
        <v>1191</v>
      </c>
    </row>
    <row r="24" spans="2:113" s="214" customFormat="1" x14ac:dyDescent="0.2">
      <c r="B24" s="609" t="s">
        <v>130</v>
      </c>
      <c r="C24" s="609" t="s">
        <v>129</v>
      </c>
      <c r="D24" s="239">
        <v>205703660</v>
      </c>
      <c r="E24" s="239">
        <v>201589587</v>
      </c>
      <c r="F24" s="239">
        <v>0</v>
      </c>
      <c r="G24" s="239">
        <v>4114073</v>
      </c>
      <c r="H24" s="239">
        <v>411407320</v>
      </c>
      <c r="I24" s="239">
        <v>924130.98347107437</v>
      </c>
      <c r="J24" s="239">
        <v>924130.98347107437</v>
      </c>
      <c r="K24" s="239">
        <v>204779529.01652893</v>
      </c>
      <c r="L24" s="239">
        <v>1924036</v>
      </c>
      <c r="M24" s="239">
        <v>1924036</v>
      </c>
      <c r="N24" s="239">
        <v>3677010</v>
      </c>
      <c r="O24" s="239">
        <v>3677010</v>
      </c>
      <c r="P24" s="239">
        <v>0</v>
      </c>
      <c r="Q24" s="239">
        <v>0</v>
      </c>
      <c r="R24" s="239">
        <v>0</v>
      </c>
      <c r="S24" s="239">
        <v>924130.98347107437</v>
      </c>
      <c r="T24" s="239">
        <v>0</v>
      </c>
      <c r="U24" s="239">
        <v>0</v>
      </c>
      <c r="V24" s="239">
        <v>924130.98347107437</v>
      </c>
      <c r="W24" s="239">
        <v>47615985</v>
      </c>
      <c r="X24" s="239">
        <v>46663666</v>
      </c>
      <c r="Y24" s="239">
        <v>0</v>
      </c>
      <c r="Z24" s="239">
        <v>952320</v>
      </c>
      <c r="AA24" s="239">
        <v>95231971</v>
      </c>
      <c r="AB24" s="239">
        <v>-9825513</v>
      </c>
      <c r="AC24" s="239">
        <v>-9629002</v>
      </c>
      <c r="AD24" s="239">
        <v>0</v>
      </c>
      <c r="AE24" s="239">
        <v>-196510</v>
      </c>
      <c r="AF24" s="239">
        <v>-19651025</v>
      </c>
      <c r="AG24" s="239">
        <v>-27673857</v>
      </c>
      <c r="AH24" s="239">
        <v>-27120382</v>
      </c>
      <c r="AI24" s="239">
        <v>0</v>
      </c>
      <c r="AJ24" s="239">
        <v>-553478</v>
      </c>
      <c r="AK24" s="239">
        <v>-55347717</v>
      </c>
      <c r="AL24" s="239">
        <v>5379285</v>
      </c>
      <c r="AM24" s="239">
        <v>5271699</v>
      </c>
      <c r="AN24" s="239">
        <v>0</v>
      </c>
      <c r="AO24" s="239">
        <v>107586</v>
      </c>
      <c r="AP24" s="239">
        <v>10758570</v>
      </c>
      <c r="AQ24" s="239">
        <v>-4302639</v>
      </c>
      <c r="AR24" s="239">
        <v>-4216586</v>
      </c>
      <c r="AS24" s="239">
        <v>0</v>
      </c>
      <c r="AT24" s="239">
        <v>-86053</v>
      </c>
      <c r="AU24" s="239">
        <v>-8605278</v>
      </c>
      <c r="AV24" s="239">
        <v>-26597211</v>
      </c>
      <c r="AW24" s="239">
        <v>-26065269</v>
      </c>
      <c r="AX24" s="239">
        <v>0</v>
      </c>
      <c r="AY24" s="239">
        <v>-531945</v>
      </c>
      <c r="AZ24" s="239">
        <v>-53194425</v>
      </c>
      <c r="BA24" s="239">
        <v>-25243356</v>
      </c>
      <c r="BB24" s="239">
        <v>-24738489</v>
      </c>
      <c r="BC24" s="239">
        <v>0</v>
      </c>
      <c r="BD24" s="239">
        <v>-504867</v>
      </c>
      <c r="BE24" s="239">
        <v>-50486712</v>
      </c>
      <c r="BF24" s="239">
        <v>7869485</v>
      </c>
      <c r="BG24" s="239">
        <v>7712096</v>
      </c>
      <c r="BH24" s="239">
        <v>0</v>
      </c>
      <c r="BI24" s="239">
        <v>157390</v>
      </c>
      <c r="BJ24" s="239">
        <v>15738971</v>
      </c>
      <c r="BK24" s="239">
        <v>-8930536</v>
      </c>
      <c r="BL24" s="239">
        <v>-8751925</v>
      </c>
      <c r="BM24" s="239">
        <v>0</v>
      </c>
      <c r="BN24" s="239">
        <v>-178611</v>
      </c>
      <c r="BO24" s="239">
        <v>-17861072</v>
      </c>
      <c r="BP24" s="239">
        <v>-26304407</v>
      </c>
      <c r="BQ24" s="239">
        <v>-25778318</v>
      </c>
      <c r="BR24" s="239">
        <v>0</v>
      </c>
      <c r="BS24" s="239">
        <v>-526088</v>
      </c>
      <c r="BT24" s="239">
        <v>-52608813</v>
      </c>
      <c r="BU24" s="239">
        <v>-25922856</v>
      </c>
      <c r="BV24" s="239">
        <v>-25404399</v>
      </c>
      <c r="BW24" s="239">
        <v>0</v>
      </c>
      <c r="BX24" s="239">
        <v>-518457</v>
      </c>
      <c r="BY24" s="239">
        <v>-51845712</v>
      </c>
      <c r="BZ24" s="239">
        <v>-18324328</v>
      </c>
      <c r="CA24" s="239">
        <v>-17957841</v>
      </c>
      <c r="CB24" s="239">
        <v>0</v>
      </c>
      <c r="CC24" s="239">
        <v>-366487</v>
      </c>
      <c r="CD24" s="239">
        <v>-36648656</v>
      </c>
      <c r="CE24" s="239">
        <v>-7598528</v>
      </c>
      <c r="CF24" s="239">
        <v>-7446558</v>
      </c>
      <c r="CG24" s="239">
        <v>0</v>
      </c>
      <c r="CH24" s="239">
        <v>-151970</v>
      </c>
      <c r="CI24" s="239">
        <v>-15197056</v>
      </c>
      <c r="CJ24" s="239">
        <v>210042444</v>
      </c>
      <c r="CK24" s="239">
        <v>205841596</v>
      </c>
      <c r="CL24" s="239">
        <v>0</v>
      </c>
      <c r="CM24" s="239">
        <v>4200849</v>
      </c>
      <c r="CN24" s="239">
        <v>420084889</v>
      </c>
      <c r="CO24" s="239">
        <v>205703660</v>
      </c>
      <c r="CP24" s="239">
        <v>201589587</v>
      </c>
      <c r="CQ24" s="239">
        <v>0</v>
      </c>
      <c r="CR24" s="239">
        <v>4114073</v>
      </c>
      <c r="CS24" s="239">
        <v>411407320</v>
      </c>
      <c r="CT24" s="239">
        <v>-4338784</v>
      </c>
      <c r="CU24" s="239">
        <v>-4252009</v>
      </c>
      <c r="CV24" s="239">
        <v>0</v>
      </c>
      <c r="CW24" s="239">
        <v>-86776</v>
      </c>
      <c r="CX24" s="239">
        <v>-8677569</v>
      </c>
      <c r="CY24" s="239">
        <v>-11937312</v>
      </c>
      <c r="CZ24" s="239">
        <v>-11698567</v>
      </c>
      <c r="DA24" s="239">
        <v>0</v>
      </c>
      <c r="DB24" s="239">
        <v>-238746</v>
      </c>
      <c r="DC24" s="239">
        <v>-23874625</v>
      </c>
      <c r="DD24" s="641">
        <v>0.5</v>
      </c>
      <c r="DE24" s="641">
        <v>0.49</v>
      </c>
      <c r="DF24" s="641">
        <v>0</v>
      </c>
      <c r="DG24" s="641">
        <v>0.01</v>
      </c>
      <c r="DH24" s="641">
        <v>1</v>
      </c>
      <c r="DI24" s="214" t="s">
        <v>1192</v>
      </c>
    </row>
    <row r="25" spans="2:113" s="214" customFormat="1" x14ac:dyDescent="0.2">
      <c r="B25" s="609" t="s">
        <v>132</v>
      </c>
      <c r="C25" s="609" t="s">
        <v>131</v>
      </c>
      <c r="D25" s="239">
        <v>21776444</v>
      </c>
      <c r="E25" s="239">
        <v>17421156</v>
      </c>
      <c r="F25" s="239">
        <v>3919760</v>
      </c>
      <c r="G25" s="239">
        <v>435529</v>
      </c>
      <c r="H25" s="239">
        <v>43552889</v>
      </c>
      <c r="I25" s="239">
        <v>0</v>
      </c>
      <c r="J25" s="239">
        <v>0</v>
      </c>
      <c r="K25" s="239">
        <v>21776444</v>
      </c>
      <c r="L25" s="239">
        <v>101202</v>
      </c>
      <c r="M25" s="239">
        <v>101202</v>
      </c>
      <c r="N25" s="239">
        <v>0</v>
      </c>
      <c r="O25" s="239">
        <v>0</v>
      </c>
      <c r="P25" s="239">
        <v>0</v>
      </c>
      <c r="Q25" s="239">
        <v>0</v>
      </c>
      <c r="R25" s="239">
        <v>0</v>
      </c>
      <c r="S25" s="239">
        <v>0</v>
      </c>
      <c r="T25" s="239">
        <v>0</v>
      </c>
      <c r="U25" s="239">
        <v>0</v>
      </c>
      <c r="V25" s="239">
        <v>0</v>
      </c>
      <c r="W25" s="239">
        <v>482776</v>
      </c>
      <c r="X25" s="239">
        <v>386221</v>
      </c>
      <c r="Y25" s="239">
        <v>86900</v>
      </c>
      <c r="Z25" s="239">
        <v>9656</v>
      </c>
      <c r="AA25" s="239">
        <v>965553</v>
      </c>
      <c r="AB25" s="239">
        <v>-588351</v>
      </c>
      <c r="AC25" s="239">
        <v>-470680</v>
      </c>
      <c r="AD25" s="239">
        <v>-105903</v>
      </c>
      <c r="AE25" s="239">
        <v>-11767</v>
      </c>
      <c r="AF25" s="239">
        <v>-1176701</v>
      </c>
      <c r="AG25" s="239">
        <v>-349585</v>
      </c>
      <c r="AH25" s="239">
        <v>-279668</v>
      </c>
      <c r="AI25" s="239">
        <v>-62926</v>
      </c>
      <c r="AJ25" s="239">
        <v>-6992</v>
      </c>
      <c r="AK25" s="239">
        <v>-699171</v>
      </c>
      <c r="AL25" s="239">
        <v>0</v>
      </c>
      <c r="AM25" s="239">
        <v>0</v>
      </c>
      <c r="AN25" s="239">
        <v>0</v>
      </c>
      <c r="AO25" s="239">
        <v>0</v>
      </c>
      <c r="AP25" s="239">
        <v>0</v>
      </c>
      <c r="AQ25" s="239">
        <v>245010</v>
      </c>
      <c r="AR25" s="239">
        <v>196008</v>
      </c>
      <c r="AS25" s="239">
        <v>44102</v>
      </c>
      <c r="AT25" s="239">
        <v>4900</v>
      </c>
      <c r="AU25" s="239">
        <v>490020</v>
      </c>
      <c r="AV25" s="239">
        <v>-104575</v>
      </c>
      <c r="AW25" s="239">
        <v>-83660</v>
      </c>
      <c r="AX25" s="239">
        <v>-18824</v>
      </c>
      <c r="AY25" s="239">
        <v>-2092</v>
      </c>
      <c r="AZ25" s="239">
        <v>-209151</v>
      </c>
      <c r="BA25" s="239">
        <v>-2427011</v>
      </c>
      <c r="BB25" s="239">
        <v>-1941609</v>
      </c>
      <c r="BC25" s="239">
        <v>-436862</v>
      </c>
      <c r="BD25" s="239">
        <v>-48541</v>
      </c>
      <c r="BE25" s="239">
        <v>-4854023</v>
      </c>
      <c r="BF25" s="239">
        <v>174284</v>
      </c>
      <c r="BG25" s="239">
        <v>139428</v>
      </c>
      <c r="BH25" s="239">
        <v>31371</v>
      </c>
      <c r="BI25" s="239">
        <v>3486</v>
      </c>
      <c r="BJ25" s="239">
        <v>348569</v>
      </c>
      <c r="BK25" s="239">
        <v>111169</v>
      </c>
      <c r="BL25" s="239">
        <v>88936</v>
      </c>
      <c r="BM25" s="239">
        <v>20011</v>
      </c>
      <c r="BN25" s="239">
        <v>2223</v>
      </c>
      <c r="BO25" s="239">
        <v>222339</v>
      </c>
      <c r="BP25" s="239">
        <v>-2141558</v>
      </c>
      <c r="BQ25" s="239">
        <v>-1713245</v>
      </c>
      <c r="BR25" s="239">
        <v>-385480</v>
      </c>
      <c r="BS25" s="239">
        <v>-42832</v>
      </c>
      <c r="BT25" s="239">
        <v>-4283115</v>
      </c>
      <c r="BU25" s="239">
        <v>-562614</v>
      </c>
      <c r="BV25" s="239">
        <v>-450091</v>
      </c>
      <c r="BW25" s="239">
        <v>-101271</v>
      </c>
      <c r="BX25" s="239">
        <v>-11252</v>
      </c>
      <c r="BY25" s="239">
        <v>-1125228</v>
      </c>
      <c r="BZ25" s="239">
        <v>-1490983</v>
      </c>
      <c r="CA25" s="239">
        <v>-1192787</v>
      </c>
      <c r="CB25" s="239">
        <v>-268377</v>
      </c>
      <c r="CC25" s="239">
        <v>-29820</v>
      </c>
      <c r="CD25" s="239">
        <v>-2981967</v>
      </c>
      <c r="CE25" s="239">
        <v>928369</v>
      </c>
      <c r="CF25" s="239">
        <v>742696</v>
      </c>
      <c r="CG25" s="239">
        <v>167106</v>
      </c>
      <c r="CH25" s="239">
        <v>18568</v>
      </c>
      <c r="CI25" s="239">
        <v>1856739</v>
      </c>
      <c r="CJ25" s="239">
        <v>21415559</v>
      </c>
      <c r="CK25" s="239">
        <v>17132448</v>
      </c>
      <c r="CL25" s="239">
        <v>3854801</v>
      </c>
      <c r="CM25" s="239">
        <v>428311</v>
      </c>
      <c r="CN25" s="239">
        <v>42831119</v>
      </c>
      <c r="CO25" s="239">
        <v>21776444</v>
      </c>
      <c r="CP25" s="239">
        <v>17421156</v>
      </c>
      <c r="CQ25" s="239">
        <v>3919760</v>
      </c>
      <c r="CR25" s="239">
        <v>435529</v>
      </c>
      <c r="CS25" s="239">
        <v>43552889</v>
      </c>
      <c r="CT25" s="239">
        <v>360885</v>
      </c>
      <c r="CU25" s="239">
        <v>288708</v>
      </c>
      <c r="CV25" s="239">
        <v>64959</v>
      </c>
      <c r="CW25" s="239">
        <v>7218</v>
      </c>
      <c r="CX25" s="239">
        <v>721770</v>
      </c>
      <c r="CY25" s="239">
        <v>1289254</v>
      </c>
      <c r="CZ25" s="239">
        <v>1031404</v>
      </c>
      <c r="DA25" s="239">
        <v>232065</v>
      </c>
      <c r="DB25" s="239">
        <v>25786</v>
      </c>
      <c r="DC25" s="239">
        <v>2578509</v>
      </c>
      <c r="DD25" s="641">
        <v>0.5</v>
      </c>
      <c r="DE25" s="641">
        <v>0.4</v>
      </c>
      <c r="DF25" s="641">
        <v>0.09</v>
      </c>
      <c r="DG25" s="641">
        <v>0.01</v>
      </c>
      <c r="DH25" s="641">
        <v>1</v>
      </c>
      <c r="DI25" s="214" t="s">
        <v>1190</v>
      </c>
    </row>
    <row r="26" spans="2:113" s="214" customFormat="1" x14ac:dyDescent="0.2">
      <c r="B26" s="609" t="s">
        <v>134</v>
      </c>
      <c r="C26" s="609" t="s">
        <v>133</v>
      </c>
      <c r="D26" s="239">
        <v>22994892</v>
      </c>
      <c r="E26" s="239">
        <v>22534994</v>
      </c>
      <c r="F26" s="239">
        <v>0</v>
      </c>
      <c r="G26" s="239">
        <v>459898</v>
      </c>
      <c r="H26" s="239">
        <v>45989784</v>
      </c>
      <c r="I26" s="239">
        <v>0</v>
      </c>
      <c r="J26" s="239">
        <v>0</v>
      </c>
      <c r="K26" s="239">
        <v>22994892</v>
      </c>
      <c r="L26" s="239">
        <v>255158</v>
      </c>
      <c r="M26" s="239">
        <v>255158</v>
      </c>
      <c r="N26" s="239">
        <v>0</v>
      </c>
      <c r="O26" s="239">
        <v>0</v>
      </c>
      <c r="P26" s="239">
        <v>0</v>
      </c>
      <c r="Q26" s="239">
        <v>0</v>
      </c>
      <c r="R26" s="239">
        <v>0</v>
      </c>
      <c r="S26" s="239">
        <v>0</v>
      </c>
      <c r="T26" s="239">
        <v>0</v>
      </c>
      <c r="U26" s="239">
        <v>0</v>
      </c>
      <c r="V26" s="239">
        <v>0</v>
      </c>
      <c r="W26" s="239">
        <v>1636822</v>
      </c>
      <c r="X26" s="239">
        <v>1604086</v>
      </c>
      <c r="Y26" s="239">
        <v>0</v>
      </c>
      <c r="Z26" s="239">
        <v>32736</v>
      </c>
      <c r="AA26" s="239">
        <v>3273644</v>
      </c>
      <c r="AB26" s="239">
        <v>-471618</v>
      </c>
      <c r="AC26" s="239">
        <v>-462186</v>
      </c>
      <c r="AD26" s="239">
        <v>0</v>
      </c>
      <c r="AE26" s="239">
        <v>-9432</v>
      </c>
      <c r="AF26" s="239">
        <v>-943236</v>
      </c>
      <c r="AG26" s="239">
        <v>-791500</v>
      </c>
      <c r="AH26" s="239">
        <v>-775670</v>
      </c>
      <c r="AI26" s="239">
        <v>0</v>
      </c>
      <c r="AJ26" s="239">
        <v>-15830</v>
      </c>
      <c r="AK26" s="239">
        <v>-1583000</v>
      </c>
      <c r="AL26" s="239">
        <v>154403</v>
      </c>
      <c r="AM26" s="239">
        <v>151314</v>
      </c>
      <c r="AN26" s="239">
        <v>0</v>
      </c>
      <c r="AO26" s="239">
        <v>3088</v>
      </c>
      <c r="AP26" s="239">
        <v>308805</v>
      </c>
      <c r="AQ26" s="239">
        <v>-330903</v>
      </c>
      <c r="AR26" s="239">
        <v>-324284</v>
      </c>
      <c r="AS26" s="239">
        <v>0</v>
      </c>
      <c r="AT26" s="239">
        <v>-6618</v>
      </c>
      <c r="AU26" s="239">
        <v>-661805</v>
      </c>
      <c r="AV26" s="239">
        <v>-968000</v>
      </c>
      <c r="AW26" s="239">
        <v>-948640</v>
      </c>
      <c r="AX26" s="239">
        <v>0</v>
      </c>
      <c r="AY26" s="239">
        <v>-19360</v>
      </c>
      <c r="AZ26" s="239">
        <v>-1936000</v>
      </c>
      <c r="BA26" s="239">
        <v>-2316131</v>
      </c>
      <c r="BB26" s="239">
        <v>-2269811</v>
      </c>
      <c r="BC26" s="239">
        <v>0</v>
      </c>
      <c r="BD26" s="239">
        <v>-46324</v>
      </c>
      <c r="BE26" s="239">
        <v>-4632266</v>
      </c>
      <c r="BF26" s="239">
        <v>1359897</v>
      </c>
      <c r="BG26" s="239">
        <v>1332699</v>
      </c>
      <c r="BH26" s="239">
        <v>0</v>
      </c>
      <c r="BI26" s="239">
        <v>27198</v>
      </c>
      <c r="BJ26" s="239">
        <v>2719794</v>
      </c>
      <c r="BK26" s="239">
        <v>-2205530</v>
      </c>
      <c r="BL26" s="239">
        <v>-2161419</v>
      </c>
      <c r="BM26" s="239">
        <v>0</v>
      </c>
      <c r="BN26" s="239">
        <v>-44111</v>
      </c>
      <c r="BO26" s="239">
        <v>-4411060</v>
      </c>
      <c r="BP26" s="239">
        <v>-3161764</v>
      </c>
      <c r="BQ26" s="239">
        <v>-3098531</v>
      </c>
      <c r="BR26" s="239">
        <v>0</v>
      </c>
      <c r="BS26" s="239">
        <v>-63237</v>
      </c>
      <c r="BT26" s="239">
        <v>-6323532</v>
      </c>
      <c r="BU26" s="239">
        <v>-233589</v>
      </c>
      <c r="BV26" s="239">
        <v>-228918</v>
      </c>
      <c r="BW26" s="239">
        <v>0</v>
      </c>
      <c r="BX26" s="239">
        <v>-4672</v>
      </c>
      <c r="BY26" s="239">
        <v>-467179</v>
      </c>
      <c r="BZ26" s="239">
        <v>424184</v>
      </c>
      <c r="CA26" s="239">
        <v>415700</v>
      </c>
      <c r="CB26" s="239">
        <v>0</v>
      </c>
      <c r="CC26" s="239">
        <v>8484</v>
      </c>
      <c r="CD26" s="239">
        <v>848368</v>
      </c>
      <c r="CE26" s="239">
        <v>-657773</v>
      </c>
      <c r="CF26" s="239">
        <v>-644618</v>
      </c>
      <c r="CG26" s="239">
        <v>0</v>
      </c>
      <c r="CH26" s="239">
        <v>-13156</v>
      </c>
      <c r="CI26" s="239">
        <v>-1315547</v>
      </c>
      <c r="CJ26" s="239">
        <v>23395625</v>
      </c>
      <c r="CK26" s="239">
        <v>22927712</v>
      </c>
      <c r="CL26" s="239">
        <v>0</v>
      </c>
      <c r="CM26" s="239">
        <v>467912</v>
      </c>
      <c r="CN26" s="239">
        <v>46791249</v>
      </c>
      <c r="CO26" s="239">
        <v>22994892</v>
      </c>
      <c r="CP26" s="239">
        <v>22534994</v>
      </c>
      <c r="CQ26" s="239">
        <v>0</v>
      </c>
      <c r="CR26" s="239">
        <v>459898</v>
      </c>
      <c r="CS26" s="239">
        <v>45989784</v>
      </c>
      <c r="CT26" s="239">
        <v>-400733</v>
      </c>
      <c r="CU26" s="239">
        <v>-392718</v>
      </c>
      <c r="CV26" s="239">
        <v>0</v>
      </c>
      <c r="CW26" s="239">
        <v>-8014</v>
      </c>
      <c r="CX26" s="239">
        <v>-801465</v>
      </c>
      <c r="CY26" s="239">
        <v>-1058506</v>
      </c>
      <c r="CZ26" s="239">
        <v>-1037336</v>
      </c>
      <c r="DA26" s="239">
        <v>0</v>
      </c>
      <c r="DB26" s="239">
        <v>-21170</v>
      </c>
      <c r="DC26" s="239">
        <v>-2117012</v>
      </c>
      <c r="DD26" s="641">
        <v>0.5</v>
      </c>
      <c r="DE26" s="641">
        <v>0.49</v>
      </c>
      <c r="DF26" s="641">
        <v>0</v>
      </c>
      <c r="DG26" s="641">
        <v>0.01</v>
      </c>
      <c r="DH26" s="641">
        <v>1</v>
      </c>
      <c r="DI26" s="214" t="s">
        <v>747</v>
      </c>
    </row>
    <row r="27" spans="2:113" s="214" customFormat="1" x14ac:dyDescent="0.2">
      <c r="B27" s="609" t="s">
        <v>136</v>
      </c>
      <c r="C27" s="609" t="s">
        <v>135</v>
      </c>
      <c r="D27" s="239">
        <v>25501387</v>
      </c>
      <c r="E27" s="239">
        <v>24991360</v>
      </c>
      <c r="F27" s="239">
        <v>0</v>
      </c>
      <c r="G27" s="239">
        <v>510028</v>
      </c>
      <c r="H27" s="239">
        <v>51002775</v>
      </c>
      <c r="I27" s="239">
        <v>14376.96694214876</v>
      </c>
      <c r="J27" s="239">
        <v>14376.96694214876</v>
      </c>
      <c r="K27" s="239">
        <v>25487010.03305785</v>
      </c>
      <c r="L27" s="239">
        <v>270621</v>
      </c>
      <c r="M27" s="239">
        <v>270621</v>
      </c>
      <c r="N27" s="239">
        <v>0</v>
      </c>
      <c r="O27" s="239">
        <v>0</v>
      </c>
      <c r="P27" s="239">
        <v>0</v>
      </c>
      <c r="Q27" s="239">
        <v>0</v>
      </c>
      <c r="R27" s="239">
        <v>0</v>
      </c>
      <c r="S27" s="239">
        <v>14089.427603305785</v>
      </c>
      <c r="T27" s="239">
        <v>0</v>
      </c>
      <c r="U27" s="239">
        <v>287.53933884297521</v>
      </c>
      <c r="V27" s="239">
        <v>14376.96694214876</v>
      </c>
      <c r="W27" s="239">
        <v>2993708</v>
      </c>
      <c r="X27" s="239">
        <v>2933834</v>
      </c>
      <c r="Y27" s="239">
        <v>0</v>
      </c>
      <c r="Z27" s="239">
        <v>59874</v>
      </c>
      <c r="AA27" s="239">
        <v>5987416</v>
      </c>
      <c r="AB27" s="239">
        <v>-58389</v>
      </c>
      <c r="AC27" s="239">
        <v>-57221</v>
      </c>
      <c r="AD27" s="239">
        <v>0</v>
      </c>
      <c r="AE27" s="239">
        <v>-1168</v>
      </c>
      <c r="AF27" s="239">
        <v>-116778</v>
      </c>
      <c r="AG27" s="239">
        <v>-936768</v>
      </c>
      <c r="AH27" s="239">
        <v>-918033</v>
      </c>
      <c r="AI27" s="239">
        <v>0</v>
      </c>
      <c r="AJ27" s="239">
        <v>-18735</v>
      </c>
      <c r="AK27" s="239">
        <v>-1873536</v>
      </c>
      <c r="AL27" s="239">
        <v>577988</v>
      </c>
      <c r="AM27" s="239">
        <v>566429</v>
      </c>
      <c r="AN27" s="239">
        <v>0</v>
      </c>
      <c r="AO27" s="239">
        <v>11560</v>
      </c>
      <c r="AP27" s="239">
        <v>1155977</v>
      </c>
      <c r="AQ27" s="239">
        <v>-776221</v>
      </c>
      <c r="AR27" s="239">
        <v>-760696</v>
      </c>
      <c r="AS27" s="239">
        <v>0</v>
      </c>
      <c r="AT27" s="239">
        <v>-15524</v>
      </c>
      <c r="AU27" s="239">
        <v>-1552441</v>
      </c>
      <c r="AV27" s="239">
        <v>-1135001</v>
      </c>
      <c r="AW27" s="239">
        <v>-1112300</v>
      </c>
      <c r="AX27" s="239">
        <v>0</v>
      </c>
      <c r="AY27" s="239">
        <v>-22699</v>
      </c>
      <c r="AZ27" s="239">
        <v>-2270000</v>
      </c>
      <c r="BA27" s="239">
        <v>-3382202</v>
      </c>
      <c r="BB27" s="239">
        <v>-3314558</v>
      </c>
      <c r="BC27" s="239">
        <v>0</v>
      </c>
      <c r="BD27" s="239">
        <v>-67644</v>
      </c>
      <c r="BE27" s="239">
        <v>-6764404</v>
      </c>
      <c r="BF27" s="239">
        <v>506952</v>
      </c>
      <c r="BG27" s="239">
        <v>496812</v>
      </c>
      <c r="BH27" s="239">
        <v>0</v>
      </c>
      <c r="BI27" s="239">
        <v>10139</v>
      </c>
      <c r="BJ27" s="239">
        <v>1013903</v>
      </c>
      <c r="BK27" s="239">
        <v>-1032000</v>
      </c>
      <c r="BL27" s="239">
        <v>-1011360</v>
      </c>
      <c r="BM27" s="239">
        <v>0</v>
      </c>
      <c r="BN27" s="239">
        <v>-20640</v>
      </c>
      <c r="BO27" s="239">
        <v>-2064000</v>
      </c>
      <c r="BP27" s="239">
        <v>-3907250</v>
      </c>
      <c r="BQ27" s="239">
        <v>-3829106</v>
      </c>
      <c r="BR27" s="239">
        <v>0</v>
      </c>
      <c r="BS27" s="239">
        <v>-78145</v>
      </c>
      <c r="BT27" s="239">
        <v>-7814501</v>
      </c>
      <c r="BU27" s="239">
        <v>-2289393</v>
      </c>
      <c r="BV27" s="239">
        <v>-2243606</v>
      </c>
      <c r="BW27" s="239">
        <v>0</v>
      </c>
      <c r="BX27" s="239">
        <v>-45788</v>
      </c>
      <c r="BY27" s="239">
        <v>-4578787</v>
      </c>
      <c r="BZ27" s="239">
        <v>-1709215</v>
      </c>
      <c r="CA27" s="239">
        <v>-1675031</v>
      </c>
      <c r="CB27" s="239">
        <v>0</v>
      </c>
      <c r="CC27" s="239">
        <v>-34184</v>
      </c>
      <c r="CD27" s="239">
        <v>-3418430</v>
      </c>
      <c r="CE27" s="239">
        <v>-580178</v>
      </c>
      <c r="CF27" s="239">
        <v>-568575</v>
      </c>
      <c r="CG27" s="239">
        <v>0</v>
      </c>
      <c r="CH27" s="239">
        <v>-11604</v>
      </c>
      <c r="CI27" s="239">
        <v>-1160357</v>
      </c>
      <c r="CJ27" s="239">
        <v>24528913</v>
      </c>
      <c r="CK27" s="239">
        <v>24038334</v>
      </c>
      <c r="CL27" s="239">
        <v>0</v>
      </c>
      <c r="CM27" s="239">
        <v>490578</v>
      </c>
      <c r="CN27" s="239">
        <v>49057825</v>
      </c>
      <c r="CO27" s="239">
        <v>25501387</v>
      </c>
      <c r="CP27" s="239">
        <v>24991360</v>
      </c>
      <c r="CQ27" s="239">
        <v>0</v>
      </c>
      <c r="CR27" s="239">
        <v>510028</v>
      </c>
      <c r="CS27" s="239">
        <v>51002775</v>
      </c>
      <c r="CT27" s="239">
        <v>972474</v>
      </c>
      <c r="CU27" s="239">
        <v>953026</v>
      </c>
      <c r="CV27" s="239">
        <v>0</v>
      </c>
      <c r="CW27" s="239">
        <v>19450</v>
      </c>
      <c r="CX27" s="239">
        <v>1944950</v>
      </c>
      <c r="CY27" s="239">
        <v>392296</v>
      </c>
      <c r="CZ27" s="239">
        <v>384451</v>
      </c>
      <c r="DA27" s="239">
        <v>0</v>
      </c>
      <c r="DB27" s="239">
        <v>7846</v>
      </c>
      <c r="DC27" s="239">
        <v>784593</v>
      </c>
      <c r="DD27" s="641">
        <v>0.5</v>
      </c>
      <c r="DE27" s="641">
        <v>0.49</v>
      </c>
      <c r="DF27" s="641">
        <v>0</v>
      </c>
      <c r="DG27" s="641">
        <v>0.01</v>
      </c>
      <c r="DH27" s="641">
        <v>1</v>
      </c>
      <c r="DI27" s="214" t="s">
        <v>747</v>
      </c>
    </row>
    <row r="28" spans="2:113" s="214" customFormat="1" x14ac:dyDescent="0.2">
      <c r="B28" s="609" t="s">
        <v>138</v>
      </c>
      <c r="C28" s="609" t="s">
        <v>137</v>
      </c>
      <c r="D28" s="239">
        <v>13196061</v>
      </c>
      <c r="E28" s="239">
        <v>10556849</v>
      </c>
      <c r="F28" s="239">
        <v>2375291</v>
      </c>
      <c r="G28" s="239">
        <v>263921</v>
      </c>
      <c r="H28" s="239">
        <v>26392122</v>
      </c>
      <c r="I28" s="239">
        <v>0</v>
      </c>
      <c r="J28" s="239">
        <v>0</v>
      </c>
      <c r="K28" s="239">
        <v>13196061</v>
      </c>
      <c r="L28" s="239">
        <v>95614</v>
      </c>
      <c r="M28" s="239">
        <v>95614</v>
      </c>
      <c r="N28" s="239">
        <v>0</v>
      </c>
      <c r="O28" s="239">
        <v>0</v>
      </c>
      <c r="P28" s="239">
        <v>34210</v>
      </c>
      <c r="Q28" s="239">
        <v>0</v>
      </c>
      <c r="R28" s="239">
        <v>34210</v>
      </c>
      <c r="S28" s="239">
        <v>0</v>
      </c>
      <c r="T28" s="239">
        <v>0</v>
      </c>
      <c r="U28" s="239">
        <v>0</v>
      </c>
      <c r="V28" s="239">
        <v>0</v>
      </c>
      <c r="W28" s="239">
        <v>146038</v>
      </c>
      <c r="X28" s="239">
        <v>116831</v>
      </c>
      <c r="Y28" s="239">
        <v>26287</v>
      </c>
      <c r="Z28" s="239">
        <v>2921</v>
      </c>
      <c r="AA28" s="239">
        <v>292077</v>
      </c>
      <c r="AB28" s="239">
        <v>-407902</v>
      </c>
      <c r="AC28" s="239">
        <v>-326321</v>
      </c>
      <c r="AD28" s="239">
        <v>-73422</v>
      </c>
      <c r="AE28" s="239">
        <v>-8158</v>
      </c>
      <c r="AF28" s="239">
        <v>-815803</v>
      </c>
      <c r="AG28" s="239">
        <v>-166724</v>
      </c>
      <c r="AH28" s="239">
        <v>-133380</v>
      </c>
      <c r="AI28" s="239">
        <v>-30010</v>
      </c>
      <c r="AJ28" s="239">
        <v>-3335</v>
      </c>
      <c r="AK28" s="239">
        <v>-333449</v>
      </c>
      <c r="AL28" s="239">
        <v>0</v>
      </c>
      <c r="AM28" s="239">
        <v>0</v>
      </c>
      <c r="AN28" s="239">
        <v>0</v>
      </c>
      <c r="AO28" s="239">
        <v>0</v>
      </c>
      <c r="AP28" s="239">
        <v>0</v>
      </c>
      <c r="AQ28" s="239">
        <v>84996</v>
      </c>
      <c r="AR28" s="239">
        <v>67996</v>
      </c>
      <c r="AS28" s="239">
        <v>15299</v>
      </c>
      <c r="AT28" s="239">
        <v>1700</v>
      </c>
      <c r="AU28" s="239">
        <v>169991</v>
      </c>
      <c r="AV28" s="239">
        <v>-81728</v>
      </c>
      <c r="AW28" s="239">
        <v>-65384</v>
      </c>
      <c r="AX28" s="239">
        <v>-14711</v>
      </c>
      <c r="AY28" s="239">
        <v>-1635</v>
      </c>
      <c r="AZ28" s="239">
        <v>-163458</v>
      </c>
      <c r="BA28" s="239">
        <v>-1662102</v>
      </c>
      <c r="BB28" s="239">
        <v>-1329680</v>
      </c>
      <c r="BC28" s="239">
        <v>-299177</v>
      </c>
      <c r="BD28" s="239">
        <v>-33242</v>
      </c>
      <c r="BE28" s="239">
        <v>-3324201</v>
      </c>
      <c r="BF28" s="239">
        <v>328414</v>
      </c>
      <c r="BG28" s="239">
        <v>262730</v>
      </c>
      <c r="BH28" s="239">
        <v>59114</v>
      </c>
      <c r="BI28" s="239">
        <v>6568</v>
      </c>
      <c r="BJ28" s="239">
        <v>656826</v>
      </c>
      <c r="BK28" s="239">
        <v>0</v>
      </c>
      <c r="BL28" s="239">
        <v>0</v>
      </c>
      <c r="BM28" s="239">
        <v>0</v>
      </c>
      <c r="BN28" s="239">
        <v>0</v>
      </c>
      <c r="BO28" s="239">
        <v>0</v>
      </c>
      <c r="BP28" s="239">
        <v>-1333688</v>
      </c>
      <c r="BQ28" s="239">
        <v>-1066950</v>
      </c>
      <c r="BR28" s="239">
        <v>-240063</v>
      </c>
      <c r="BS28" s="239">
        <v>-26674</v>
      </c>
      <c r="BT28" s="239">
        <v>-2667375</v>
      </c>
      <c r="BU28" s="239">
        <v>-808997</v>
      </c>
      <c r="BV28" s="239">
        <v>-647198</v>
      </c>
      <c r="BW28" s="239">
        <v>-145620</v>
      </c>
      <c r="BX28" s="239">
        <v>-16180</v>
      </c>
      <c r="BY28" s="239">
        <v>-1617995</v>
      </c>
      <c r="BZ28" s="239">
        <v>-811195</v>
      </c>
      <c r="CA28" s="239">
        <v>-648956</v>
      </c>
      <c r="CB28" s="239">
        <v>-146015</v>
      </c>
      <c r="CC28" s="239">
        <v>-16224</v>
      </c>
      <c r="CD28" s="239">
        <v>-1622390</v>
      </c>
      <c r="CE28" s="239">
        <v>2198</v>
      </c>
      <c r="CF28" s="239">
        <v>1758</v>
      </c>
      <c r="CG28" s="239">
        <v>395</v>
      </c>
      <c r="CH28" s="239">
        <v>44</v>
      </c>
      <c r="CI28" s="239">
        <v>4395</v>
      </c>
      <c r="CJ28" s="239">
        <v>11813264</v>
      </c>
      <c r="CK28" s="239">
        <v>9450612</v>
      </c>
      <c r="CL28" s="239">
        <v>2126388</v>
      </c>
      <c r="CM28" s="239">
        <v>236265</v>
      </c>
      <c r="CN28" s="239">
        <v>23626529</v>
      </c>
      <c r="CO28" s="239">
        <v>13196061</v>
      </c>
      <c r="CP28" s="239">
        <v>10556849</v>
      </c>
      <c r="CQ28" s="239">
        <v>2375291</v>
      </c>
      <c r="CR28" s="239">
        <v>263921</v>
      </c>
      <c r="CS28" s="239">
        <v>26392122</v>
      </c>
      <c r="CT28" s="239">
        <v>1382797</v>
      </c>
      <c r="CU28" s="239">
        <v>1106237</v>
      </c>
      <c r="CV28" s="239">
        <v>248903</v>
      </c>
      <c r="CW28" s="239">
        <v>27656</v>
      </c>
      <c r="CX28" s="239">
        <v>2765593</v>
      </c>
      <c r="CY28" s="239">
        <v>1384995</v>
      </c>
      <c r="CZ28" s="239">
        <v>1107995</v>
      </c>
      <c r="DA28" s="239">
        <v>249298</v>
      </c>
      <c r="DB28" s="239">
        <v>27700</v>
      </c>
      <c r="DC28" s="239">
        <v>2769988</v>
      </c>
      <c r="DD28" s="641">
        <v>0.5</v>
      </c>
      <c r="DE28" s="641">
        <v>0.4</v>
      </c>
      <c r="DF28" s="641">
        <v>0.09</v>
      </c>
      <c r="DG28" s="641">
        <v>0.01</v>
      </c>
      <c r="DH28" s="641">
        <v>1</v>
      </c>
      <c r="DI28" s="214" t="s">
        <v>1190</v>
      </c>
    </row>
    <row r="29" spans="2:113" s="214" customFormat="1" x14ac:dyDescent="0.2">
      <c r="B29" s="609" t="s">
        <v>140</v>
      </c>
      <c r="C29" s="609" t="s">
        <v>139</v>
      </c>
      <c r="D29" s="239">
        <v>43741254</v>
      </c>
      <c r="E29" s="239">
        <v>42866429</v>
      </c>
      <c r="F29" s="239">
        <v>0</v>
      </c>
      <c r="G29" s="239">
        <v>874825</v>
      </c>
      <c r="H29" s="239">
        <v>87482508</v>
      </c>
      <c r="I29" s="239">
        <v>0</v>
      </c>
      <c r="J29" s="239">
        <v>0</v>
      </c>
      <c r="K29" s="239">
        <v>43741254</v>
      </c>
      <c r="L29" s="239">
        <v>400997</v>
      </c>
      <c r="M29" s="239">
        <v>400997</v>
      </c>
      <c r="N29" s="239">
        <v>0</v>
      </c>
      <c r="O29" s="239">
        <v>0</v>
      </c>
      <c r="P29" s="239">
        <v>0</v>
      </c>
      <c r="Q29" s="239">
        <v>0</v>
      </c>
      <c r="R29" s="239">
        <v>0</v>
      </c>
      <c r="S29" s="239">
        <v>0</v>
      </c>
      <c r="T29" s="239">
        <v>0</v>
      </c>
      <c r="U29" s="239">
        <v>0</v>
      </c>
      <c r="V29" s="239">
        <v>0</v>
      </c>
      <c r="W29" s="239">
        <v>3631018</v>
      </c>
      <c r="X29" s="239">
        <v>3558397</v>
      </c>
      <c r="Y29" s="239">
        <v>0</v>
      </c>
      <c r="Z29" s="239">
        <v>72620</v>
      </c>
      <c r="AA29" s="239">
        <v>7262035</v>
      </c>
      <c r="AB29" s="239">
        <v>-911471</v>
      </c>
      <c r="AC29" s="239">
        <v>-893241</v>
      </c>
      <c r="AD29" s="239">
        <v>0</v>
      </c>
      <c r="AE29" s="239">
        <v>-18229</v>
      </c>
      <c r="AF29" s="239">
        <v>-1822941</v>
      </c>
      <c r="AG29" s="239">
        <v>-2155928</v>
      </c>
      <c r="AH29" s="239">
        <v>-2112808</v>
      </c>
      <c r="AI29" s="239">
        <v>0</v>
      </c>
      <c r="AJ29" s="239">
        <v>-43118</v>
      </c>
      <c r="AK29" s="239">
        <v>-4311854</v>
      </c>
      <c r="AL29" s="239">
        <v>1023796</v>
      </c>
      <c r="AM29" s="239">
        <v>1003320</v>
      </c>
      <c r="AN29" s="239">
        <v>0</v>
      </c>
      <c r="AO29" s="239">
        <v>20476</v>
      </c>
      <c r="AP29" s="239">
        <v>2047592</v>
      </c>
      <c r="AQ29" s="239">
        <v>-1035956</v>
      </c>
      <c r="AR29" s="239">
        <v>-1015237</v>
      </c>
      <c r="AS29" s="239">
        <v>0</v>
      </c>
      <c r="AT29" s="239">
        <v>-20719</v>
      </c>
      <c r="AU29" s="239">
        <v>-2071912</v>
      </c>
      <c r="AV29" s="239">
        <v>-2168088</v>
      </c>
      <c r="AW29" s="239">
        <v>-2124725</v>
      </c>
      <c r="AX29" s="239">
        <v>0</v>
      </c>
      <c r="AY29" s="239">
        <v>-43361</v>
      </c>
      <c r="AZ29" s="239">
        <v>-4336174</v>
      </c>
      <c r="BA29" s="239">
        <v>-3924862</v>
      </c>
      <c r="BB29" s="239">
        <v>-3846365</v>
      </c>
      <c r="BC29" s="239">
        <v>0</v>
      </c>
      <c r="BD29" s="239">
        <v>-78498</v>
      </c>
      <c r="BE29" s="239">
        <v>-7849725</v>
      </c>
      <c r="BF29" s="239">
        <v>1574585</v>
      </c>
      <c r="BG29" s="239">
        <v>1543094</v>
      </c>
      <c r="BH29" s="239">
        <v>0</v>
      </c>
      <c r="BI29" s="239">
        <v>31492</v>
      </c>
      <c r="BJ29" s="239">
        <v>3149171</v>
      </c>
      <c r="BK29" s="239">
        <v>-1082391</v>
      </c>
      <c r="BL29" s="239">
        <v>-1060743</v>
      </c>
      <c r="BM29" s="239">
        <v>0</v>
      </c>
      <c r="BN29" s="239">
        <v>-21648</v>
      </c>
      <c r="BO29" s="239">
        <v>-2164782</v>
      </c>
      <c r="BP29" s="239">
        <v>-3432668</v>
      </c>
      <c r="BQ29" s="239">
        <v>-3364014</v>
      </c>
      <c r="BR29" s="239">
        <v>0</v>
      </c>
      <c r="BS29" s="239">
        <v>-68654</v>
      </c>
      <c r="BT29" s="239">
        <v>-6865336</v>
      </c>
      <c r="BU29" s="239">
        <v>-7829236</v>
      </c>
      <c r="BV29" s="239">
        <v>-7672652</v>
      </c>
      <c r="BW29" s="239">
        <v>0</v>
      </c>
      <c r="BX29" s="239">
        <v>-156585</v>
      </c>
      <c r="BY29" s="239">
        <v>-15658473</v>
      </c>
      <c r="BZ29" s="239">
        <v>-5101806</v>
      </c>
      <c r="CA29" s="239">
        <v>-4999770</v>
      </c>
      <c r="CB29" s="239">
        <v>0</v>
      </c>
      <c r="CC29" s="239">
        <v>-102036</v>
      </c>
      <c r="CD29" s="239">
        <v>-10203612</v>
      </c>
      <c r="CE29" s="239">
        <v>-2727430</v>
      </c>
      <c r="CF29" s="239">
        <v>-2672882</v>
      </c>
      <c r="CG29" s="239">
        <v>0</v>
      </c>
      <c r="CH29" s="239">
        <v>-54549</v>
      </c>
      <c r="CI29" s="239">
        <v>-5454861</v>
      </c>
      <c r="CJ29" s="239">
        <v>45955652</v>
      </c>
      <c r="CK29" s="239">
        <v>45036539</v>
      </c>
      <c r="CL29" s="239">
        <v>0</v>
      </c>
      <c r="CM29" s="239">
        <v>919113</v>
      </c>
      <c r="CN29" s="239">
        <v>91911304</v>
      </c>
      <c r="CO29" s="239">
        <v>43741254</v>
      </c>
      <c r="CP29" s="239">
        <v>42866429</v>
      </c>
      <c r="CQ29" s="239">
        <v>0</v>
      </c>
      <c r="CR29" s="239">
        <v>874825</v>
      </c>
      <c r="CS29" s="239">
        <v>87482508</v>
      </c>
      <c r="CT29" s="239">
        <v>-2214398</v>
      </c>
      <c r="CU29" s="239">
        <v>-2170110</v>
      </c>
      <c r="CV29" s="239">
        <v>0</v>
      </c>
      <c r="CW29" s="239">
        <v>-44288</v>
      </c>
      <c r="CX29" s="239">
        <v>-4428796</v>
      </c>
      <c r="CY29" s="239">
        <v>-4941828</v>
      </c>
      <c r="CZ29" s="239">
        <v>-4842992</v>
      </c>
      <c r="DA29" s="239">
        <v>0</v>
      </c>
      <c r="DB29" s="239">
        <v>-98837</v>
      </c>
      <c r="DC29" s="239">
        <v>-9883657</v>
      </c>
      <c r="DD29" s="641">
        <v>0.5</v>
      </c>
      <c r="DE29" s="641">
        <v>0.49</v>
      </c>
      <c r="DF29" s="641">
        <v>0</v>
      </c>
      <c r="DG29" s="641">
        <v>0.01</v>
      </c>
      <c r="DH29" s="641">
        <v>1</v>
      </c>
      <c r="DI29" s="214" t="s">
        <v>1192</v>
      </c>
    </row>
    <row r="30" spans="2:113" s="214" customFormat="1" x14ac:dyDescent="0.2">
      <c r="B30" s="609" t="s">
        <v>142</v>
      </c>
      <c r="C30" s="609" t="s">
        <v>141</v>
      </c>
      <c r="D30" s="239">
        <v>9952924</v>
      </c>
      <c r="E30" s="239">
        <v>7962339</v>
      </c>
      <c r="F30" s="239">
        <v>1990585</v>
      </c>
      <c r="G30" s="239">
        <v>0</v>
      </c>
      <c r="H30" s="239">
        <v>19905848</v>
      </c>
      <c r="I30" s="239">
        <v>0</v>
      </c>
      <c r="J30" s="239">
        <v>0</v>
      </c>
      <c r="K30" s="239">
        <v>9952924</v>
      </c>
      <c r="L30" s="239">
        <v>90714</v>
      </c>
      <c r="M30" s="239">
        <v>90714</v>
      </c>
      <c r="N30" s="239">
        <v>0</v>
      </c>
      <c r="O30" s="239">
        <v>0</v>
      </c>
      <c r="P30" s="239">
        <v>136280</v>
      </c>
      <c r="Q30" s="239">
        <v>0</v>
      </c>
      <c r="R30" s="239">
        <v>136280</v>
      </c>
      <c r="S30" s="239">
        <v>0</v>
      </c>
      <c r="T30" s="239">
        <v>0</v>
      </c>
      <c r="U30" s="239">
        <v>0</v>
      </c>
      <c r="V30" s="239">
        <v>0</v>
      </c>
      <c r="W30" s="239">
        <v>296043</v>
      </c>
      <c r="X30" s="239">
        <v>236835</v>
      </c>
      <c r="Y30" s="239">
        <v>59209</v>
      </c>
      <c r="Z30" s="239">
        <v>0</v>
      </c>
      <c r="AA30" s="239">
        <v>592087</v>
      </c>
      <c r="AB30" s="239">
        <v>-443655</v>
      </c>
      <c r="AC30" s="239">
        <v>-354924</v>
      </c>
      <c r="AD30" s="239">
        <v>-88731</v>
      </c>
      <c r="AE30" s="239">
        <v>0</v>
      </c>
      <c r="AF30" s="239">
        <v>-887310</v>
      </c>
      <c r="AG30" s="239">
        <v>-86305</v>
      </c>
      <c r="AH30" s="239">
        <v>-69043</v>
      </c>
      <c r="AI30" s="239">
        <v>-17261</v>
      </c>
      <c r="AJ30" s="239">
        <v>0</v>
      </c>
      <c r="AK30" s="239">
        <v>-172609</v>
      </c>
      <c r="AL30" s="239">
        <v>86304</v>
      </c>
      <c r="AM30" s="239">
        <v>69044</v>
      </c>
      <c r="AN30" s="239">
        <v>17261</v>
      </c>
      <c r="AO30" s="239">
        <v>0</v>
      </c>
      <c r="AP30" s="239">
        <v>172609</v>
      </c>
      <c r="AQ30" s="239">
        <v>-119108</v>
      </c>
      <c r="AR30" s="239">
        <v>-95287</v>
      </c>
      <c r="AS30" s="239">
        <v>-23822</v>
      </c>
      <c r="AT30" s="239">
        <v>0</v>
      </c>
      <c r="AU30" s="239">
        <v>-238217</v>
      </c>
      <c r="AV30" s="239">
        <v>-119109</v>
      </c>
      <c r="AW30" s="239">
        <v>-95286</v>
      </c>
      <c r="AX30" s="239">
        <v>-23822</v>
      </c>
      <c r="AY30" s="239">
        <v>0</v>
      </c>
      <c r="AZ30" s="239">
        <v>-238217</v>
      </c>
      <c r="BA30" s="239">
        <v>-1103729</v>
      </c>
      <c r="BB30" s="239">
        <v>-882983</v>
      </c>
      <c r="BC30" s="239">
        <v>-220746</v>
      </c>
      <c r="BD30" s="239">
        <v>0</v>
      </c>
      <c r="BE30" s="239">
        <v>-2207458</v>
      </c>
      <c r="BF30" s="239">
        <v>67881</v>
      </c>
      <c r="BG30" s="239">
        <v>54304</v>
      </c>
      <c r="BH30" s="239">
        <v>13576</v>
      </c>
      <c r="BI30" s="239">
        <v>0</v>
      </c>
      <c r="BJ30" s="239">
        <v>135761</v>
      </c>
      <c r="BK30" s="239">
        <v>-67881</v>
      </c>
      <c r="BL30" s="239">
        <v>-54304</v>
      </c>
      <c r="BM30" s="239">
        <v>-13576</v>
      </c>
      <c r="BN30" s="239">
        <v>0</v>
      </c>
      <c r="BO30" s="239">
        <v>-135761</v>
      </c>
      <c r="BP30" s="239">
        <v>-1103729</v>
      </c>
      <c r="BQ30" s="239">
        <v>-882983</v>
      </c>
      <c r="BR30" s="239">
        <v>-220746</v>
      </c>
      <c r="BS30" s="239">
        <v>0</v>
      </c>
      <c r="BT30" s="239">
        <v>-2207458</v>
      </c>
      <c r="BU30" s="239">
        <v>-870583</v>
      </c>
      <c r="BV30" s="239">
        <v>-696467</v>
      </c>
      <c r="BW30" s="239">
        <v>-174117</v>
      </c>
      <c r="BX30" s="239">
        <v>0</v>
      </c>
      <c r="BY30" s="239">
        <v>-1741167</v>
      </c>
      <c r="BZ30" s="239">
        <v>-735778</v>
      </c>
      <c r="CA30" s="239">
        <v>-588622</v>
      </c>
      <c r="CB30" s="239">
        <v>-147156</v>
      </c>
      <c r="CC30" s="239">
        <v>0</v>
      </c>
      <c r="CD30" s="239">
        <v>-1471556</v>
      </c>
      <c r="CE30" s="239">
        <v>-134805</v>
      </c>
      <c r="CF30" s="239">
        <v>-107845</v>
      </c>
      <c r="CG30" s="239">
        <v>-26961</v>
      </c>
      <c r="CH30" s="239">
        <v>0</v>
      </c>
      <c r="CI30" s="239">
        <v>-269611</v>
      </c>
      <c r="CJ30" s="239">
        <v>10005499</v>
      </c>
      <c r="CK30" s="239">
        <v>8004400</v>
      </c>
      <c r="CL30" s="239">
        <v>2001100</v>
      </c>
      <c r="CM30" s="239">
        <v>0</v>
      </c>
      <c r="CN30" s="239">
        <v>20010999</v>
      </c>
      <c r="CO30" s="239">
        <v>9952924</v>
      </c>
      <c r="CP30" s="239">
        <v>7962339</v>
      </c>
      <c r="CQ30" s="239">
        <v>1990585</v>
      </c>
      <c r="CR30" s="239">
        <v>0</v>
      </c>
      <c r="CS30" s="239">
        <v>19905848</v>
      </c>
      <c r="CT30" s="239">
        <v>-52575</v>
      </c>
      <c r="CU30" s="239">
        <v>-42061</v>
      </c>
      <c r="CV30" s="239">
        <v>-10515</v>
      </c>
      <c r="CW30" s="239">
        <v>0</v>
      </c>
      <c r="CX30" s="239">
        <v>-105151</v>
      </c>
      <c r="CY30" s="239">
        <v>-187380</v>
      </c>
      <c r="CZ30" s="239">
        <v>-149906</v>
      </c>
      <c r="DA30" s="239">
        <v>-37476</v>
      </c>
      <c r="DB30" s="239">
        <v>0</v>
      </c>
      <c r="DC30" s="239">
        <v>-374762</v>
      </c>
      <c r="DD30" s="641">
        <v>0.5</v>
      </c>
      <c r="DE30" s="641">
        <v>0.4</v>
      </c>
      <c r="DF30" s="641">
        <v>0.1</v>
      </c>
      <c r="DG30" s="641">
        <v>0</v>
      </c>
      <c r="DH30" s="641">
        <v>1</v>
      </c>
      <c r="DI30" s="214" t="s">
        <v>1190</v>
      </c>
    </row>
    <row r="31" spans="2:113" s="214" customFormat="1" x14ac:dyDescent="0.2">
      <c r="B31" s="609" t="s">
        <v>144</v>
      </c>
      <c r="C31" s="609" t="s">
        <v>143</v>
      </c>
      <c r="D31" s="239">
        <v>33633933.890000001</v>
      </c>
      <c r="E31" s="239">
        <v>32961256</v>
      </c>
      <c r="F31" s="239">
        <v>0</v>
      </c>
      <c r="G31" s="239">
        <v>672679</v>
      </c>
      <c r="H31" s="239">
        <v>67267868.890000001</v>
      </c>
      <c r="I31" s="239">
        <v>0</v>
      </c>
      <c r="J31" s="239">
        <v>0</v>
      </c>
      <c r="K31" s="239">
        <v>33633933.890000001</v>
      </c>
      <c r="L31" s="239">
        <v>299908</v>
      </c>
      <c r="M31" s="239">
        <v>299908</v>
      </c>
      <c r="N31" s="239">
        <v>0</v>
      </c>
      <c r="O31" s="239">
        <v>0</v>
      </c>
      <c r="P31" s="239">
        <v>190</v>
      </c>
      <c r="Q31" s="239">
        <v>0</v>
      </c>
      <c r="R31" s="239">
        <v>190</v>
      </c>
      <c r="S31" s="239">
        <v>0</v>
      </c>
      <c r="T31" s="239">
        <v>0</v>
      </c>
      <c r="U31" s="239">
        <v>0</v>
      </c>
      <c r="V31" s="239">
        <v>0</v>
      </c>
      <c r="W31" s="239">
        <v>1871240</v>
      </c>
      <c r="X31" s="239">
        <v>1833816</v>
      </c>
      <c r="Y31" s="239">
        <v>0</v>
      </c>
      <c r="Z31" s="239">
        <v>37425</v>
      </c>
      <c r="AA31" s="239">
        <v>3742481</v>
      </c>
      <c r="AB31" s="239">
        <v>-260887</v>
      </c>
      <c r="AC31" s="239">
        <v>-255670</v>
      </c>
      <c r="AD31" s="239">
        <v>0</v>
      </c>
      <c r="AE31" s="239">
        <v>-5218</v>
      </c>
      <c r="AF31" s="239">
        <v>-521775</v>
      </c>
      <c r="AG31" s="239">
        <v>-918184</v>
      </c>
      <c r="AH31" s="239">
        <v>-899819</v>
      </c>
      <c r="AI31" s="239">
        <v>0</v>
      </c>
      <c r="AJ31" s="239">
        <v>-18364</v>
      </c>
      <c r="AK31" s="239">
        <v>-1836367</v>
      </c>
      <c r="AL31" s="239">
        <v>55330</v>
      </c>
      <c r="AM31" s="239">
        <v>54223</v>
      </c>
      <c r="AN31" s="239">
        <v>0</v>
      </c>
      <c r="AO31" s="239">
        <v>1107</v>
      </c>
      <c r="AP31" s="239">
        <v>110660</v>
      </c>
      <c r="AQ31" s="239">
        <v>-94176</v>
      </c>
      <c r="AR31" s="239">
        <v>-92292</v>
      </c>
      <c r="AS31" s="239">
        <v>0</v>
      </c>
      <c r="AT31" s="239">
        <v>-1884</v>
      </c>
      <c r="AU31" s="239">
        <v>-188352</v>
      </c>
      <c r="AV31" s="239">
        <v>-957030</v>
      </c>
      <c r="AW31" s="239">
        <v>-937888</v>
      </c>
      <c r="AX31" s="239">
        <v>0</v>
      </c>
      <c r="AY31" s="239">
        <v>-19141</v>
      </c>
      <c r="AZ31" s="239">
        <v>-1914059</v>
      </c>
      <c r="BA31" s="239">
        <v>-401038</v>
      </c>
      <c r="BB31" s="239">
        <v>-393018</v>
      </c>
      <c r="BC31" s="239">
        <v>0</v>
      </c>
      <c r="BD31" s="239">
        <v>-8021</v>
      </c>
      <c r="BE31" s="239">
        <v>-802077</v>
      </c>
      <c r="BF31" s="239">
        <v>913260</v>
      </c>
      <c r="BG31" s="239">
        <v>894995</v>
      </c>
      <c r="BH31" s="239">
        <v>0</v>
      </c>
      <c r="BI31" s="239">
        <v>18265</v>
      </c>
      <c r="BJ31" s="239">
        <v>1826520</v>
      </c>
      <c r="BK31" s="239">
        <v>-917806</v>
      </c>
      <c r="BL31" s="239">
        <v>-899450</v>
      </c>
      <c r="BM31" s="239">
        <v>0</v>
      </c>
      <c r="BN31" s="239">
        <v>-18356</v>
      </c>
      <c r="BO31" s="239">
        <v>-1835612</v>
      </c>
      <c r="BP31" s="239">
        <v>-405584</v>
      </c>
      <c r="BQ31" s="239">
        <v>-397473</v>
      </c>
      <c r="BR31" s="239">
        <v>0</v>
      </c>
      <c r="BS31" s="239">
        <v>-8112</v>
      </c>
      <c r="BT31" s="239">
        <v>-811169</v>
      </c>
      <c r="BU31" s="239">
        <v>322484</v>
      </c>
      <c r="BV31" s="239">
        <v>316034</v>
      </c>
      <c r="BW31" s="239">
        <v>0</v>
      </c>
      <c r="BX31" s="239">
        <v>6450</v>
      </c>
      <c r="BY31" s="239">
        <v>644968</v>
      </c>
      <c r="BZ31" s="239">
        <v>702591</v>
      </c>
      <c r="CA31" s="239">
        <v>688539</v>
      </c>
      <c r="CB31" s="239">
        <v>0</v>
      </c>
      <c r="CC31" s="239">
        <v>14052</v>
      </c>
      <c r="CD31" s="239">
        <v>1405182</v>
      </c>
      <c r="CE31" s="239">
        <v>-380107</v>
      </c>
      <c r="CF31" s="239">
        <v>-372505</v>
      </c>
      <c r="CG31" s="239">
        <v>0</v>
      </c>
      <c r="CH31" s="239">
        <v>-7602</v>
      </c>
      <c r="CI31" s="239">
        <v>-760214</v>
      </c>
      <c r="CJ31" s="239">
        <v>35162086</v>
      </c>
      <c r="CK31" s="239">
        <v>34458844</v>
      </c>
      <c r="CL31" s="239">
        <v>0</v>
      </c>
      <c r="CM31" s="239">
        <v>703242</v>
      </c>
      <c r="CN31" s="239">
        <v>70324172</v>
      </c>
      <c r="CO31" s="239">
        <v>33633933.890000001</v>
      </c>
      <c r="CP31" s="239">
        <v>32961256</v>
      </c>
      <c r="CQ31" s="239">
        <v>0</v>
      </c>
      <c r="CR31" s="239">
        <v>672679</v>
      </c>
      <c r="CS31" s="239">
        <v>67267868.890000001</v>
      </c>
      <c r="CT31" s="239">
        <v>-1528152.1099999994</v>
      </c>
      <c r="CU31" s="239">
        <v>-1497588</v>
      </c>
      <c r="CV31" s="239">
        <v>0</v>
      </c>
      <c r="CW31" s="239">
        <v>-30563</v>
      </c>
      <c r="CX31" s="239">
        <v>-3056303.1099999994</v>
      </c>
      <c r="CY31" s="239">
        <v>-1908259.1099999994</v>
      </c>
      <c r="CZ31" s="239">
        <v>-1870093</v>
      </c>
      <c r="DA31" s="239">
        <v>0</v>
      </c>
      <c r="DB31" s="239">
        <v>-38165</v>
      </c>
      <c r="DC31" s="239">
        <v>-3816517.1099999994</v>
      </c>
      <c r="DD31" s="641">
        <v>0.5</v>
      </c>
      <c r="DE31" s="641">
        <v>0.49</v>
      </c>
      <c r="DF31" s="641">
        <v>0</v>
      </c>
      <c r="DG31" s="641">
        <v>0.01</v>
      </c>
      <c r="DH31" s="641">
        <v>1</v>
      </c>
      <c r="DI31" s="214" t="s">
        <v>747</v>
      </c>
    </row>
    <row r="32" spans="2:113" s="214" customFormat="1" x14ac:dyDescent="0.2">
      <c r="B32" s="609" t="s">
        <v>146</v>
      </c>
      <c r="C32" s="609" t="s">
        <v>145</v>
      </c>
      <c r="D32" s="239">
        <v>30659426</v>
      </c>
      <c r="E32" s="239">
        <v>30046237</v>
      </c>
      <c r="F32" s="239">
        <v>0</v>
      </c>
      <c r="G32" s="239">
        <v>613189</v>
      </c>
      <c r="H32" s="239">
        <v>61318852</v>
      </c>
      <c r="I32" s="239">
        <v>0</v>
      </c>
      <c r="J32" s="239">
        <v>0</v>
      </c>
      <c r="K32" s="239">
        <v>30659426</v>
      </c>
      <c r="L32" s="239">
        <v>149777</v>
      </c>
      <c r="M32" s="239">
        <v>149777</v>
      </c>
      <c r="N32" s="239">
        <v>0</v>
      </c>
      <c r="O32" s="239">
        <v>0</v>
      </c>
      <c r="P32" s="239">
        <v>765</v>
      </c>
      <c r="Q32" s="239">
        <v>0</v>
      </c>
      <c r="R32" s="239">
        <v>765</v>
      </c>
      <c r="S32" s="239">
        <v>0</v>
      </c>
      <c r="T32" s="239">
        <v>0</v>
      </c>
      <c r="U32" s="239">
        <v>0</v>
      </c>
      <c r="V32" s="239">
        <v>0</v>
      </c>
      <c r="W32" s="239">
        <v>1172055</v>
      </c>
      <c r="X32" s="239">
        <v>1148614</v>
      </c>
      <c r="Y32" s="239">
        <v>0</v>
      </c>
      <c r="Z32" s="239">
        <v>23441</v>
      </c>
      <c r="AA32" s="239">
        <v>2344110</v>
      </c>
      <c r="AB32" s="239">
        <v>-1873009</v>
      </c>
      <c r="AC32" s="239">
        <v>-1835548</v>
      </c>
      <c r="AD32" s="239">
        <v>0</v>
      </c>
      <c r="AE32" s="239">
        <v>-37460</v>
      </c>
      <c r="AF32" s="239">
        <v>-3746017</v>
      </c>
      <c r="AG32" s="239">
        <v>-322900</v>
      </c>
      <c r="AH32" s="239">
        <v>-316442</v>
      </c>
      <c r="AI32" s="239">
        <v>0</v>
      </c>
      <c r="AJ32" s="239">
        <v>-6458</v>
      </c>
      <c r="AK32" s="239">
        <v>-645800</v>
      </c>
      <c r="AL32" s="239">
        <v>0</v>
      </c>
      <c r="AM32" s="239">
        <v>0</v>
      </c>
      <c r="AN32" s="239">
        <v>0</v>
      </c>
      <c r="AO32" s="239">
        <v>0</v>
      </c>
      <c r="AP32" s="239">
        <v>0</v>
      </c>
      <c r="AQ32" s="239">
        <v>-128800</v>
      </c>
      <c r="AR32" s="239">
        <v>-126224</v>
      </c>
      <c r="AS32" s="239">
        <v>0</v>
      </c>
      <c r="AT32" s="239">
        <v>-2576</v>
      </c>
      <c r="AU32" s="239">
        <v>-257600</v>
      </c>
      <c r="AV32" s="239">
        <v>-451700</v>
      </c>
      <c r="AW32" s="239">
        <v>-442666</v>
      </c>
      <c r="AX32" s="239">
        <v>0</v>
      </c>
      <c r="AY32" s="239">
        <v>-9034</v>
      </c>
      <c r="AZ32" s="239">
        <v>-903400</v>
      </c>
      <c r="BA32" s="239">
        <v>-1809935</v>
      </c>
      <c r="BB32" s="239">
        <v>-1773737</v>
      </c>
      <c r="BC32" s="239">
        <v>0</v>
      </c>
      <c r="BD32" s="239">
        <v>-36200</v>
      </c>
      <c r="BE32" s="239">
        <v>-3619872</v>
      </c>
      <c r="BF32" s="239">
        <v>177245</v>
      </c>
      <c r="BG32" s="239">
        <v>173701</v>
      </c>
      <c r="BH32" s="239">
        <v>0</v>
      </c>
      <c r="BI32" s="239">
        <v>3545</v>
      </c>
      <c r="BJ32" s="239">
        <v>354491</v>
      </c>
      <c r="BK32" s="239">
        <v>-4453205</v>
      </c>
      <c r="BL32" s="239">
        <v>-4364141</v>
      </c>
      <c r="BM32" s="239">
        <v>0</v>
      </c>
      <c r="BN32" s="239">
        <v>-89064</v>
      </c>
      <c r="BO32" s="239">
        <v>-8906410</v>
      </c>
      <c r="BP32" s="239">
        <v>-6085895</v>
      </c>
      <c r="BQ32" s="239">
        <v>-5964177</v>
      </c>
      <c r="BR32" s="239">
        <v>0</v>
      </c>
      <c r="BS32" s="239">
        <v>-121719</v>
      </c>
      <c r="BT32" s="239">
        <v>-12171791</v>
      </c>
      <c r="BU32" s="239">
        <v>-6207537</v>
      </c>
      <c r="BV32" s="239">
        <v>-6083386</v>
      </c>
      <c r="BW32" s="239">
        <v>0</v>
      </c>
      <c r="BX32" s="239">
        <v>-124151</v>
      </c>
      <c r="BY32" s="239">
        <v>-12415074</v>
      </c>
      <c r="BZ32" s="239">
        <v>-12043921</v>
      </c>
      <c r="CA32" s="239">
        <v>-11803043</v>
      </c>
      <c r="CB32" s="239">
        <v>0</v>
      </c>
      <c r="CC32" s="239">
        <v>-240878</v>
      </c>
      <c r="CD32" s="239">
        <v>-24087842</v>
      </c>
      <c r="CE32" s="239">
        <v>5836384</v>
      </c>
      <c r="CF32" s="239">
        <v>5719657</v>
      </c>
      <c r="CG32" s="239">
        <v>0</v>
      </c>
      <c r="CH32" s="239">
        <v>116727</v>
      </c>
      <c r="CI32" s="239">
        <v>11672768</v>
      </c>
      <c r="CJ32" s="239">
        <v>31211228</v>
      </c>
      <c r="CK32" s="239">
        <v>30587004</v>
      </c>
      <c r="CL32" s="239">
        <v>0</v>
      </c>
      <c r="CM32" s="239">
        <v>624225</v>
      </c>
      <c r="CN32" s="239">
        <v>62422457</v>
      </c>
      <c r="CO32" s="239">
        <v>30659426</v>
      </c>
      <c r="CP32" s="239">
        <v>30046237</v>
      </c>
      <c r="CQ32" s="239">
        <v>0</v>
      </c>
      <c r="CR32" s="239">
        <v>613189</v>
      </c>
      <c r="CS32" s="239">
        <v>61318852</v>
      </c>
      <c r="CT32" s="239">
        <v>-551802</v>
      </c>
      <c r="CU32" s="239">
        <v>-540767</v>
      </c>
      <c r="CV32" s="239">
        <v>0</v>
      </c>
      <c r="CW32" s="239">
        <v>-11036</v>
      </c>
      <c r="CX32" s="239">
        <v>-1103605</v>
      </c>
      <c r="CY32" s="239">
        <v>5284582</v>
      </c>
      <c r="CZ32" s="239">
        <v>5178890</v>
      </c>
      <c r="DA32" s="239">
        <v>0</v>
      </c>
      <c r="DB32" s="239">
        <v>105691</v>
      </c>
      <c r="DC32" s="239">
        <v>10569163</v>
      </c>
      <c r="DD32" s="641">
        <v>0.5</v>
      </c>
      <c r="DE32" s="641">
        <v>0.49</v>
      </c>
      <c r="DF32" s="641">
        <v>0</v>
      </c>
      <c r="DG32" s="641">
        <v>0.01</v>
      </c>
      <c r="DH32" s="641">
        <v>1</v>
      </c>
      <c r="DI32" s="214" t="s">
        <v>747</v>
      </c>
    </row>
    <row r="33" spans="1:113" s="214" customFormat="1" x14ac:dyDescent="0.2">
      <c r="B33" s="609" t="s">
        <v>148</v>
      </c>
      <c r="C33" s="609" t="s">
        <v>147</v>
      </c>
      <c r="D33" s="239">
        <v>70201199</v>
      </c>
      <c r="E33" s="239">
        <v>68797176</v>
      </c>
      <c r="F33" s="239">
        <v>0</v>
      </c>
      <c r="G33" s="239">
        <v>1404024</v>
      </c>
      <c r="H33" s="239">
        <v>140402399</v>
      </c>
      <c r="I33" s="239">
        <v>0</v>
      </c>
      <c r="J33" s="239">
        <v>0</v>
      </c>
      <c r="K33" s="239">
        <v>70201199</v>
      </c>
      <c r="L33" s="239">
        <v>741111</v>
      </c>
      <c r="M33" s="239">
        <v>741111</v>
      </c>
      <c r="N33" s="239">
        <v>0</v>
      </c>
      <c r="O33" s="239">
        <v>0</v>
      </c>
      <c r="P33" s="239">
        <v>0</v>
      </c>
      <c r="Q33" s="239">
        <v>0</v>
      </c>
      <c r="R33" s="239">
        <v>0</v>
      </c>
      <c r="S33" s="239">
        <v>0</v>
      </c>
      <c r="T33" s="239">
        <v>0</v>
      </c>
      <c r="U33" s="239">
        <v>0</v>
      </c>
      <c r="V33" s="239">
        <v>0</v>
      </c>
      <c r="W33" s="239">
        <v>4819052</v>
      </c>
      <c r="X33" s="239">
        <v>4722670</v>
      </c>
      <c r="Y33" s="239">
        <v>0</v>
      </c>
      <c r="Z33" s="239">
        <v>96381</v>
      </c>
      <c r="AA33" s="239">
        <v>9638103</v>
      </c>
      <c r="AB33" s="239">
        <v>-631302</v>
      </c>
      <c r="AC33" s="239">
        <v>-618675</v>
      </c>
      <c r="AD33" s="239">
        <v>0</v>
      </c>
      <c r="AE33" s="239">
        <v>-12626</v>
      </c>
      <c r="AF33" s="239">
        <v>-1262603</v>
      </c>
      <c r="AG33" s="239">
        <v>-3063848</v>
      </c>
      <c r="AH33" s="239">
        <v>-3002570</v>
      </c>
      <c r="AI33" s="239">
        <v>0</v>
      </c>
      <c r="AJ33" s="239">
        <v>-61277</v>
      </c>
      <c r="AK33" s="239">
        <v>-6127695</v>
      </c>
      <c r="AL33" s="239">
        <v>1988344</v>
      </c>
      <c r="AM33" s="239">
        <v>1948577</v>
      </c>
      <c r="AN33" s="239">
        <v>0</v>
      </c>
      <c r="AO33" s="239">
        <v>39767</v>
      </c>
      <c r="AP33" s="239">
        <v>3976688</v>
      </c>
      <c r="AQ33" s="239">
        <v>-1399130</v>
      </c>
      <c r="AR33" s="239">
        <v>-1371147</v>
      </c>
      <c r="AS33" s="239">
        <v>0</v>
      </c>
      <c r="AT33" s="239">
        <v>-27983</v>
      </c>
      <c r="AU33" s="239">
        <v>-2798260</v>
      </c>
      <c r="AV33" s="239">
        <v>-2474634</v>
      </c>
      <c r="AW33" s="239">
        <v>-2425140</v>
      </c>
      <c r="AX33" s="239">
        <v>0</v>
      </c>
      <c r="AY33" s="239">
        <v>-49493</v>
      </c>
      <c r="AZ33" s="239">
        <v>-4949267</v>
      </c>
      <c r="BA33" s="239">
        <v>-6119723</v>
      </c>
      <c r="BB33" s="239">
        <v>-5997328</v>
      </c>
      <c r="BC33" s="239">
        <v>0</v>
      </c>
      <c r="BD33" s="239">
        <v>-122394</v>
      </c>
      <c r="BE33" s="239">
        <v>-12239445</v>
      </c>
      <c r="BF33" s="239">
        <v>2364919</v>
      </c>
      <c r="BG33" s="239">
        <v>2317621</v>
      </c>
      <c r="BH33" s="239">
        <v>0</v>
      </c>
      <c r="BI33" s="239">
        <v>47298</v>
      </c>
      <c r="BJ33" s="239">
        <v>4729838</v>
      </c>
      <c r="BK33" s="239">
        <v>-2145196</v>
      </c>
      <c r="BL33" s="239">
        <v>-2102293</v>
      </c>
      <c r="BM33" s="239">
        <v>0</v>
      </c>
      <c r="BN33" s="239">
        <v>-42904</v>
      </c>
      <c r="BO33" s="239">
        <v>-4290393</v>
      </c>
      <c r="BP33" s="239">
        <v>-5900000</v>
      </c>
      <c r="BQ33" s="239">
        <v>-5782000</v>
      </c>
      <c r="BR33" s="239">
        <v>0</v>
      </c>
      <c r="BS33" s="239">
        <v>-118000</v>
      </c>
      <c r="BT33" s="239">
        <v>-11800000</v>
      </c>
      <c r="BU33" s="239">
        <v>-11940690</v>
      </c>
      <c r="BV33" s="239">
        <v>-11701877</v>
      </c>
      <c r="BW33" s="239">
        <v>0</v>
      </c>
      <c r="BX33" s="239">
        <v>-238814</v>
      </c>
      <c r="BY33" s="239">
        <v>-23881381</v>
      </c>
      <c r="BZ33" s="239">
        <v>-10595685</v>
      </c>
      <c r="CA33" s="239">
        <v>-10383772</v>
      </c>
      <c r="CB33" s="239">
        <v>0</v>
      </c>
      <c r="CC33" s="239">
        <v>-211914</v>
      </c>
      <c r="CD33" s="239">
        <v>-21191371</v>
      </c>
      <c r="CE33" s="239">
        <v>-1345005</v>
      </c>
      <c r="CF33" s="239">
        <v>-1318105</v>
      </c>
      <c r="CG33" s="239">
        <v>0</v>
      </c>
      <c r="CH33" s="239">
        <v>-26900</v>
      </c>
      <c r="CI33" s="239">
        <v>-2690010</v>
      </c>
      <c r="CJ33" s="239">
        <v>74821893</v>
      </c>
      <c r="CK33" s="239">
        <v>73325455</v>
      </c>
      <c r="CL33" s="239">
        <v>0</v>
      </c>
      <c r="CM33" s="239">
        <v>1496438</v>
      </c>
      <c r="CN33" s="239">
        <v>149643786</v>
      </c>
      <c r="CO33" s="239">
        <v>70201199</v>
      </c>
      <c r="CP33" s="239">
        <v>68797176</v>
      </c>
      <c r="CQ33" s="239">
        <v>0</v>
      </c>
      <c r="CR33" s="239">
        <v>1404024</v>
      </c>
      <c r="CS33" s="239">
        <v>140402399</v>
      </c>
      <c r="CT33" s="239">
        <v>-4620694</v>
      </c>
      <c r="CU33" s="239">
        <v>-4528279</v>
      </c>
      <c r="CV33" s="239">
        <v>0</v>
      </c>
      <c r="CW33" s="239">
        <v>-92414</v>
      </c>
      <c r="CX33" s="239">
        <v>-9241387</v>
      </c>
      <c r="CY33" s="239">
        <v>-5965699</v>
      </c>
      <c r="CZ33" s="239">
        <v>-5846384</v>
      </c>
      <c r="DA33" s="239">
        <v>0</v>
      </c>
      <c r="DB33" s="239">
        <v>-119314</v>
      </c>
      <c r="DC33" s="239">
        <v>-11931397</v>
      </c>
      <c r="DD33" s="641">
        <v>0.5</v>
      </c>
      <c r="DE33" s="641">
        <v>0.49</v>
      </c>
      <c r="DF33" s="641">
        <v>0</v>
      </c>
      <c r="DG33" s="641">
        <v>0.01</v>
      </c>
      <c r="DH33" s="641">
        <v>1</v>
      </c>
      <c r="DI33" s="214" t="s">
        <v>1192</v>
      </c>
    </row>
    <row r="34" spans="1:113" s="214" customFormat="1" x14ac:dyDescent="0.2">
      <c r="B34" s="609" t="s">
        <v>150</v>
      </c>
      <c r="C34" s="609" t="s">
        <v>149</v>
      </c>
      <c r="D34" s="239">
        <v>22147564</v>
      </c>
      <c r="E34" s="239">
        <v>17718051</v>
      </c>
      <c r="F34" s="239">
        <v>3986562</v>
      </c>
      <c r="G34" s="239">
        <v>442951</v>
      </c>
      <c r="H34" s="239">
        <v>44295128</v>
      </c>
      <c r="I34" s="239">
        <v>0</v>
      </c>
      <c r="J34" s="239">
        <v>0</v>
      </c>
      <c r="K34" s="239">
        <v>22147564</v>
      </c>
      <c r="L34" s="239">
        <v>194671</v>
      </c>
      <c r="M34" s="239">
        <v>194671</v>
      </c>
      <c r="N34" s="239">
        <v>0</v>
      </c>
      <c r="O34" s="239">
        <v>0</v>
      </c>
      <c r="P34" s="239">
        <v>93933</v>
      </c>
      <c r="Q34" s="239">
        <v>89957</v>
      </c>
      <c r="R34" s="239">
        <v>183890</v>
      </c>
      <c r="S34" s="239">
        <v>0</v>
      </c>
      <c r="T34" s="239">
        <v>0</v>
      </c>
      <c r="U34" s="239">
        <v>0</v>
      </c>
      <c r="V34" s="239">
        <v>0</v>
      </c>
      <c r="W34" s="239">
        <v>307186</v>
      </c>
      <c r="X34" s="239">
        <v>245749</v>
      </c>
      <c r="Y34" s="239">
        <v>55294</v>
      </c>
      <c r="Z34" s="239">
        <v>6144</v>
      </c>
      <c r="AA34" s="239">
        <v>614373</v>
      </c>
      <c r="AB34" s="239">
        <v>-238043</v>
      </c>
      <c r="AC34" s="239">
        <v>-190435</v>
      </c>
      <c r="AD34" s="239">
        <v>-42848</v>
      </c>
      <c r="AE34" s="239">
        <v>-4761</v>
      </c>
      <c r="AF34" s="239">
        <v>-476087</v>
      </c>
      <c r="AG34" s="239">
        <v>-109972</v>
      </c>
      <c r="AH34" s="239">
        <v>-87978</v>
      </c>
      <c r="AI34" s="239">
        <v>-19796</v>
      </c>
      <c r="AJ34" s="239">
        <v>-2199</v>
      </c>
      <c r="AK34" s="239">
        <v>-219945</v>
      </c>
      <c r="AL34" s="239">
        <v>116194</v>
      </c>
      <c r="AM34" s="239">
        <v>92955</v>
      </c>
      <c r="AN34" s="239">
        <v>20915</v>
      </c>
      <c r="AO34" s="239">
        <v>2324</v>
      </c>
      <c r="AP34" s="239">
        <v>232388</v>
      </c>
      <c r="AQ34" s="239">
        <v>-75392</v>
      </c>
      <c r="AR34" s="239">
        <v>-60314</v>
      </c>
      <c r="AS34" s="239">
        <v>-13571</v>
      </c>
      <c r="AT34" s="239">
        <v>-1508</v>
      </c>
      <c r="AU34" s="239">
        <v>-150785</v>
      </c>
      <c r="AV34" s="239">
        <v>-69170</v>
      </c>
      <c r="AW34" s="239">
        <v>-55337</v>
      </c>
      <c r="AX34" s="239">
        <v>-12452</v>
      </c>
      <c r="AY34" s="239">
        <v>-1383</v>
      </c>
      <c r="AZ34" s="239">
        <v>-138342</v>
      </c>
      <c r="BA34" s="239">
        <v>-2370500</v>
      </c>
      <c r="BB34" s="239">
        <v>-1896400</v>
      </c>
      <c r="BC34" s="239">
        <v>-426690</v>
      </c>
      <c r="BD34" s="239">
        <v>-47410</v>
      </c>
      <c r="BE34" s="239">
        <v>-4741000</v>
      </c>
      <c r="BF34" s="239">
        <v>750296</v>
      </c>
      <c r="BG34" s="239">
        <v>600237</v>
      </c>
      <c r="BH34" s="239">
        <v>135053</v>
      </c>
      <c r="BI34" s="239">
        <v>15006</v>
      </c>
      <c r="BJ34" s="239">
        <v>1500592</v>
      </c>
      <c r="BK34" s="239">
        <v>444704</v>
      </c>
      <c r="BL34" s="239">
        <v>355763</v>
      </c>
      <c r="BM34" s="239">
        <v>80047</v>
      </c>
      <c r="BN34" s="239">
        <v>8894</v>
      </c>
      <c r="BO34" s="239">
        <v>889408</v>
      </c>
      <c r="BP34" s="239">
        <v>-1175500</v>
      </c>
      <c r="BQ34" s="239">
        <v>-940400</v>
      </c>
      <c r="BR34" s="239">
        <v>-211590</v>
      </c>
      <c r="BS34" s="239">
        <v>-23510</v>
      </c>
      <c r="BT34" s="239">
        <v>-2351000</v>
      </c>
      <c r="BU34" s="239">
        <v>26259</v>
      </c>
      <c r="BV34" s="239">
        <v>21007</v>
      </c>
      <c r="BW34" s="239">
        <v>4727</v>
      </c>
      <c r="BX34" s="239">
        <v>525</v>
      </c>
      <c r="BY34" s="239">
        <v>52518</v>
      </c>
      <c r="BZ34" s="239">
        <v>-513920</v>
      </c>
      <c r="CA34" s="239">
        <v>-411135</v>
      </c>
      <c r="CB34" s="239">
        <v>-92505</v>
      </c>
      <c r="CC34" s="239">
        <v>-10278</v>
      </c>
      <c r="CD34" s="239">
        <v>-1027838</v>
      </c>
      <c r="CE34" s="239">
        <v>540179</v>
      </c>
      <c r="CF34" s="239">
        <v>432142</v>
      </c>
      <c r="CG34" s="239">
        <v>97232</v>
      </c>
      <c r="CH34" s="239">
        <v>10803</v>
      </c>
      <c r="CI34" s="239">
        <v>1080356</v>
      </c>
      <c r="CJ34" s="239">
        <v>21240475</v>
      </c>
      <c r="CK34" s="239">
        <v>16992381</v>
      </c>
      <c r="CL34" s="239">
        <v>3823286</v>
      </c>
      <c r="CM34" s="239">
        <v>424810</v>
      </c>
      <c r="CN34" s="239">
        <v>42480952</v>
      </c>
      <c r="CO34" s="239">
        <v>22147564</v>
      </c>
      <c r="CP34" s="239">
        <v>17718051</v>
      </c>
      <c r="CQ34" s="239">
        <v>3986562</v>
      </c>
      <c r="CR34" s="239">
        <v>442951</v>
      </c>
      <c r="CS34" s="239">
        <v>44295128</v>
      </c>
      <c r="CT34" s="239">
        <v>907089</v>
      </c>
      <c r="CU34" s="239">
        <v>725670</v>
      </c>
      <c r="CV34" s="239">
        <v>163276</v>
      </c>
      <c r="CW34" s="239">
        <v>18141</v>
      </c>
      <c r="CX34" s="239">
        <v>1814176</v>
      </c>
      <c r="CY34" s="239">
        <v>1447268</v>
      </c>
      <c r="CZ34" s="239">
        <v>1157812</v>
      </c>
      <c r="DA34" s="239">
        <v>260508</v>
      </c>
      <c r="DB34" s="239">
        <v>28944</v>
      </c>
      <c r="DC34" s="239">
        <v>2894532</v>
      </c>
      <c r="DD34" s="641">
        <v>0.5</v>
      </c>
      <c r="DE34" s="641">
        <v>0.4</v>
      </c>
      <c r="DF34" s="641">
        <v>0.09</v>
      </c>
      <c r="DG34" s="641">
        <v>0.01</v>
      </c>
      <c r="DH34" s="641">
        <v>1</v>
      </c>
      <c r="DI34" s="214" t="s">
        <v>1190</v>
      </c>
    </row>
    <row r="35" spans="1:113" s="214" customFormat="1" x14ac:dyDescent="0.2">
      <c r="B35" s="609" t="s">
        <v>152</v>
      </c>
      <c r="C35" s="609" t="s">
        <v>151</v>
      </c>
      <c r="D35" s="239">
        <v>15250186</v>
      </c>
      <c r="E35" s="239">
        <v>12200148</v>
      </c>
      <c r="F35" s="239">
        <v>3050037</v>
      </c>
      <c r="G35" s="239">
        <v>0</v>
      </c>
      <c r="H35" s="239">
        <v>30500371</v>
      </c>
      <c r="I35" s="239">
        <v>0</v>
      </c>
      <c r="J35" s="239">
        <v>0</v>
      </c>
      <c r="K35" s="239">
        <v>15250186</v>
      </c>
      <c r="L35" s="239">
        <v>165631</v>
      </c>
      <c r="M35" s="239">
        <v>165631</v>
      </c>
      <c r="N35" s="239">
        <v>0</v>
      </c>
      <c r="O35" s="239">
        <v>0</v>
      </c>
      <c r="P35" s="239">
        <v>195073</v>
      </c>
      <c r="Q35" s="239">
        <v>0</v>
      </c>
      <c r="R35" s="239">
        <v>195073</v>
      </c>
      <c r="S35" s="239">
        <v>0</v>
      </c>
      <c r="T35" s="239">
        <v>0</v>
      </c>
      <c r="U35" s="239">
        <v>0</v>
      </c>
      <c r="V35" s="239">
        <v>0</v>
      </c>
      <c r="W35" s="239">
        <v>706320</v>
      </c>
      <c r="X35" s="239">
        <v>565056</v>
      </c>
      <c r="Y35" s="239">
        <v>141264</v>
      </c>
      <c r="Z35" s="239">
        <v>0</v>
      </c>
      <c r="AA35" s="239">
        <v>1412640</v>
      </c>
      <c r="AB35" s="239">
        <v>-175456</v>
      </c>
      <c r="AC35" s="239">
        <v>-140364</v>
      </c>
      <c r="AD35" s="239">
        <v>-35091</v>
      </c>
      <c r="AE35" s="239">
        <v>0</v>
      </c>
      <c r="AF35" s="239">
        <v>-350911</v>
      </c>
      <c r="AG35" s="239">
        <v>-214971.54</v>
      </c>
      <c r="AH35" s="239">
        <v>-171977</v>
      </c>
      <c r="AI35" s="239">
        <v>-42994</v>
      </c>
      <c r="AJ35" s="239">
        <v>0</v>
      </c>
      <c r="AK35" s="239">
        <v>-429942.54</v>
      </c>
      <c r="AL35" s="239">
        <v>108925</v>
      </c>
      <c r="AM35" s="239">
        <v>87140</v>
      </c>
      <c r="AN35" s="239">
        <v>21785</v>
      </c>
      <c r="AO35" s="239">
        <v>0</v>
      </c>
      <c r="AP35" s="239">
        <v>217850</v>
      </c>
      <c r="AQ35" s="239">
        <v>-116239</v>
      </c>
      <c r="AR35" s="239">
        <v>-92991</v>
      </c>
      <c r="AS35" s="239">
        <v>-23248</v>
      </c>
      <c r="AT35" s="239">
        <v>0</v>
      </c>
      <c r="AU35" s="239">
        <v>-232478</v>
      </c>
      <c r="AV35" s="239">
        <v>-222285.54</v>
      </c>
      <c r="AW35" s="239">
        <v>-177828</v>
      </c>
      <c r="AX35" s="239">
        <v>-44457</v>
      </c>
      <c r="AY35" s="239">
        <v>0</v>
      </c>
      <c r="AZ35" s="239">
        <v>-444570.54</v>
      </c>
      <c r="BA35" s="239">
        <v>-1734387</v>
      </c>
      <c r="BB35" s="239">
        <v>-1387512</v>
      </c>
      <c r="BC35" s="239">
        <v>-346878</v>
      </c>
      <c r="BD35" s="239">
        <v>0</v>
      </c>
      <c r="BE35" s="239">
        <v>-3468777</v>
      </c>
      <c r="BF35" s="239">
        <v>902681</v>
      </c>
      <c r="BG35" s="239">
        <v>722145</v>
      </c>
      <c r="BH35" s="239">
        <v>180536</v>
      </c>
      <c r="BI35" s="239">
        <v>0</v>
      </c>
      <c r="BJ35" s="239">
        <v>1805362</v>
      </c>
      <c r="BK35" s="239">
        <v>-380776</v>
      </c>
      <c r="BL35" s="239">
        <v>-304620</v>
      </c>
      <c r="BM35" s="239">
        <v>-76155</v>
      </c>
      <c r="BN35" s="239">
        <v>0</v>
      </c>
      <c r="BO35" s="239">
        <v>-761551</v>
      </c>
      <c r="BP35" s="239">
        <v>-1212482</v>
      </c>
      <c r="BQ35" s="239">
        <v>-969987</v>
      </c>
      <c r="BR35" s="239">
        <v>-242497</v>
      </c>
      <c r="BS35" s="239">
        <v>0</v>
      </c>
      <c r="BT35" s="239">
        <v>-2424966</v>
      </c>
      <c r="BU35" s="239">
        <v>-1682809</v>
      </c>
      <c r="BV35" s="239">
        <v>-1346248</v>
      </c>
      <c r="BW35" s="239">
        <v>-336562</v>
      </c>
      <c r="BX35" s="239">
        <v>0</v>
      </c>
      <c r="BY35" s="239">
        <v>-3365619</v>
      </c>
      <c r="BZ35" s="239">
        <v>-1818341</v>
      </c>
      <c r="CA35" s="239">
        <v>-1454673</v>
      </c>
      <c r="CB35" s="239">
        <v>-363668</v>
      </c>
      <c r="CC35" s="239">
        <v>0</v>
      </c>
      <c r="CD35" s="239">
        <v>-3636682</v>
      </c>
      <c r="CE35" s="239">
        <v>135532</v>
      </c>
      <c r="CF35" s="239">
        <v>108425</v>
      </c>
      <c r="CG35" s="239">
        <v>27106</v>
      </c>
      <c r="CH35" s="239">
        <v>0</v>
      </c>
      <c r="CI35" s="239">
        <v>271063</v>
      </c>
      <c r="CJ35" s="239">
        <v>15448725</v>
      </c>
      <c r="CK35" s="239">
        <v>12358980</v>
      </c>
      <c r="CL35" s="239">
        <v>3089745</v>
      </c>
      <c r="CM35" s="239">
        <v>0</v>
      </c>
      <c r="CN35" s="239">
        <v>30897450</v>
      </c>
      <c r="CO35" s="239">
        <v>15250186</v>
      </c>
      <c r="CP35" s="239">
        <v>12200148</v>
      </c>
      <c r="CQ35" s="239">
        <v>3050037</v>
      </c>
      <c r="CR35" s="239">
        <v>0</v>
      </c>
      <c r="CS35" s="239">
        <v>30500371</v>
      </c>
      <c r="CT35" s="239">
        <v>-198539</v>
      </c>
      <c r="CU35" s="239">
        <v>-158832</v>
      </c>
      <c r="CV35" s="239">
        <v>-39708</v>
      </c>
      <c r="CW35" s="239">
        <v>0</v>
      </c>
      <c r="CX35" s="239">
        <v>-397079</v>
      </c>
      <c r="CY35" s="239">
        <v>-63007</v>
      </c>
      <c r="CZ35" s="239">
        <v>-50407</v>
      </c>
      <c r="DA35" s="239">
        <v>-12602</v>
      </c>
      <c r="DB35" s="239">
        <v>0</v>
      </c>
      <c r="DC35" s="239">
        <v>-126016</v>
      </c>
      <c r="DD35" s="641">
        <v>0.5</v>
      </c>
      <c r="DE35" s="641">
        <v>0.4</v>
      </c>
      <c r="DF35" s="641">
        <v>0.1</v>
      </c>
      <c r="DG35" s="641">
        <v>0</v>
      </c>
      <c r="DH35" s="641">
        <v>1</v>
      </c>
      <c r="DI35" s="214" t="s">
        <v>1190</v>
      </c>
    </row>
    <row r="36" spans="1:113" s="214" customFormat="1" x14ac:dyDescent="0.2">
      <c r="B36" s="609" t="s">
        <v>154</v>
      </c>
      <c r="C36" s="609" t="s">
        <v>153</v>
      </c>
      <c r="D36" s="239">
        <v>59609756</v>
      </c>
      <c r="E36" s="239">
        <v>35765854</v>
      </c>
      <c r="F36" s="239">
        <v>23843902</v>
      </c>
      <c r="G36" s="239">
        <v>0</v>
      </c>
      <c r="H36" s="239">
        <v>119219512</v>
      </c>
      <c r="I36" s="239">
        <v>0</v>
      </c>
      <c r="J36" s="239">
        <v>0</v>
      </c>
      <c r="K36" s="239">
        <v>59609756</v>
      </c>
      <c r="L36" s="239">
        <v>416161</v>
      </c>
      <c r="M36" s="239">
        <v>416161</v>
      </c>
      <c r="N36" s="239">
        <v>0</v>
      </c>
      <c r="O36" s="239">
        <v>0</v>
      </c>
      <c r="P36" s="239">
        <v>0</v>
      </c>
      <c r="Q36" s="239">
        <v>0</v>
      </c>
      <c r="R36" s="239">
        <v>0</v>
      </c>
      <c r="S36" s="239">
        <v>0</v>
      </c>
      <c r="T36" s="239">
        <v>0</v>
      </c>
      <c r="U36" s="239">
        <v>0</v>
      </c>
      <c r="V36" s="239">
        <v>0</v>
      </c>
      <c r="W36" s="239">
        <v>4199252</v>
      </c>
      <c r="X36" s="239">
        <v>2519552</v>
      </c>
      <c r="Y36" s="239">
        <v>1679701</v>
      </c>
      <c r="Z36" s="239">
        <v>0</v>
      </c>
      <c r="AA36" s="239">
        <v>8398505</v>
      </c>
      <c r="AB36" s="239">
        <v>-3054376</v>
      </c>
      <c r="AC36" s="239">
        <v>-1832625</v>
      </c>
      <c r="AD36" s="239">
        <v>-1221750</v>
      </c>
      <c r="AE36" s="239">
        <v>0</v>
      </c>
      <c r="AF36" s="239">
        <v>-6108751</v>
      </c>
      <c r="AG36" s="239">
        <v>-968386</v>
      </c>
      <c r="AH36" s="239">
        <v>-581033</v>
      </c>
      <c r="AI36" s="239">
        <v>-387355</v>
      </c>
      <c r="AJ36" s="239">
        <v>0</v>
      </c>
      <c r="AK36" s="239">
        <v>-1936774</v>
      </c>
      <c r="AL36" s="239">
        <v>903532</v>
      </c>
      <c r="AM36" s="239">
        <v>542119</v>
      </c>
      <c r="AN36" s="239">
        <v>361413</v>
      </c>
      <c r="AO36" s="239">
        <v>0</v>
      </c>
      <c r="AP36" s="239">
        <v>1807064</v>
      </c>
      <c r="AQ36" s="239">
        <v>-484429</v>
      </c>
      <c r="AR36" s="239">
        <v>-290657</v>
      </c>
      <c r="AS36" s="239">
        <v>-193771</v>
      </c>
      <c r="AT36" s="239">
        <v>0</v>
      </c>
      <c r="AU36" s="239">
        <v>-968857</v>
      </c>
      <c r="AV36" s="239">
        <v>-549283</v>
      </c>
      <c r="AW36" s="239">
        <v>-329571</v>
      </c>
      <c r="AX36" s="239">
        <v>-219713</v>
      </c>
      <c r="AY36" s="239">
        <v>0</v>
      </c>
      <c r="AZ36" s="239">
        <v>-1098567</v>
      </c>
      <c r="BA36" s="239">
        <v>-5562109</v>
      </c>
      <c r="BB36" s="239">
        <v>-3337264</v>
      </c>
      <c r="BC36" s="239">
        <v>-2224843</v>
      </c>
      <c r="BD36" s="239">
        <v>0</v>
      </c>
      <c r="BE36" s="239">
        <v>-11124216</v>
      </c>
      <c r="BF36" s="239">
        <v>439695</v>
      </c>
      <c r="BG36" s="239">
        <v>263817</v>
      </c>
      <c r="BH36" s="239">
        <v>175878</v>
      </c>
      <c r="BI36" s="239">
        <v>0</v>
      </c>
      <c r="BJ36" s="239">
        <v>879390</v>
      </c>
      <c r="BK36" s="239">
        <v>-1951866</v>
      </c>
      <c r="BL36" s="239">
        <v>-1171120</v>
      </c>
      <c r="BM36" s="239">
        <v>-780746</v>
      </c>
      <c r="BN36" s="239">
        <v>0</v>
      </c>
      <c r="BO36" s="239">
        <v>-3903732</v>
      </c>
      <c r="BP36" s="239">
        <v>-7074280</v>
      </c>
      <c r="BQ36" s="239">
        <v>-4244567</v>
      </c>
      <c r="BR36" s="239">
        <v>-2829711</v>
      </c>
      <c r="BS36" s="239">
        <v>0</v>
      </c>
      <c r="BT36" s="239">
        <v>-14148558</v>
      </c>
      <c r="BU36" s="239">
        <v>-2833000</v>
      </c>
      <c r="BV36" s="239">
        <v>-1699800</v>
      </c>
      <c r="BW36" s="239">
        <v>-1133200</v>
      </c>
      <c r="BX36" s="239">
        <v>0</v>
      </c>
      <c r="BY36" s="239">
        <v>-5666000</v>
      </c>
      <c r="BZ36" s="239">
        <v>-57381</v>
      </c>
      <c r="CA36" s="239">
        <v>-34429</v>
      </c>
      <c r="CB36" s="239">
        <v>-22952</v>
      </c>
      <c r="CC36" s="239">
        <v>0</v>
      </c>
      <c r="CD36" s="239">
        <v>-114762</v>
      </c>
      <c r="CE36" s="239">
        <v>-2775619</v>
      </c>
      <c r="CF36" s="239">
        <v>-1665371</v>
      </c>
      <c r="CG36" s="239">
        <v>-1110248</v>
      </c>
      <c r="CH36" s="239">
        <v>0</v>
      </c>
      <c r="CI36" s="239">
        <v>-5551238</v>
      </c>
      <c r="CJ36" s="239">
        <v>59100614</v>
      </c>
      <c r="CK36" s="239">
        <v>35460368</v>
      </c>
      <c r="CL36" s="239">
        <v>23640246</v>
      </c>
      <c r="CM36" s="239">
        <v>0</v>
      </c>
      <c r="CN36" s="239">
        <v>118201228</v>
      </c>
      <c r="CO36" s="239">
        <v>59609756</v>
      </c>
      <c r="CP36" s="239">
        <v>35765854</v>
      </c>
      <c r="CQ36" s="239">
        <v>23843902</v>
      </c>
      <c r="CR36" s="239">
        <v>0</v>
      </c>
      <c r="CS36" s="239">
        <v>119219512</v>
      </c>
      <c r="CT36" s="239">
        <v>509142</v>
      </c>
      <c r="CU36" s="239">
        <v>305486</v>
      </c>
      <c r="CV36" s="239">
        <v>203656</v>
      </c>
      <c r="CW36" s="239">
        <v>0</v>
      </c>
      <c r="CX36" s="239">
        <v>1018284</v>
      </c>
      <c r="CY36" s="239">
        <v>-2266477</v>
      </c>
      <c r="CZ36" s="239">
        <v>-1359885</v>
      </c>
      <c r="DA36" s="239">
        <v>-906592</v>
      </c>
      <c r="DB36" s="239">
        <v>0</v>
      </c>
      <c r="DC36" s="239">
        <v>-4532954</v>
      </c>
      <c r="DD36" s="641">
        <v>0.5</v>
      </c>
      <c r="DE36" s="641">
        <v>0.3</v>
      </c>
      <c r="DF36" s="641">
        <v>0.2</v>
      </c>
      <c r="DG36" s="641">
        <v>0</v>
      </c>
      <c r="DH36" s="641">
        <v>1</v>
      </c>
      <c r="DI36" s="214" t="s">
        <v>1191</v>
      </c>
    </row>
    <row r="37" spans="1:113" s="214" customFormat="1" x14ac:dyDescent="0.2">
      <c r="B37" s="609" t="s">
        <v>156</v>
      </c>
      <c r="C37" s="609" t="s">
        <v>155</v>
      </c>
      <c r="D37" s="239">
        <v>15218478</v>
      </c>
      <c r="E37" s="239">
        <v>12174783</v>
      </c>
      <c r="F37" s="239">
        <v>2739326</v>
      </c>
      <c r="G37" s="239">
        <v>304370</v>
      </c>
      <c r="H37" s="239">
        <v>30436957</v>
      </c>
      <c r="I37" s="239">
        <v>0</v>
      </c>
      <c r="J37" s="239">
        <v>0</v>
      </c>
      <c r="K37" s="239">
        <v>15218478</v>
      </c>
      <c r="L37" s="239">
        <v>107735</v>
      </c>
      <c r="M37" s="239">
        <v>107735</v>
      </c>
      <c r="N37" s="239">
        <v>0</v>
      </c>
      <c r="O37" s="239">
        <v>0</v>
      </c>
      <c r="P37" s="239">
        <v>0</v>
      </c>
      <c r="Q37" s="239">
        <v>0</v>
      </c>
      <c r="R37" s="239">
        <v>0</v>
      </c>
      <c r="S37" s="239">
        <v>0</v>
      </c>
      <c r="T37" s="239">
        <v>0</v>
      </c>
      <c r="U37" s="239">
        <v>0</v>
      </c>
      <c r="V37" s="239">
        <v>0</v>
      </c>
      <c r="W37" s="239">
        <v>1344593</v>
      </c>
      <c r="X37" s="239">
        <v>1075675</v>
      </c>
      <c r="Y37" s="239">
        <v>242027</v>
      </c>
      <c r="Z37" s="239">
        <v>26892</v>
      </c>
      <c r="AA37" s="239">
        <v>2689187</v>
      </c>
      <c r="AB37" s="239">
        <v>-383304</v>
      </c>
      <c r="AC37" s="239">
        <v>-306644</v>
      </c>
      <c r="AD37" s="239">
        <v>-68995</v>
      </c>
      <c r="AE37" s="239">
        <v>-7666</v>
      </c>
      <c r="AF37" s="239">
        <v>-766609</v>
      </c>
      <c r="AG37" s="239">
        <v>-763367</v>
      </c>
      <c r="AH37" s="239">
        <v>-610694</v>
      </c>
      <c r="AI37" s="239">
        <v>-137404</v>
      </c>
      <c r="AJ37" s="239">
        <v>-15268</v>
      </c>
      <c r="AK37" s="239">
        <v>-1526733</v>
      </c>
      <c r="AL37" s="239">
        <v>367309</v>
      </c>
      <c r="AM37" s="239">
        <v>293847</v>
      </c>
      <c r="AN37" s="239">
        <v>66116</v>
      </c>
      <c r="AO37" s="239">
        <v>7346</v>
      </c>
      <c r="AP37" s="239">
        <v>734618</v>
      </c>
      <c r="AQ37" s="239">
        <v>-211464</v>
      </c>
      <c r="AR37" s="239">
        <v>-169172</v>
      </c>
      <c r="AS37" s="239">
        <v>-38064</v>
      </c>
      <c r="AT37" s="239">
        <v>-4229</v>
      </c>
      <c r="AU37" s="239">
        <v>-422929</v>
      </c>
      <c r="AV37" s="239">
        <v>-607522</v>
      </c>
      <c r="AW37" s="239">
        <v>-486019</v>
      </c>
      <c r="AX37" s="239">
        <v>-109352</v>
      </c>
      <c r="AY37" s="239">
        <v>-12151</v>
      </c>
      <c r="AZ37" s="239">
        <v>-1215044</v>
      </c>
      <c r="BA37" s="239">
        <v>-2039302</v>
      </c>
      <c r="BB37" s="239">
        <v>-1631441</v>
      </c>
      <c r="BC37" s="239">
        <v>-367075</v>
      </c>
      <c r="BD37" s="239">
        <v>-40786</v>
      </c>
      <c r="BE37" s="239">
        <v>-4078604</v>
      </c>
      <c r="BF37" s="239">
        <v>411169</v>
      </c>
      <c r="BG37" s="239">
        <v>328934</v>
      </c>
      <c r="BH37" s="239">
        <v>74010</v>
      </c>
      <c r="BI37" s="239">
        <v>8223</v>
      </c>
      <c r="BJ37" s="239">
        <v>822336</v>
      </c>
      <c r="BK37" s="239">
        <v>-803234</v>
      </c>
      <c r="BL37" s="239">
        <v>-642587</v>
      </c>
      <c r="BM37" s="239">
        <v>-144582</v>
      </c>
      <c r="BN37" s="239">
        <v>-16065</v>
      </c>
      <c r="BO37" s="239">
        <v>-1606468</v>
      </c>
      <c r="BP37" s="239">
        <v>-2431367</v>
      </c>
      <c r="BQ37" s="239">
        <v>-1945094</v>
      </c>
      <c r="BR37" s="239">
        <v>-437647</v>
      </c>
      <c r="BS37" s="239">
        <v>-48628</v>
      </c>
      <c r="BT37" s="239">
        <v>-4862736</v>
      </c>
      <c r="BU37" s="239">
        <v>-292208</v>
      </c>
      <c r="BV37" s="239">
        <v>-233767</v>
      </c>
      <c r="BW37" s="239">
        <v>-52598</v>
      </c>
      <c r="BX37" s="239">
        <v>-5844</v>
      </c>
      <c r="BY37" s="239">
        <v>-584417</v>
      </c>
      <c r="BZ37" s="239">
        <v>387770</v>
      </c>
      <c r="CA37" s="239">
        <v>310216</v>
      </c>
      <c r="CB37" s="239">
        <v>69799</v>
      </c>
      <c r="CC37" s="239">
        <v>7755</v>
      </c>
      <c r="CD37" s="239">
        <v>775540</v>
      </c>
      <c r="CE37" s="239">
        <v>-679978</v>
      </c>
      <c r="CF37" s="239">
        <v>-543983</v>
      </c>
      <c r="CG37" s="239">
        <v>-122397</v>
      </c>
      <c r="CH37" s="239">
        <v>-13599</v>
      </c>
      <c r="CI37" s="239">
        <v>-1359957</v>
      </c>
      <c r="CJ37" s="239">
        <v>15091825</v>
      </c>
      <c r="CK37" s="239">
        <v>12073459</v>
      </c>
      <c r="CL37" s="239">
        <v>2716528</v>
      </c>
      <c r="CM37" s="239">
        <v>301836</v>
      </c>
      <c r="CN37" s="239">
        <v>30183648</v>
      </c>
      <c r="CO37" s="239">
        <v>15218478</v>
      </c>
      <c r="CP37" s="239">
        <v>12174783</v>
      </c>
      <c r="CQ37" s="239">
        <v>2739326</v>
      </c>
      <c r="CR37" s="239">
        <v>304370</v>
      </c>
      <c r="CS37" s="239">
        <v>30436957</v>
      </c>
      <c r="CT37" s="239">
        <v>126653</v>
      </c>
      <c r="CU37" s="239">
        <v>101324</v>
      </c>
      <c r="CV37" s="239">
        <v>22798</v>
      </c>
      <c r="CW37" s="239">
        <v>2534</v>
      </c>
      <c r="CX37" s="239">
        <v>253309</v>
      </c>
      <c r="CY37" s="239">
        <v>-553325</v>
      </c>
      <c r="CZ37" s="239">
        <v>-442659</v>
      </c>
      <c r="DA37" s="239">
        <v>-99599</v>
      </c>
      <c r="DB37" s="239">
        <v>-11065</v>
      </c>
      <c r="DC37" s="239">
        <v>-1106648</v>
      </c>
      <c r="DD37" s="641">
        <v>0.5</v>
      </c>
      <c r="DE37" s="641">
        <v>0.4</v>
      </c>
      <c r="DF37" s="641">
        <v>0.09</v>
      </c>
      <c r="DG37" s="641">
        <v>0.01</v>
      </c>
      <c r="DH37" s="641">
        <v>1</v>
      </c>
      <c r="DI37" s="214" t="s">
        <v>1190</v>
      </c>
    </row>
    <row r="38" spans="1:113" s="214" customFormat="1" x14ac:dyDescent="0.2">
      <c r="B38" s="609" t="s">
        <v>158</v>
      </c>
      <c r="C38" s="609" t="s">
        <v>157</v>
      </c>
      <c r="D38" s="239">
        <v>53949942</v>
      </c>
      <c r="E38" s="239">
        <v>52870943</v>
      </c>
      <c r="F38" s="239">
        <v>0</v>
      </c>
      <c r="G38" s="239">
        <v>1078999</v>
      </c>
      <c r="H38" s="239">
        <v>107899884</v>
      </c>
      <c r="I38" s="239">
        <v>0</v>
      </c>
      <c r="J38" s="239">
        <v>0</v>
      </c>
      <c r="K38" s="239">
        <v>53949942</v>
      </c>
      <c r="L38" s="239">
        <v>423529</v>
      </c>
      <c r="M38" s="239">
        <v>423529</v>
      </c>
      <c r="N38" s="239">
        <v>0</v>
      </c>
      <c r="O38" s="239">
        <v>0</v>
      </c>
      <c r="P38" s="239">
        <v>0</v>
      </c>
      <c r="Q38" s="239">
        <v>0</v>
      </c>
      <c r="R38" s="239">
        <v>0</v>
      </c>
      <c r="S38" s="239">
        <v>0</v>
      </c>
      <c r="T38" s="239">
        <v>0</v>
      </c>
      <c r="U38" s="239">
        <v>0</v>
      </c>
      <c r="V38" s="239">
        <v>0</v>
      </c>
      <c r="W38" s="239">
        <v>2635917</v>
      </c>
      <c r="X38" s="239">
        <v>2583198</v>
      </c>
      <c r="Y38" s="239">
        <v>0</v>
      </c>
      <c r="Z38" s="239">
        <v>52718</v>
      </c>
      <c r="AA38" s="239">
        <v>5271833</v>
      </c>
      <c r="AB38" s="239">
        <v>-2459737</v>
      </c>
      <c r="AC38" s="239">
        <v>-2410542</v>
      </c>
      <c r="AD38" s="239">
        <v>0</v>
      </c>
      <c r="AE38" s="239">
        <v>-49195</v>
      </c>
      <c r="AF38" s="239">
        <v>-4919474</v>
      </c>
      <c r="AG38" s="239">
        <v>-820550</v>
      </c>
      <c r="AH38" s="239">
        <v>-804139</v>
      </c>
      <c r="AI38" s="239">
        <v>0</v>
      </c>
      <c r="AJ38" s="239">
        <v>-16411</v>
      </c>
      <c r="AK38" s="239">
        <v>-1641100</v>
      </c>
      <c r="AL38" s="239">
        <v>206570</v>
      </c>
      <c r="AM38" s="239">
        <v>202438</v>
      </c>
      <c r="AN38" s="239">
        <v>0</v>
      </c>
      <c r="AO38" s="239">
        <v>4131</v>
      </c>
      <c r="AP38" s="239">
        <v>413139</v>
      </c>
      <c r="AQ38" s="239">
        <v>-431710</v>
      </c>
      <c r="AR38" s="239">
        <v>-423075</v>
      </c>
      <c r="AS38" s="239">
        <v>0</v>
      </c>
      <c r="AT38" s="239">
        <v>-8634</v>
      </c>
      <c r="AU38" s="239">
        <v>-863419</v>
      </c>
      <c r="AV38" s="239">
        <v>-1045690</v>
      </c>
      <c r="AW38" s="239">
        <v>-1024776</v>
      </c>
      <c r="AX38" s="239">
        <v>0</v>
      </c>
      <c r="AY38" s="239">
        <v>-20914</v>
      </c>
      <c r="AZ38" s="239">
        <v>-2091380</v>
      </c>
      <c r="BA38" s="239">
        <v>-2170033</v>
      </c>
      <c r="BB38" s="239">
        <v>-2126632</v>
      </c>
      <c r="BC38" s="239">
        <v>0</v>
      </c>
      <c r="BD38" s="239">
        <v>-43400</v>
      </c>
      <c r="BE38" s="239">
        <v>-4340065</v>
      </c>
      <c r="BF38" s="239">
        <v>1037854</v>
      </c>
      <c r="BG38" s="239">
        <v>1017096</v>
      </c>
      <c r="BH38" s="239">
        <v>0</v>
      </c>
      <c r="BI38" s="239">
        <v>20757</v>
      </c>
      <c r="BJ38" s="239">
        <v>2075707</v>
      </c>
      <c r="BK38" s="239">
        <v>-1436890</v>
      </c>
      <c r="BL38" s="239">
        <v>-1408152</v>
      </c>
      <c r="BM38" s="239">
        <v>0</v>
      </c>
      <c r="BN38" s="239">
        <v>-28738</v>
      </c>
      <c r="BO38" s="239">
        <v>-2873780</v>
      </c>
      <c r="BP38" s="239">
        <v>-2569069</v>
      </c>
      <c r="BQ38" s="239">
        <v>-2517688</v>
      </c>
      <c r="BR38" s="239">
        <v>0</v>
      </c>
      <c r="BS38" s="239">
        <v>-51381</v>
      </c>
      <c r="BT38" s="239">
        <v>-5138138</v>
      </c>
      <c r="BU38" s="239">
        <v>-1800702</v>
      </c>
      <c r="BV38" s="239">
        <v>-1764688</v>
      </c>
      <c r="BW38" s="239">
        <v>0</v>
      </c>
      <c r="BX38" s="239">
        <v>-36014</v>
      </c>
      <c r="BY38" s="239">
        <v>-3601404</v>
      </c>
      <c r="BZ38" s="239">
        <v>-1111500</v>
      </c>
      <c r="CA38" s="239">
        <v>-1089270</v>
      </c>
      <c r="CB38" s="239">
        <v>0</v>
      </c>
      <c r="CC38" s="239">
        <v>-22230</v>
      </c>
      <c r="CD38" s="239">
        <v>-2223000</v>
      </c>
      <c r="CE38" s="239">
        <v>-689202</v>
      </c>
      <c r="CF38" s="239">
        <v>-675418</v>
      </c>
      <c r="CG38" s="239">
        <v>0</v>
      </c>
      <c r="CH38" s="239">
        <v>-13784</v>
      </c>
      <c r="CI38" s="239">
        <v>-1378404</v>
      </c>
      <c r="CJ38" s="239">
        <v>55032422</v>
      </c>
      <c r="CK38" s="239">
        <v>53931773</v>
      </c>
      <c r="CL38" s="239">
        <v>0</v>
      </c>
      <c r="CM38" s="239">
        <v>1100648</v>
      </c>
      <c r="CN38" s="239">
        <v>110064843</v>
      </c>
      <c r="CO38" s="239">
        <v>53949942</v>
      </c>
      <c r="CP38" s="239">
        <v>52870943</v>
      </c>
      <c r="CQ38" s="239">
        <v>0</v>
      </c>
      <c r="CR38" s="239">
        <v>1078999</v>
      </c>
      <c r="CS38" s="239">
        <v>107899884</v>
      </c>
      <c r="CT38" s="239">
        <v>-1082480</v>
      </c>
      <c r="CU38" s="239">
        <v>-1060830</v>
      </c>
      <c r="CV38" s="239">
        <v>0</v>
      </c>
      <c r="CW38" s="239">
        <v>-21649</v>
      </c>
      <c r="CX38" s="239">
        <v>-2164959</v>
      </c>
      <c r="CY38" s="239">
        <v>-1771682</v>
      </c>
      <c r="CZ38" s="239">
        <v>-1736248</v>
      </c>
      <c r="DA38" s="239">
        <v>0</v>
      </c>
      <c r="DB38" s="239">
        <v>-35433</v>
      </c>
      <c r="DC38" s="239">
        <v>-3543363</v>
      </c>
      <c r="DD38" s="641">
        <v>0.5</v>
      </c>
      <c r="DE38" s="641">
        <v>0.49</v>
      </c>
      <c r="DF38" s="641">
        <v>0</v>
      </c>
      <c r="DG38" s="641">
        <v>0.01</v>
      </c>
      <c r="DH38" s="641">
        <v>1</v>
      </c>
      <c r="DI38" s="214" t="s">
        <v>747</v>
      </c>
    </row>
    <row r="39" spans="1:113" s="214" customFormat="1" x14ac:dyDescent="0.2">
      <c r="B39" s="609" t="s">
        <v>160</v>
      </c>
      <c r="C39" s="609" t="s">
        <v>159</v>
      </c>
      <c r="D39" s="239">
        <v>98714309</v>
      </c>
      <c r="E39" s="239">
        <v>96740023</v>
      </c>
      <c r="F39" s="239">
        <v>0</v>
      </c>
      <c r="G39" s="239">
        <v>1974286</v>
      </c>
      <c r="H39" s="239">
        <v>197428618</v>
      </c>
      <c r="I39" s="239">
        <v>1224358.2086776861</v>
      </c>
      <c r="J39" s="239">
        <v>1224358.2086776861</v>
      </c>
      <c r="K39" s="239">
        <v>97489950.791322321</v>
      </c>
      <c r="L39" s="239">
        <v>721633</v>
      </c>
      <c r="M39" s="239">
        <v>721633</v>
      </c>
      <c r="N39" s="239">
        <v>4100911</v>
      </c>
      <c r="O39" s="239">
        <v>4100911</v>
      </c>
      <c r="P39" s="239">
        <v>489167</v>
      </c>
      <c r="Q39" s="239">
        <v>0</v>
      </c>
      <c r="R39" s="239">
        <v>489167</v>
      </c>
      <c r="S39" s="239">
        <v>1224358.2086776861</v>
      </c>
      <c r="T39" s="239">
        <v>0</v>
      </c>
      <c r="U39" s="239">
        <v>0</v>
      </c>
      <c r="V39" s="239">
        <v>1224358.2086776861</v>
      </c>
      <c r="W39" s="239">
        <v>2131980</v>
      </c>
      <c r="X39" s="239">
        <v>2089340</v>
      </c>
      <c r="Y39" s="239">
        <v>0</v>
      </c>
      <c r="Z39" s="239">
        <v>42640</v>
      </c>
      <c r="AA39" s="239">
        <v>4263960</v>
      </c>
      <c r="AB39" s="239">
        <v>-1468537</v>
      </c>
      <c r="AC39" s="239">
        <v>-1439166</v>
      </c>
      <c r="AD39" s="239">
        <v>0</v>
      </c>
      <c r="AE39" s="239">
        <v>-29371</v>
      </c>
      <c r="AF39" s="239">
        <v>-2937074</v>
      </c>
      <c r="AG39" s="239">
        <v>-826000</v>
      </c>
      <c r="AH39" s="239">
        <v>-809480</v>
      </c>
      <c r="AI39" s="239">
        <v>0</v>
      </c>
      <c r="AJ39" s="239">
        <v>-16520</v>
      </c>
      <c r="AK39" s="239">
        <v>-1652000</v>
      </c>
      <c r="AL39" s="239">
        <v>772500</v>
      </c>
      <c r="AM39" s="239">
        <v>757050</v>
      </c>
      <c r="AN39" s="239">
        <v>0</v>
      </c>
      <c r="AO39" s="239">
        <v>15450</v>
      </c>
      <c r="AP39" s="239">
        <v>1545000</v>
      </c>
      <c r="AQ39" s="239">
        <v>-1020592</v>
      </c>
      <c r="AR39" s="239">
        <v>-1000181</v>
      </c>
      <c r="AS39" s="239">
        <v>0</v>
      </c>
      <c r="AT39" s="239">
        <v>-20412</v>
      </c>
      <c r="AU39" s="239">
        <v>-2041185</v>
      </c>
      <c r="AV39" s="239">
        <v>-1074092</v>
      </c>
      <c r="AW39" s="239">
        <v>-1052611</v>
      </c>
      <c r="AX39" s="239">
        <v>0</v>
      </c>
      <c r="AY39" s="239">
        <v>-21482</v>
      </c>
      <c r="AZ39" s="239">
        <v>-2148185</v>
      </c>
      <c r="BA39" s="239">
        <v>-7339832</v>
      </c>
      <c r="BB39" s="239">
        <v>-7193037</v>
      </c>
      <c r="BC39" s="239">
        <v>0</v>
      </c>
      <c r="BD39" s="239">
        <v>-146797</v>
      </c>
      <c r="BE39" s="239">
        <v>-14679666</v>
      </c>
      <c r="BF39" s="239">
        <v>6918507</v>
      </c>
      <c r="BG39" s="239">
        <v>6780136</v>
      </c>
      <c r="BH39" s="239">
        <v>0</v>
      </c>
      <c r="BI39" s="239">
        <v>138370</v>
      </c>
      <c r="BJ39" s="239">
        <v>13837013</v>
      </c>
      <c r="BK39" s="239">
        <v>-10922756</v>
      </c>
      <c r="BL39" s="239">
        <v>-10704301</v>
      </c>
      <c r="BM39" s="239">
        <v>0</v>
      </c>
      <c r="BN39" s="239">
        <v>-218455</v>
      </c>
      <c r="BO39" s="239">
        <v>-21845512</v>
      </c>
      <c r="BP39" s="239">
        <v>-11344081</v>
      </c>
      <c r="BQ39" s="239">
        <v>-11117202</v>
      </c>
      <c r="BR39" s="239">
        <v>0</v>
      </c>
      <c r="BS39" s="239">
        <v>-226882</v>
      </c>
      <c r="BT39" s="239">
        <v>-22688165</v>
      </c>
      <c r="BU39" s="239">
        <v>1294029</v>
      </c>
      <c r="BV39" s="239">
        <v>1268149</v>
      </c>
      <c r="BW39" s="239">
        <v>0</v>
      </c>
      <c r="BX39" s="239">
        <v>25881</v>
      </c>
      <c r="BY39" s="239">
        <v>2588059</v>
      </c>
      <c r="BZ39" s="239">
        <v>-7964360</v>
      </c>
      <c r="CA39" s="239">
        <v>-7805073</v>
      </c>
      <c r="CB39" s="239">
        <v>0</v>
      </c>
      <c r="CC39" s="239">
        <v>-159287</v>
      </c>
      <c r="CD39" s="239">
        <v>-15928720</v>
      </c>
      <c r="CE39" s="239">
        <v>9258389</v>
      </c>
      <c r="CF39" s="239">
        <v>9073222</v>
      </c>
      <c r="CG39" s="239">
        <v>0</v>
      </c>
      <c r="CH39" s="239">
        <v>185168</v>
      </c>
      <c r="CI39" s="239">
        <v>18516779</v>
      </c>
      <c r="CJ39" s="239">
        <v>108136691</v>
      </c>
      <c r="CK39" s="239">
        <v>105973958</v>
      </c>
      <c r="CL39" s="239">
        <v>0</v>
      </c>
      <c r="CM39" s="239">
        <v>2162734</v>
      </c>
      <c r="CN39" s="239">
        <v>216273383</v>
      </c>
      <c r="CO39" s="239">
        <v>98714309</v>
      </c>
      <c r="CP39" s="239">
        <v>96740023</v>
      </c>
      <c r="CQ39" s="239">
        <v>0</v>
      </c>
      <c r="CR39" s="239">
        <v>1974286</v>
      </c>
      <c r="CS39" s="239">
        <v>197428618</v>
      </c>
      <c r="CT39" s="239">
        <v>-9422382</v>
      </c>
      <c r="CU39" s="239">
        <v>-9233935</v>
      </c>
      <c r="CV39" s="239">
        <v>0</v>
      </c>
      <c r="CW39" s="239">
        <v>-188448</v>
      </c>
      <c r="CX39" s="239">
        <v>-18844765</v>
      </c>
      <c r="CY39" s="239">
        <v>-163993</v>
      </c>
      <c r="CZ39" s="239">
        <v>-160713</v>
      </c>
      <c r="DA39" s="239">
        <v>0</v>
      </c>
      <c r="DB39" s="239">
        <v>-3280</v>
      </c>
      <c r="DC39" s="239">
        <v>-327986</v>
      </c>
      <c r="DD39" s="641">
        <v>0.5</v>
      </c>
      <c r="DE39" s="641">
        <v>0.49</v>
      </c>
      <c r="DF39" s="641">
        <v>0</v>
      </c>
      <c r="DG39" s="641">
        <v>0.01</v>
      </c>
      <c r="DH39" s="641">
        <v>1</v>
      </c>
      <c r="DI39" s="214" t="s">
        <v>747</v>
      </c>
    </row>
    <row r="40" spans="1:113" s="214" customFormat="1" x14ac:dyDescent="0.2">
      <c r="B40" s="609" t="s">
        <v>162</v>
      </c>
      <c r="C40" s="609" t="s">
        <v>161</v>
      </c>
      <c r="D40" s="239">
        <v>15113307</v>
      </c>
      <c r="E40" s="239">
        <v>12090645</v>
      </c>
      <c r="F40" s="239">
        <v>3022661</v>
      </c>
      <c r="G40" s="239">
        <v>0</v>
      </c>
      <c r="H40" s="239">
        <v>30226613</v>
      </c>
      <c r="I40" s="239">
        <v>0</v>
      </c>
      <c r="J40" s="239">
        <v>0</v>
      </c>
      <c r="K40" s="239">
        <v>15113307</v>
      </c>
      <c r="L40" s="239">
        <v>138684</v>
      </c>
      <c r="M40" s="239">
        <v>138684</v>
      </c>
      <c r="N40" s="239">
        <v>0</v>
      </c>
      <c r="O40" s="239">
        <v>0</v>
      </c>
      <c r="P40" s="239">
        <v>168099</v>
      </c>
      <c r="Q40" s="239">
        <v>0</v>
      </c>
      <c r="R40" s="239">
        <v>168099</v>
      </c>
      <c r="S40" s="239">
        <v>0</v>
      </c>
      <c r="T40" s="239">
        <v>0</v>
      </c>
      <c r="U40" s="239">
        <v>0</v>
      </c>
      <c r="V40" s="239">
        <v>0</v>
      </c>
      <c r="W40" s="239">
        <v>169490</v>
      </c>
      <c r="X40" s="239">
        <v>135592</v>
      </c>
      <c r="Y40" s="239">
        <v>33898</v>
      </c>
      <c r="Z40" s="239">
        <v>0</v>
      </c>
      <c r="AA40" s="239">
        <v>338980</v>
      </c>
      <c r="AB40" s="239">
        <v>-349757</v>
      </c>
      <c r="AC40" s="239">
        <v>-279805</v>
      </c>
      <c r="AD40" s="239">
        <v>-69951</v>
      </c>
      <c r="AE40" s="239">
        <v>0</v>
      </c>
      <c r="AF40" s="239">
        <v>-699513</v>
      </c>
      <c r="AG40" s="239">
        <v>-71417</v>
      </c>
      <c r="AH40" s="239">
        <v>-57133</v>
      </c>
      <c r="AI40" s="239">
        <v>-14283</v>
      </c>
      <c r="AJ40" s="239">
        <v>0</v>
      </c>
      <c r="AK40" s="239">
        <v>-142833</v>
      </c>
      <c r="AL40" s="239">
        <v>71899</v>
      </c>
      <c r="AM40" s="239">
        <v>57519</v>
      </c>
      <c r="AN40" s="239">
        <v>14380</v>
      </c>
      <c r="AO40" s="239">
        <v>0</v>
      </c>
      <c r="AP40" s="239">
        <v>143798</v>
      </c>
      <c r="AQ40" s="239">
        <v>-78758</v>
      </c>
      <c r="AR40" s="239">
        <v>-63007</v>
      </c>
      <c r="AS40" s="239">
        <v>-15752</v>
      </c>
      <c r="AT40" s="239">
        <v>0</v>
      </c>
      <c r="AU40" s="239">
        <v>-157517</v>
      </c>
      <c r="AV40" s="239">
        <v>-78276</v>
      </c>
      <c r="AW40" s="239">
        <v>-62621</v>
      </c>
      <c r="AX40" s="239">
        <v>-15655</v>
      </c>
      <c r="AY40" s="239">
        <v>0</v>
      </c>
      <c r="AZ40" s="239">
        <v>-156552</v>
      </c>
      <c r="BA40" s="239">
        <v>-1698512</v>
      </c>
      <c r="BB40" s="239">
        <v>-1358809</v>
      </c>
      <c r="BC40" s="239">
        <v>-339702</v>
      </c>
      <c r="BD40" s="239">
        <v>0</v>
      </c>
      <c r="BE40" s="239">
        <v>-3397023</v>
      </c>
      <c r="BF40" s="239">
        <v>444792</v>
      </c>
      <c r="BG40" s="239">
        <v>355834</v>
      </c>
      <c r="BH40" s="239">
        <v>88958</v>
      </c>
      <c r="BI40" s="239">
        <v>0</v>
      </c>
      <c r="BJ40" s="239">
        <v>889584</v>
      </c>
      <c r="BK40" s="239">
        <v>-239157</v>
      </c>
      <c r="BL40" s="239">
        <v>-191326</v>
      </c>
      <c r="BM40" s="239">
        <v>-47831</v>
      </c>
      <c r="BN40" s="239">
        <v>0</v>
      </c>
      <c r="BO40" s="239">
        <v>-478314</v>
      </c>
      <c r="BP40" s="239">
        <v>-1492877</v>
      </c>
      <c r="BQ40" s="239">
        <v>-1194301</v>
      </c>
      <c r="BR40" s="239">
        <v>-298575</v>
      </c>
      <c r="BS40" s="239">
        <v>0</v>
      </c>
      <c r="BT40" s="239">
        <v>-2985753</v>
      </c>
      <c r="BU40" s="239">
        <v>-2237327</v>
      </c>
      <c r="BV40" s="239">
        <v>-1789862</v>
      </c>
      <c r="BW40" s="239">
        <v>-447466</v>
      </c>
      <c r="BX40" s="239">
        <v>0</v>
      </c>
      <c r="BY40" s="239">
        <v>-4474655</v>
      </c>
      <c r="BZ40" s="239">
        <v>-1510118</v>
      </c>
      <c r="CA40" s="239">
        <v>-1208094</v>
      </c>
      <c r="CB40" s="239">
        <v>-302024</v>
      </c>
      <c r="CC40" s="239">
        <v>0</v>
      </c>
      <c r="CD40" s="239">
        <v>-3020236</v>
      </c>
      <c r="CE40" s="239">
        <v>-727209</v>
      </c>
      <c r="CF40" s="239">
        <v>-581768</v>
      </c>
      <c r="CG40" s="239">
        <v>-145442</v>
      </c>
      <c r="CH40" s="239">
        <v>0</v>
      </c>
      <c r="CI40" s="239">
        <v>-1454419</v>
      </c>
      <c r="CJ40" s="239">
        <v>14975858</v>
      </c>
      <c r="CK40" s="239">
        <v>11980686</v>
      </c>
      <c r="CL40" s="239">
        <v>2995172</v>
      </c>
      <c r="CM40" s="239">
        <v>0</v>
      </c>
      <c r="CN40" s="239">
        <v>29951716</v>
      </c>
      <c r="CO40" s="239">
        <v>15113307</v>
      </c>
      <c r="CP40" s="239">
        <v>12090645</v>
      </c>
      <c r="CQ40" s="239">
        <v>3022661</v>
      </c>
      <c r="CR40" s="239">
        <v>0</v>
      </c>
      <c r="CS40" s="239">
        <v>30226613</v>
      </c>
      <c r="CT40" s="239">
        <v>137449</v>
      </c>
      <c r="CU40" s="239">
        <v>109959</v>
      </c>
      <c r="CV40" s="239">
        <v>27489</v>
      </c>
      <c r="CW40" s="239">
        <v>0</v>
      </c>
      <c r="CX40" s="239">
        <v>274897</v>
      </c>
      <c r="CY40" s="239">
        <v>-589760</v>
      </c>
      <c r="CZ40" s="239">
        <v>-471809</v>
      </c>
      <c r="DA40" s="239">
        <v>-117953</v>
      </c>
      <c r="DB40" s="239">
        <v>0</v>
      </c>
      <c r="DC40" s="239">
        <v>-1179522</v>
      </c>
      <c r="DD40" s="641">
        <v>0.5</v>
      </c>
      <c r="DE40" s="641">
        <v>0.4</v>
      </c>
      <c r="DF40" s="641">
        <v>0.1</v>
      </c>
      <c r="DG40" s="641">
        <v>0</v>
      </c>
      <c r="DH40" s="641">
        <v>1</v>
      </c>
      <c r="DI40" s="214" t="s">
        <v>1190</v>
      </c>
    </row>
    <row r="41" spans="1:113" s="214" customFormat="1" x14ac:dyDescent="0.2">
      <c r="B41" s="609" t="s">
        <v>164</v>
      </c>
      <c r="C41" s="609" t="s">
        <v>163</v>
      </c>
      <c r="D41" s="239">
        <v>41496447</v>
      </c>
      <c r="E41" s="239">
        <v>24897869</v>
      </c>
      <c r="F41" s="239">
        <v>16598579</v>
      </c>
      <c r="G41" s="239">
        <v>0</v>
      </c>
      <c r="H41" s="239">
        <v>82992895</v>
      </c>
      <c r="I41" s="239">
        <v>0</v>
      </c>
      <c r="J41" s="239">
        <v>0</v>
      </c>
      <c r="K41" s="239">
        <v>41496447</v>
      </c>
      <c r="L41" s="239">
        <v>336932</v>
      </c>
      <c r="M41" s="239">
        <v>336932</v>
      </c>
      <c r="N41" s="239">
        <v>0</v>
      </c>
      <c r="O41" s="239">
        <v>0</v>
      </c>
      <c r="P41" s="239">
        <v>0</v>
      </c>
      <c r="Q41" s="239">
        <v>0</v>
      </c>
      <c r="R41" s="239">
        <v>0</v>
      </c>
      <c r="S41" s="239">
        <v>0</v>
      </c>
      <c r="T41" s="239">
        <v>0</v>
      </c>
      <c r="U41" s="239">
        <v>0</v>
      </c>
      <c r="V41" s="239">
        <v>0</v>
      </c>
      <c r="W41" s="239">
        <v>1060239</v>
      </c>
      <c r="X41" s="239">
        <v>636143</v>
      </c>
      <c r="Y41" s="239">
        <v>424095</v>
      </c>
      <c r="Z41" s="239">
        <v>0</v>
      </c>
      <c r="AA41" s="239">
        <v>2120477</v>
      </c>
      <c r="AB41" s="239">
        <v>-2129786</v>
      </c>
      <c r="AC41" s="239">
        <v>-1277871</v>
      </c>
      <c r="AD41" s="239">
        <v>-851914</v>
      </c>
      <c r="AE41" s="239">
        <v>0</v>
      </c>
      <c r="AF41" s="239">
        <v>-4259571</v>
      </c>
      <c r="AG41" s="239">
        <v>-410128</v>
      </c>
      <c r="AH41" s="239">
        <v>-246078</v>
      </c>
      <c r="AI41" s="239">
        <v>-164052</v>
      </c>
      <c r="AJ41" s="239">
        <v>0</v>
      </c>
      <c r="AK41" s="239">
        <v>-820258</v>
      </c>
      <c r="AL41" s="239">
        <v>130024</v>
      </c>
      <c r="AM41" s="239">
        <v>78014</v>
      </c>
      <c r="AN41" s="239">
        <v>52010</v>
      </c>
      <c r="AO41" s="239">
        <v>0</v>
      </c>
      <c r="AP41" s="239">
        <v>260048</v>
      </c>
      <c r="AQ41" s="239">
        <v>-97024</v>
      </c>
      <c r="AR41" s="239">
        <v>-58214</v>
      </c>
      <c r="AS41" s="239">
        <v>-38810</v>
      </c>
      <c r="AT41" s="239">
        <v>0</v>
      </c>
      <c r="AU41" s="239">
        <v>-194048</v>
      </c>
      <c r="AV41" s="239">
        <v>-377128</v>
      </c>
      <c r="AW41" s="239">
        <v>-226278</v>
      </c>
      <c r="AX41" s="239">
        <v>-150852</v>
      </c>
      <c r="AY41" s="239">
        <v>0</v>
      </c>
      <c r="AZ41" s="239">
        <v>-754258</v>
      </c>
      <c r="BA41" s="239">
        <v>-3557968</v>
      </c>
      <c r="BB41" s="239">
        <v>-2134781</v>
      </c>
      <c r="BC41" s="239">
        <v>-1423187</v>
      </c>
      <c r="BD41" s="239">
        <v>0</v>
      </c>
      <c r="BE41" s="239">
        <v>-7115936</v>
      </c>
      <c r="BF41" s="239">
        <v>508361</v>
      </c>
      <c r="BG41" s="239">
        <v>305016</v>
      </c>
      <c r="BH41" s="239">
        <v>203344</v>
      </c>
      <c r="BI41" s="239">
        <v>0</v>
      </c>
      <c r="BJ41" s="239">
        <v>1016721</v>
      </c>
      <c r="BK41" s="239">
        <v>-1774032</v>
      </c>
      <c r="BL41" s="239">
        <v>-1064419</v>
      </c>
      <c r="BM41" s="239">
        <v>-709613</v>
      </c>
      <c r="BN41" s="239">
        <v>0</v>
      </c>
      <c r="BO41" s="239">
        <v>-3548064</v>
      </c>
      <c r="BP41" s="239">
        <v>-4823639</v>
      </c>
      <c r="BQ41" s="239">
        <v>-2894184</v>
      </c>
      <c r="BR41" s="239">
        <v>-1929456</v>
      </c>
      <c r="BS41" s="239">
        <v>0</v>
      </c>
      <c r="BT41" s="239">
        <v>-9647279</v>
      </c>
      <c r="BU41" s="239">
        <v>-725471.09999999963</v>
      </c>
      <c r="BV41" s="239">
        <v>-435283</v>
      </c>
      <c r="BW41" s="239">
        <v>-290189</v>
      </c>
      <c r="BX41" s="239">
        <v>0</v>
      </c>
      <c r="BY41" s="239">
        <v>-1450943.0999999996</v>
      </c>
      <c r="BZ41" s="239">
        <v>-719651</v>
      </c>
      <c r="CA41" s="239">
        <v>-431790</v>
      </c>
      <c r="CB41" s="239">
        <v>-287860</v>
      </c>
      <c r="CC41" s="239">
        <v>0</v>
      </c>
      <c r="CD41" s="239">
        <v>-1439301</v>
      </c>
      <c r="CE41" s="239">
        <v>-5820.0999999996275</v>
      </c>
      <c r="CF41" s="239">
        <v>-3493</v>
      </c>
      <c r="CG41" s="239">
        <v>-2329</v>
      </c>
      <c r="CH41" s="239">
        <v>0</v>
      </c>
      <c r="CI41" s="239">
        <v>-11642.099999999627</v>
      </c>
      <c r="CJ41" s="239">
        <v>41789188</v>
      </c>
      <c r="CK41" s="239">
        <v>25073513</v>
      </c>
      <c r="CL41" s="239">
        <v>16715675</v>
      </c>
      <c r="CM41" s="239">
        <v>0</v>
      </c>
      <c r="CN41" s="239">
        <v>83578376</v>
      </c>
      <c r="CO41" s="239">
        <v>41496447</v>
      </c>
      <c r="CP41" s="239">
        <v>24897869</v>
      </c>
      <c r="CQ41" s="239">
        <v>16598579</v>
      </c>
      <c r="CR41" s="239">
        <v>0</v>
      </c>
      <c r="CS41" s="239">
        <v>82992895</v>
      </c>
      <c r="CT41" s="239">
        <v>-292741</v>
      </c>
      <c r="CU41" s="239">
        <v>-175644</v>
      </c>
      <c r="CV41" s="239">
        <v>-117096</v>
      </c>
      <c r="CW41" s="239">
        <v>0</v>
      </c>
      <c r="CX41" s="239">
        <v>-585481</v>
      </c>
      <c r="CY41" s="239">
        <v>-298561.09999999963</v>
      </c>
      <c r="CZ41" s="239">
        <v>-179137</v>
      </c>
      <c r="DA41" s="239">
        <v>-119425</v>
      </c>
      <c r="DB41" s="239">
        <v>0</v>
      </c>
      <c r="DC41" s="239">
        <v>-597123.09999999963</v>
      </c>
      <c r="DD41" s="641">
        <v>0.5</v>
      </c>
      <c r="DE41" s="641">
        <v>0.3</v>
      </c>
      <c r="DF41" s="641">
        <v>0.2</v>
      </c>
      <c r="DG41" s="641">
        <v>0</v>
      </c>
      <c r="DH41" s="641">
        <v>1</v>
      </c>
      <c r="DI41" s="214" t="s">
        <v>1191</v>
      </c>
    </row>
    <row r="42" spans="1:113" s="214" customFormat="1" x14ac:dyDescent="0.2">
      <c r="B42" s="609" t="s">
        <v>166</v>
      </c>
      <c r="C42" s="609" t="s">
        <v>165</v>
      </c>
      <c r="D42" s="239">
        <v>13434341</v>
      </c>
      <c r="E42" s="239">
        <v>10747474</v>
      </c>
      <c r="F42" s="239">
        <v>2418182</v>
      </c>
      <c r="G42" s="239">
        <v>268687</v>
      </c>
      <c r="H42" s="239">
        <v>26868684</v>
      </c>
      <c r="I42" s="239">
        <v>0</v>
      </c>
      <c r="J42" s="239">
        <v>0</v>
      </c>
      <c r="K42" s="239">
        <v>13434341</v>
      </c>
      <c r="L42" s="239">
        <v>123658</v>
      </c>
      <c r="M42" s="239">
        <v>123658</v>
      </c>
      <c r="N42" s="239">
        <v>0</v>
      </c>
      <c r="O42" s="239">
        <v>0</v>
      </c>
      <c r="P42" s="239">
        <v>0</v>
      </c>
      <c r="Q42" s="239">
        <v>0</v>
      </c>
      <c r="R42" s="239">
        <v>0</v>
      </c>
      <c r="S42" s="239">
        <v>0</v>
      </c>
      <c r="T42" s="239">
        <v>0</v>
      </c>
      <c r="U42" s="239">
        <v>0</v>
      </c>
      <c r="V42" s="239">
        <v>0</v>
      </c>
      <c r="W42" s="239">
        <v>1074691</v>
      </c>
      <c r="X42" s="239">
        <v>859752</v>
      </c>
      <c r="Y42" s="239">
        <v>193444</v>
      </c>
      <c r="Z42" s="239">
        <v>21494</v>
      </c>
      <c r="AA42" s="239">
        <v>2149381</v>
      </c>
      <c r="AB42" s="239">
        <v>-277175</v>
      </c>
      <c r="AC42" s="239">
        <v>-221741</v>
      </c>
      <c r="AD42" s="239">
        <v>-49892</v>
      </c>
      <c r="AE42" s="239">
        <v>-5544</v>
      </c>
      <c r="AF42" s="239">
        <v>-554352</v>
      </c>
      <c r="AG42" s="239">
        <v>-318797</v>
      </c>
      <c r="AH42" s="239">
        <v>-255036</v>
      </c>
      <c r="AI42" s="239">
        <v>-57384</v>
      </c>
      <c r="AJ42" s="239">
        <v>-6375</v>
      </c>
      <c r="AK42" s="239">
        <v>-637592</v>
      </c>
      <c r="AL42" s="239">
        <v>66681</v>
      </c>
      <c r="AM42" s="239">
        <v>53346</v>
      </c>
      <c r="AN42" s="239">
        <v>12003</v>
      </c>
      <c r="AO42" s="239">
        <v>1334</v>
      </c>
      <c r="AP42" s="239">
        <v>133364</v>
      </c>
      <c r="AQ42" s="239">
        <v>-236892</v>
      </c>
      <c r="AR42" s="239">
        <v>-189513</v>
      </c>
      <c r="AS42" s="239">
        <v>-42640</v>
      </c>
      <c r="AT42" s="239">
        <v>-4738</v>
      </c>
      <c r="AU42" s="239">
        <v>-473783</v>
      </c>
      <c r="AV42" s="239">
        <v>-489008</v>
      </c>
      <c r="AW42" s="239">
        <v>-391203</v>
      </c>
      <c r="AX42" s="239">
        <v>-88021</v>
      </c>
      <c r="AY42" s="239">
        <v>-9779</v>
      </c>
      <c r="AZ42" s="239">
        <v>-978011</v>
      </c>
      <c r="BA42" s="239">
        <v>-957456</v>
      </c>
      <c r="BB42" s="239">
        <v>-765964</v>
      </c>
      <c r="BC42" s="239">
        <v>-172342</v>
      </c>
      <c r="BD42" s="239">
        <v>-19149</v>
      </c>
      <c r="BE42" s="239">
        <v>-1914911</v>
      </c>
      <c r="BF42" s="239">
        <v>133607</v>
      </c>
      <c r="BG42" s="239">
        <v>106886</v>
      </c>
      <c r="BH42" s="239">
        <v>24049</v>
      </c>
      <c r="BI42" s="239">
        <v>2672</v>
      </c>
      <c r="BJ42" s="239">
        <v>267214</v>
      </c>
      <c r="BK42" s="239">
        <v>-129029</v>
      </c>
      <c r="BL42" s="239">
        <v>-103223</v>
      </c>
      <c r="BM42" s="239">
        <v>-23225</v>
      </c>
      <c r="BN42" s="239">
        <v>-2581</v>
      </c>
      <c r="BO42" s="239">
        <v>-258058</v>
      </c>
      <c r="BP42" s="239">
        <v>-952878</v>
      </c>
      <c r="BQ42" s="239">
        <v>-762301</v>
      </c>
      <c r="BR42" s="239">
        <v>-171518</v>
      </c>
      <c r="BS42" s="239">
        <v>-19058</v>
      </c>
      <c r="BT42" s="239">
        <v>-1905755</v>
      </c>
      <c r="BU42" s="239">
        <v>-1175217</v>
      </c>
      <c r="BV42" s="239">
        <v>-940173</v>
      </c>
      <c r="BW42" s="239">
        <v>-211539</v>
      </c>
      <c r="BX42" s="239">
        <v>-23504</v>
      </c>
      <c r="BY42" s="239">
        <v>-2350433</v>
      </c>
      <c r="BZ42" s="239">
        <v>-1050575</v>
      </c>
      <c r="CA42" s="239">
        <v>-840459</v>
      </c>
      <c r="CB42" s="239">
        <v>-189103</v>
      </c>
      <c r="CC42" s="239">
        <v>-21011</v>
      </c>
      <c r="CD42" s="239">
        <v>-2101148</v>
      </c>
      <c r="CE42" s="239">
        <v>-124642</v>
      </c>
      <c r="CF42" s="239">
        <v>-99714</v>
      </c>
      <c r="CG42" s="239">
        <v>-22436</v>
      </c>
      <c r="CH42" s="239">
        <v>-2493</v>
      </c>
      <c r="CI42" s="239">
        <v>-249285</v>
      </c>
      <c r="CJ42" s="239">
        <v>13984159</v>
      </c>
      <c r="CK42" s="239">
        <v>11187326</v>
      </c>
      <c r="CL42" s="239">
        <v>2517148</v>
      </c>
      <c r="CM42" s="239">
        <v>279683</v>
      </c>
      <c r="CN42" s="239">
        <v>27968316</v>
      </c>
      <c r="CO42" s="239">
        <v>13434341</v>
      </c>
      <c r="CP42" s="239">
        <v>10747474</v>
      </c>
      <c r="CQ42" s="239">
        <v>2418182</v>
      </c>
      <c r="CR42" s="239">
        <v>268687</v>
      </c>
      <c r="CS42" s="239">
        <v>26868684</v>
      </c>
      <c r="CT42" s="239">
        <v>-549818</v>
      </c>
      <c r="CU42" s="239">
        <v>-439852</v>
      </c>
      <c r="CV42" s="239">
        <v>-98966</v>
      </c>
      <c r="CW42" s="239">
        <v>-10996</v>
      </c>
      <c r="CX42" s="239">
        <v>-1099632</v>
      </c>
      <c r="CY42" s="239">
        <v>-674460</v>
      </c>
      <c r="CZ42" s="239">
        <v>-539566</v>
      </c>
      <c r="DA42" s="239">
        <v>-121402</v>
      </c>
      <c r="DB42" s="239">
        <v>-13489</v>
      </c>
      <c r="DC42" s="239">
        <v>-1348917</v>
      </c>
      <c r="DD42" s="641">
        <v>0.5</v>
      </c>
      <c r="DE42" s="641">
        <v>0.4</v>
      </c>
      <c r="DF42" s="641">
        <v>0.09</v>
      </c>
      <c r="DG42" s="641">
        <v>0.01</v>
      </c>
      <c r="DH42" s="641">
        <v>1</v>
      </c>
      <c r="DI42" s="214" t="s">
        <v>1190</v>
      </c>
    </row>
    <row r="43" spans="1:113" s="214" customFormat="1" x14ac:dyDescent="0.2">
      <c r="B43" s="609" t="s">
        <v>168</v>
      </c>
      <c r="C43" s="609" t="s">
        <v>167</v>
      </c>
      <c r="D43" s="239">
        <v>20366019</v>
      </c>
      <c r="E43" s="239">
        <v>16292816</v>
      </c>
      <c r="F43" s="239">
        <v>4073204</v>
      </c>
      <c r="G43" s="239">
        <v>0</v>
      </c>
      <c r="H43" s="239">
        <v>40732039</v>
      </c>
      <c r="I43" s="239">
        <v>0</v>
      </c>
      <c r="J43" s="239">
        <v>0</v>
      </c>
      <c r="K43" s="239">
        <v>20366019</v>
      </c>
      <c r="L43" s="239">
        <v>116748</v>
      </c>
      <c r="M43" s="239">
        <v>116748</v>
      </c>
      <c r="N43" s="239">
        <v>0</v>
      </c>
      <c r="O43" s="239">
        <v>0</v>
      </c>
      <c r="P43" s="239">
        <v>0</v>
      </c>
      <c r="Q43" s="239">
        <v>0</v>
      </c>
      <c r="R43" s="239">
        <v>0</v>
      </c>
      <c r="S43" s="239">
        <v>0</v>
      </c>
      <c r="T43" s="239">
        <v>0</v>
      </c>
      <c r="U43" s="239">
        <v>0</v>
      </c>
      <c r="V43" s="239">
        <v>0</v>
      </c>
      <c r="W43" s="239">
        <v>1649887</v>
      </c>
      <c r="X43" s="239">
        <v>1319909</v>
      </c>
      <c r="Y43" s="239">
        <v>329977</v>
      </c>
      <c r="Z43" s="239">
        <v>0</v>
      </c>
      <c r="AA43" s="239">
        <v>3299773</v>
      </c>
      <c r="AB43" s="239">
        <v>-491109</v>
      </c>
      <c r="AC43" s="239">
        <v>-392887</v>
      </c>
      <c r="AD43" s="239">
        <v>-98222</v>
      </c>
      <c r="AE43" s="239">
        <v>0</v>
      </c>
      <c r="AF43" s="239">
        <v>-982218</v>
      </c>
      <c r="AG43" s="239">
        <v>24092.299999999988</v>
      </c>
      <c r="AH43" s="239">
        <v>19275</v>
      </c>
      <c r="AI43" s="239">
        <v>4818</v>
      </c>
      <c r="AJ43" s="239">
        <v>0</v>
      </c>
      <c r="AK43" s="239">
        <v>48185.299999999988</v>
      </c>
      <c r="AL43" s="239">
        <v>0</v>
      </c>
      <c r="AM43" s="239">
        <v>0</v>
      </c>
      <c r="AN43" s="239">
        <v>0</v>
      </c>
      <c r="AO43" s="239">
        <v>0</v>
      </c>
      <c r="AP43" s="239">
        <v>0</v>
      </c>
      <c r="AQ43" s="239">
        <v>-148811</v>
      </c>
      <c r="AR43" s="239">
        <v>-119048</v>
      </c>
      <c r="AS43" s="239">
        <v>-29762</v>
      </c>
      <c r="AT43" s="239">
        <v>0</v>
      </c>
      <c r="AU43" s="239">
        <v>-297621</v>
      </c>
      <c r="AV43" s="239">
        <v>-124718.70000000001</v>
      </c>
      <c r="AW43" s="239">
        <v>-99773</v>
      </c>
      <c r="AX43" s="239">
        <v>-24944</v>
      </c>
      <c r="AY43" s="239">
        <v>0</v>
      </c>
      <c r="AZ43" s="239">
        <v>-249435.7</v>
      </c>
      <c r="BA43" s="239">
        <v>-3165045</v>
      </c>
      <c r="BB43" s="239">
        <v>-2532037</v>
      </c>
      <c r="BC43" s="239">
        <v>-633009</v>
      </c>
      <c r="BD43" s="239">
        <v>0</v>
      </c>
      <c r="BE43" s="239">
        <v>-6330091</v>
      </c>
      <c r="BF43" s="239">
        <v>2322093</v>
      </c>
      <c r="BG43" s="239">
        <v>1857675</v>
      </c>
      <c r="BH43" s="239">
        <v>464419</v>
      </c>
      <c r="BI43" s="239">
        <v>0</v>
      </c>
      <c r="BJ43" s="239">
        <v>4644187</v>
      </c>
      <c r="BK43" s="239">
        <v>-411152</v>
      </c>
      <c r="BL43" s="239">
        <v>-328921</v>
      </c>
      <c r="BM43" s="239">
        <v>-82230</v>
      </c>
      <c r="BN43" s="239">
        <v>0</v>
      </c>
      <c r="BO43" s="239">
        <v>-822303</v>
      </c>
      <c r="BP43" s="239">
        <v>-1254104</v>
      </c>
      <c r="BQ43" s="239">
        <v>-1003283</v>
      </c>
      <c r="BR43" s="239">
        <v>-250820</v>
      </c>
      <c r="BS43" s="239">
        <v>0</v>
      </c>
      <c r="BT43" s="239">
        <v>-2508207</v>
      </c>
      <c r="BU43" s="239">
        <v>-1847646.700000003</v>
      </c>
      <c r="BV43" s="239">
        <v>-1478117</v>
      </c>
      <c r="BW43" s="239">
        <v>-369529</v>
      </c>
      <c r="BX43" s="239">
        <v>0</v>
      </c>
      <c r="BY43" s="239">
        <v>-3695292.700000003</v>
      </c>
      <c r="BZ43" s="239">
        <v>-623501</v>
      </c>
      <c r="CA43" s="239">
        <v>-498800</v>
      </c>
      <c r="CB43" s="239">
        <v>-124700</v>
      </c>
      <c r="CC43" s="239">
        <v>0</v>
      </c>
      <c r="CD43" s="239">
        <v>-1247001</v>
      </c>
      <c r="CE43" s="239">
        <v>-1224145.700000003</v>
      </c>
      <c r="CF43" s="239">
        <v>-979317</v>
      </c>
      <c r="CG43" s="239">
        <v>-244829</v>
      </c>
      <c r="CH43" s="239">
        <v>0</v>
      </c>
      <c r="CI43" s="239">
        <v>-2448291.700000003</v>
      </c>
      <c r="CJ43" s="239">
        <v>21223787</v>
      </c>
      <c r="CK43" s="239">
        <v>16979030</v>
      </c>
      <c r="CL43" s="239">
        <v>4244758</v>
      </c>
      <c r="CM43" s="239">
        <v>0</v>
      </c>
      <c r="CN43" s="239">
        <v>42447575</v>
      </c>
      <c r="CO43" s="239">
        <v>20366019</v>
      </c>
      <c r="CP43" s="239">
        <v>16292816</v>
      </c>
      <c r="CQ43" s="239">
        <v>4073204</v>
      </c>
      <c r="CR43" s="239">
        <v>0</v>
      </c>
      <c r="CS43" s="239">
        <v>40732039</v>
      </c>
      <c r="CT43" s="239">
        <v>-857768</v>
      </c>
      <c r="CU43" s="239">
        <v>-686214</v>
      </c>
      <c r="CV43" s="239">
        <v>-171554</v>
      </c>
      <c r="CW43" s="239">
        <v>0</v>
      </c>
      <c r="CX43" s="239">
        <v>-1715536</v>
      </c>
      <c r="CY43" s="239">
        <v>-2081913.700000003</v>
      </c>
      <c r="CZ43" s="239">
        <v>-1665531</v>
      </c>
      <c r="DA43" s="239">
        <v>-416383</v>
      </c>
      <c r="DB43" s="239">
        <v>0</v>
      </c>
      <c r="DC43" s="239">
        <v>-4163827.700000003</v>
      </c>
      <c r="DD43" s="641">
        <v>0.5</v>
      </c>
      <c r="DE43" s="641">
        <v>0.4</v>
      </c>
      <c r="DF43" s="641">
        <v>0.1</v>
      </c>
      <c r="DG43" s="641">
        <v>0</v>
      </c>
      <c r="DH43" s="641">
        <v>1</v>
      </c>
      <c r="DI43" s="214" t="s">
        <v>1190</v>
      </c>
    </row>
    <row r="44" spans="1:113" s="214" customFormat="1" x14ac:dyDescent="0.2">
      <c r="A44" s="215" t="s">
        <v>1211</v>
      </c>
      <c r="B44" s="609" t="s">
        <v>170</v>
      </c>
      <c r="C44" s="609" t="s">
        <v>169</v>
      </c>
      <c r="D44" s="239">
        <v>11568583</v>
      </c>
      <c r="E44" s="239">
        <v>9254867</v>
      </c>
      <c r="F44" s="239">
        <v>2082345</v>
      </c>
      <c r="G44" s="239">
        <v>231372</v>
      </c>
      <c r="H44" s="239">
        <v>23137167</v>
      </c>
      <c r="I44" s="239">
        <v>72260.18595041323</v>
      </c>
      <c r="J44" s="239">
        <v>72260.18595041323</v>
      </c>
      <c r="K44" s="239">
        <v>11496322.814049587</v>
      </c>
      <c r="L44" s="239">
        <v>107528</v>
      </c>
      <c r="M44" s="239">
        <v>107528</v>
      </c>
      <c r="N44" s="239">
        <v>0</v>
      </c>
      <c r="O44" s="239">
        <v>0</v>
      </c>
      <c r="P44" s="239">
        <v>0</v>
      </c>
      <c r="Q44" s="239">
        <v>0</v>
      </c>
      <c r="R44" s="239">
        <v>0</v>
      </c>
      <c r="S44" s="239">
        <v>72260.18595041323</v>
      </c>
      <c r="T44" s="239">
        <v>0</v>
      </c>
      <c r="U44" s="239">
        <v>0</v>
      </c>
      <c r="V44" s="239">
        <v>72260.18595041323</v>
      </c>
      <c r="W44" s="239">
        <v>601329</v>
      </c>
      <c r="X44" s="239">
        <v>481064</v>
      </c>
      <c r="Y44" s="239">
        <v>108239</v>
      </c>
      <c r="Z44" s="239">
        <v>12027</v>
      </c>
      <c r="AA44" s="239">
        <v>1202659</v>
      </c>
      <c r="AB44" s="239">
        <v>-301491</v>
      </c>
      <c r="AC44" s="239">
        <v>-241192</v>
      </c>
      <c r="AD44" s="239">
        <v>-54268</v>
      </c>
      <c r="AE44" s="239">
        <v>-6030</v>
      </c>
      <c r="AF44" s="239">
        <v>-602981</v>
      </c>
      <c r="AG44" s="239">
        <v>-318500</v>
      </c>
      <c r="AH44" s="239">
        <v>-254800</v>
      </c>
      <c r="AI44" s="239">
        <v>-57330</v>
      </c>
      <c r="AJ44" s="239">
        <v>-6370</v>
      </c>
      <c r="AK44" s="239">
        <v>-637000</v>
      </c>
      <c r="AL44" s="239">
        <v>37311</v>
      </c>
      <c r="AM44" s="239">
        <v>29849</v>
      </c>
      <c r="AN44" s="239">
        <v>6716</v>
      </c>
      <c r="AO44" s="239">
        <v>746</v>
      </c>
      <c r="AP44" s="239">
        <v>74622</v>
      </c>
      <c r="AQ44" s="239">
        <v>-76811</v>
      </c>
      <c r="AR44" s="239">
        <v>-61449</v>
      </c>
      <c r="AS44" s="239">
        <v>-13826</v>
      </c>
      <c r="AT44" s="239">
        <v>-1536</v>
      </c>
      <c r="AU44" s="239">
        <v>-153622</v>
      </c>
      <c r="AV44" s="239">
        <v>-358000</v>
      </c>
      <c r="AW44" s="239">
        <v>-286400</v>
      </c>
      <c r="AX44" s="239">
        <v>-64440</v>
      </c>
      <c r="AY44" s="239">
        <v>-7160</v>
      </c>
      <c r="AZ44" s="239">
        <v>-716000</v>
      </c>
      <c r="BA44" s="239">
        <v>-884370</v>
      </c>
      <c r="BB44" s="239">
        <v>-707497</v>
      </c>
      <c r="BC44" s="239">
        <v>-159187</v>
      </c>
      <c r="BD44" s="239">
        <v>-17687</v>
      </c>
      <c r="BE44" s="239">
        <v>-1768741</v>
      </c>
      <c r="BF44" s="239">
        <v>469241</v>
      </c>
      <c r="BG44" s="239">
        <v>375393</v>
      </c>
      <c r="BH44" s="239">
        <v>84463</v>
      </c>
      <c r="BI44" s="239">
        <v>9385</v>
      </c>
      <c r="BJ44" s="239">
        <v>938482</v>
      </c>
      <c r="BK44" s="239">
        <v>-1096737</v>
      </c>
      <c r="BL44" s="239">
        <v>-877390</v>
      </c>
      <c r="BM44" s="239">
        <v>-197413</v>
      </c>
      <c r="BN44" s="239">
        <v>-21935</v>
      </c>
      <c r="BO44" s="239">
        <v>-2193475</v>
      </c>
      <c r="BP44" s="239">
        <v>-1511866</v>
      </c>
      <c r="BQ44" s="239">
        <v>-1209494</v>
      </c>
      <c r="BR44" s="239">
        <v>-272137</v>
      </c>
      <c r="BS44" s="239">
        <v>-30237</v>
      </c>
      <c r="BT44" s="239">
        <v>-3023734</v>
      </c>
      <c r="BU44" s="239">
        <v>-444659</v>
      </c>
      <c r="BV44" s="239">
        <v>-355726</v>
      </c>
      <c r="BW44" s="239">
        <v>-80038</v>
      </c>
      <c r="BX44" s="239">
        <v>-8893</v>
      </c>
      <c r="BY44" s="239">
        <v>-889316</v>
      </c>
      <c r="BZ44" s="239">
        <v>-194534</v>
      </c>
      <c r="CA44" s="239">
        <v>-155628</v>
      </c>
      <c r="CB44" s="239">
        <v>-35016</v>
      </c>
      <c r="CC44" s="239">
        <v>-3891</v>
      </c>
      <c r="CD44" s="239">
        <v>-389069</v>
      </c>
      <c r="CE44" s="239">
        <v>-250125</v>
      </c>
      <c r="CF44" s="239">
        <v>-200098</v>
      </c>
      <c r="CG44" s="239">
        <v>-45022</v>
      </c>
      <c r="CH44" s="239">
        <v>-5002</v>
      </c>
      <c r="CI44" s="239">
        <v>-500247</v>
      </c>
      <c r="CJ44" s="239">
        <v>12987193</v>
      </c>
      <c r="CK44" s="239">
        <v>10389755</v>
      </c>
      <c r="CL44" s="239">
        <v>2337695</v>
      </c>
      <c r="CM44" s="239">
        <v>259744</v>
      </c>
      <c r="CN44" s="239">
        <v>25974387</v>
      </c>
      <c r="CO44" s="239">
        <v>11568583</v>
      </c>
      <c r="CP44" s="239">
        <v>9254867</v>
      </c>
      <c r="CQ44" s="239">
        <v>2082345</v>
      </c>
      <c r="CR44" s="239">
        <v>231372</v>
      </c>
      <c r="CS44" s="239">
        <v>23137167</v>
      </c>
      <c r="CT44" s="239">
        <v>-1418610</v>
      </c>
      <c r="CU44" s="239">
        <v>-1134888</v>
      </c>
      <c r="CV44" s="239">
        <v>-255350</v>
      </c>
      <c r="CW44" s="239">
        <v>-28372</v>
      </c>
      <c r="CX44" s="239">
        <v>-2837220</v>
      </c>
      <c r="CY44" s="239">
        <v>-1668735</v>
      </c>
      <c r="CZ44" s="239">
        <v>-1334986</v>
      </c>
      <c r="DA44" s="239">
        <v>-300372</v>
      </c>
      <c r="DB44" s="239">
        <v>-33374</v>
      </c>
      <c r="DC44" s="239">
        <v>-3337467</v>
      </c>
      <c r="DD44" s="641">
        <v>0.5</v>
      </c>
      <c r="DE44" s="641">
        <v>0.4</v>
      </c>
      <c r="DF44" s="641">
        <v>0.09</v>
      </c>
      <c r="DG44" s="641">
        <v>0.01</v>
      </c>
      <c r="DH44" s="641">
        <v>1</v>
      </c>
      <c r="DI44" s="214" t="s">
        <v>1190</v>
      </c>
    </row>
    <row r="45" spans="1:113" s="214" customFormat="1" x14ac:dyDescent="0.2">
      <c r="B45" s="609" t="s">
        <v>172</v>
      </c>
      <c r="C45" s="609" t="s">
        <v>171</v>
      </c>
      <c r="D45" s="239">
        <v>14726760</v>
      </c>
      <c r="E45" s="239">
        <v>11781408</v>
      </c>
      <c r="F45" s="239">
        <v>2650817</v>
      </c>
      <c r="G45" s="239">
        <v>294535</v>
      </c>
      <c r="H45" s="239">
        <v>29453520</v>
      </c>
      <c r="I45" s="239">
        <v>0</v>
      </c>
      <c r="J45" s="239">
        <v>0</v>
      </c>
      <c r="K45" s="239">
        <v>14726760</v>
      </c>
      <c r="L45" s="239">
        <v>151284</v>
      </c>
      <c r="M45" s="239">
        <v>151284</v>
      </c>
      <c r="N45" s="239">
        <v>0</v>
      </c>
      <c r="O45" s="239">
        <v>0</v>
      </c>
      <c r="P45" s="239">
        <v>238391</v>
      </c>
      <c r="Q45" s="239">
        <v>0</v>
      </c>
      <c r="R45" s="239">
        <v>238391</v>
      </c>
      <c r="S45" s="239">
        <v>0</v>
      </c>
      <c r="T45" s="239">
        <v>0</v>
      </c>
      <c r="U45" s="239">
        <v>0</v>
      </c>
      <c r="V45" s="239">
        <v>0</v>
      </c>
      <c r="W45" s="239">
        <v>837104</v>
      </c>
      <c r="X45" s="239">
        <v>669684</v>
      </c>
      <c r="Y45" s="239">
        <v>150679</v>
      </c>
      <c r="Z45" s="239">
        <v>16742</v>
      </c>
      <c r="AA45" s="239">
        <v>1674209</v>
      </c>
      <c r="AB45" s="239">
        <v>-156384</v>
      </c>
      <c r="AC45" s="239">
        <v>-125107</v>
      </c>
      <c r="AD45" s="239">
        <v>-28149</v>
      </c>
      <c r="AE45" s="239">
        <v>-3128</v>
      </c>
      <c r="AF45" s="239">
        <v>-312768</v>
      </c>
      <c r="AG45" s="239">
        <v>-679963.34000000008</v>
      </c>
      <c r="AH45" s="239">
        <v>-543970</v>
      </c>
      <c r="AI45" s="239">
        <v>-122392</v>
      </c>
      <c r="AJ45" s="239">
        <v>-13600</v>
      </c>
      <c r="AK45" s="239">
        <v>-1359925.3399999999</v>
      </c>
      <c r="AL45" s="239">
        <v>240802</v>
      </c>
      <c r="AM45" s="239">
        <v>192641</v>
      </c>
      <c r="AN45" s="239">
        <v>43344</v>
      </c>
      <c r="AO45" s="239">
        <v>4816</v>
      </c>
      <c r="AP45" s="239">
        <v>481603</v>
      </c>
      <c r="AQ45" s="239">
        <v>-211764</v>
      </c>
      <c r="AR45" s="239">
        <v>-169411</v>
      </c>
      <c r="AS45" s="239">
        <v>-38118</v>
      </c>
      <c r="AT45" s="239">
        <v>-4235</v>
      </c>
      <c r="AU45" s="239">
        <v>-423528</v>
      </c>
      <c r="AV45" s="239">
        <v>-650925.34000000008</v>
      </c>
      <c r="AW45" s="239">
        <v>-520740</v>
      </c>
      <c r="AX45" s="239">
        <v>-117166</v>
      </c>
      <c r="AY45" s="239">
        <v>-13019</v>
      </c>
      <c r="AZ45" s="239">
        <v>-1301850.3399999999</v>
      </c>
      <c r="BA45" s="239">
        <v>-3518159</v>
      </c>
      <c r="BB45" s="239">
        <v>-2814527</v>
      </c>
      <c r="BC45" s="239">
        <v>-633269</v>
      </c>
      <c r="BD45" s="239">
        <v>-70364</v>
      </c>
      <c r="BE45" s="239">
        <v>-7036319</v>
      </c>
      <c r="BF45" s="239">
        <v>695778</v>
      </c>
      <c r="BG45" s="239">
        <v>556623</v>
      </c>
      <c r="BH45" s="239">
        <v>125240</v>
      </c>
      <c r="BI45" s="239">
        <v>13916</v>
      </c>
      <c r="BJ45" s="239">
        <v>1391557</v>
      </c>
      <c r="BK45" s="239">
        <v>-537370</v>
      </c>
      <c r="BL45" s="239">
        <v>-429896</v>
      </c>
      <c r="BM45" s="239">
        <v>-96727</v>
      </c>
      <c r="BN45" s="239">
        <v>-10747</v>
      </c>
      <c r="BO45" s="239">
        <v>-1074740</v>
      </c>
      <c r="BP45" s="239">
        <v>-3359751</v>
      </c>
      <c r="BQ45" s="239">
        <v>-2687800</v>
      </c>
      <c r="BR45" s="239">
        <v>-604756</v>
      </c>
      <c r="BS45" s="239">
        <v>-67195</v>
      </c>
      <c r="BT45" s="239">
        <v>-6719502</v>
      </c>
      <c r="BU45" s="239">
        <v>-3532446</v>
      </c>
      <c r="BV45" s="239">
        <v>-2825956</v>
      </c>
      <c r="BW45" s="239">
        <v>-635840</v>
      </c>
      <c r="BX45" s="239">
        <v>-70649</v>
      </c>
      <c r="BY45" s="239">
        <v>-7064891</v>
      </c>
      <c r="BZ45" s="239">
        <v>-2951153</v>
      </c>
      <c r="CA45" s="239">
        <v>-2360923</v>
      </c>
      <c r="CB45" s="239">
        <v>-531208</v>
      </c>
      <c r="CC45" s="239">
        <v>-59023</v>
      </c>
      <c r="CD45" s="239">
        <v>-5902307</v>
      </c>
      <c r="CE45" s="239">
        <v>-581293</v>
      </c>
      <c r="CF45" s="239">
        <v>-465033</v>
      </c>
      <c r="CG45" s="239">
        <v>-104632</v>
      </c>
      <c r="CH45" s="239">
        <v>-11626</v>
      </c>
      <c r="CI45" s="239">
        <v>-1162584</v>
      </c>
      <c r="CJ45" s="239">
        <v>14073832</v>
      </c>
      <c r="CK45" s="239">
        <v>11259066</v>
      </c>
      <c r="CL45" s="239">
        <v>2533290</v>
      </c>
      <c r="CM45" s="239">
        <v>281477</v>
      </c>
      <c r="CN45" s="239">
        <v>28147665</v>
      </c>
      <c r="CO45" s="239">
        <v>14726760</v>
      </c>
      <c r="CP45" s="239">
        <v>11781408</v>
      </c>
      <c r="CQ45" s="239">
        <v>2650817</v>
      </c>
      <c r="CR45" s="239">
        <v>294535</v>
      </c>
      <c r="CS45" s="239">
        <v>29453520</v>
      </c>
      <c r="CT45" s="239">
        <v>652928</v>
      </c>
      <c r="CU45" s="239">
        <v>522342</v>
      </c>
      <c r="CV45" s="239">
        <v>117527</v>
      </c>
      <c r="CW45" s="239">
        <v>13058</v>
      </c>
      <c r="CX45" s="239">
        <v>1305855</v>
      </c>
      <c r="CY45" s="239">
        <v>71635</v>
      </c>
      <c r="CZ45" s="239">
        <v>57309</v>
      </c>
      <c r="DA45" s="239">
        <v>12895</v>
      </c>
      <c r="DB45" s="239">
        <v>1432</v>
      </c>
      <c r="DC45" s="239">
        <v>143271</v>
      </c>
      <c r="DD45" s="641">
        <v>0.5</v>
      </c>
      <c r="DE45" s="641">
        <v>0.4</v>
      </c>
      <c r="DF45" s="641">
        <v>0.09</v>
      </c>
      <c r="DG45" s="641">
        <v>0.01</v>
      </c>
      <c r="DH45" s="641">
        <v>1</v>
      </c>
      <c r="DI45" s="214" t="s">
        <v>1190</v>
      </c>
    </row>
    <row r="46" spans="1:113" s="214" customFormat="1" x14ac:dyDescent="0.2">
      <c r="B46" s="609" t="s">
        <v>174</v>
      </c>
      <c r="C46" s="609" t="s">
        <v>173</v>
      </c>
      <c r="D46" s="239">
        <v>24170781</v>
      </c>
      <c r="E46" s="239">
        <v>23687366</v>
      </c>
      <c r="F46" s="239">
        <v>0</v>
      </c>
      <c r="G46" s="239">
        <v>483416</v>
      </c>
      <c r="H46" s="239">
        <v>48341563</v>
      </c>
      <c r="I46" s="239">
        <v>0</v>
      </c>
      <c r="J46" s="239">
        <v>0</v>
      </c>
      <c r="K46" s="239">
        <v>24170781</v>
      </c>
      <c r="L46" s="239">
        <v>244147</v>
      </c>
      <c r="M46" s="239">
        <v>244147</v>
      </c>
      <c r="N46" s="239">
        <v>0</v>
      </c>
      <c r="O46" s="239">
        <v>0</v>
      </c>
      <c r="P46" s="239">
        <v>0</v>
      </c>
      <c r="Q46" s="239">
        <v>0</v>
      </c>
      <c r="R46" s="239">
        <v>0</v>
      </c>
      <c r="S46" s="239">
        <v>0</v>
      </c>
      <c r="T46" s="239">
        <v>0</v>
      </c>
      <c r="U46" s="239">
        <v>0</v>
      </c>
      <c r="V46" s="239">
        <v>0</v>
      </c>
      <c r="W46" s="239">
        <v>3800101</v>
      </c>
      <c r="X46" s="239">
        <v>3724098</v>
      </c>
      <c r="Y46" s="239">
        <v>0</v>
      </c>
      <c r="Z46" s="239">
        <v>76002</v>
      </c>
      <c r="AA46" s="239">
        <v>7600201</v>
      </c>
      <c r="AB46" s="239">
        <v>-698735</v>
      </c>
      <c r="AC46" s="239">
        <v>-684760</v>
      </c>
      <c r="AD46" s="239">
        <v>0</v>
      </c>
      <c r="AE46" s="239">
        <v>-13975</v>
      </c>
      <c r="AF46" s="239">
        <v>-1397470</v>
      </c>
      <c r="AG46" s="239">
        <v>-2724978</v>
      </c>
      <c r="AH46" s="239">
        <v>-2670479.4</v>
      </c>
      <c r="AI46" s="239">
        <v>0</v>
      </c>
      <c r="AJ46" s="239">
        <v>-54499.6</v>
      </c>
      <c r="AK46" s="239">
        <v>-5449957</v>
      </c>
      <c r="AL46" s="239">
        <v>1843924</v>
      </c>
      <c r="AM46" s="239">
        <v>1807047</v>
      </c>
      <c r="AN46" s="239">
        <v>0</v>
      </c>
      <c r="AO46" s="239">
        <v>36879</v>
      </c>
      <c r="AP46" s="239">
        <v>3687850</v>
      </c>
      <c r="AQ46" s="239">
        <v>-1003516</v>
      </c>
      <c r="AR46" s="239">
        <v>-983445</v>
      </c>
      <c r="AS46" s="239">
        <v>0</v>
      </c>
      <c r="AT46" s="239">
        <v>-20070</v>
      </c>
      <c r="AU46" s="239">
        <v>-2007031</v>
      </c>
      <c r="AV46" s="239">
        <v>-1884570</v>
      </c>
      <c r="AW46" s="239">
        <v>-1846877.4</v>
      </c>
      <c r="AX46" s="239">
        <v>0</v>
      </c>
      <c r="AY46" s="239">
        <v>-37690.6</v>
      </c>
      <c r="AZ46" s="239">
        <v>-3769138</v>
      </c>
      <c r="BA46" s="239">
        <v>-2950283</v>
      </c>
      <c r="BB46" s="239">
        <v>-2891277</v>
      </c>
      <c r="BC46" s="239">
        <v>0</v>
      </c>
      <c r="BD46" s="239">
        <v>-59006</v>
      </c>
      <c r="BE46" s="239">
        <v>-5900566</v>
      </c>
      <c r="BF46" s="239">
        <v>387967</v>
      </c>
      <c r="BG46" s="239">
        <v>380208</v>
      </c>
      <c r="BH46" s="239">
        <v>0</v>
      </c>
      <c r="BI46" s="239">
        <v>7759</v>
      </c>
      <c r="BJ46" s="239">
        <v>775934</v>
      </c>
      <c r="BK46" s="239">
        <v>-1147058</v>
      </c>
      <c r="BL46" s="239">
        <v>-1124117</v>
      </c>
      <c r="BM46" s="239">
        <v>0</v>
      </c>
      <c r="BN46" s="239">
        <v>-22941</v>
      </c>
      <c r="BO46" s="239">
        <v>-2294116</v>
      </c>
      <c r="BP46" s="239">
        <v>-3709374</v>
      </c>
      <c r="BQ46" s="239">
        <v>-3635186</v>
      </c>
      <c r="BR46" s="239">
        <v>0</v>
      </c>
      <c r="BS46" s="239">
        <v>-74188</v>
      </c>
      <c r="BT46" s="239">
        <v>-7418748</v>
      </c>
      <c r="BU46" s="239">
        <v>-2607866</v>
      </c>
      <c r="BV46" s="239">
        <v>-2555709</v>
      </c>
      <c r="BW46" s="239">
        <v>0</v>
      </c>
      <c r="BX46" s="239">
        <v>-52157</v>
      </c>
      <c r="BY46" s="239">
        <v>-5215732</v>
      </c>
      <c r="BZ46" s="239">
        <v>-2448786</v>
      </c>
      <c r="CA46" s="239">
        <v>-2399811</v>
      </c>
      <c r="CB46" s="239">
        <v>0</v>
      </c>
      <c r="CC46" s="239">
        <v>-48976</v>
      </c>
      <c r="CD46" s="239">
        <v>-4897573</v>
      </c>
      <c r="CE46" s="239">
        <v>-159080</v>
      </c>
      <c r="CF46" s="239">
        <v>-155898</v>
      </c>
      <c r="CG46" s="239">
        <v>0</v>
      </c>
      <c r="CH46" s="239">
        <v>-3181</v>
      </c>
      <c r="CI46" s="239">
        <v>-318159</v>
      </c>
      <c r="CJ46" s="239">
        <v>25506114</v>
      </c>
      <c r="CK46" s="239">
        <v>24995991</v>
      </c>
      <c r="CL46" s="239">
        <v>0</v>
      </c>
      <c r="CM46" s="239">
        <v>510122</v>
      </c>
      <c r="CN46" s="239">
        <v>51012227</v>
      </c>
      <c r="CO46" s="239">
        <v>24170781</v>
      </c>
      <c r="CP46" s="239">
        <v>23687366</v>
      </c>
      <c r="CQ46" s="239">
        <v>0</v>
      </c>
      <c r="CR46" s="239">
        <v>483416</v>
      </c>
      <c r="CS46" s="239">
        <v>48341563</v>
      </c>
      <c r="CT46" s="239">
        <v>-1335333</v>
      </c>
      <c r="CU46" s="239">
        <v>-1308625</v>
      </c>
      <c r="CV46" s="239">
        <v>0</v>
      </c>
      <c r="CW46" s="239">
        <v>-26706</v>
      </c>
      <c r="CX46" s="239">
        <v>-2670664</v>
      </c>
      <c r="CY46" s="239">
        <v>-1494413</v>
      </c>
      <c r="CZ46" s="239">
        <v>-1464523</v>
      </c>
      <c r="DA46" s="239">
        <v>0</v>
      </c>
      <c r="DB46" s="239">
        <v>-29887</v>
      </c>
      <c r="DC46" s="239">
        <v>-2988823</v>
      </c>
      <c r="DD46" s="641">
        <v>0.5</v>
      </c>
      <c r="DE46" s="641">
        <v>0.49</v>
      </c>
      <c r="DF46" s="641">
        <v>0</v>
      </c>
      <c r="DG46" s="641">
        <v>0.01</v>
      </c>
      <c r="DH46" s="641">
        <v>1</v>
      </c>
      <c r="DI46" s="214" t="s">
        <v>1192</v>
      </c>
    </row>
    <row r="47" spans="1:113" s="214" customFormat="1" x14ac:dyDescent="0.2">
      <c r="B47" s="609" t="s">
        <v>176</v>
      </c>
      <c r="C47" s="609" t="s">
        <v>175</v>
      </c>
      <c r="D47" s="239">
        <v>27624250</v>
      </c>
      <c r="E47" s="239">
        <v>27071765</v>
      </c>
      <c r="F47" s="239">
        <v>0</v>
      </c>
      <c r="G47" s="239">
        <v>552485</v>
      </c>
      <c r="H47" s="239">
        <v>55248500</v>
      </c>
      <c r="I47" s="239">
        <v>0</v>
      </c>
      <c r="J47" s="239">
        <v>0</v>
      </c>
      <c r="K47" s="239">
        <v>27624250</v>
      </c>
      <c r="L47" s="239">
        <v>356038</v>
      </c>
      <c r="M47" s="239">
        <v>356038</v>
      </c>
      <c r="N47" s="239">
        <v>0</v>
      </c>
      <c r="O47" s="239">
        <v>0</v>
      </c>
      <c r="P47" s="239">
        <v>194824</v>
      </c>
      <c r="Q47" s="239">
        <v>0</v>
      </c>
      <c r="R47" s="239">
        <v>194824</v>
      </c>
      <c r="S47" s="239">
        <v>0</v>
      </c>
      <c r="T47" s="239">
        <v>0</v>
      </c>
      <c r="U47" s="239">
        <v>0</v>
      </c>
      <c r="V47" s="239">
        <v>0</v>
      </c>
      <c r="W47" s="239">
        <v>2498148</v>
      </c>
      <c r="X47" s="239">
        <v>2448186</v>
      </c>
      <c r="Y47" s="239">
        <v>0</v>
      </c>
      <c r="Z47" s="239">
        <v>49963</v>
      </c>
      <c r="AA47" s="239">
        <v>4996297</v>
      </c>
      <c r="AB47" s="239">
        <v>-884163</v>
      </c>
      <c r="AC47" s="239">
        <v>-866480</v>
      </c>
      <c r="AD47" s="239">
        <v>0</v>
      </c>
      <c r="AE47" s="239">
        <v>-17683</v>
      </c>
      <c r="AF47" s="239">
        <v>-1768326</v>
      </c>
      <c r="AG47" s="239">
        <v>-1766685</v>
      </c>
      <c r="AH47" s="239">
        <v>-1731351</v>
      </c>
      <c r="AI47" s="239">
        <v>0</v>
      </c>
      <c r="AJ47" s="239">
        <v>-35333</v>
      </c>
      <c r="AK47" s="239">
        <v>-3533369</v>
      </c>
      <c r="AL47" s="239">
        <v>886167</v>
      </c>
      <c r="AM47" s="239">
        <v>868444</v>
      </c>
      <c r="AN47" s="239">
        <v>0</v>
      </c>
      <c r="AO47" s="239">
        <v>17723</v>
      </c>
      <c r="AP47" s="239">
        <v>1772334</v>
      </c>
      <c r="AQ47" s="239">
        <v>-500962</v>
      </c>
      <c r="AR47" s="239">
        <v>-490942</v>
      </c>
      <c r="AS47" s="239">
        <v>0</v>
      </c>
      <c r="AT47" s="239">
        <v>-10019</v>
      </c>
      <c r="AU47" s="239">
        <v>-1001923</v>
      </c>
      <c r="AV47" s="239">
        <v>-1381480</v>
      </c>
      <c r="AW47" s="239">
        <v>-1353849</v>
      </c>
      <c r="AX47" s="239">
        <v>0</v>
      </c>
      <c r="AY47" s="239">
        <v>-27629</v>
      </c>
      <c r="AZ47" s="239">
        <v>-2762958</v>
      </c>
      <c r="BA47" s="239">
        <v>-2268328</v>
      </c>
      <c r="BB47" s="239">
        <v>-2222962</v>
      </c>
      <c r="BC47" s="239">
        <v>0</v>
      </c>
      <c r="BD47" s="239">
        <v>-45366</v>
      </c>
      <c r="BE47" s="239">
        <v>-4536656</v>
      </c>
      <c r="BF47" s="239">
        <v>1244419</v>
      </c>
      <c r="BG47" s="239">
        <v>1219531</v>
      </c>
      <c r="BH47" s="239">
        <v>0</v>
      </c>
      <c r="BI47" s="239">
        <v>24888</v>
      </c>
      <c r="BJ47" s="239">
        <v>2488838</v>
      </c>
      <c r="BK47" s="239">
        <v>-2286329</v>
      </c>
      <c r="BL47" s="239">
        <v>-2240603</v>
      </c>
      <c r="BM47" s="239">
        <v>0</v>
      </c>
      <c r="BN47" s="239">
        <v>-45727</v>
      </c>
      <c r="BO47" s="239">
        <v>-4572659</v>
      </c>
      <c r="BP47" s="239">
        <v>-3310238</v>
      </c>
      <c r="BQ47" s="239">
        <v>-3244034</v>
      </c>
      <c r="BR47" s="239">
        <v>0</v>
      </c>
      <c r="BS47" s="239">
        <v>-66205</v>
      </c>
      <c r="BT47" s="239">
        <v>-6620477</v>
      </c>
      <c r="BU47" s="239">
        <v>-2222968</v>
      </c>
      <c r="BV47" s="239">
        <v>-2178509</v>
      </c>
      <c r="BW47" s="239">
        <v>0</v>
      </c>
      <c r="BX47" s="239">
        <v>-44459</v>
      </c>
      <c r="BY47" s="239">
        <v>-4445936</v>
      </c>
      <c r="BZ47" s="239">
        <v>-2142495</v>
      </c>
      <c r="CA47" s="239">
        <v>-2099646</v>
      </c>
      <c r="CB47" s="239">
        <v>0</v>
      </c>
      <c r="CC47" s="239">
        <v>-42850</v>
      </c>
      <c r="CD47" s="239">
        <v>-4284991</v>
      </c>
      <c r="CE47" s="239">
        <v>-80473</v>
      </c>
      <c r="CF47" s="239">
        <v>-78863</v>
      </c>
      <c r="CG47" s="239">
        <v>0</v>
      </c>
      <c r="CH47" s="239">
        <v>-1609</v>
      </c>
      <c r="CI47" s="239">
        <v>-160945</v>
      </c>
      <c r="CJ47" s="239">
        <v>30038066</v>
      </c>
      <c r="CK47" s="239">
        <v>29437304</v>
      </c>
      <c r="CL47" s="239">
        <v>0</v>
      </c>
      <c r="CM47" s="239">
        <v>600761</v>
      </c>
      <c r="CN47" s="239">
        <v>60076131</v>
      </c>
      <c r="CO47" s="239">
        <v>27624250</v>
      </c>
      <c r="CP47" s="239">
        <v>27071765</v>
      </c>
      <c r="CQ47" s="239">
        <v>0</v>
      </c>
      <c r="CR47" s="239">
        <v>552485</v>
      </c>
      <c r="CS47" s="239">
        <v>55248500</v>
      </c>
      <c r="CT47" s="239">
        <v>-2413816</v>
      </c>
      <c r="CU47" s="239">
        <v>-2365539</v>
      </c>
      <c r="CV47" s="239">
        <v>0</v>
      </c>
      <c r="CW47" s="239">
        <v>-48276</v>
      </c>
      <c r="CX47" s="239">
        <v>-4827631</v>
      </c>
      <c r="CY47" s="239">
        <v>-2494289</v>
      </c>
      <c r="CZ47" s="239">
        <v>-2444402</v>
      </c>
      <c r="DA47" s="239">
        <v>0</v>
      </c>
      <c r="DB47" s="239">
        <v>-49885</v>
      </c>
      <c r="DC47" s="239">
        <v>-4988576</v>
      </c>
      <c r="DD47" s="641">
        <v>0.5</v>
      </c>
      <c r="DE47" s="641">
        <v>0.49</v>
      </c>
      <c r="DF47" s="641">
        <v>0</v>
      </c>
      <c r="DG47" s="641">
        <v>0.01</v>
      </c>
      <c r="DH47" s="641">
        <v>1</v>
      </c>
      <c r="DI47" s="214" t="s">
        <v>1192</v>
      </c>
    </row>
    <row r="48" spans="1:113" s="214" customFormat="1" x14ac:dyDescent="0.2">
      <c r="B48" s="609" t="s">
        <v>178</v>
      </c>
      <c r="C48" s="609" t="s">
        <v>177</v>
      </c>
      <c r="D48" s="239">
        <v>49498215</v>
      </c>
      <c r="E48" s="239">
        <v>39598572</v>
      </c>
      <c r="F48" s="239">
        <v>8909679</v>
      </c>
      <c r="G48" s="239">
        <v>989964</v>
      </c>
      <c r="H48" s="239">
        <v>98996430</v>
      </c>
      <c r="I48" s="239">
        <v>0</v>
      </c>
      <c r="J48" s="239">
        <v>0</v>
      </c>
      <c r="K48" s="239">
        <v>49498215</v>
      </c>
      <c r="L48" s="239">
        <v>225956</v>
      </c>
      <c r="M48" s="239">
        <v>225956</v>
      </c>
      <c r="N48" s="239">
        <v>0</v>
      </c>
      <c r="O48" s="239">
        <v>0</v>
      </c>
      <c r="P48" s="239">
        <v>0</v>
      </c>
      <c r="Q48" s="239">
        <v>0</v>
      </c>
      <c r="R48" s="239">
        <v>0</v>
      </c>
      <c r="S48" s="239">
        <v>0</v>
      </c>
      <c r="T48" s="239">
        <v>0</v>
      </c>
      <c r="U48" s="239">
        <v>0</v>
      </c>
      <c r="V48" s="239">
        <v>0</v>
      </c>
      <c r="W48" s="239">
        <v>677825</v>
      </c>
      <c r="X48" s="239">
        <v>542260</v>
      </c>
      <c r="Y48" s="239">
        <v>122008</v>
      </c>
      <c r="Z48" s="239">
        <v>13556</v>
      </c>
      <c r="AA48" s="239">
        <v>1355649</v>
      </c>
      <c r="AB48" s="239">
        <v>-1223249</v>
      </c>
      <c r="AC48" s="239">
        <v>-978600</v>
      </c>
      <c r="AD48" s="239">
        <v>-220185</v>
      </c>
      <c r="AE48" s="239">
        <v>-24465</v>
      </c>
      <c r="AF48" s="239">
        <v>-2446499</v>
      </c>
      <c r="AG48" s="239">
        <v>-487838</v>
      </c>
      <c r="AH48" s="239">
        <v>-390271</v>
      </c>
      <c r="AI48" s="239">
        <v>-87811</v>
      </c>
      <c r="AJ48" s="239">
        <v>-9757</v>
      </c>
      <c r="AK48" s="239">
        <v>-975677</v>
      </c>
      <c r="AL48" s="239">
        <v>207025</v>
      </c>
      <c r="AM48" s="239">
        <v>165619</v>
      </c>
      <c r="AN48" s="239">
        <v>37264</v>
      </c>
      <c r="AO48" s="239">
        <v>4140</v>
      </c>
      <c r="AP48" s="239">
        <v>414048</v>
      </c>
      <c r="AQ48" s="239">
        <v>-54826</v>
      </c>
      <c r="AR48" s="239">
        <v>-43861</v>
      </c>
      <c r="AS48" s="239">
        <v>-9869</v>
      </c>
      <c r="AT48" s="239">
        <v>-1097</v>
      </c>
      <c r="AU48" s="239">
        <v>-109653</v>
      </c>
      <c r="AV48" s="239">
        <v>-335639</v>
      </c>
      <c r="AW48" s="239">
        <v>-268513</v>
      </c>
      <c r="AX48" s="239">
        <v>-60416</v>
      </c>
      <c r="AY48" s="239">
        <v>-6714</v>
      </c>
      <c r="AZ48" s="239">
        <v>-671282</v>
      </c>
      <c r="BA48" s="239">
        <v>-4755693</v>
      </c>
      <c r="BB48" s="239">
        <v>-3804556</v>
      </c>
      <c r="BC48" s="239">
        <v>-856027</v>
      </c>
      <c r="BD48" s="239">
        <v>-95113</v>
      </c>
      <c r="BE48" s="239">
        <v>-9511389</v>
      </c>
      <c r="BF48" s="239">
        <v>1118313</v>
      </c>
      <c r="BG48" s="239">
        <v>894650</v>
      </c>
      <c r="BH48" s="239">
        <v>201296</v>
      </c>
      <c r="BI48" s="239">
        <v>22366</v>
      </c>
      <c r="BJ48" s="239">
        <v>2236625</v>
      </c>
      <c r="BK48" s="239">
        <v>-958059</v>
      </c>
      <c r="BL48" s="239">
        <v>-766446</v>
      </c>
      <c r="BM48" s="239">
        <v>-172450</v>
      </c>
      <c r="BN48" s="239">
        <v>-19161</v>
      </c>
      <c r="BO48" s="239">
        <v>-1916116</v>
      </c>
      <c r="BP48" s="239">
        <v>-4595439</v>
      </c>
      <c r="BQ48" s="239">
        <v>-3676352</v>
      </c>
      <c r="BR48" s="239">
        <v>-827181</v>
      </c>
      <c r="BS48" s="239">
        <v>-91908</v>
      </c>
      <c r="BT48" s="239">
        <v>-9190880</v>
      </c>
      <c r="BU48" s="239">
        <v>-2211487</v>
      </c>
      <c r="BV48" s="239">
        <v>-1769190</v>
      </c>
      <c r="BW48" s="239">
        <v>-398068</v>
      </c>
      <c r="BX48" s="239">
        <v>-44230</v>
      </c>
      <c r="BY48" s="239">
        <v>-4422975</v>
      </c>
      <c r="BZ48" s="239">
        <v>-1751804</v>
      </c>
      <c r="CA48" s="239">
        <v>-1401443</v>
      </c>
      <c r="CB48" s="239">
        <v>-315325</v>
      </c>
      <c r="CC48" s="239">
        <v>-35036</v>
      </c>
      <c r="CD48" s="239">
        <v>-3503608</v>
      </c>
      <c r="CE48" s="239">
        <v>-459683</v>
      </c>
      <c r="CF48" s="239">
        <v>-367747</v>
      </c>
      <c r="CG48" s="239">
        <v>-82743</v>
      </c>
      <c r="CH48" s="239">
        <v>-9194</v>
      </c>
      <c r="CI48" s="239">
        <v>-919367</v>
      </c>
      <c r="CJ48" s="239">
        <v>49966739</v>
      </c>
      <c r="CK48" s="239">
        <v>39973391</v>
      </c>
      <c r="CL48" s="239">
        <v>8994013</v>
      </c>
      <c r="CM48" s="239">
        <v>999335</v>
      </c>
      <c r="CN48" s="239">
        <v>99933478</v>
      </c>
      <c r="CO48" s="239">
        <v>49498215</v>
      </c>
      <c r="CP48" s="239">
        <v>39598572</v>
      </c>
      <c r="CQ48" s="239">
        <v>8909679</v>
      </c>
      <c r="CR48" s="239">
        <v>989964</v>
      </c>
      <c r="CS48" s="239">
        <v>98996430</v>
      </c>
      <c r="CT48" s="239">
        <v>-468524</v>
      </c>
      <c r="CU48" s="239">
        <v>-374819</v>
      </c>
      <c r="CV48" s="239">
        <v>-84334</v>
      </c>
      <c r="CW48" s="239">
        <v>-9371</v>
      </c>
      <c r="CX48" s="239">
        <v>-937048</v>
      </c>
      <c r="CY48" s="239">
        <v>-928207</v>
      </c>
      <c r="CZ48" s="239">
        <v>-742566</v>
      </c>
      <c r="DA48" s="239">
        <v>-167077</v>
      </c>
      <c r="DB48" s="239">
        <v>-18565</v>
      </c>
      <c r="DC48" s="239">
        <v>-1856415</v>
      </c>
      <c r="DD48" s="641">
        <v>0.5</v>
      </c>
      <c r="DE48" s="641">
        <v>0.4</v>
      </c>
      <c r="DF48" s="641">
        <v>0.09</v>
      </c>
      <c r="DG48" s="641">
        <v>0.01</v>
      </c>
      <c r="DH48" s="641">
        <v>1</v>
      </c>
      <c r="DI48" s="214" t="s">
        <v>1190</v>
      </c>
    </row>
    <row r="49" spans="2:113" s="214" customFormat="1" x14ac:dyDescent="0.2">
      <c r="B49" s="609" t="s">
        <v>180</v>
      </c>
      <c r="C49" s="609" t="s">
        <v>179</v>
      </c>
      <c r="D49" s="239">
        <v>258479270</v>
      </c>
      <c r="E49" s="239">
        <v>155087562</v>
      </c>
      <c r="F49" s="239">
        <v>103391708</v>
      </c>
      <c r="G49" s="239">
        <v>0</v>
      </c>
      <c r="H49" s="239">
        <v>516958540</v>
      </c>
      <c r="I49" s="239">
        <v>0</v>
      </c>
      <c r="J49" s="239">
        <v>0</v>
      </c>
      <c r="K49" s="239">
        <v>258479270</v>
      </c>
      <c r="L49" s="239">
        <v>1168748</v>
      </c>
      <c r="M49" s="239">
        <v>1168748</v>
      </c>
      <c r="N49" s="239">
        <v>0</v>
      </c>
      <c r="O49" s="239">
        <v>0</v>
      </c>
      <c r="P49" s="239">
        <v>0</v>
      </c>
      <c r="Q49" s="239">
        <v>0</v>
      </c>
      <c r="R49" s="239">
        <v>0</v>
      </c>
      <c r="S49" s="239">
        <v>0</v>
      </c>
      <c r="T49" s="239">
        <v>0</v>
      </c>
      <c r="U49" s="239">
        <v>0</v>
      </c>
      <c r="V49" s="239">
        <v>0</v>
      </c>
      <c r="W49" s="239">
        <v>5217335</v>
      </c>
      <c r="X49" s="239">
        <v>3130401</v>
      </c>
      <c r="Y49" s="239">
        <v>2086934</v>
      </c>
      <c r="Z49" s="239">
        <v>0</v>
      </c>
      <c r="AA49" s="239">
        <v>10434670</v>
      </c>
      <c r="AB49" s="239">
        <v>-3346231</v>
      </c>
      <c r="AC49" s="239">
        <v>-2007739</v>
      </c>
      <c r="AD49" s="239">
        <v>-1338493</v>
      </c>
      <c r="AE49" s="239">
        <v>0</v>
      </c>
      <c r="AF49" s="239">
        <v>-6692463</v>
      </c>
      <c r="AG49" s="239">
        <v>-1648553</v>
      </c>
      <c r="AH49" s="239">
        <v>-989132</v>
      </c>
      <c r="AI49" s="239">
        <v>-659421</v>
      </c>
      <c r="AJ49" s="239">
        <v>0</v>
      </c>
      <c r="AK49" s="239">
        <v>-3297106</v>
      </c>
      <c r="AL49" s="239">
        <v>-96336</v>
      </c>
      <c r="AM49" s="239">
        <v>-57802</v>
      </c>
      <c r="AN49" s="239">
        <v>-38535</v>
      </c>
      <c r="AO49" s="239">
        <v>0</v>
      </c>
      <c r="AP49" s="239">
        <v>-192673</v>
      </c>
      <c r="AQ49" s="239">
        <v>-2217939</v>
      </c>
      <c r="AR49" s="239">
        <v>-1330764</v>
      </c>
      <c r="AS49" s="239">
        <v>-887176</v>
      </c>
      <c r="AT49" s="239">
        <v>0</v>
      </c>
      <c r="AU49" s="239">
        <v>-4435879</v>
      </c>
      <c r="AV49" s="239">
        <v>-3962828</v>
      </c>
      <c r="AW49" s="239">
        <v>-2377698</v>
      </c>
      <c r="AX49" s="239">
        <v>-1585132</v>
      </c>
      <c r="AY49" s="239">
        <v>0</v>
      </c>
      <c r="AZ49" s="239">
        <v>-7925658</v>
      </c>
      <c r="BA49" s="239">
        <v>-21345623</v>
      </c>
      <c r="BB49" s="239">
        <v>-12807374</v>
      </c>
      <c r="BC49" s="239">
        <v>-8538250</v>
      </c>
      <c r="BD49" s="239">
        <v>0</v>
      </c>
      <c r="BE49" s="239">
        <v>-42691247</v>
      </c>
      <c r="BF49" s="239">
        <v>10054599</v>
      </c>
      <c r="BG49" s="239">
        <v>6032760</v>
      </c>
      <c r="BH49" s="239">
        <v>4021840</v>
      </c>
      <c r="BI49" s="239">
        <v>0</v>
      </c>
      <c r="BJ49" s="239">
        <v>20109199</v>
      </c>
      <c r="BK49" s="239">
        <v>-3131923</v>
      </c>
      <c r="BL49" s="239">
        <v>-1879154</v>
      </c>
      <c r="BM49" s="239">
        <v>-1252769</v>
      </c>
      <c r="BN49" s="239">
        <v>0</v>
      </c>
      <c r="BO49" s="239">
        <v>-6263846</v>
      </c>
      <c r="BP49" s="239">
        <v>-14422947</v>
      </c>
      <c r="BQ49" s="239">
        <v>-8653768</v>
      </c>
      <c r="BR49" s="239">
        <v>-5769179</v>
      </c>
      <c r="BS49" s="239">
        <v>0</v>
      </c>
      <c r="BT49" s="239">
        <v>-28845894</v>
      </c>
      <c r="BU49" s="239">
        <v>-23459829</v>
      </c>
      <c r="BV49" s="239">
        <v>-14075898</v>
      </c>
      <c r="BW49" s="239">
        <v>-9383932</v>
      </c>
      <c r="BX49" s="239">
        <v>0</v>
      </c>
      <c r="BY49" s="239">
        <v>-46919659</v>
      </c>
      <c r="BZ49" s="239">
        <v>-23340760</v>
      </c>
      <c r="CA49" s="239">
        <v>-14004456</v>
      </c>
      <c r="CB49" s="239">
        <v>-9336304</v>
      </c>
      <c r="CC49" s="239">
        <v>0</v>
      </c>
      <c r="CD49" s="239">
        <v>-46681520</v>
      </c>
      <c r="CE49" s="239">
        <v>-119069</v>
      </c>
      <c r="CF49" s="239">
        <v>-71442</v>
      </c>
      <c r="CG49" s="239">
        <v>-47628</v>
      </c>
      <c r="CH49" s="239">
        <v>0</v>
      </c>
      <c r="CI49" s="239">
        <v>-238139</v>
      </c>
      <c r="CJ49" s="239">
        <v>262000000</v>
      </c>
      <c r="CK49" s="239">
        <v>157200000</v>
      </c>
      <c r="CL49" s="239">
        <v>104800000</v>
      </c>
      <c r="CM49" s="239">
        <v>0</v>
      </c>
      <c r="CN49" s="239">
        <v>524000000</v>
      </c>
      <c r="CO49" s="239">
        <v>258479270</v>
      </c>
      <c r="CP49" s="239">
        <v>155087562</v>
      </c>
      <c r="CQ49" s="239">
        <v>103391708</v>
      </c>
      <c r="CR49" s="239">
        <v>0</v>
      </c>
      <c r="CS49" s="239">
        <v>516958540</v>
      </c>
      <c r="CT49" s="239">
        <v>-3520730</v>
      </c>
      <c r="CU49" s="239">
        <v>-2112438</v>
      </c>
      <c r="CV49" s="239">
        <v>-1408292</v>
      </c>
      <c r="CW49" s="239">
        <v>0</v>
      </c>
      <c r="CX49" s="239">
        <v>-7041460</v>
      </c>
      <c r="CY49" s="239">
        <v>-3639799</v>
      </c>
      <c r="CZ49" s="239">
        <v>-2183880</v>
      </c>
      <c r="DA49" s="239">
        <v>-1455920</v>
      </c>
      <c r="DB49" s="239">
        <v>0</v>
      </c>
      <c r="DC49" s="239">
        <v>-7279599</v>
      </c>
      <c r="DD49" s="641">
        <v>0.5</v>
      </c>
      <c r="DE49" s="641">
        <v>0.3</v>
      </c>
      <c r="DF49" s="641">
        <v>0.2</v>
      </c>
      <c r="DG49" s="641">
        <v>0</v>
      </c>
      <c r="DH49" s="641">
        <v>1</v>
      </c>
      <c r="DI49" s="214" t="s">
        <v>1193</v>
      </c>
    </row>
    <row r="50" spans="2:113" s="214" customFormat="1" x14ac:dyDescent="0.2">
      <c r="B50" s="609" t="s">
        <v>182</v>
      </c>
      <c r="C50" s="609" t="s">
        <v>181</v>
      </c>
      <c r="D50" s="239">
        <v>17160161</v>
      </c>
      <c r="E50" s="239">
        <v>13728129</v>
      </c>
      <c r="F50" s="239">
        <v>3088829</v>
      </c>
      <c r="G50" s="239">
        <v>343203</v>
      </c>
      <c r="H50" s="239">
        <v>34320322</v>
      </c>
      <c r="I50" s="239">
        <v>0</v>
      </c>
      <c r="J50" s="239">
        <v>0</v>
      </c>
      <c r="K50" s="239">
        <v>17160161</v>
      </c>
      <c r="L50" s="239">
        <v>136708</v>
      </c>
      <c r="M50" s="239">
        <v>136708</v>
      </c>
      <c r="N50" s="239">
        <v>0</v>
      </c>
      <c r="O50" s="239">
        <v>0</v>
      </c>
      <c r="P50" s="239">
        <v>0</v>
      </c>
      <c r="Q50" s="239">
        <v>0</v>
      </c>
      <c r="R50" s="239">
        <v>0</v>
      </c>
      <c r="S50" s="239">
        <v>0</v>
      </c>
      <c r="T50" s="239">
        <v>0</v>
      </c>
      <c r="U50" s="239">
        <v>0</v>
      </c>
      <c r="V50" s="239">
        <v>0</v>
      </c>
      <c r="W50" s="239">
        <v>910839</v>
      </c>
      <c r="X50" s="239">
        <v>728671</v>
      </c>
      <c r="Y50" s="239">
        <v>163951</v>
      </c>
      <c r="Z50" s="239">
        <v>18217</v>
      </c>
      <c r="AA50" s="239">
        <v>1821678</v>
      </c>
      <c r="AB50" s="239">
        <v>-168817</v>
      </c>
      <c r="AC50" s="239">
        <v>-135053</v>
      </c>
      <c r="AD50" s="239">
        <v>-30387</v>
      </c>
      <c r="AE50" s="239">
        <v>-3376</v>
      </c>
      <c r="AF50" s="239">
        <v>-337633</v>
      </c>
      <c r="AG50" s="239">
        <v>-800309</v>
      </c>
      <c r="AH50" s="239">
        <v>-640248</v>
      </c>
      <c r="AI50" s="239">
        <v>-144056</v>
      </c>
      <c r="AJ50" s="239">
        <v>-16007</v>
      </c>
      <c r="AK50" s="239">
        <v>-1600620</v>
      </c>
      <c r="AL50" s="239">
        <v>150881</v>
      </c>
      <c r="AM50" s="239">
        <v>120705</v>
      </c>
      <c r="AN50" s="239">
        <v>27159</v>
      </c>
      <c r="AO50" s="239">
        <v>3018</v>
      </c>
      <c r="AP50" s="239">
        <v>301763</v>
      </c>
      <c r="AQ50" s="239">
        <v>-16341</v>
      </c>
      <c r="AR50" s="239">
        <v>-13074</v>
      </c>
      <c r="AS50" s="239">
        <v>-2942</v>
      </c>
      <c r="AT50" s="239">
        <v>-327</v>
      </c>
      <c r="AU50" s="239">
        <v>-32684</v>
      </c>
      <c r="AV50" s="239">
        <v>-665769</v>
      </c>
      <c r="AW50" s="239">
        <v>-532617</v>
      </c>
      <c r="AX50" s="239">
        <v>-119839</v>
      </c>
      <c r="AY50" s="239">
        <v>-13316</v>
      </c>
      <c r="AZ50" s="239">
        <v>-1331541</v>
      </c>
      <c r="BA50" s="239">
        <v>-2629155</v>
      </c>
      <c r="BB50" s="239">
        <v>-2103324</v>
      </c>
      <c r="BC50" s="239">
        <v>-473248</v>
      </c>
      <c r="BD50" s="239">
        <v>-52583</v>
      </c>
      <c r="BE50" s="239">
        <v>-5258310</v>
      </c>
      <c r="BF50" s="239">
        <v>721063</v>
      </c>
      <c r="BG50" s="239">
        <v>576850</v>
      </c>
      <c r="BH50" s="239">
        <v>129791</v>
      </c>
      <c r="BI50" s="239">
        <v>14421</v>
      </c>
      <c r="BJ50" s="239">
        <v>1442125</v>
      </c>
      <c r="BK50" s="239">
        <v>-1249596</v>
      </c>
      <c r="BL50" s="239">
        <v>-999676</v>
      </c>
      <c r="BM50" s="239">
        <v>-224927</v>
      </c>
      <c r="BN50" s="239">
        <v>-24992</v>
      </c>
      <c r="BO50" s="239">
        <v>-2499191</v>
      </c>
      <c r="BP50" s="239">
        <v>-3157688</v>
      </c>
      <c r="BQ50" s="239">
        <v>-2526150</v>
      </c>
      <c r="BR50" s="239">
        <v>-568384</v>
      </c>
      <c r="BS50" s="239">
        <v>-63154</v>
      </c>
      <c r="BT50" s="239">
        <v>-6315376</v>
      </c>
      <c r="BU50" s="239">
        <v>-2476481</v>
      </c>
      <c r="BV50" s="239">
        <v>-1981185</v>
      </c>
      <c r="BW50" s="239">
        <v>-445767</v>
      </c>
      <c r="BX50" s="239">
        <v>-49530</v>
      </c>
      <c r="BY50" s="239">
        <v>-4952963</v>
      </c>
      <c r="BZ50" s="239">
        <v>-3123578</v>
      </c>
      <c r="CA50" s="239">
        <v>-2498862</v>
      </c>
      <c r="CB50" s="239">
        <v>-562244</v>
      </c>
      <c r="CC50" s="239">
        <v>-62472</v>
      </c>
      <c r="CD50" s="239">
        <v>-6247156</v>
      </c>
      <c r="CE50" s="239">
        <v>647097</v>
      </c>
      <c r="CF50" s="239">
        <v>517677</v>
      </c>
      <c r="CG50" s="239">
        <v>116477</v>
      </c>
      <c r="CH50" s="239">
        <v>12942</v>
      </c>
      <c r="CI50" s="239">
        <v>1294193</v>
      </c>
      <c r="CJ50" s="239">
        <v>18364526</v>
      </c>
      <c r="CK50" s="239">
        <v>14691622</v>
      </c>
      <c r="CL50" s="239">
        <v>3305615</v>
      </c>
      <c r="CM50" s="239">
        <v>367291</v>
      </c>
      <c r="CN50" s="239">
        <v>36729054</v>
      </c>
      <c r="CO50" s="239">
        <v>17160161</v>
      </c>
      <c r="CP50" s="239">
        <v>13728129</v>
      </c>
      <c r="CQ50" s="239">
        <v>3088829</v>
      </c>
      <c r="CR50" s="239">
        <v>343203</v>
      </c>
      <c r="CS50" s="239">
        <v>34320322</v>
      </c>
      <c r="CT50" s="239">
        <v>-1204365</v>
      </c>
      <c r="CU50" s="239">
        <v>-963493</v>
      </c>
      <c r="CV50" s="239">
        <v>-216786</v>
      </c>
      <c r="CW50" s="239">
        <v>-24088</v>
      </c>
      <c r="CX50" s="239">
        <v>-2408732</v>
      </c>
      <c r="CY50" s="239">
        <v>-557268</v>
      </c>
      <c r="CZ50" s="239">
        <v>-445816</v>
      </c>
      <c r="DA50" s="239">
        <v>-100309</v>
      </c>
      <c r="DB50" s="239">
        <v>-11146</v>
      </c>
      <c r="DC50" s="239">
        <v>-1114539</v>
      </c>
      <c r="DD50" s="641">
        <v>0.5</v>
      </c>
      <c r="DE50" s="641">
        <v>0.4</v>
      </c>
      <c r="DF50" s="641">
        <v>0.09</v>
      </c>
      <c r="DG50" s="641">
        <v>0.01</v>
      </c>
      <c r="DH50" s="641">
        <v>1</v>
      </c>
      <c r="DI50" s="214" t="s">
        <v>1190</v>
      </c>
    </row>
    <row r="51" spans="2:113" s="214" customFormat="1" x14ac:dyDescent="0.2">
      <c r="B51" s="609" t="s">
        <v>184</v>
      </c>
      <c r="C51" s="609" t="s">
        <v>183</v>
      </c>
      <c r="D51" s="239">
        <v>26579524</v>
      </c>
      <c r="E51" s="239">
        <v>21263619</v>
      </c>
      <c r="F51" s="239">
        <v>4784314</v>
      </c>
      <c r="G51" s="239">
        <v>531590</v>
      </c>
      <c r="H51" s="239">
        <v>53159047</v>
      </c>
      <c r="I51" s="239">
        <v>0</v>
      </c>
      <c r="J51" s="239">
        <v>0</v>
      </c>
      <c r="K51" s="239">
        <v>26579524</v>
      </c>
      <c r="L51" s="239">
        <v>232519</v>
      </c>
      <c r="M51" s="239">
        <v>232519</v>
      </c>
      <c r="N51" s="239">
        <v>0</v>
      </c>
      <c r="O51" s="239">
        <v>0</v>
      </c>
      <c r="P51" s="239">
        <v>415910</v>
      </c>
      <c r="Q51" s="239">
        <v>0</v>
      </c>
      <c r="R51" s="239">
        <v>415910</v>
      </c>
      <c r="S51" s="239">
        <v>0</v>
      </c>
      <c r="T51" s="239">
        <v>0</v>
      </c>
      <c r="U51" s="239">
        <v>0</v>
      </c>
      <c r="V51" s="239">
        <v>0</v>
      </c>
      <c r="W51" s="239">
        <v>741909</v>
      </c>
      <c r="X51" s="239">
        <v>593526</v>
      </c>
      <c r="Y51" s="239">
        <v>133543</v>
      </c>
      <c r="Z51" s="239">
        <v>14838</v>
      </c>
      <c r="AA51" s="239">
        <v>1483816</v>
      </c>
      <c r="AB51" s="239">
        <v>-628062</v>
      </c>
      <c r="AC51" s="239">
        <v>-502450</v>
      </c>
      <c r="AD51" s="239">
        <v>-113051</v>
      </c>
      <c r="AE51" s="239">
        <v>-12561</v>
      </c>
      <c r="AF51" s="239">
        <v>-1256124</v>
      </c>
      <c r="AG51" s="239">
        <v>-174453</v>
      </c>
      <c r="AH51" s="239">
        <v>-139563</v>
      </c>
      <c r="AI51" s="239">
        <v>-31402</v>
      </c>
      <c r="AJ51" s="239">
        <v>-3489</v>
      </c>
      <c r="AK51" s="239">
        <v>-348907</v>
      </c>
      <c r="AL51" s="239">
        <v>246106</v>
      </c>
      <c r="AM51" s="239">
        <v>196885</v>
      </c>
      <c r="AN51" s="239">
        <v>44299</v>
      </c>
      <c r="AO51" s="239">
        <v>4922</v>
      </c>
      <c r="AP51" s="239">
        <v>492212</v>
      </c>
      <c r="AQ51" s="239">
        <v>-354826</v>
      </c>
      <c r="AR51" s="239">
        <v>-283861</v>
      </c>
      <c r="AS51" s="239">
        <v>-63869</v>
      </c>
      <c r="AT51" s="239">
        <v>-7097</v>
      </c>
      <c r="AU51" s="239">
        <v>-709653</v>
      </c>
      <c r="AV51" s="239">
        <v>-283173</v>
      </c>
      <c r="AW51" s="239">
        <v>-226539</v>
      </c>
      <c r="AX51" s="239">
        <v>-50972</v>
      </c>
      <c r="AY51" s="239">
        <v>-5664</v>
      </c>
      <c r="AZ51" s="239">
        <v>-566348</v>
      </c>
      <c r="BA51" s="239">
        <v>-2531973</v>
      </c>
      <c r="BB51" s="239">
        <v>-2025577</v>
      </c>
      <c r="BC51" s="239">
        <v>-455755</v>
      </c>
      <c r="BD51" s="239">
        <v>-50640</v>
      </c>
      <c r="BE51" s="239">
        <v>-5063945</v>
      </c>
      <c r="BF51" s="239">
        <v>412849</v>
      </c>
      <c r="BG51" s="239">
        <v>330279</v>
      </c>
      <c r="BH51" s="239">
        <v>74313</v>
      </c>
      <c r="BI51" s="239">
        <v>8257</v>
      </c>
      <c r="BJ51" s="239">
        <v>825698</v>
      </c>
      <c r="BK51" s="239">
        <v>-205500</v>
      </c>
      <c r="BL51" s="239">
        <v>-164400</v>
      </c>
      <c r="BM51" s="239">
        <v>-36990</v>
      </c>
      <c r="BN51" s="239">
        <v>-4110</v>
      </c>
      <c r="BO51" s="239">
        <v>-411000</v>
      </c>
      <c r="BP51" s="239">
        <v>-2324624</v>
      </c>
      <c r="BQ51" s="239">
        <v>-1859698</v>
      </c>
      <c r="BR51" s="239">
        <v>-418432</v>
      </c>
      <c r="BS51" s="239">
        <v>-46493</v>
      </c>
      <c r="BT51" s="239">
        <v>-4649247</v>
      </c>
      <c r="BU51" s="239">
        <v>-1880339</v>
      </c>
      <c r="BV51" s="239">
        <v>-1989838</v>
      </c>
      <c r="BW51" s="239">
        <v>-338461</v>
      </c>
      <c r="BX51" s="239">
        <v>-37606</v>
      </c>
      <c r="BY51" s="239">
        <v>-4246244</v>
      </c>
      <c r="BZ51" s="239">
        <v>-2538925</v>
      </c>
      <c r="CA51" s="239">
        <v>-2031140</v>
      </c>
      <c r="CB51" s="239">
        <v>-457007</v>
      </c>
      <c r="CC51" s="239">
        <v>-50779</v>
      </c>
      <c r="CD51" s="239">
        <v>-5077851</v>
      </c>
      <c r="CE51" s="239">
        <v>658586</v>
      </c>
      <c r="CF51" s="239">
        <v>41302</v>
      </c>
      <c r="CG51" s="239">
        <v>118546</v>
      </c>
      <c r="CH51" s="239">
        <v>13173</v>
      </c>
      <c r="CI51" s="239">
        <v>831607</v>
      </c>
      <c r="CJ51" s="239">
        <v>24878617</v>
      </c>
      <c r="CK51" s="239">
        <v>19902893</v>
      </c>
      <c r="CL51" s="239">
        <v>4478151</v>
      </c>
      <c r="CM51" s="239">
        <v>497572</v>
      </c>
      <c r="CN51" s="239">
        <v>49757233</v>
      </c>
      <c r="CO51" s="239">
        <v>26579524</v>
      </c>
      <c r="CP51" s="239">
        <v>21263619</v>
      </c>
      <c r="CQ51" s="239">
        <v>4784314</v>
      </c>
      <c r="CR51" s="239">
        <v>531590</v>
      </c>
      <c r="CS51" s="239">
        <v>53159047</v>
      </c>
      <c r="CT51" s="239">
        <v>1700907</v>
      </c>
      <c r="CU51" s="239">
        <v>1360726</v>
      </c>
      <c r="CV51" s="239">
        <v>306163</v>
      </c>
      <c r="CW51" s="239">
        <v>34018</v>
      </c>
      <c r="CX51" s="239">
        <v>3401814</v>
      </c>
      <c r="CY51" s="239">
        <v>2359493</v>
      </c>
      <c r="CZ51" s="239">
        <v>1402028</v>
      </c>
      <c r="DA51" s="239">
        <v>424709</v>
      </c>
      <c r="DB51" s="239">
        <v>47191</v>
      </c>
      <c r="DC51" s="239">
        <v>4233421</v>
      </c>
      <c r="DD51" s="641">
        <v>0.5</v>
      </c>
      <c r="DE51" s="641">
        <v>0.4</v>
      </c>
      <c r="DF51" s="641">
        <v>0.09</v>
      </c>
      <c r="DG51" s="641">
        <v>0.01</v>
      </c>
      <c r="DH51" s="641">
        <v>1</v>
      </c>
      <c r="DI51" s="214" t="s">
        <v>1190</v>
      </c>
    </row>
    <row r="52" spans="2:113" s="214" customFormat="1" x14ac:dyDescent="0.2">
      <c r="B52" s="609" t="s">
        <v>186</v>
      </c>
      <c r="C52" s="609" t="s">
        <v>185</v>
      </c>
      <c r="D52" s="239">
        <v>22051645</v>
      </c>
      <c r="E52" s="239">
        <v>17641316</v>
      </c>
      <c r="F52" s="239">
        <v>4410329</v>
      </c>
      <c r="G52" s="239">
        <v>0</v>
      </c>
      <c r="H52" s="239">
        <v>44103290</v>
      </c>
      <c r="I52" s="239">
        <v>0</v>
      </c>
      <c r="J52" s="239">
        <v>0</v>
      </c>
      <c r="K52" s="239">
        <v>22051645</v>
      </c>
      <c r="L52" s="239">
        <v>181291</v>
      </c>
      <c r="M52" s="239">
        <v>181291</v>
      </c>
      <c r="N52" s="239">
        <v>0</v>
      </c>
      <c r="O52" s="239">
        <v>0</v>
      </c>
      <c r="P52" s="239">
        <v>53054</v>
      </c>
      <c r="Q52" s="239">
        <v>0</v>
      </c>
      <c r="R52" s="239">
        <v>53054</v>
      </c>
      <c r="S52" s="239">
        <v>0</v>
      </c>
      <c r="T52" s="239">
        <v>0</v>
      </c>
      <c r="U52" s="239">
        <v>0</v>
      </c>
      <c r="V52" s="239">
        <v>0</v>
      </c>
      <c r="W52" s="239">
        <v>563197</v>
      </c>
      <c r="X52" s="239">
        <v>450557</v>
      </c>
      <c r="Y52" s="239">
        <v>112639</v>
      </c>
      <c r="Z52" s="239">
        <v>0</v>
      </c>
      <c r="AA52" s="239">
        <v>1126393</v>
      </c>
      <c r="AB52" s="239">
        <v>-444913</v>
      </c>
      <c r="AC52" s="239">
        <v>-355931</v>
      </c>
      <c r="AD52" s="239">
        <v>-88983</v>
      </c>
      <c r="AE52" s="239">
        <v>0</v>
      </c>
      <c r="AF52" s="239">
        <v>-889827</v>
      </c>
      <c r="AG52" s="239">
        <v>-181005</v>
      </c>
      <c r="AH52" s="239">
        <v>-144804</v>
      </c>
      <c r="AI52" s="239">
        <v>-36201</v>
      </c>
      <c r="AJ52" s="239">
        <v>0</v>
      </c>
      <c r="AK52" s="239">
        <v>-362010</v>
      </c>
      <c r="AL52" s="239">
        <v>51272</v>
      </c>
      <c r="AM52" s="239">
        <v>41017</v>
      </c>
      <c r="AN52" s="239">
        <v>10254</v>
      </c>
      <c r="AO52" s="239">
        <v>0</v>
      </c>
      <c r="AP52" s="239">
        <v>102543</v>
      </c>
      <c r="AQ52" s="239">
        <v>-40722</v>
      </c>
      <c r="AR52" s="239">
        <v>-32578</v>
      </c>
      <c r="AS52" s="239">
        <v>-8145</v>
      </c>
      <c r="AT52" s="239">
        <v>0</v>
      </c>
      <c r="AU52" s="239">
        <v>-81445</v>
      </c>
      <c r="AV52" s="239">
        <v>-170455</v>
      </c>
      <c r="AW52" s="239">
        <v>-136365</v>
      </c>
      <c r="AX52" s="239">
        <v>-34092</v>
      </c>
      <c r="AY52" s="239">
        <v>0</v>
      </c>
      <c r="AZ52" s="239">
        <v>-340912</v>
      </c>
      <c r="BA52" s="239">
        <v>-1051242</v>
      </c>
      <c r="BB52" s="239">
        <v>-840993</v>
      </c>
      <c r="BC52" s="239">
        <v>-210248</v>
      </c>
      <c r="BD52" s="239">
        <v>0</v>
      </c>
      <c r="BE52" s="239">
        <v>-2102483</v>
      </c>
      <c r="BF52" s="239">
        <v>329485</v>
      </c>
      <c r="BG52" s="239">
        <v>263588</v>
      </c>
      <c r="BH52" s="239">
        <v>65897</v>
      </c>
      <c r="BI52" s="239">
        <v>0</v>
      </c>
      <c r="BJ52" s="239">
        <v>658970</v>
      </c>
      <c r="BK52" s="239">
        <v>-177244</v>
      </c>
      <c r="BL52" s="239">
        <v>-141796</v>
      </c>
      <c r="BM52" s="239">
        <v>-35449</v>
      </c>
      <c r="BN52" s="239">
        <v>0</v>
      </c>
      <c r="BO52" s="239">
        <v>-354489</v>
      </c>
      <c r="BP52" s="239">
        <v>-899001</v>
      </c>
      <c r="BQ52" s="239">
        <v>-719201</v>
      </c>
      <c r="BR52" s="239">
        <v>-179800</v>
      </c>
      <c r="BS52" s="239">
        <v>0</v>
      </c>
      <c r="BT52" s="239">
        <v>-1798002</v>
      </c>
      <c r="BU52" s="239">
        <v>-483721</v>
      </c>
      <c r="BV52" s="239">
        <v>-386977</v>
      </c>
      <c r="BW52" s="239">
        <v>-96744</v>
      </c>
      <c r="BX52" s="239">
        <v>0</v>
      </c>
      <c r="BY52" s="239">
        <v>-967442</v>
      </c>
      <c r="BZ52" s="239">
        <v>-197924</v>
      </c>
      <c r="CA52" s="239">
        <v>-158340</v>
      </c>
      <c r="CB52" s="239">
        <v>-39585</v>
      </c>
      <c r="CC52" s="239">
        <v>0</v>
      </c>
      <c r="CD52" s="239">
        <v>-395849</v>
      </c>
      <c r="CE52" s="239">
        <v>-285797</v>
      </c>
      <c r="CF52" s="239">
        <v>-228637</v>
      </c>
      <c r="CG52" s="239">
        <v>-57159</v>
      </c>
      <c r="CH52" s="239">
        <v>0</v>
      </c>
      <c r="CI52" s="239">
        <v>-571593</v>
      </c>
      <c r="CJ52" s="239">
        <v>22077312</v>
      </c>
      <c r="CK52" s="239">
        <v>17661850</v>
      </c>
      <c r="CL52" s="239">
        <v>4415463</v>
      </c>
      <c r="CM52" s="239">
        <v>0</v>
      </c>
      <c r="CN52" s="239">
        <v>44154625</v>
      </c>
      <c r="CO52" s="239">
        <v>22051645</v>
      </c>
      <c r="CP52" s="239">
        <v>17641316</v>
      </c>
      <c r="CQ52" s="239">
        <v>4410329</v>
      </c>
      <c r="CR52" s="239">
        <v>0</v>
      </c>
      <c r="CS52" s="239">
        <v>44103290</v>
      </c>
      <c r="CT52" s="239">
        <v>-25667</v>
      </c>
      <c r="CU52" s="239">
        <v>-20534</v>
      </c>
      <c r="CV52" s="239">
        <v>-5134</v>
      </c>
      <c r="CW52" s="239">
        <v>0</v>
      </c>
      <c r="CX52" s="239">
        <v>-51335</v>
      </c>
      <c r="CY52" s="239">
        <v>-311464</v>
      </c>
      <c r="CZ52" s="239">
        <v>-249171</v>
      </c>
      <c r="DA52" s="239">
        <v>-62293</v>
      </c>
      <c r="DB52" s="239">
        <v>0</v>
      </c>
      <c r="DC52" s="239">
        <v>-622928</v>
      </c>
      <c r="DD52" s="641">
        <v>0.5</v>
      </c>
      <c r="DE52" s="641">
        <v>0.4</v>
      </c>
      <c r="DF52" s="641">
        <v>0.1</v>
      </c>
      <c r="DG52" s="641">
        <v>0</v>
      </c>
      <c r="DH52" s="641">
        <v>1</v>
      </c>
      <c r="DI52" s="214" t="s">
        <v>1190</v>
      </c>
    </row>
    <row r="53" spans="2:113" s="214" customFormat="1" x14ac:dyDescent="0.2">
      <c r="B53" s="609" t="s">
        <v>188</v>
      </c>
      <c r="C53" s="609" t="s">
        <v>187</v>
      </c>
      <c r="D53" s="239">
        <v>7575897</v>
      </c>
      <c r="E53" s="239">
        <v>6060718</v>
      </c>
      <c r="F53" s="239">
        <v>1363662</v>
      </c>
      <c r="G53" s="239">
        <v>151518</v>
      </c>
      <c r="H53" s="239">
        <v>15151795</v>
      </c>
      <c r="I53" s="239">
        <v>0</v>
      </c>
      <c r="J53" s="239">
        <v>0</v>
      </c>
      <c r="K53" s="239">
        <v>7575897</v>
      </c>
      <c r="L53" s="239">
        <v>81221</v>
      </c>
      <c r="M53" s="239">
        <v>81221</v>
      </c>
      <c r="N53" s="239">
        <v>0</v>
      </c>
      <c r="O53" s="239">
        <v>0</v>
      </c>
      <c r="P53" s="239">
        <v>0</v>
      </c>
      <c r="Q53" s="239">
        <v>0</v>
      </c>
      <c r="R53" s="239">
        <v>0</v>
      </c>
      <c r="S53" s="239">
        <v>0</v>
      </c>
      <c r="T53" s="239">
        <v>0</v>
      </c>
      <c r="U53" s="239">
        <v>0</v>
      </c>
      <c r="V53" s="239">
        <v>0</v>
      </c>
      <c r="W53" s="239">
        <v>120338</v>
      </c>
      <c r="X53" s="239">
        <v>96271</v>
      </c>
      <c r="Y53" s="239">
        <v>21661</v>
      </c>
      <c r="Z53" s="239">
        <v>2407</v>
      </c>
      <c r="AA53" s="239">
        <v>240677</v>
      </c>
      <c r="AB53" s="239">
        <v>-149404</v>
      </c>
      <c r="AC53" s="239">
        <v>-119523</v>
      </c>
      <c r="AD53" s="239">
        <v>-26893</v>
      </c>
      <c r="AE53" s="239">
        <v>-2988</v>
      </c>
      <c r="AF53" s="239">
        <v>-298808</v>
      </c>
      <c r="AG53" s="239">
        <v>-68754</v>
      </c>
      <c r="AH53" s="239">
        <v>-55004</v>
      </c>
      <c r="AI53" s="239">
        <v>-12376</v>
      </c>
      <c r="AJ53" s="239">
        <v>-1375</v>
      </c>
      <c r="AK53" s="239">
        <v>-137509</v>
      </c>
      <c r="AL53" s="239">
        <v>43966</v>
      </c>
      <c r="AM53" s="239">
        <v>35172</v>
      </c>
      <c r="AN53" s="239">
        <v>7914</v>
      </c>
      <c r="AO53" s="239">
        <v>879</v>
      </c>
      <c r="AP53" s="239">
        <v>87931</v>
      </c>
      <c r="AQ53" s="239">
        <v>-46974</v>
      </c>
      <c r="AR53" s="239">
        <v>-37580</v>
      </c>
      <c r="AS53" s="239">
        <v>-8456</v>
      </c>
      <c r="AT53" s="239">
        <v>-940</v>
      </c>
      <c r="AU53" s="239">
        <v>-93950</v>
      </c>
      <c r="AV53" s="239">
        <v>-71762</v>
      </c>
      <c r="AW53" s="239">
        <v>-57412</v>
      </c>
      <c r="AX53" s="239">
        <v>-12918</v>
      </c>
      <c r="AY53" s="239">
        <v>-1436</v>
      </c>
      <c r="AZ53" s="239">
        <v>-143528</v>
      </c>
      <c r="BA53" s="239">
        <v>-1510880</v>
      </c>
      <c r="BB53" s="239">
        <v>-1208704</v>
      </c>
      <c r="BC53" s="239">
        <v>-271958</v>
      </c>
      <c r="BD53" s="239">
        <v>-30218</v>
      </c>
      <c r="BE53" s="239">
        <v>-3021760</v>
      </c>
      <c r="BF53" s="239">
        <v>428347</v>
      </c>
      <c r="BG53" s="239">
        <v>342678</v>
      </c>
      <c r="BH53" s="239">
        <v>77102</v>
      </c>
      <c r="BI53" s="239">
        <v>8567</v>
      </c>
      <c r="BJ53" s="239">
        <v>856694</v>
      </c>
      <c r="BK53" s="239">
        <v>-132467</v>
      </c>
      <c r="BL53" s="239">
        <v>-105974</v>
      </c>
      <c r="BM53" s="239">
        <v>-23844</v>
      </c>
      <c r="BN53" s="239">
        <v>-2649</v>
      </c>
      <c r="BO53" s="239">
        <v>-264934</v>
      </c>
      <c r="BP53" s="239">
        <v>-1215000</v>
      </c>
      <c r="BQ53" s="239">
        <v>-972000</v>
      </c>
      <c r="BR53" s="239">
        <v>-218700</v>
      </c>
      <c r="BS53" s="239">
        <v>-24300</v>
      </c>
      <c r="BT53" s="239">
        <v>-2430000</v>
      </c>
      <c r="BU53" s="239">
        <v>-1246335</v>
      </c>
      <c r="BV53" s="239">
        <v>-997068</v>
      </c>
      <c r="BW53" s="239">
        <v>-224340</v>
      </c>
      <c r="BX53" s="239">
        <v>-24927</v>
      </c>
      <c r="BY53" s="239">
        <v>-2492670</v>
      </c>
      <c r="BZ53" s="239">
        <v>-1269646</v>
      </c>
      <c r="CA53" s="239">
        <v>-1015717</v>
      </c>
      <c r="CB53" s="239">
        <v>-228536</v>
      </c>
      <c r="CC53" s="239">
        <v>-25393</v>
      </c>
      <c r="CD53" s="239">
        <v>-2539292</v>
      </c>
      <c r="CE53" s="239">
        <v>23311</v>
      </c>
      <c r="CF53" s="239">
        <v>18649</v>
      </c>
      <c r="CG53" s="239">
        <v>4196</v>
      </c>
      <c r="CH53" s="239">
        <v>466</v>
      </c>
      <c r="CI53" s="239">
        <v>46622</v>
      </c>
      <c r="CJ53" s="239">
        <v>7588309</v>
      </c>
      <c r="CK53" s="239">
        <v>6070648</v>
      </c>
      <c r="CL53" s="239">
        <v>1365896</v>
      </c>
      <c r="CM53" s="239">
        <v>151766</v>
      </c>
      <c r="CN53" s="239">
        <v>15176619</v>
      </c>
      <c r="CO53" s="239">
        <v>7575897</v>
      </c>
      <c r="CP53" s="239">
        <v>6060718</v>
      </c>
      <c r="CQ53" s="239">
        <v>1363662</v>
      </c>
      <c r="CR53" s="239">
        <v>151518</v>
      </c>
      <c r="CS53" s="239">
        <v>15151795</v>
      </c>
      <c r="CT53" s="239">
        <v>-12412</v>
      </c>
      <c r="CU53" s="239">
        <v>-9930</v>
      </c>
      <c r="CV53" s="239">
        <v>-2234</v>
      </c>
      <c r="CW53" s="239">
        <v>-248</v>
      </c>
      <c r="CX53" s="239">
        <v>-24824</v>
      </c>
      <c r="CY53" s="239">
        <v>10899</v>
      </c>
      <c r="CZ53" s="239">
        <v>8719</v>
      </c>
      <c r="DA53" s="239">
        <v>1962</v>
      </c>
      <c r="DB53" s="239">
        <v>218</v>
      </c>
      <c r="DC53" s="239">
        <v>21798</v>
      </c>
      <c r="DD53" s="641">
        <v>0.5</v>
      </c>
      <c r="DE53" s="641">
        <v>0.4</v>
      </c>
      <c r="DF53" s="641">
        <v>0.09</v>
      </c>
      <c r="DG53" s="641">
        <v>0.01</v>
      </c>
      <c r="DH53" s="641">
        <v>1</v>
      </c>
      <c r="DI53" s="214" t="s">
        <v>1190</v>
      </c>
    </row>
    <row r="54" spans="2:113" s="214" customFormat="1" x14ac:dyDescent="0.2">
      <c r="B54" s="609" t="s">
        <v>190</v>
      </c>
      <c r="C54" s="609" t="s">
        <v>189</v>
      </c>
      <c r="D54" s="239">
        <v>41642775</v>
      </c>
      <c r="E54" s="239">
        <v>40809919</v>
      </c>
      <c r="F54" s="239">
        <v>0</v>
      </c>
      <c r="G54" s="239">
        <v>832855</v>
      </c>
      <c r="H54" s="239">
        <v>83285549</v>
      </c>
      <c r="I54" s="239">
        <v>0</v>
      </c>
      <c r="J54" s="239">
        <v>0</v>
      </c>
      <c r="K54" s="239">
        <v>41642775</v>
      </c>
      <c r="L54" s="239">
        <v>312185</v>
      </c>
      <c r="M54" s="239">
        <v>312185</v>
      </c>
      <c r="N54" s="239">
        <v>0</v>
      </c>
      <c r="O54" s="239">
        <v>0</v>
      </c>
      <c r="P54" s="239">
        <v>391714</v>
      </c>
      <c r="Q54" s="239">
        <v>0</v>
      </c>
      <c r="R54" s="239">
        <v>391714</v>
      </c>
      <c r="S54" s="239">
        <v>0</v>
      </c>
      <c r="T54" s="239">
        <v>0</v>
      </c>
      <c r="U54" s="239">
        <v>0</v>
      </c>
      <c r="V54" s="239">
        <v>0</v>
      </c>
      <c r="W54" s="239">
        <v>1772462</v>
      </c>
      <c r="X54" s="239">
        <v>1737013</v>
      </c>
      <c r="Y54" s="239">
        <v>0</v>
      </c>
      <c r="Z54" s="239">
        <v>35449</v>
      </c>
      <c r="AA54" s="239">
        <v>3544924</v>
      </c>
      <c r="AB54" s="239">
        <v>-293847</v>
      </c>
      <c r="AC54" s="239">
        <v>-287971</v>
      </c>
      <c r="AD54" s="239">
        <v>0</v>
      </c>
      <c r="AE54" s="239">
        <v>-5877</v>
      </c>
      <c r="AF54" s="239">
        <v>-587695</v>
      </c>
      <c r="AG54" s="239">
        <v>-293042</v>
      </c>
      <c r="AH54" s="239">
        <v>-287182</v>
      </c>
      <c r="AI54" s="239">
        <v>0</v>
      </c>
      <c r="AJ54" s="239">
        <v>-5860</v>
      </c>
      <c r="AK54" s="239">
        <v>-586084</v>
      </c>
      <c r="AL54" s="239">
        <v>345787</v>
      </c>
      <c r="AM54" s="239">
        <v>338872</v>
      </c>
      <c r="AN54" s="239">
        <v>0</v>
      </c>
      <c r="AO54" s="239">
        <v>6916</v>
      </c>
      <c r="AP54" s="239">
        <v>691575</v>
      </c>
      <c r="AQ54" s="239">
        <v>-273012</v>
      </c>
      <c r="AR54" s="239">
        <v>-267552</v>
      </c>
      <c r="AS54" s="239">
        <v>0</v>
      </c>
      <c r="AT54" s="239">
        <v>-5460</v>
      </c>
      <c r="AU54" s="239">
        <v>-546024</v>
      </c>
      <c r="AV54" s="239">
        <v>-220267</v>
      </c>
      <c r="AW54" s="239">
        <v>-215862</v>
      </c>
      <c r="AX54" s="239">
        <v>0</v>
      </c>
      <c r="AY54" s="239">
        <v>-4404</v>
      </c>
      <c r="AZ54" s="239">
        <v>-440533</v>
      </c>
      <c r="BA54" s="239">
        <v>-2065650</v>
      </c>
      <c r="BB54" s="239">
        <v>-2024337</v>
      </c>
      <c r="BC54" s="239">
        <v>0</v>
      </c>
      <c r="BD54" s="239">
        <v>-41312</v>
      </c>
      <c r="BE54" s="239">
        <v>-4131299</v>
      </c>
      <c r="BF54" s="239">
        <v>1513742</v>
      </c>
      <c r="BG54" s="239">
        <v>1483467</v>
      </c>
      <c r="BH54" s="239">
        <v>0</v>
      </c>
      <c r="BI54" s="239">
        <v>30275</v>
      </c>
      <c r="BJ54" s="239">
        <v>3027484</v>
      </c>
      <c r="BK54" s="239">
        <v>-1620714</v>
      </c>
      <c r="BL54" s="239">
        <v>-1588299</v>
      </c>
      <c r="BM54" s="239">
        <v>0</v>
      </c>
      <c r="BN54" s="239">
        <v>-32414</v>
      </c>
      <c r="BO54" s="239">
        <v>-3241427</v>
      </c>
      <c r="BP54" s="239">
        <v>-2172622</v>
      </c>
      <c r="BQ54" s="239">
        <v>-2129169</v>
      </c>
      <c r="BR54" s="239">
        <v>0</v>
      </c>
      <c r="BS54" s="239">
        <v>-43451</v>
      </c>
      <c r="BT54" s="239">
        <v>-4345242</v>
      </c>
      <c r="BU54" s="239">
        <v>-3601090</v>
      </c>
      <c r="BV54" s="239">
        <v>-3529068</v>
      </c>
      <c r="BW54" s="239">
        <v>0</v>
      </c>
      <c r="BX54" s="239">
        <v>-72022</v>
      </c>
      <c r="BY54" s="239">
        <v>-7202180</v>
      </c>
      <c r="BZ54" s="239">
        <v>-2728000</v>
      </c>
      <c r="CA54" s="239">
        <v>-2673440</v>
      </c>
      <c r="CB54" s="239">
        <v>0</v>
      </c>
      <c r="CC54" s="239">
        <v>-54560</v>
      </c>
      <c r="CD54" s="239">
        <v>-5456000</v>
      </c>
      <c r="CE54" s="239">
        <v>-873090</v>
      </c>
      <c r="CF54" s="239">
        <v>-855628</v>
      </c>
      <c r="CG54" s="239">
        <v>0</v>
      </c>
      <c r="CH54" s="239">
        <v>-17462</v>
      </c>
      <c r="CI54" s="239">
        <v>-1746180</v>
      </c>
      <c r="CJ54" s="239">
        <v>42712113</v>
      </c>
      <c r="CK54" s="239">
        <v>41857871</v>
      </c>
      <c r="CL54" s="239">
        <v>0</v>
      </c>
      <c r="CM54" s="239">
        <v>854242</v>
      </c>
      <c r="CN54" s="239">
        <v>85424226</v>
      </c>
      <c r="CO54" s="239">
        <v>41642775</v>
      </c>
      <c r="CP54" s="239">
        <v>40809919</v>
      </c>
      <c r="CQ54" s="239">
        <v>0</v>
      </c>
      <c r="CR54" s="239">
        <v>832855</v>
      </c>
      <c r="CS54" s="239">
        <v>83285549</v>
      </c>
      <c r="CT54" s="239">
        <v>-1069338</v>
      </c>
      <c r="CU54" s="239">
        <v>-1047952</v>
      </c>
      <c r="CV54" s="239">
        <v>0</v>
      </c>
      <c r="CW54" s="239">
        <v>-21387</v>
      </c>
      <c r="CX54" s="239">
        <v>-2138677</v>
      </c>
      <c r="CY54" s="239">
        <v>-1942428</v>
      </c>
      <c r="CZ54" s="239">
        <v>-1903580</v>
      </c>
      <c r="DA54" s="239">
        <v>0</v>
      </c>
      <c r="DB54" s="239">
        <v>-38849</v>
      </c>
      <c r="DC54" s="239">
        <v>-3884857</v>
      </c>
      <c r="DD54" s="641">
        <v>0.5</v>
      </c>
      <c r="DE54" s="641">
        <v>0.49</v>
      </c>
      <c r="DF54" s="641">
        <v>0</v>
      </c>
      <c r="DG54" s="641">
        <v>0.01</v>
      </c>
      <c r="DH54" s="641">
        <v>1</v>
      </c>
      <c r="DI54" s="214" t="s">
        <v>747</v>
      </c>
    </row>
    <row r="55" spans="2:113" s="214" customFormat="1" x14ac:dyDescent="0.2">
      <c r="B55" s="609" t="s">
        <v>192</v>
      </c>
      <c r="C55" s="609" t="s">
        <v>191</v>
      </c>
      <c r="D55" s="239">
        <v>22591255</v>
      </c>
      <c r="E55" s="239">
        <v>18073004</v>
      </c>
      <c r="F55" s="239">
        <v>4066426</v>
      </c>
      <c r="G55" s="239">
        <v>451825</v>
      </c>
      <c r="H55" s="239">
        <v>45182510</v>
      </c>
      <c r="I55" s="239">
        <v>0</v>
      </c>
      <c r="J55" s="239">
        <v>0</v>
      </c>
      <c r="K55" s="239">
        <v>22591255</v>
      </c>
      <c r="L55" s="239">
        <v>192135</v>
      </c>
      <c r="M55" s="239">
        <v>192135</v>
      </c>
      <c r="N55" s="239">
        <v>0</v>
      </c>
      <c r="O55" s="239">
        <v>0</v>
      </c>
      <c r="P55" s="239">
        <v>164467</v>
      </c>
      <c r="Q55" s="239">
        <v>0</v>
      </c>
      <c r="R55" s="239">
        <v>164467</v>
      </c>
      <c r="S55" s="239">
        <v>0</v>
      </c>
      <c r="T55" s="239">
        <v>0</v>
      </c>
      <c r="U55" s="239">
        <v>0</v>
      </c>
      <c r="V55" s="239">
        <v>0</v>
      </c>
      <c r="W55" s="239">
        <v>430009</v>
      </c>
      <c r="X55" s="239">
        <v>344006</v>
      </c>
      <c r="Y55" s="239">
        <v>77401</v>
      </c>
      <c r="Z55" s="239">
        <v>8600</v>
      </c>
      <c r="AA55" s="239">
        <v>860016</v>
      </c>
      <c r="AB55" s="239">
        <v>-303672</v>
      </c>
      <c r="AC55" s="239">
        <v>-242937</v>
      </c>
      <c r="AD55" s="239">
        <v>-54661</v>
      </c>
      <c r="AE55" s="239">
        <v>-6073</v>
      </c>
      <c r="AF55" s="239">
        <v>-607343</v>
      </c>
      <c r="AG55" s="239">
        <v>-174514</v>
      </c>
      <c r="AH55" s="239">
        <v>-139613</v>
      </c>
      <c r="AI55" s="239">
        <v>-31413</v>
      </c>
      <c r="AJ55" s="239">
        <v>-3491</v>
      </c>
      <c r="AK55" s="239">
        <v>-349031</v>
      </c>
      <c r="AL55" s="239">
        <v>145270</v>
      </c>
      <c r="AM55" s="239">
        <v>116215</v>
      </c>
      <c r="AN55" s="239">
        <v>26148</v>
      </c>
      <c r="AO55" s="239">
        <v>2905</v>
      </c>
      <c r="AP55" s="239">
        <v>290538</v>
      </c>
      <c r="AQ55" s="239">
        <v>-119775</v>
      </c>
      <c r="AR55" s="239">
        <v>-95819</v>
      </c>
      <c r="AS55" s="239">
        <v>-21559</v>
      </c>
      <c r="AT55" s="239">
        <v>-2395</v>
      </c>
      <c r="AU55" s="239">
        <v>-239548</v>
      </c>
      <c r="AV55" s="239">
        <v>-149019</v>
      </c>
      <c r="AW55" s="239">
        <v>-119217</v>
      </c>
      <c r="AX55" s="239">
        <v>-26824</v>
      </c>
      <c r="AY55" s="239">
        <v>-2981</v>
      </c>
      <c r="AZ55" s="239">
        <v>-298041</v>
      </c>
      <c r="BA55" s="239">
        <v>-2125000</v>
      </c>
      <c r="BB55" s="239">
        <v>-1700000</v>
      </c>
      <c r="BC55" s="239">
        <v>-382500</v>
      </c>
      <c r="BD55" s="239">
        <v>-42500</v>
      </c>
      <c r="BE55" s="239">
        <v>-4250000</v>
      </c>
      <c r="BF55" s="239">
        <v>50473</v>
      </c>
      <c r="BG55" s="239">
        <v>40378</v>
      </c>
      <c r="BH55" s="239">
        <v>9085</v>
      </c>
      <c r="BI55" s="239">
        <v>1009</v>
      </c>
      <c r="BJ55" s="239">
        <v>100945</v>
      </c>
      <c r="BK55" s="239">
        <v>-50473</v>
      </c>
      <c r="BL55" s="239">
        <v>-40378</v>
      </c>
      <c r="BM55" s="239">
        <v>-9085</v>
      </c>
      <c r="BN55" s="239">
        <v>-1009</v>
      </c>
      <c r="BO55" s="239">
        <v>-100945</v>
      </c>
      <c r="BP55" s="239">
        <v>-2125000</v>
      </c>
      <c r="BQ55" s="239">
        <v>-1700000</v>
      </c>
      <c r="BR55" s="239">
        <v>-382500</v>
      </c>
      <c r="BS55" s="239">
        <v>-42500</v>
      </c>
      <c r="BT55" s="239">
        <v>-4250000</v>
      </c>
      <c r="BU55" s="239">
        <v>-1497655</v>
      </c>
      <c r="BV55" s="239">
        <v>-1198124</v>
      </c>
      <c r="BW55" s="239">
        <v>-269578</v>
      </c>
      <c r="BX55" s="239">
        <v>-29953</v>
      </c>
      <c r="BY55" s="239">
        <v>-2995310</v>
      </c>
      <c r="BZ55" s="239">
        <v>-428962</v>
      </c>
      <c r="CA55" s="239">
        <v>-343169</v>
      </c>
      <c r="CB55" s="239">
        <v>-77213</v>
      </c>
      <c r="CC55" s="239">
        <v>-8579</v>
      </c>
      <c r="CD55" s="239">
        <v>-857923</v>
      </c>
      <c r="CE55" s="239">
        <v>-1068693</v>
      </c>
      <c r="CF55" s="239">
        <v>-854955</v>
      </c>
      <c r="CG55" s="239">
        <v>-192365</v>
      </c>
      <c r="CH55" s="239">
        <v>-21374</v>
      </c>
      <c r="CI55" s="239">
        <v>-2137387</v>
      </c>
      <c r="CJ55" s="239">
        <v>22498041</v>
      </c>
      <c r="CK55" s="239">
        <v>17998434</v>
      </c>
      <c r="CL55" s="239">
        <v>4049648</v>
      </c>
      <c r="CM55" s="239">
        <v>449961</v>
      </c>
      <c r="CN55" s="239">
        <v>44996084</v>
      </c>
      <c r="CO55" s="239">
        <v>22591255</v>
      </c>
      <c r="CP55" s="239">
        <v>18073004</v>
      </c>
      <c r="CQ55" s="239">
        <v>4066426</v>
      </c>
      <c r="CR55" s="239">
        <v>451825</v>
      </c>
      <c r="CS55" s="239">
        <v>45182510</v>
      </c>
      <c r="CT55" s="239">
        <v>93214</v>
      </c>
      <c r="CU55" s="239">
        <v>74570</v>
      </c>
      <c r="CV55" s="239">
        <v>16778</v>
      </c>
      <c r="CW55" s="239">
        <v>1864</v>
      </c>
      <c r="CX55" s="239">
        <v>186426</v>
      </c>
      <c r="CY55" s="239">
        <v>-975479</v>
      </c>
      <c r="CZ55" s="239">
        <v>-780385</v>
      </c>
      <c r="DA55" s="239">
        <v>-175587</v>
      </c>
      <c r="DB55" s="239">
        <v>-19510</v>
      </c>
      <c r="DC55" s="239">
        <v>-1950961</v>
      </c>
      <c r="DD55" s="641">
        <v>0.5</v>
      </c>
      <c r="DE55" s="641">
        <v>0.4</v>
      </c>
      <c r="DF55" s="641">
        <v>0.09</v>
      </c>
      <c r="DG55" s="641">
        <v>0.01</v>
      </c>
      <c r="DH55" s="641">
        <v>1</v>
      </c>
      <c r="DI55" s="214" t="s">
        <v>1190</v>
      </c>
    </row>
    <row r="56" spans="2:113" s="214" customFormat="1" x14ac:dyDescent="0.2">
      <c r="B56" s="609" t="s">
        <v>194</v>
      </c>
      <c r="C56" s="609" t="s">
        <v>193</v>
      </c>
      <c r="D56" s="239">
        <v>40827179</v>
      </c>
      <c r="E56" s="239">
        <v>32661744</v>
      </c>
      <c r="F56" s="239">
        <v>7348892</v>
      </c>
      <c r="G56" s="239">
        <v>816544</v>
      </c>
      <c r="H56" s="239">
        <v>81654359</v>
      </c>
      <c r="I56" s="239">
        <v>0</v>
      </c>
      <c r="J56" s="239">
        <v>0</v>
      </c>
      <c r="K56" s="239">
        <v>40827179</v>
      </c>
      <c r="L56" s="239">
        <v>224442</v>
      </c>
      <c r="M56" s="239">
        <v>224442</v>
      </c>
      <c r="N56" s="239">
        <v>0</v>
      </c>
      <c r="O56" s="239">
        <v>0</v>
      </c>
      <c r="P56" s="239">
        <v>0</v>
      </c>
      <c r="Q56" s="239">
        <v>0</v>
      </c>
      <c r="R56" s="239">
        <v>0</v>
      </c>
      <c r="S56" s="239">
        <v>0</v>
      </c>
      <c r="T56" s="239">
        <v>0</v>
      </c>
      <c r="U56" s="239">
        <v>0</v>
      </c>
      <c r="V56" s="239">
        <v>0</v>
      </c>
      <c r="W56" s="239">
        <v>1464537</v>
      </c>
      <c r="X56" s="239">
        <v>1171630</v>
      </c>
      <c r="Y56" s="239">
        <v>263617</v>
      </c>
      <c r="Z56" s="239">
        <v>29291</v>
      </c>
      <c r="AA56" s="239">
        <v>2929075</v>
      </c>
      <c r="AB56" s="239">
        <v>-992991</v>
      </c>
      <c r="AC56" s="239">
        <v>-794393</v>
      </c>
      <c r="AD56" s="239">
        <v>-178738</v>
      </c>
      <c r="AE56" s="239">
        <v>-19860</v>
      </c>
      <c r="AF56" s="239">
        <v>-1985982</v>
      </c>
      <c r="AG56" s="239">
        <v>-474022.65</v>
      </c>
      <c r="AH56" s="239">
        <v>-379217</v>
      </c>
      <c r="AI56" s="239">
        <v>-85324</v>
      </c>
      <c r="AJ56" s="239">
        <v>-9480</v>
      </c>
      <c r="AK56" s="239">
        <v>-948043.65</v>
      </c>
      <c r="AL56" s="239">
        <v>0</v>
      </c>
      <c r="AM56" s="239">
        <v>0</v>
      </c>
      <c r="AN56" s="239">
        <v>0</v>
      </c>
      <c r="AO56" s="239">
        <v>0</v>
      </c>
      <c r="AP56" s="239">
        <v>0</v>
      </c>
      <c r="AQ56" s="239">
        <v>37084</v>
      </c>
      <c r="AR56" s="239">
        <v>29668</v>
      </c>
      <c r="AS56" s="239">
        <v>6675</v>
      </c>
      <c r="AT56" s="239">
        <v>742</v>
      </c>
      <c r="AU56" s="239">
        <v>74169</v>
      </c>
      <c r="AV56" s="239">
        <v>-436938.65</v>
      </c>
      <c r="AW56" s="239">
        <v>-349549</v>
      </c>
      <c r="AX56" s="239">
        <v>-78649</v>
      </c>
      <c r="AY56" s="239">
        <v>-8738</v>
      </c>
      <c r="AZ56" s="239">
        <v>-873874.65</v>
      </c>
      <c r="BA56" s="239">
        <v>-7303706</v>
      </c>
      <c r="BB56" s="239">
        <v>-5842965</v>
      </c>
      <c r="BC56" s="239">
        <v>-1314668</v>
      </c>
      <c r="BD56" s="239">
        <v>-146074</v>
      </c>
      <c r="BE56" s="239">
        <v>-14607413</v>
      </c>
      <c r="BF56" s="239">
        <v>2495244</v>
      </c>
      <c r="BG56" s="239">
        <v>1996196</v>
      </c>
      <c r="BH56" s="239">
        <v>449144</v>
      </c>
      <c r="BI56" s="239">
        <v>49905</v>
      </c>
      <c r="BJ56" s="239">
        <v>4990489</v>
      </c>
      <c r="BK56" s="239">
        <v>-585741</v>
      </c>
      <c r="BL56" s="239">
        <v>-468594</v>
      </c>
      <c r="BM56" s="239">
        <v>-105434</v>
      </c>
      <c r="BN56" s="239">
        <v>-11715</v>
      </c>
      <c r="BO56" s="239">
        <v>-1171484</v>
      </c>
      <c r="BP56" s="239">
        <v>-5394203</v>
      </c>
      <c r="BQ56" s="239">
        <v>-4315363</v>
      </c>
      <c r="BR56" s="239">
        <v>-970958</v>
      </c>
      <c r="BS56" s="239">
        <v>-107884</v>
      </c>
      <c r="BT56" s="239">
        <v>-10788408</v>
      </c>
      <c r="BU56" s="239">
        <v>-6164472</v>
      </c>
      <c r="BV56" s="239">
        <v>-4931578</v>
      </c>
      <c r="BW56" s="239">
        <v>-1109605</v>
      </c>
      <c r="BX56" s="239">
        <v>-123289</v>
      </c>
      <c r="BY56" s="239">
        <v>-12328944</v>
      </c>
      <c r="BZ56" s="239">
        <v>-5895624</v>
      </c>
      <c r="CA56" s="239">
        <v>-4716498</v>
      </c>
      <c r="CB56" s="239">
        <v>-1061212</v>
      </c>
      <c r="CC56" s="239">
        <v>-117912</v>
      </c>
      <c r="CD56" s="239">
        <v>-11791246</v>
      </c>
      <c r="CE56" s="239">
        <v>-268848</v>
      </c>
      <c r="CF56" s="239">
        <v>-215080</v>
      </c>
      <c r="CG56" s="239">
        <v>-48393</v>
      </c>
      <c r="CH56" s="239">
        <v>-5377</v>
      </c>
      <c r="CI56" s="239">
        <v>-537698</v>
      </c>
      <c r="CJ56" s="239">
        <v>38653113</v>
      </c>
      <c r="CK56" s="239">
        <v>30922490</v>
      </c>
      <c r="CL56" s="239">
        <v>6957560</v>
      </c>
      <c r="CM56" s="239">
        <v>773062</v>
      </c>
      <c r="CN56" s="239">
        <v>77306225</v>
      </c>
      <c r="CO56" s="239">
        <v>40827179</v>
      </c>
      <c r="CP56" s="239">
        <v>32661744</v>
      </c>
      <c r="CQ56" s="239">
        <v>7348892</v>
      </c>
      <c r="CR56" s="239">
        <v>816544</v>
      </c>
      <c r="CS56" s="239">
        <v>81654359</v>
      </c>
      <c r="CT56" s="239">
        <v>2174066</v>
      </c>
      <c r="CU56" s="239">
        <v>1739254</v>
      </c>
      <c r="CV56" s="239">
        <v>391332</v>
      </c>
      <c r="CW56" s="239">
        <v>43482</v>
      </c>
      <c r="CX56" s="239">
        <v>4348134</v>
      </c>
      <c r="CY56" s="239">
        <v>1905218</v>
      </c>
      <c r="CZ56" s="239">
        <v>1524174</v>
      </c>
      <c r="DA56" s="239">
        <v>342939</v>
      </c>
      <c r="DB56" s="239">
        <v>38105</v>
      </c>
      <c r="DC56" s="239">
        <v>3810436</v>
      </c>
      <c r="DD56" s="641">
        <v>0.5</v>
      </c>
      <c r="DE56" s="641">
        <v>0.4</v>
      </c>
      <c r="DF56" s="641">
        <v>0.09</v>
      </c>
      <c r="DG56" s="641">
        <v>0.01</v>
      </c>
      <c r="DH56" s="641">
        <v>1</v>
      </c>
      <c r="DI56" s="214" t="s">
        <v>1190</v>
      </c>
    </row>
    <row r="57" spans="2:113" s="214" customFormat="1" x14ac:dyDescent="0.2">
      <c r="B57" s="609" t="s">
        <v>196</v>
      </c>
      <c r="C57" s="609" t="s">
        <v>195</v>
      </c>
      <c r="D57" s="239">
        <v>27450053</v>
      </c>
      <c r="E57" s="239">
        <v>21960042</v>
      </c>
      <c r="F57" s="239">
        <v>5490011</v>
      </c>
      <c r="G57" s="239">
        <v>0</v>
      </c>
      <c r="H57" s="239">
        <v>54900106</v>
      </c>
      <c r="I57" s="239">
        <v>0</v>
      </c>
      <c r="J57" s="239">
        <v>0</v>
      </c>
      <c r="K57" s="239">
        <v>27450053</v>
      </c>
      <c r="L57" s="239">
        <v>181383</v>
      </c>
      <c r="M57" s="239">
        <v>181383</v>
      </c>
      <c r="N57" s="239">
        <v>0</v>
      </c>
      <c r="O57" s="239">
        <v>0</v>
      </c>
      <c r="P57" s="239">
        <v>0</v>
      </c>
      <c r="Q57" s="239">
        <v>0</v>
      </c>
      <c r="R57" s="239">
        <v>0</v>
      </c>
      <c r="S57" s="239">
        <v>0</v>
      </c>
      <c r="T57" s="239">
        <v>0</v>
      </c>
      <c r="U57" s="239">
        <v>0</v>
      </c>
      <c r="V57" s="239">
        <v>0</v>
      </c>
      <c r="W57" s="239">
        <v>569506</v>
      </c>
      <c r="X57" s="239">
        <v>455604</v>
      </c>
      <c r="Y57" s="239">
        <v>113901</v>
      </c>
      <c r="Z57" s="239">
        <v>0</v>
      </c>
      <c r="AA57" s="239">
        <v>1139011</v>
      </c>
      <c r="AB57" s="239">
        <v>-2468767</v>
      </c>
      <c r="AC57" s="239">
        <v>-1975013</v>
      </c>
      <c r="AD57" s="239">
        <v>-493753</v>
      </c>
      <c r="AE57" s="239">
        <v>0</v>
      </c>
      <c r="AF57" s="239">
        <v>-4937533</v>
      </c>
      <c r="AG57" s="239">
        <v>-241517</v>
      </c>
      <c r="AH57" s="239">
        <v>-193215</v>
      </c>
      <c r="AI57" s="239">
        <v>-48303</v>
      </c>
      <c r="AJ57" s="239">
        <v>0</v>
      </c>
      <c r="AK57" s="239">
        <v>-483035</v>
      </c>
      <c r="AL57" s="239">
        <v>151956</v>
      </c>
      <c r="AM57" s="239">
        <v>121565</v>
      </c>
      <c r="AN57" s="239">
        <v>30391</v>
      </c>
      <c r="AO57" s="239">
        <v>0</v>
      </c>
      <c r="AP57" s="239">
        <v>303912</v>
      </c>
      <c r="AQ57" s="239">
        <v>-123421</v>
      </c>
      <c r="AR57" s="239">
        <v>-98736</v>
      </c>
      <c r="AS57" s="239">
        <v>-24684</v>
      </c>
      <c r="AT57" s="239">
        <v>0</v>
      </c>
      <c r="AU57" s="239">
        <v>-246841</v>
      </c>
      <c r="AV57" s="239">
        <v>-212982</v>
      </c>
      <c r="AW57" s="239">
        <v>-170386</v>
      </c>
      <c r="AX57" s="239">
        <v>-42596</v>
      </c>
      <c r="AY57" s="239">
        <v>0</v>
      </c>
      <c r="AZ57" s="239">
        <v>-425964</v>
      </c>
      <c r="BA57" s="239">
        <v>-1587181</v>
      </c>
      <c r="BB57" s="239">
        <v>-1269744</v>
      </c>
      <c r="BC57" s="239">
        <v>-317437</v>
      </c>
      <c r="BD57" s="239">
        <v>0</v>
      </c>
      <c r="BE57" s="239">
        <v>-3174362</v>
      </c>
      <c r="BF57" s="239">
        <v>1043413</v>
      </c>
      <c r="BG57" s="239">
        <v>834730</v>
      </c>
      <c r="BH57" s="239">
        <v>208683</v>
      </c>
      <c r="BI57" s="239">
        <v>0</v>
      </c>
      <c r="BJ57" s="239">
        <v>2086826</v>
      </c>
      <c r="BK57" s="239">
        <v>-711554</v>
      </c>
      <c r="BL57" s="239">
        <v>-569244</v>
      </c>
      <c r="BM57" s="239">
        <v>-142311</v>
      </c>
      <c r="BN57" s="239">
        <v>0</v>
      </c>
      <c r="BO57" s="239">
        <v>-1423109</v>
      </c>
      <c r="BP57" s="239">
        <v>-1255322</v>
      </c>
      <c r="BQ57" s="239">
        <v>-1004258</v>
      </c>
      <c r="BR57" s="239">
        <v>-251065</v>
      </c>
      <c r="BS57" s="239">
        <v>0</v>
      </c>
      <c r="BT57" s="239">
        <v>-2510645</v>
      </c>
      <c r="BU57" s="239">
        <v>-1666829</v>
      </c>
      <c r="BV57" s="239">
        <v>-1333463</v>
      </c>
      <c r="BW57" s="239">
        <v>-333366</v>
      </c>
      <c r="BX57" s="239">
        <v>0</v>
      </c>
      <c r="BY57" s="239">
        <v>-3333658</v>
      </c>
      <c r="BZ57" s="239">
        <v>-1286878</v>
      </c>
      <c r="CA57" s="239">
        <v>-1029503</v>
      </c>
      <c r="CB57" s="239">
        <v>-257376</v>
      </c>
      <c r="CC57" s="239">
        <v>0</v>
      </c>
      <c r="CD57" s="239">
        <v>-2573757</v>
      </c>
      <c r="CE57" s="239">
        <v>-379951</v>
      </c>
      <c r="CF57" s="239">
        <v>-303960</v>
      </c>
      <c r="CG57" s="239">
        <v>-75990</v>
      </c>
      <c r="CH57" s="239">
        <v>0</v>
      </c>
      <c r="CI57" s="239">
        <v>-759901</v>
      </c>
      <c r="CJ57" s="239">
        <v>27919987</v>
      </c>
      <c r="CK57" s="239">
        <v>22335990</v>
      </c>
      <c r="CL57" s="239">
        <v>5583998</v>
      </c>
      <c r="CM57" s="239">
        <v>0</v>
      </c>
      <c r="CN57" s="239">
        <v>55839975</v>
      </c>
      <c r="CO57" s="239">
        <v>27450053</v>
      </c>
      <c r="CP57" s="239">
        <v>21960042</v>
      </c>
      <c r="CQ57" s="239">
        <v>5490011</v>
      </c>
      <c r="CR57" s="239">
        <v>0</v>
      </c>
      <c r="CS57" s="239">
        <v>54900106</v>
      </c>
      <c r="CT57" s="239">
        <v>-469934</v>
      </c>
      <c r="CU57" s="239">
        <v>-375948</v>
      </c>
      <c r="CV57" s="239">
        <v>-93987</v>
      </c>
      <c r="CW57" s="239">
        <v>0</v>
      </c>
      <c r="CX57" s="239">
        <v>-939869</v>
      </c>
      <c r="CY57" s="239">
        <v>-849885</v>
      </c>
      <c r="CZ57" s="239">
        <v>-679908</v>
      </c>
      <c r="DA57" s="239">
        <v>-169977</v>
      </c>
      <c r="DB57" s="239">
        <v>0</v>
      </c>
      <c r="DC57" s="239">
        <v>-1699770</v>
      </c>
      <c r="DD57" s="641">
        <v>0.5</v>
      </c>
      <c r="DE57" s="641">
        <v>0.4</v>
      </c>
      <c r="DF57" s="641">
        <v>0.1</v>
      </c>
      <c r="DG57" s="641">
        <v>0</v>
      </c>
      <c r="DH57" s="641">
        <v>1</v>
      </c>
      <c r="DI57" s="214" t="s">
        <v>1190</v>
      </c>
    </row>
    <row r="58" spans="2:113" s="214" customFormat="1" x14ac:dyDescent="0.2">
      <c r="B58" s="609" t="s">
        <v>198</v>
      </c>
      <c r="C58" s="609" t="s">
        <v>197</v>
      </c>
      <c r="D58" s="239">
        <v>37427939</v>
      </c>
      <c r="E58" s="239">
        <v>29942351</v>
      </c>
      <c r="F58" s="239">
        <v>7485588</v>
      </c>
      <c r="G58" s="239">
        <v>0</v>
      </c>
      <c r="H58" s="239">
        <v>74855878</v>
      </c>
      <c r="I58" s="239">
        <v>0</v>
      </c>
      <c r="J58" s="239">
        <v>0</v>
      </c>
      <c r="K58" s="239">
        <v>37427939</v>
      </c>
      <c r="L58" s="239">
        <v>222918</v>
      </c>
      <c r="M58" s="239">
        <v>222918</v>
      </c>
      <c r="N58" s="239">
        <v>0</v>
      </c>
      <c r="O58" s="239">
        <v>0</v>
      </c>
      <c r="P58" s="239">
        <v>315779</v>
      </c>
      <c r="Q58" s="239">
        <v>273350</v>
      </c>
      <c r="R58" s="239">
        <v>589129</v>
      </c>
      <c r="S58" s="239">
        <v>0</v>
      </c>
      <c r="T58" s="239">
        <v>0</v>
      </c>
      <c r="U58" s="239">
        <v>0</v>
      </c>
      <c r="V58" s="239">
        <v>0</v>
      </c>
      <c r="W58" s="239">
        <v>486749</v>
      </c>
      <c r="X58" s="239">
        <v>389400</v>
      </c>
      <c r="Y58" s="239">
        <v>97350</v>
      </c>
      <c r="Z58" s="239">
        <v>0</v>
      </c>
      <c r="AA58" s="239">
        <v>973499</v>
      </c>
      <c r="AB58" s="239">
        <v>-1000163</v>
      </c>
      <c r="AC58" s="239">
        <v>-800130</v>
      </c>
      <c r="AD58" s="239">
        <v>-200033</v>
      </c>
      <c r="AE58" s="239">
        <v>0</v>
      </c>
      <c r="AF58" s="239">
        <v>-2000326</v>
      </c>
      <c r="AG58" s="239">
        <v>-127748</v>
      </c>
      <c r="AH58" s="239">
        <v>-102200</v>
      </c>
      <c r="AI58" s="239">
        <v>-25550</v>
      </c>
      <c r="AJ58" s="239">
        <v>0</v>
      </c>
      <c r="AK58" s="239">
        <v>-255498</v>
      </c>
      <c r="AL58" s="239">
        <v>0</v>
      </c>
      <c r="AM58" s="239">
        <v>0</v>
      </c>
      <c r="AN58" s="239">
        <v>0</v>
      </c>
      <c r="AO58" s="239">
        <v>0</v>
      </c>
      <c r="AP58" s="239">
        <v>0</v>
      </c>
      <c r="AQ58" s="239">
        <v>11596</v>
      </c>
      <c r="AR58" s="239">
        <v>9276</v>
      </c>
      <c r="AS58" s="239">
        <v>2319</v>
      </c>
      <c r="AT58" s="239">
        <v>0</v>
      </c>
      <c r="AU58" s="239">
        <v>23191</v>
      </c>
      <c r="AV58" s="239">
        <v>-116152</v>
      </c>
      <c r="AW58" s="239">
        <v>-92924</v>
      </c>
      <c r="AX58" s="239">
        <v>-23231</v>
      </c>
      <c r="AY58" s="239">
        <v>0</v>
      </c>
      <c r="AZ58" s="239">
        <v>-232307</v>
      </c>
      <c r="BA58" s="239">
        <v>-3166700</v>
      </c>
      <c r="BB58" s="239">
        <v>-2533359</v>
      </c>
      <c r="BC58" s="239">
        <v>-633340</v>
      </c>
      <c r="BD58" s="239">
        <v>0</v>
      </c>
      <c r="BE58" s="239">
        <v>-6333399</v>
      </c>
      <c r="BF58" s="239">
        <v>1196048</v>
      </c>
      <c r="BG58" s="239">
        <v>956839</v>
      </c>
      <c r="BH58" s="239">
        <v>239210</v>
      </c>
      <c r="BI58" s="239">
        <v>0</v>
      </c>
      <c r="BJ58" s="239">
        <v>2392097</v>
      </c>
      <c r="BK58" s="239">
        <v>-418587</v>
      </c>
      <c r="BL58" s="239">
        <v>-334870</v>
      </c>
      <c r="BM58" s="239">
        <v>-83718</v>
      </c>
      <c r="BN58" s="239">
        <v>0</v>
      </c>
      <c r="BO58" s="239">
        <v>-837175</v>
      </c>
      <c r="BP58" s="239">
        <v>-2389239</v>
      </c>
      <c r="BQ58" s="239">
        <v>-1911390</v>
      </c>
      <c r="BR58" s="239">
        <v>-477848</v>
      </c>
      <c r="BS58" s="239">
        <v>0</v>
      </c>
      <c r="BT58" s="239">
        <v>-4778477</v>
      </c>
      <c r="BU58" s="239">
        <v>-2571197</v>
      </c>
      <c r="BV58" s="239">
        <v>-2056958</v>
      </c>
      <c r="BW58" s="239">
        <v>-514240</v>
      </c>
      <c r="BX58" s="239">
        <v>0</v>
      </c>
      <c r="BY58" s="239">
        <v>-5142395</v>
      </c>
      <c r="BZ58" s="239">
        <v>-1945333</v>
      </c>
      <c r="CA58" s="239">
        <v>-1556266</v>
      </c>
      <c r="CB58" s="239">
        <v>-389067</v>
      </c>
      <c r="CC58" s="239">
        <v>0</v>
      </c>
      <c r="CD58" s="239">
        <v>-3890666</v>
      </c>
      <c r="CE58" s="239">
        <v>-625864</v>
      </c>
      <c r="CF58" s="239">
        <v>-500692</v>
      </c>
      <c r="CG58" s="239">
        <v>-125173</v>
      </c>
      <c r="CH58" s="239">
        <v>0</v>
      </c>
      <c r="CI58" s="239">
        <v>-1251729</v>
      </c>
      <c r="CJ58" s="239">
        <v>38993712</v>
      </c>
      <c r="CK58" s="239">
        <v>31194969</v>
      </c>
      <c r="CL58" s="239">
        <v>7798742</v>
      </c>
      <c r="CM58" s="239">
        <v>0</v>
      </c>
      <c r="CN58" s="239">
        <v>77987423</v>
      </c>
      <c r="CO58" s="239">
        <v>37427939</v>
      </c>
      <c r="CP58" s="239">
        <v>29942351</v>
      </c>
      <c r="CQ58" s="239">
        <v>7485588</v>
      </c>
      <c r="CR58" s="239">
        <v>0</v>
      </c>
      <c r="CS58" s="239">
        <v>74855878</v>
      </c>
      <c r="CT58" s="239">
        <v>-1565773</v>
      </c>
      <c r="CU58" s="239">
        <v>-1252618</v>
      </c>
      <c r="CV58" s="239">
        <v>-313154</v>
      </c>
      <c r="CW58" s="239">
        <v>0</v>
      </c>
      <c r="CX58" s="239">
        <v>-3131545</v>
      </c>
      <c r="CY58" s="239">
        <v>-2191637</v>
      </c>
      <c r="CZ58" s="239">
        <v>-1753310</v>
      </c>
      <c r="DA58" s="239">
        <v>-438327</v>
      </c>
      <c r="DB58" s="239">
        <v>0</v>
      </c>
      <c r="DC58" s="239">
        <v>-4383274</v>
      </c>
      <c r="DD58" s="641">
        <v>0.5</v>
      </c>
      <c r="DE58" s="641">
        <v>0.4</v>
      </c>
      <c r="DF58" s="641">
        <v>0.1</v>
      </c>
      <c r="DG58" s="641">
        <v>0</v>
      </c>
      <c r="DH58" s="641">
        <v>1</v>
      </c>
      <c r="DI58" s="214" t="s">
        <v>1190</v>
      </c>
    </row>
    <row r="59" spans="2:113" s="214" customFormat="1" x14ac:dyDescent="0.2">
      <c r="B59" s="609" t="s">
        <v>200</v>
      </c>
      <c r="C59" s="609" t="s">
        <v>199</v>
      </c>
      <c r="D59" s="239">
        <v>72185270</v>
      </c>
      <c r="E59" s="239">
        <v>70741564</v>
      </c>
      <c r="F59" s="239">
        <v>0</v>
      </c>
      <c r="G59" s="239">
        <v>1443705</v>
      </c>
      <c r="H59" s="239">
        <v>144370539</v>
      </c>
      <c r="I59" s="239">
        <v>5364.4793388429753</v>
      </c>
      <c r="J59" s="239">
        <v>5364.4793388429753</v>
      </c>
      <c r="K59" s="239">
        <v>72179905.52066116</v>
      </c>
      <c r="L59" s="239">
        <v>562451</v>
      </c>
      <c r="M59" s="239">
        <v>562451</v>
      </c>
      <c r="N59" s="239">
        <v>994585</v>
      </c>
      <c r="O59" s="239">
        <v>994585</v>
      </c>
      <c r="P59" s="239">
        <v>132443</v>
      </c>
      <c r="Q59" s="239">
        <v>0</v>
      </c>
      <c r="R59" s="239">
        <v>132443</v>
      </c>
      <c r="S59" s="239">
        <v>5364.4793388429753</v>
      </c>
      <c r="T59" s="239">
        <v>0</v>
      </c>
      <c r="U59" s="239">
        <v>0</v>
      </c>
      <c r="V59" s="239">
        <v>5364.4793388429753</v>
      </c>
      <c r="W59" s="239">
        <v>3316066</v>
      </c>
      <c r="X59" s="239">
        <v>3249744</v>
      </c>
      <c r="Y59" s="239">
        <v>0</v>
      </c>
      <c r="Z59" s="239">
        <v>66321</v>
      </c>
      <c r="AA59" s="239">
        <v>6632131</v>
      </c>
      <c r="AB59" s="239">
        <v>-289806</v>
      </c>
      <c r="AC59" s="239">
        <v>-284009</v>
      </c>
      <c r="AD59" s="239">
        <v>0</v>
      </c>
      <c r="AE59" s="239">
        <v>-5796</v>
      </c>
      <c r="AF59" s="239">
        <v>-579611</v>
      </c>
      <c r="AG59" s="239">
        <v>-1069695</v>
      </c>
      <c r="AH59" s="239">
        <v>-1048303</v>
      </c>
      <c r="AI59" s="239">
        <v>0</v>
      </c>
      <c r="AJ59" s="239">
        <v>-21394</v>
      </c>
      <c r="AK59" s="239">
        <v>-2139392</v>
      </c>
      <c r="AL59" s="239">
        <v>918485</v>
      </c>
      <c r="AM59" s="239">
        <v>900115</v>
      </c>
      <c r="AN59" s="239">
        <v>0</v>
      </c>
      <c r="AO59" s="239">
        <v>18370</v>
      </c>
      <c r="AP59" s="239">
        <v>1836970</v>
      </c>
      <c r="AQ59" s="239">
        <v>-748332</v>
      </c>
      <c r="AR59" s="239">
        <v>-733366</v>
      </c>
      <c r="AS59" s="239">
        <v>0</v>
      </c>
      <c r="AT59" s="239">
        <v>-14967</v>
      </c>
      <c r="AU59" s="239">
        <v>-1496665</v>
      </c>
      <c r="AV59" s="239">
        <v>-899542</v>
      </c>
      <c r="AW59" s="239">
        <v>-881554</v>
      </c>
      <c r="AX59" s="239">
        <v>0</v>
      </c>
      <c r="AY59" s="239">
        <v>-17991</v>
      </c>
      <c r="AZ59" s="239">
        <v>-1799087</v>
      </c>
      <c r="BA59" s="239">
        <v>-7789964</v>
      </c>
      <c r="BB59" s="239">
        <v>-7634166</v>
      </c>
      <c r="BC59" s="239">
        <v>0</v>
      </c>
      <c r="BD59" s="239">
        <v>-155799</v>
      </c>
      <c r="BE59" s="239">
        <v>-15579929</v>
      </c>
      <c r="BF59" s="239">
        <v>2081770</v>
      </c>
      <c r="BG59" s="239">
        <v>2040135</v>
      </c>
      <c r="BH59" s="239">
        <v>0</v>
      </c>
      <c r="BI59" s="239">
        <v>41635</v>
      </c>
      <c r="BJ59" s="239">
        <v>4163540</v>
      </c>
      <c r="BK59" s="239">
        <v>-1377988</v>
      </c>
      <c r="BL59" s="239">
        <v>-1350429</v>
      </c>
      <c r="BM59" s="239">
        <v>0</v>
      </c>
      <c r="BN59" s="239">
        <v>-27560</v>
      </c>
      <c r="BO59" s="239">
        <v>-2755977</v>
      </c>
      <c r="BP59" s="239">
        <v>-7086182</v>
      </c>
      <c r="BQ59" s="239">
        <v>-6944460</v>
      </c>
      <c r="BR59" s="239">
        <v>0</v>
      </c>
      <c r="BS59" s="239">
        <v>-141724</v>
      </c>
      <c r="BT59" s="239">
        <v>-14172366</v>
      </c>
      <c r="BU59" s="239">
        <v>-7284626</v>
      </c>
      <c r="BV59" s="239">
        <v>-7138934</v>
      </c>
      <c r="BW59" s="239">
        <v>0</v>
      </c>
      <c r="BX59" s="239">
        <v>-145693</v>
      </c>
      <c r="BY59" s="239">
        <v>-14569253</v>
      </c>
      <c r="BZ59" s="239">
        <v>-3798372</v>
      </c>
      <c r="CA59" s="239">
        <v>-3722404</v>
      </c>
      <c r="CB59" s="239">
        <v>0</v>
      </c>
      <c r="CC59" s="239">
        <v>-75967</v>
      </c>
      <c r="CD59" s="239">
        <v>-7596743</v>
      </c>
      <c r="CE59" s="239">
        <v>-3486254</v>
      </c>
      <c r="CF59" s="239">
        <v>-3416530</v>
      </c>
      <c r="CG59" s="239">
        <v>0</v>
      </c>
      <c r="CH59" s="239">
        <v>-69726</v>
      </c>
      <c r="CI59" s="239">
        <v>-6972510</v>
      </c>
      <c r="CJ59" s="239">
        <v>70269602</v>
      </c>
      <c r="CK59" s="239">
        <v>68864209</v>
      </c>
      <c r="CL59" s="239">
        <v>0</v>
      </c>
      <c r="CM59" s="239">
        <v>1405392</v>
      </c>
      <c r="CN59" s="239">
        <v>140539203</v>
      </c>
      <c r="CO59" s="239">
        <v>72185270</v>
      </c>
      <c r="CP59" s="239">
        <v>70741564</v>
      </c>
      <c r="CQ59" s="239">
        <v>0</v>
      </c>
      <c r="CR59" s="239">
        <v>1443705</v>
      </c>
      <c r="CS59" s="239">
        <v>144370539</v>
      </c>
      <c r="CT59" s="239">
        <v>1915668</v>
      </c>
      <c r="CU59" s="239">
        <v>1877355</v>
      </c>
      <c r="CV59" s="239">
        <v>0</v>
      </c>
      <c r="CW59" s="239">
        <v>38313</v>
      </c>
      <c r="CX59" s="239">
        <v>3831336</v>
      </c>
      <c r="CY59" s="239">
        <v>-1570586</v>
      </c>
      <c r="CZ59" s="239">
        <v>-1539175</v>
      </c>
      <c r="DA59" s="239">
        <v>0</v>
      </c>
      <c r="DB59" s="239">
        <v>-31413</v>
      </c>
      <c r="DC59" s="239">
        <v>-3141174</v>
      </c>
      <c r="DD59" s="641">
        <v>0.5</v>
      </c>
      <c r="DE59" s="641">
        <v>0.49</v>
      </c>
      <c r="DF59" s="641">
        <v>0</v>
      </c>
      <c r="DG59" s="641">
        <v>0.01</v>
      </c>
      <c r="DH59" s="641">
        <v>1</v>
      </c>
      <c r="DI59" s="214" t="s">
        <v>747</v>
      </c>
    </row>
    <row r="60" spans="2:113" s="214" customFormat="1" x14ac:dyDescent="0.2">
      <c r="B60" s="609" t="s">
        <v>202</v>
      </c>
      <c r="C60" s="609" t="s">
        <v>918</v>
      </c>
      <c r="D60" s="239">
        <v>82184069</v>
      </c>
      <c r="E60" s="239">
        <v>80540388</v>
      </c>
      <c r="F60" s="239">
        <v>0</v>
      </c>
      <c r="G60" s="239">
        <v>1643681</v>
      </c>
      <c r="H60" s="239">
        <v>164368138</v>
      </c>
      <c r="I60" s="239">
        <v>29339.278925619834</v>
      </c>
      <c r="J60" s="239">
        <v>29339.278925619834</v>
      </c>
      <c r="K60" s="239">
        <v>82154729.721074387</v>
      </c>
      <c r="L60" s="239">
        <v>498103</v>
      </c>
      <c r="M60" s="239">
        <v>498103</v>
      </c>
      <c r="N60" s="239">
        <v>0</v>
      </c>
      <c r="O60" s="239">
        <v>0</v>
      </c>
      <c r="P60" s="239">
        <v>0</v>
      </c>
      <c r="Q60" s="239">
        <v>0</v>
      </c>
      <c r="R60" s="239">
        <v>0</v>
      </c>
      <c r="S60" s="239">
        <v>29339.278925619834</v>
      </c>
      <c r="T60" s="239">
        <v>0</v>
      </c>
      <c r="U60" s="239">
        <v>0</v>
      </c>
      <c r="V60" s="239">
        <v>29339.278925619834</v>
      </c>
      <c r="W60" s="239">
        <v>2203932</v>
      </c>
      <c r="X60" s="239">
        <v>2159854</v>
      </c>
      <c r="Y60" s="239">
        <v>0</v>
      </c>
      <c r="Z60" s="239">
        <v>44079</v>
      </c>
      <c r="AA60" s="239">
        <v>4407865</v>
      </c>
      <c r="AB60" s="239">
        <v>-2235491</v>
      </c>
      <c r="AC60" s="239">
        <v>-2190782</v>
      </c>
      <c r="AD60" s="239">
        <v>0</v>
      </c>
      <c r="AE60" s="239">
        <v>-44710</v>
      </c>
      <c r="AF60" s="239">
        <v>-4470983</v>
      </c>
      <c r="AG60" s="239">
        <v>-1372524</v>
      </c>
      <c r="AH60" s="239">
        <v>-1345073</v>
      </c>
      <c r="AI60" s="239">
        <v>0</v>
      </c>
      <c r="AJ60" s="239">
        <v>-27450</v>
      </c>
      <c r="AK60" s="239">
        <v>-2745047</v>
      </c>
      <c r="AL60" s="239">
        <v>397847</v>
      </c>
      <c r="AM60" s="239">
        <v>389890</v>
      </c>
      <c r="AN60" s="239">
        <v>0</v>
      </c>
      <c r="AO60" s="239">
        <v>7957</v>
      </c>
      <c r="AP60" s="239">
        <v>795694</v>
      </c>
      <c r="AQ60" s="239">
        <v>-502205</v>
      </c>
      <c r="AR60" s="239">
        <v>-492161</v>
      </c>
      <c r="AS60" s="239">
        <v>0</v>
      </c>
      <c r="AT60" s="239">
        <v>-10044</v>
      </c>
      <c r="AU60" s="239">
        <v>-1004410</v>
      </c>
      <c r="AV60" s="239">
        <v>-1476882</v>
      </c>
      <c r="AW60" s="239">
        <v>-1447344</v>
      </c>
      <c r="AX60" s="239">
        <v>0</v>
      </c>
      <c r="AY60" s="239">
        <v>-29537</v>
      </c>
      <c r="AZ60" s="239">
        <v>-2953763</v>
      </c>
      <c r="BA60" s="239">
        <v>-6052418</v>
      </c>
      <c r="BB60" s="239">
        <v>-5931369</v>
      </c>
      <c r="BC60" s="239">
        <v>0</v>
      </c>
      <c r="BD60" s="239">
        <v>-121049</v>
      </c>
      <c r="BE60" s="239">
        <v>-12104836</v>
      </c>
      <c r="BF60" s="239">
        <v>2448238</v>
      </c>
      <c r="BG60" s="239">
        <v>2399273</v>
      </c>
      <c r="BH60" s="239">
        <v>0</v>
      </c>
      <c r="BI60" s="239">
        <v>48965</v>
      </c>
      <c r="BJ60" s="239">
        <v>4896476</v>
      </c>
      <c r="BK60" s="239">
        <v>-2969054</v>
      </c>
      <c r="BL60" s="239">
        <v>-2909672</v>
      </c>
      <c r="BM60" s="239">
        <v>0</v>
      </c>
      <c r="BN60" s="239">
        <v>-59381</v>
      </c>
      <c r="BO60" s="239">
        <v>-5938107</v>
      </c>
      <c r="BP60" s="239">
        <v>-6573234</v>
      </c>
      <c r="BQ60" s="239">
        <v>-6441768</v>
      </c>
      <c r="BR60" s="239">
        <v>0</v>
      </c>
      <c r="BS60" s="239">
        <v>-131465</v>
      </c>
      <c r="BT60" s="239">
        <v>-13146467</v>
      </c>
      <c r="BU60" s="239">
        <v>84914</v>
      </c>
      <c r="BV60" s="239">
        <v>83216</v>
      </c>
      <c r="BW60" s="239">
        <v>0</v>
      </c>
      <c r="BX60" s="239">
        <v>1698</v>
      </c>
      <c r="BY60" s="239">
        <v>169828</v>
      </c>
      <c r="BZ60" s="239">
        <v>0</v>
      </c>
      <c r="CA60" s="239">
        <v>0</v>
      </c>
      <c r="CB60" s="239">
        <v>0</v>
      </c>
      <c r="CC60" s="239">
        <v>0</v>
      </c>
      <c r="CD60" s="239">
        <v>0</v>
      </c>
      <c r="CE60" s="239">
        <v>84914</v>
      </c>
      <c r="CF60" s="239">
        <v>83216</v>
      </c>
      <c r="CG60" s="239">
        <v>0</v>
      </c>
      <c r="CH60" s="239">
        <v>1698</v>
      </c>
      <c r="CI60" s="239">
        <v>169828</v>
      </c>
      <c r="CJ60" s="239">
        <v>78371722</v>
      </c>
      <c r="CK60" s="239">
        <v>76804287</v>
      </c>
      <c r="CL60" s="239">
        <v>0</v>
      </c>
      <c r="CM60" s="239">
        <v>1567434</v>
      </c>
      <c r="CN60" s="239">
        <v>156743443</v>
      </c>
      <c r="CO60" s="239">
        <v>82184069</v>
      </c>
      <c r="CP60" s="239">
        <v>80540388</v>
      </c>
      <c r="CQ60" s="239">
        <v>0</v>
      </c>
      <c r="CR60" s="239">
        <v>1643681</v>
      </c>
      <c r="CS60" s="239">
        <v>164368138</v>
      </c>
      <c r="CT60" s="239">
        <v>3812347</v>
      </c>
      <c r="CU60" s="239">
        <v>3736101</v>
      </c>
      <c r="CV60" s="239">
        <v>0</v>
      </c>
      <c r="CW60" s="239">
        <v>76247</v>
      </c>
      <c r="CX60" s="239">
        <v>7624695</v>
      </c>
      <c r="CY60" s="239">
        <v>3897261</v>
      </c>
      <c r="CZ60" s="239">
        <v>3819317</v>
      </c>
      <c r="DA60" s="239">
        <v>0</v>
      </c>
      <c r="DB60" s="239">
        <v>77945</v>
      </c>
      <c r="DC60" s="239">
        <v>7794523</v>
      </c>
      <c r="DD60" s="641">
        <v>0.5</v>
      </c>
      <c r="DE60" s="641">
        <v>0.49</v>
      </c>
      <c r="DF60" s="641">
        <v>0</v>
      </c>
      <c r="DG60" s="641">
        <v>0.01</v>
      </c>
      <c r="DH60" s="641">
        <v>1</v>
      </c>
      <c r="DI60" s="214" t="s">
        <v>747</v>
      </c>
    </row>
    <row r="61" spans="2:113" s="214" customFormat="1" x14ac:dyDescent="0.2">
      <c r="B61" s="609" t="s">
        <v>204</v>
      </c>
      <c r="C61" s="609" t="s">
        <v>203</v>
      </c>
      <c r="D61" s="239">
        <v>18300370</v>
      </c>
      <c r="E61" s="239">
        <v>14640296</v>
      </c>
      <c r="F61" s="239">
        <v>3294067</v>
      </c>
      <c r="G61" s="239">
        <v>366007</v>
      </c>
      <c r="H61" s="239">
        <v>36600740</v>
      </c>
      <c r="I61" s="239">
        <v>0</v>
      </c>
      <c r="J61" s="239">
        <v>0</v>
      </c>
      <c r="K61" s="239">
        <v>18300370</v>
      </c>
      <c r="L61" s="239">
        <v>164110</v>
      </c>
      <c r="M61" s="239">
        <v>164110</v>
      </c>
      <c r="N61" s="239">
        <v>408357</v>
      </c>
      <c r="O61" s="239">
        <v>408357</v>
      </c>
      <c r="P61" s="239">
        <v>38854</v>
      </c>
      <c r="Q61" s="239">
        <v>0</v>
      </c>
      <c r="R61" s="239">
        <v>38854</v>
      </c>
      <c r="S61" s="239">
        <v>0</v>
      </c>
      <c r="T61" s="239">
        <v>0</v>
      </c>
      <c r="U61" s="239">
        <v>0</v>
      </c>
      <c r="V61" s="239">
        <v>0</v>
      </c>
      <c r="W61" s="239">
        <v>483163</v>
      </c>
      <c r="X61" s="239">
        <v>386530</v>
      </c>
      <c r="Y61" s="239">
        <v>86969</v>
      </c>
      <c r="Z61" s="239">
        <v>9663</v>
      </c>
      <c r="AA61" s="239">
        <v>966325</v>
      </c>
      <c r="AB61" s="239">
        <v>-420955</v>
      </c>
      <c r="AC61" s="239">
        <v>-336764</v>
      </c>
      <c r="AD61" s="239">
        <v>-75772</v>
      </c>
      <c r="AE61" s="239">
        <v>-8419</v>
      </c>
      <c r="AF61" s="239">
        <v>-841910</v>
      </c>
      <c r="AG61" s="239">
        <v>-317631</v>
      </c>
      <c r="AH61" s="239">
        <v>-254107</v>
      </c>
      <c r="AI61" s="239">
        <v>-57175</v>
      </c>
      <c r="AJ61" s="239">
        <v>-6353</v>
      </c>
      <c r="AK61" s="239">
        <v>-635266</v>
      </c>
      <c r="AL61" s="239">
        <v>226325</v>
      </c>
      <c r="AM61" s="239">
        <v>181060</v>
      </c>
      <c r="AN61" s="239">
        <v>40739</v>
      </c>
      <c r="AO61" s="239">
        <v>4527</v>
      </c>
      <c r="AP61" s="239">
        <v>452651</v>
      </c>
      <c r="AQ61" s="239">
        <v>-256743</v>
      </c>
      <c r="AR61" s="239">
        <v>-205394</v>
      </c>
      <c r="AS61" s="239">
        <v>-46214</v>
      </c>
      <c r="AT61" s="239">
        <v>-5135</v>
      </c>
      <c r="AU61" s="239">
        <v>-513486</v>
      </c>
      <c r="AV61" s="239">
        <v>-348049</v>
      </c>
      <c r="AW61" s="239">
        <v>-278441</v>
      </c>
      <c r="AX61" s="239">
        <v>-62650</v>
      </c>
      <c r="AY61" s="239">
        <v>-6961</v>
      </c>
      <c r="AZ61" s="239">
        <v>-696101</v>
      </c>
      <c r="BA61" s="239">
        <v>-2322087</v>
      </c>
      <c r="BB61" s="239">
        <v>-1857670</v>
      </c>
      <c r="BC61" s="239">
        <v>-417976</v>
      </c>
      <c r="BD61" s="239">
        <v>-46443</v>
      </c>
      <c r="BE61" s="239">
        <v>-4644176</v>
      </c>
      <c r="BF61" s="239">
        <v>559020</v>
      </c>
      <c r="BG61" s="239">
        <v>447215</v>
      </c>
      <c r="BH61" s="239">
        <v>100623</v>
      </c>
      <c r="BI61" s="239">
        <v>11180</v>
      </c>
      <c r="BJ61" s="239">
        <v>1118038</v>
      </c>
      <c r="BK61" s="239">
        <v>-494252</v>
      </c>
      <c r="BL61" s="239">
        <v>-395401</v>
      </c>
      <c r="BM61" s="239">
        <v>-88965</v>
      </c>
      <c r="BN61" s="239">
        <v>-9885</v>
      </c>
      <c r="BO61" s="239">
        <v>-988503</v>
      </c>
      <c r="BP61" s="239">
        <v>-2257319</v>
      </c>
      <c r="BQ61" s="239">
        <v>-1805856</v>
      </c>
      <c r="BR61" s="239">
        <v>-406318</v>
      </c>
      <c r="BS61" s="239">
        <v>-45148</v>
      </c>
      <c r="BT61" s="239">
        <v>-4514641</v>
      </c>
      <c r="BU61" s="239">
        <v>-2590472</v>
      </c>
      <c r="BV61" s="239">
        <v>-2072378</v>
      </c>
      <c r="BW61" s="239">
        <v>-466285</v>
      </c>
      <c r="BX61" s="239">
        <v>-51809</v>
      </c>
      <c r="BY61" s="239">
        <v>-5180944</v>
      </c>
      <c r="BZ61" s="239">
        <v>-2314383</v>
      </c>
      <c r="CA61" s="239">
        <v>-1851506</v>
      </c>
      <c r="CB61" s="239">
        <v>-416589</v>
      </c>
      <c r="CC61" s="239">
        <v>-46288</v>
      </c>
      <c r="CD61" s="239">
        <v>-4628766</v>
      </c>
      <c r="CE61" s="239">
        <v>-276089</v>
      </c>
      <c r="CF61" s="239">
        <v>-220872</v>
      </c>
      <c r="CG61" s="239">
        <v>-49696</v>
      </c>
      <c r="CH61" s="239">
        <v>-5521</v>
      </c>
      <c r="CI61" s="239">
        <v>-552178</v>
      </c>
      <c r="CJ61" s="239">
        <v>18520298</v>
      </c>
      <c r="CK61" s="239">
        <v>14816238</v>
      </c>
      <c r="CL61" s="239">
        <v>3333654</v>
      </c>
      <c r="CM61" s="239">
        <v>370406</v>
      </c>
      <c r="CN61" s="239">
        <v>37040596</v>
      </c>
      <c r="CO61" s="239">
        <v>18300370</v>
      </c>
      <c r="CP61" s="239">
        <v>14640296</v>
      </c>
      <c r="CQ61" s="239">
        <v>3294067</v>
      </c>
      <c r="CR61" s="239">
        <v>366007</v>
      </c>
      <c r="CS61" s="239">
        <v>36600740</v>
      </c>
      <c r="CT61" s="239">
        <v>-219928</v>
      </c>
      <c r="CU61" s="239">
        <v>-175942</v>
      </c>
      <c r="CV61" s="239">
        <v>-39587</v>
      </c>
      <c r="CW61" s="239">
        <v>-4399</v>
      </c>
      <c r="CX61" s="239">
        <v>-439856</v>
      </c>
      <c r="CY61" s="239">
        <v>-496017</v>
      </c>
      <c r="CZ61" s="239">
        <v>-396814</v>
      </c>
      <c r="DA61" s="239">
        <v>-89283</v>
      </c>
      <c r="DB61" s="239">
        <v>-9920</v>
      </c>
      <c r="DC61" s="239">
        <v>-992034</v>
      </c>
      <c r="DD61" s="641">
        <v>0.5</v>
      </c>
      <c r="DE61" s="641">
        <v>0.4</v>
      </c>
      <c r="DF61" s="641">
        <v>0.09</v>
      </c>
      <c r="DG61" s="641">
        <v>0.01</v>
      </c>
      <c r="DH61" s="641">
        <v>1</v>
      </c>
      <c r="DI61" s="214" t="s">
        <v>1190</v>
      </c>
    </row>
    <row r="62" spans="2:113" s="214" customFormat="1" x14ac:dyDescent="0.2">
      <c r="B62" s="609" t="s">
        <v>206</v>
      </c>
      <c r="C62" s="609" t="s">
        <v>205</v>
      </c>
      <c r="D62" s="239">
        <v>22156874</v>
      </c>
      <c r="E62" s="239">
        <v>17725500</v>
      </c>
      <c r="F62" s="239">
        <v>4431375</v>
      </c>
      <c r="G62" s="239">
        <v>0</v>
      </c>
      <c r="H62" s="239">
        <v>44313749</v>
      </c>
      <c r="I62" s="239">
        <v>0</v>
      </c>
      <c r="J62" s="239">
        <v>0</v>
      </c>
      <c r="K62" s="239">
        <v>22156874</v>
      </c>
      <c r="L62" s="239">
        <v>196828</v>
      </c>
      <c r="M62" s="239">
        <v>196828</v>
      </c>
      <c r="N62" s="239">
        <v>0</v>
      </c>
      <c r="O62" s="239">
        <v>0</v>
      </c>
      <c r="P62" s="239">
        <v>120747</v>
      </c>
      <c r="Q62" s="239">
        <v>19259</v>
      </c>
      <c r="R62" s="239">
        <v>140006</v>
      </c>
      <c r="S62" s="239">
        <v>0</v>
      </c>
      <c r="T62" s="239">
        <v>0</v>
      </c>
      <c r="U62" s="239">
        <v>0</v>
      </c>
      <c r="V62" s="239">
        <v>0</v>
      </c>
      <c r="W62" s="239">
        <v>890745</v>
      </c>
      <c r="X62" s="239">
        <v>712596</v>
      </c>
      <c r="Y62" s="239">
        <v>178149</v>
      </c>
      <c r="Z62" s="239">
        <v>0</v>
      </c>
      <c r="AA62" s="239">
        <v>1781490</v>
      </c>
      <c r="AB62" s="239">
        <v>-493367</v>
      </c>
      <c r="AC62" s="239">
        <v>-394693</v>
      </c>
      <c r="AD62" s="239">
        <v>-98673</v>
      </c>
      <c r="AE62" s="239">
        <v>0</v>
      </c>
      <c r="AF62" s="239">
        <v>-986733</v>
      </c>
      <c r="AG62" s="239">
        <v>-339775.27</v>
      </c>
      <c r="AH62" s="239">
        <v>-271820</v>
      </c>
      <c r="AI62" s="239">
        <v>-67955</v>
      </c>
      <c r="AJ62" s="239">
        <v>0</v>
      </c>
      <c r="AK62" s="239">
        <v>-679550.27</v>
      </c>
      <c r="AL62" s="239">
        <v>41348</v>
      </c>
      <c r="AM62" s="239">
        <v>33078</v>
      </c>
      <c r="AN62" s="239">
        <v>8270</v>
      </c>
      <c r="AO62" s="239">
        <v>0</v>
      </c>
      <c r="AP62" s="239">
        <v>82696</v>
      </c>
      <c r="AQ62" s="239">
        <v>-150000</v>
      </c>
      <c r="AR62" s="239">
        <v>-120000</v>
      </c>
      <c r="AS62" s="239">
        <v>-30000</v>
      </c>
      <c r="AT62" s="239">
        <v>0</v>
      </c>
      <c r="AU62" s="239">
        <v>-300000</v>
      </c>
      <c r="AV62" s="239">
        <v>-448427.27</v>
      </c>
      <c r="AW62" s="239">
        <v>-358742</v>
      </c>
      <c r="AX62" s="239">
        <v>-89685</v>
      </c>
      <c r="AY62" s="239">
        <v>0</v>
      </c>
      <c r="AZ62" s="239">
        <v>-896854.27</v>
      </c>
      <c r="BA62" s="239">
        <v>-1776776</v>
      </c>
      <c r="BB62" s="239">
        <v>-1421420</v>
      </c>
      <c r="BC62" s="239">
        <v>-355355</v>
      </c>
      <c r="BD62" s="239">
        <v>0</v>
      </c>
      <c r="BE62" s="239">
        <v>-3553551</v>
      </c>
      <c r="BF62" s="239">
        <v>94194</v>
      </c>
      <c r="BG62" s="239">
        <v>75356</v>
      </c>
      <c r="BH62" s="239">
        <v>18839</v>
      </c>
      <c r="BI62" s="239">
        <v>0</v>
      </c>
      <c r="BJ62" s="239">
        <v>188389</v>
      </c>
      <c r="BK62" s="239">
        <v>0</v>
      </c>
      <c r="BL62" s="239">
        <v>0</v>
      </c>
      <c r="BM62" s="239">
        <v>0</v>
      </c>
      <c r="BN62" s="239">
        <v>0</v>
      </c>
      <c r="BO62" s="239">
        <v>0</v>
      </c>
      <c r="BP62" s="239">
        <v>-1682582</v>
      </c>
      <c r="BQ62" s="239">
        <v>-1346064</v>
      </c>
      <c r="BR62" s="239">
        <v>-336516</v>
      </c>
      <c r="BS62" s="239">
        <v>0</v>
      </c>
      <c r="BT62" s="239">
        <v>-3365162</v>
      </c>
      <c r="BU62" s="239">
        <v>-1083723</v>
      </c>
      <c r="BV62" s="239">
        <v>-866979</v>
      </c>
      <c r="BW62" s="239">
        <v>-216745</v>
      </c>
      <c r="BX62" s="239">
        <v>0</v>
      </c>
      <c r="BY62" s="239">
        <v>-2167447</v>
      </c>
      <c r="BZ62" s="239">
        <v>-196439</v>
      </c>
      <c r="CA62" s="239">
        <v>-157152</v>
      </c>
      <c r="CB62" s="239">
        <v>-39288</v>
      </c>
      <c r="CC62" s="239">
        <v>0</v>
      </c>
      <c r="CD62" s="239">
        <v>-392879</v>
      </c>
      <c r="CE62" s="239">
        <v>-887284</v>
      </c>
      <c r="CF62" s="239">
        <v>-709827</v>
      </c>
      <c r="CG62" s="239">
        <v>-177457</v>
      </c>
      <c r="CH62" s="239">
        <v>0</v>
      </c>
      <c r="CI62" s="239">
        <v>-1774568</v>
      </c>
      <c r="CJ62" s="239">
        <v>23167789</v>
      </c>
      <c r="CK62" s="239">
        <v>18534232</v>
      </c>
      <c r="CL62" s="239">
        <v>4633558</v>
      </c>
      <c r="CM62" s="239">
        <v>0</v>
      </c>
      <c r="CN62" s="239">
        <v>46335579</v>
      </c>
      <c r="CO62" s="239">
        <v>22156874</v>
      </c>
      <c r="CP62" s="239">
        <v>17725500</v>
      </c>
      <c r="CQ62" s="239">
        <v>4431375</v>
      </c>
      <c r="CR62" s="239">
        <v>0</v>
      </c>
      <c r="CS62" s="239">
        <v>44313749</v>
      </c>
      <c r="CT62" s="239">
        <v>-1010915</v>
      </c>
      <c r="CU62" s="239">
        <v>-808732</v>
      </c>
      <c r="CV62" s="239">
        <v>-202183</v>
      </c>
      <c r="CW62" s="239">
        <v>0</v>
      </c>
      <c r="CX62" s="239">
        <v>-2021830</v>
      </c>
      <c r="CY62" s="239">
        <v>-1898199</v>
      </c>
      <c r="CZ62" s="239">
        <v>-1518559</v>
      </c>
      <c r="DA62" s="239">
        <v>-379640</v>
      </c>
      <c r="DB62" s="239">
        <v>0</v>
      </c>
      <c r="DC62" s="239">
        <v>-3796398</v>
      </c>
      <c r="DD62" s="641">
        <v>0.5</v>
      </c>
      <c r="DE62" s="641">
        <v>0.4</v>
      </c>
      <c r="DF62" s="641">
        <v>0.1</v>
      </c>
      <c r="DG62" s="641">
        <v>0</v>
      </c>
      <c r="DH62" s="641">
        <v>1</v>
      </c>
      <c r="DI62" s="214" t="s">
        <v>1190</v>
      </c>
    </row>
    <row r="63" spans="2:113" s="214" customFormat="1" x14ac:dyDescent="0.2">
      <c r="B63" s="609" t="s">
        <v>208</v>
      </c>
      <c r="C63" s="609" t="s">
        <v>207</v>
      </c>
      <c r="D63" s="239">
        <v>10818912</v>
      </c>
      <c r="E63" s="239">
        <v>8655130</v>
      </c>
      <c r="F63" s="239">
        <v>1947404</v>
      </c>
      <c r="G63" s="239">
        <v>216378</v>
      </c>
      <c r="H63" s="239">
        <v>21637824</v>
      </c>
      <c r="I63" s="239">
        <v>0</v>
      </c>
      <c r="J63" s="239">
        <v>0</v>
      </c>
      <c r="K63" s="239">
        <v>10818912</v>
      </c>
      <c r="L63" s="239">
        <v>115183</v>
      </c>
      <c r="M63" s="239">
        <v>115183</v>
      </c>
      <c r="N63" s="239">
        <v>0</v>
      </c>
      <c r="O63" s="239">
        <v>0</v>
      </c>
      <c r="P63" s="239">
        <v>0</v>
      </c>
      <c r="Q63" s="239">
        <v>0</v>
      </c>
      <c r="R63" s="239">
        <v>0</v>
      </c>
      <c r="S63" s="239">
        <v>0</v>
      </c>
      <c r="T63" s="239">
        <v>0</v>
      </c>
      <c r="U63" s="239">
        <v>0</v>
      </c>
      <c r="V63" s="239">
        <v>0</v>
      </c>
      <c r="W63" s="239">
        <v>294154</v>
      </c>
      <c r="X63" s="239">
        <v>235323</v>
      </c>
      <c r="Y63" s="239">
        <v>52948</v>
      </c>
      <c r="Z63" s="239">
        <v>5883</v>
      </c>
      <c r="AA63" s="239">
        <v>588308</v>
      </c>
      <c r="AB63" s="239">
        <v>-345039</v>
      </c>
      <c r="AC63" s="239">
        <v>-276032</v>
      </c>
      <c r="AD63" s="239">
        <v>-62107</v>
      </c>
      <c r="AE63" s="239">
        <v>-6901</v>
      </c>
      <c r="AF63" s="239">
        <v>-690079</v>
      </c>
      <c r="AG63" s="239">
        <v>-206870</v>
      </c>
      <c r="AH63" s="239">
        <v>-165492</v>
      </c>
      <c r="AI63" s="239">
        <v>-37236</v>
      </c>
      <c r="AJ63" s="239">
        <v>-4136</v>
      </c>
      <c r="AK63" s="239">
        <v>-413734</v>
      </c>
      <c r="AL63" s="239">
        <v>44574</v>
      </c>
      <c r="AM63" s="239">
        <v>35659</v>
      </c>
      <c r="AN63" s="239">
        <v>8023</v>
      </c>
      <c r="AO63" s="239">
        <v>891</v>
      </c>
      <c r="AP63" s="239">
        <v>89147</v>
      </c>
      <c r="AQ63" s="239">
        <v>3889</v>
      </c>
      <c r="AR63" s="239">
        <v>3111</v>
      </c>
      <c r="AS63" s="239">
        <v>700</v>
      </c>
      <c r="AT63" s="239">
        <v>78</v>
      </c>
      <c r="AU63" s="239">
        <v>7778</v>
      </c>
      <c r="AV63" s="239">
        <v>-158407</v>
      </c>
      <c r="AW63" s="239">
        <v>-126722</v>
      </c>
      <c r="AX63" s="239">
        <v>-28513</v>
      </c>
      <c r="AY63" s="239">
        <v>-3167</v>
      </c>
      <c r="AZ63" s="239">
        <v>-316809</v>
      </c>
      <c r="BA63" s="239">
        <v>-1811312</v>
      </c>
      <c r="BB63" s="239">
        <v>-1449049</v>
      </c>
      <c r="BC63" s="239">
        <v>-326035</v>
      </c>
      <c r="BD63" s="239">
        <v>-36227</v>
      </c>
      <c r="BE63" s="239">
        <v>-3622623</v>
      </c>
      <c r="BF63" s="239">
        <v>514664</v>
      </c>
      <c r="BG63" s="239">
        <v>411731</v>
      </c>
      <c r="BH63" s="239">
        <v>92640</v>
      </c>
      <c r="BI63" s="239">
        <v>10293</v>
      </c>
      <c r="BJ63" s="239">
        <v>1029328</v>
      </c>
      <c r="BK63" s="239">
        <v>131301</v>
      </c>
      <c r="BL63" s="239">
        <v>105040</v>
      </c>
      <c r="BM63" s="239">
        <v>23634</v>
      </c>
      <c r="BN63" s="239">
        <v>2626</v>
      </c>
      <c r="BO63" s="239">
        <v>262601</v>
      </c>
      <c r="BP63" s="239">
        <v>-1165347</v>
      </c>
      <c r="BQ63" s="239">
        <v>-932278</v>
      </c>
      <c r="BR63" s="239">
        <v>-209761</v>
      </c>
      <c r="BS63" s="239">
        <v>-23308</v>
      </c>
      <c r="BT63" s="239">
        <v>-2330694</v>
      </c>
      <c r="BU63" s="239">
        <v>-1610039</v>
      </c>
      <c r="BV63" s="239">
        <v>-1288031</v>
      </c>
      <c r="BW63" s="239">
        <v>-289807</v>
      </c>
      <c r="BX63" s="239">
        <v>-32201</v>
      </c>
      <c r="BY63" s="239">
        <v>-3220078</v>
      </c>
      <c r="BZ63" s="239">
        <v>-1787990</v>
      </c>
      <c r="CA63" s="239">
        <v>-1430392</v>
      </c>
      <c r="CB63" s="239">
        <v>-321838</v>
      </c>
      <c r="CC63" s="239">
        <v>-35760</v>
      </c>
      <c r="CD63" s="239">
        <v>-3575980</v>
      </c>
      <c r="CE63" s="239">
        <v>177951</v>
      </c>
      <c r="CF63" s="239">
        <v>142361</v>
      </c>
      <c r="CG63" s="239">
        <v>32031</v>
      </c>
      <c r="CH63" s="239">
        <v>3559</v>
      </c>
      <c r="CI63" s="239">
        <v>355902</v>
      </c>
      <c r="CJ63" s="239">
        <v>10876557</v>
      </c>
      <c r="CK63" s="239">
        <v>8701245</v>
      </c>
      <c r="CL63" s="239">
        <v>1957780</v>
      </c>
      <c r="CM63" s="239">
        <v>217531</v>
      </c>
      <c r="CN63" s="239">
        <v>21753113</v>
      </c>
      <c r="CO63" s="239">
        <v>10818912</v>
      </c>
      <c r="CP63" s="239">
        <v>8655130</v>
      </c>
      <c r="CQ63" s="239">
        <v>1947404</v>
      </c>
      <c r="CR63" s="239">
        <v>216378</v>
      </c>
      <c r="CS63" s="239">
        <v>21637824</v>
      </c>
      <c r="CT63" s="239">
        <v>-57645</v>
      </c>
      <c r="CU63" s="239">
        <v>-46115</v>
      </c>
      <c r="CV63" s="239">
        <v>-10376</v>
      </c>
      <c r="CW63" s="239">
        <v>-1153</v>
      </c>
      <c r="CX63" s="239">
        <v>-115289</v>
      </c>
      <c r="CY63" s="239">
        <v>120306</v>
      </c>
      <c r="CZ63" s="239">
        <v>96246</v>
      </c>
      <c r="DA63" s="239">
        <v>21655</v>
      </c>
      <c r="DB63" s="239">
        <v>2406</v>
      </c>
      <c r="DC63" s="239">
        <v>240613</v>
      </c>
      <c r="DD63" s="641">
        <v>0.5</v>
      </c>
      <c r="DE63" s="641">
        <v>0.4</v>
      </c>
      <c r="DF63" s="641">
        <v>0.09</v>
      </c>
      <c r="DG63" s="641">
        <v>0.01</v>
      </c>
      <c r="DH63" s="641">
        <v>1</v>
      </c>
      <c r="DI63" s="214" t="s">
        <v>1190</v>
      </c>
    </row>
    <row r="64" spans="2:113" s="214" customFormat="1" x14ac:dyDescent="0.2">
      <c r="B64" s="609" t="s">
        <v>210</v>
      </c>
      <c r="C64" s="609" t="s">
        <v>209</v>
      </c>
      <c r="D64" s="239">
        <v>14804242</v>
      </c>
      <c r="E64" s="239">
        <v>11843394</v>
      </c>
      <c r="F64" s="239">
        <v>2664764</v>
      </c>
      <c r="G64" s="239">
        <v>296085</v>
      </c>
      <c r="H64" s="239">
        <v>29608485</v>
      </c>
      <c r="I64" s="239">
        <v>0</v>
      </c>
      <c r="J64" s="239">
        <v>0</v>
      </c>
      <c r="K64" s="239">
        <v>14804242</v>
      </c>
      <c r="L64" s="239">
        <v>136918</v>
      </c>
      <c r="M64" s="239">
        <v>136918</v>
      </c>
      <c r="N64" s="239">
        <v>0</v>
      </c>
      <c r="O64" s="239">
        <v>0</v>
      </c>
      <c r="P64" s="239">
        <v>0</v>
      </c>
      <c r="Q64" s="239">
        <v>0</v>
      </c>
      <c r="R64" s="239">
        <v>0</v>
      </c>
      <c r="S64" s="239">
        <v>0</v>
      </c>
      <c r="T64" s="239">
        <v>0</v>
      </c>
      <c r="U64" s="239">
        <v>0</v>
      </c>
      <c r="V64" s="239">
        <v>0</v>
      </c>
      <c r="W64" s="239">
        <v>494036</v>
      </c>
      <c r="X64" s="239">
        <v>395229</v>
      </c>
      <c r="Y64" s="239">
        <v>88927</v>
      </c>
      <c r="Z64" s="239">
        <v>9881</v>
      </c>
      <c r="AA64" s="239">
        <v>988073</v>
      </c>
      <c r="AB64" s="239">
        <v>-353971</v>
      </c>
      <c r="AC64" s="239">
        <v>-283177</v>
      </c>
      <c r="AD64" s="239">
        <v>-63715</v>
      </c>
      <c r="AE64" s="239">
        <v>-7079</v>
      </c>
      <c r="AF64" s="239">
        <v>-707942</v>
      </c>
      <c r="AG64" s="239">
        <v>-442108</v>
      </c>
      <c r="AH64" s="239">
        <v>-353686</v>
      </c>
      <c r="AI64" s="239">
        <v>-79579</v>
      </c>
      <c r="AJ64" s="239">
        <v>-8842</v>
      </c>
      <c r="AK64" s="239">
        <v>-884215</v>
      </c>
      <c r="AL64" s="239">
        <v>156166</v>
      </c>
      <c r="AM64" s="239">
        <v>124933</v>
      </c>
      <c r="AN64" s="239">
        <v>28110</v>
      </c>
      <c r="AO64" s="239">
        <v>3123</v>
      </c>
      <c r="AP64" s="239">
        <v>312332</v>
      </c>
      <c r="AQ64" s="239">
        <v>-50149</v>
      </c>
      <c r="AR64" s="239">
        <v>-40120</v>
      </c>
      <c r="AS64" s="239">
        <v>-9027</v>
      </c>
      <c r="AT64" s="239">
        <v>-1003</v>
      </c>
      <c r="AU64" s="239">
        <v>-100299</v>
      </c>
      <c r="AV64" s="239">
        <v>-336091</v>
      </c>
      <c r="AW64" s="239">
        <v>-268873</v>
      </c>
      <c r="AX64" s="239">
        <v>-60496</v>
      </c>
      <c r="AY64" s="239">
        <v>-6722</v>
      </c>
      <c r="AZ64" s="239">
        <v>-672182</v>
      </c>
      <c r="BA64" s="239">
        <v>-1227000</v>
      </c>
      <c r="BB64" s="239">
        <v>-981600</v>
      </c>
      <c r="BC64" s="239">
        <v>-220860</v>
      </c>
      <c r="BD64" s="239">
        <v>-24540</v>
      </c>
      <c r="BE64" s="239">
        <v>-2454000</v>
      </c>
      <c r="BF64" s="239">
        <v>301817</v>
      </c>
      <c r="BG64" s="239">
        <v>241454</v>
      </c>
      <c r="BH64" s="239">
        <v>54327</v>
      </c>
      <c r="BI64" s="239">
        <v>6036</v>
      </c>
      <c r="BJ64" s="239">
        <v>603634</v>
      </c>
      <c r="BK64" s="239">
        <v>100183</v>
      </c>
      <c r="BL64" s="239">
        <v>80146</v>
      </c>
      <c r="BM64" s="239">
        <v>18033</v>
      </c>
      <c r="BN64" s="239">
        <v>2004</v>
      </c>
      <c r="BO64" s="239">
        <v>200366</v>
      </c>
      <c r="BP64" s="239">
        <v>-825000</v>
      </c>
      <c r="BQ64" s="239">
        <v>-660000</v>
      </c>
      <c r="BR64" s="239">
        <v>-148500</v>
      </c>
      <c r="BS64" s="239">
        <v>-16500</v>
      </c>
      <c r="BT64" s="239">
        <v>-1650000</v>
      </c>
      <c r="BU64" s="239">
        <v>-911334</v>
      </c>
      <c r="BV64" s="239">
        <v>-729067</v>
      </c>
      <c r="BW64" s="239">
        <v>-164040</v>
      </c>
      <c r="BX64" s="239">
        <v>-18227</v>
      </c>
      <c r="BY64" s="239">
        <v>-1822668</v>
      </c>
      <c r="BZ64" s="239">
        <v>60822</v>
      </c>
      <c r="CA64" s="239">
        <v>48657</v>
      </c>
      <c r="CB64" s="239">
        <v>10948</v>
      </c>
      <c r="CC64" s="239">
        <v>1216</v>
      </c>
      <c r="CD64" s="239">
        <v>121643</v>
      </c>
      <c r="CE64" s="239">
        <v>-972156</v>
      </c>
      <c r="CF64" s="239">
        <v>-777724</v>
      </c>
      <c r="CG64" s="239">
        <v>-174988</v>
      </c>
      <c r="CH64" s="239">
        <v>-19443</v>
      </c>
      <c r="CI64" s="239">
        <v>-1944311</v>
      </c>
      <c r="CJ64" s="239">
        <v>14549891</v>
      </c>
      <c r="CK64" s="239">
        <v>11639912</v>
      </c>
      <c r="CL64" s="239">
        <v>2618980</v>
      </c>
      <c r="CM64" s="239">
        <v>290998</v>
      </c>
      <c r="CN64" s="239">
        <v>29099781</v>
      </c>
      <c r="CO64" s="239">
        <v>14804242</v>
      </c>
      <c r="CP64" s="239">
        <v>11843394</v>
      </c>
      <c r="CQ64" s="239">
        <v>2664764</v>
      </c>
      <c r="CR64" s="239">
        <v>296085</v>
      </c>
      <c r="CS64" s="239">
        <v>29608485</v>
      </c>
      <c r="CT64" s="239">
        <v>254351</v>
      </c>
      <c r="CU64" s="239">
        <v>203482</v>
      </c>
      <c r="CV64" s="239">
        <v>45784</v>
      </c>
      <c r="CW64" s="239">
        <v>5087</v>
      </c>
      <c r="CX64" s="239">
        <v>508704</v>
      </c>
      <c r="CY64" s="239">
        <v>-717805</v>
      </c>
      <c r="CZ64" s="239">
        <v>-574242</v>
      </c>
      <c r="DA64" s="239">
        <v>-129204</v>
      </c>
      <c r="DB64" s="239">
        <v>-14356</v>
      </c>
      <c r="DC64" s="239">
        <v>-1435607</v>
      </c>
      <c r="DD64" s="641">
        <v>0.5</v>
      </c>
      <c r="DE64" s="641">
        <v>0.4</v>
      </c>
      <c r="DF64" s="641">
        <v>0.09</v>
      </c>
      <c r="DG64" s="641">
        <v>0.01</v>
      </c>
      <c r="DH64" s="641">
        <v>1</v>
      </c>
      <c r="DI64" s="214" t="s">
        <v>1190</v>
      </c>
    </row>
    <row r="65" spans="1:113" s="214" customFormat="1" x14ac:dyDescent="0.2">
      <c r="B65" s="609" t="s">
        <v>212</v>
      </c>
      <c r="C65" s="609" t="s">
        <v>211</v>
      </c>
      <c r="D65" s="239">
        <v>9484886</v>
      </c>
      <c r="E65" s="239">
        <v>7587909</v>
      </c>
      <c r="F65" s="239">
        <v>1707280</v>
      </c>
      <c r="G65" s="239">
        <v>189698</v>
      </c>
      <c r="H65" s="239">
        <v>18969773</v>
      </c>
      <c r="I65" s="239">
        <v>0</v>
      </c>
      <c r="J65" s="239">
        <v>0</v>
      </c>
      <c r="K65" s="239">
        <v>9484886</v>
      </c>
      <c r="L65" s="239">
        <v>75810</v>
      </c>
      <c r="M65" s="239">
        <v>75810</v>
      </c>
      <c r="N65" s="239">
        <v>0</v>
      </c>
      <c r="O65" s="239">
        <v>0</v>
      </c>
      <c r="P65" s="239">
        <v>339556</v>
      </c>
      <c r="Q65" s="239">
        <v>0</v>
      </c>
      <c r="R65" s="239">
        <v>339556</v>
      </c>
      <c r="S65" s="239">
        <v>0</v>
      </c>
      <c r="T65" s="239">
        <v>0</v>
      </c>
      <c r="U65" s="239">
        <v>0</v>
      </c>
      <c r="V65" s="239">
        <v>0</v>
      </c>
      <c r="W65" s="239">
        <v>255265</v>
      </c>
      <c r="X65" s="239">
        <v>204212</v>
      </c>
      <c r="Y65" s="239">
        <v>45948</v>
      </c>
      <c r="Z65" s="239">
        <v>5105</v>
      </c>
      <c r="AA65" s="239">
        <v>510530</v>
      </c>
      <c r="AB65" s="239">
        <v>-114701</v>
      </c>
      <c r="AC65" s="239">
        <v>-91760</v>
      </c>
      <c r="AD65" s="239">
        <v>-20646</v>
      </c>
      <c r="AE65" s="239">
        <v>-2294</v>
      </c>
      <c r="AF65" s="239">
        <v>-229401</v>
      </c>
      <c r="AG65" s="239">
        <v>-150353.49</v>
      </c>
      <c r="AH65" s="239">
        <v>-120282</v>
      </c>
      <c r="AI65" s="239">
        <v>-27065</v>
      </c>
      <c r="AJ65" s="239">
        <v>-3007</v>
      </c>
      <c r="AK65" s="239">
        <v>-300707.49</v>
      </c>
      <c r="AL65" s="239">
        <v>41327</v>
      </c>
      <c r="AM65" s="239">
        <v>33062</v>
      </c>
      <c r="AN65" s="239">
        <v>7439</v>
      </c>
      <c r="AO65" s="239">
        <v>827</v>
      </c>
      <c r="AP65" s="239">
        <v>82655</v>
      </c>
      <c r="AQ65" s="239">
        <v>-36250</v>
      </c>
      <c r="AR65" s="239">
        <v>-29000</v>
      </c>
      <c r="AS65" s="239">
        <v>-6525</v>
      </c>
      <c r="AT65" s="239">
        <v>-725</v>
      </c>
      <c r="AU65" s="239">
        <v>-72500</v>
      </c>
      <c r="AV65" s="239">
        <v>-145276.49</v>
      </c>
      <c r="AW65" s="239">
        <v>-116220</v>
      </c>
      <c r="AX65" s="239">
        <v>-26151</v>
      </c>
      <c r="AY65" s="239">
        <v>-2905</v>
      </c>
      <c r="AZ65" s="239">
        <v>-290552.49</v>
      </c>
      <c r="BA65" s="239">
        <v>-873952</v>
      </c>
      <c r="BB65" s="239">
        <v>-699161</v>
      </c>
      <c r="BC65" s="239">
        <v>-157310</v>
      </c>
      <c r="BD65" s="239">
        <v>-17478</v>
      </c>
      <c r="BE65" s="239">
        <v>-1747901</v>
      </c>
      <c r="BF65" s="239">
        <v>281747</v>
      </c>
      <c r="BG65" s="239">
        <v>225398</v>
      </c>
      <c r="BH65" s="239">
        <v>50714</v>
      </c>
      <c r="BI65" s="239">
        <v>5635</v>
      </c>
      <c r="BJ65" s="239">
        <v>563494</v>
      </c>
      <c r="BK65" s="239">
        <v>-178456</v>
      </c>
      <c r="BL65" s="239">
        <v>-142765</v>
      </c>
      <c r="BM65" s="239">
        <v>-32122</v>
      </c>
      <c r="BN65" s="239">
        <v>-3569</v>
      </c>
      <c r="BO65" s="239">
        <v>-356912</v>
      </c>
      <c r="BP65" s="239">
        <v>-770661</v>
      </c>
      <c r="BQ65" s="239">
        <v>-616528</v>
      </c>
      <c r="BR65" s="239">
        <v>-138718</v>
      </c>
      <c r="BS65" s="239">
        <v>-15412</v>
      </c>
      <c r="BT65" s="239">
        <v>-1541319</v>
      </c>
      <c r="BU65" s="239">
        <v>-186839</v>
      </c>
      <c r="BV65" s="239">
        <v>-149472</v>
      </c>
      <c r="BW65" s="239">
        <v>-33631</v>
      </c>
      <c r="BX65" s="239">
        <v>-3737</v>
      </c>
      <c r="BY65" s="239">
        <v>-373679</v>
      </c>
      <c r="BZ65" s="239">
        <v>0</v>
      </c>
      <c r="CA65" s="239">
        <v>0</v>
      </c>
      <c r="CB65" s="239">
        <v>0</v>
      </c>
      <c r="CC65" s="239">
        <v>0</v>
      </c>
      <c r="CD65" s="239">
        <v>0</v>
      </c>
      <c r="CE65" s="239">
        <v>-186839</v>
      </c>
      <c r="CF65" s="239">
        <v>-149472</v>
      </c>
      <c r="CG65" s="239">
        <v>-33631</v>
      </c>
      <c r="CH65" s="239">
        <v>-3737</v>
      </c>
      <c r="CI65" s="239">
        <v>-373679</v>
      </c>
      <c r="CJ65" s="239">
        <v>9402797</v>
      </c>
      <c r="CK65" s="239">
        <v>7522238</v>
      </c>
      <c r="CL65" s="239">
        <v>1692503</v>
      </c>
      <c r="CM65" s="239">
        <v>188056</v>
      </c>
      <c r="CN65" s="239">
        <v>18805594</v>
      </c>
      <c r="CO65" s="239">
        <v>9484886</v>
      </c>
      <c r="CP65" s="239">
        <v>7587909</v>
      </c>
      <c r="CQ65" s="239">
        <v>1707280</v>
      </c>
      <c r="CR65" s="239">
        <v>189698</v>
      </c>
      <c r="CS65" s="239">
        <v>18969773</v>
      </c>
      <c r="CT65" s="239">
        <v>82089</v>
      </c>
      <c r="CU65" s="239">
        <v>65671</v>
      </c>
      <c r="CV65" s="239">
        <v>14777</v>
      </c>
      <c r="CW65" s="239">
        <v>1642</v>
      </c>
      <c r="CX65" s="239">
        <v>164179</v>
      </c>
      <c r="CY65" s="239">
        <v>-104750</v>
      </c>
      <c r="CZ65" s="239">
        <v>-83801</v>
      </c>
      <c r="DA65" s="239">
        <v>-18854</v>
      </c>
      <c r="DB65" s="239">
        <v>-2095</v>
      </c>
      <c r="DC65" s="239">
        <v>-209500</v>
      </c>
      <c r="DD65" s="641">
        <v>0.5</v>
      </c>
      <c r="DE65" s="641">
        <v>0.4</v>
      </c>
      <c r="DF65" s="641">
        <v>0.09</v>
      </c>
      <c r="DG65" s="641">
        <v>0.01</v>
      </c>
      <c r="DH65" s="641">
        <v>1</v>
      </c>
      <c r="DI65" s="214" t="s">
        <v>1190</v>
      </c>
    </row>
    <row r="66" spans="1:113" s="214" customFormat="1" x14ac:dyDescent="0.2">
      <c r="B66" s="609" t="s">
        <v>214</v>
      </c>
      <c r="C66" s="609" t="s">
        <v>213</v>
      </c>
      <c r="D66" s="239">
        <v>386319746</v>
      </c>
      <c r="E66" s="239">
        <v>231791847</v>
      </c>
      <c r="F66" s="239">
        <v>154527898</v>
      </c>
      <c r="G66" s="239">
        <v>0</v>
      </c>
      <c r="H66" s="239">
        <v>772639491</v>
      </c>
      <c r="I66" s="239">
        <v>0</v>
      </c>
      <c r="J66" s="239">
        <v>0</v>
      </c>
      <c r="K66" s="239">
        <v>386319746</v>
      </c>
      <c r="L66" s="239">
        <v>1720295</v>
      </c>
      <c r="M66" s="239">
        <v>1720295</v>
      </c>
      <c r="N66" s="239">
        <v>0</v>
      </c>
      <c r="O66" s="239">
        <v>0</v>
      </c>
      <c r="P66" s="239">
        <v>0</v>
      </c>
      <c r="Q66" s="239">
        <v>0</v>
      </c>
      <c r="R66" s="239">
        <v>0</v>
      </c>
      <c r="S66" s="239">
        <v>0</v>
      </c>
      <c r="T66" s="239">
        <v>0</v>
      </c>
      <c r="U66" s="239">
        <v>0</v>
      </c>
      <c r="V66" s="239">
        <v>0</v>
      </c>
      <c r="W66" s="239">
        <v>8977562</v>
      </c>
      <c r="X66" s="239">
        <v>5386538</v>
      </c>
      <c r="Y66" s="239">
        <v>3591025</v>
      </c>
      <c r="Z66" s="239">
        <v>0</v>
      </c>
      <c r="AA66" s="239">
        <v>17955125</v>
      </c>
      <c r="AB66" s="239">
        <v>-34652401</v>
      </c>
      <c r="AC66" s="239">
        <v>-20791441</v>
      </c>
      <c r="AD66" s="239">
        <v>-13860961</v>
      </c>
      <c r="AE66" s="239">
        <v>0</v>
      </c>
      <c r="AF66" s="239">
        <v>-69304803</v>
      </c>
      <c r="AG66" s="239">
        <v>-5337322</v>
      </c>
      <c r="AH66" s="239">
        <v>-3202393</v>
      </c>
      <c r="AI66" s="239">
        <v>-2134928</v>
      </c>
      <c r="AJ66" s="239">
        <v>0</v>
      </c>
      <c r="AK66" s="239">
        <v>-10674643</v>
      </c>
      <c r="AL66" s="239">
        <v>496834</v>
      </c>
      <c r="AM66" s="239">
        <v>298100</v>
      </c>
      <c r="AN66" s="239">
        <v>198733</v>
      </c>
      <c r="AO66" s="239">
        <v>0</v>
      </c>
      <c r="AP66" s="239">
        <v>993667</v>
      </c>
      <c r="AQ66" s="239">
        <v>-208931</v>
      </c>
      <c r="AR66" s="239">
        <v>-125358</v>
      </c>
      <c r="AS66" s="239">
        <v>-83572</v>
      </c>
      <c r="AT66" s="239">
        <v>0</v>
      </c>
      <c r="AU66" s="239">
        <v>-417861</v>
      </c>
      <c r="AV66" s="239">
        <v>-5049419</v>
      </c>
      <c r="AW66" s="239">
        <v>-3029651</v>
      </c>
      <c r="AX66" s="239">
        <v>-2019767</v>
      </c>
      <c r="AY66" s="239">
        <v>0</v>
      </c>
      <c r="AZ66" s="239">
        <v>-10098837</v>
      </c>
      <c r="BA66" s="239">
        <v>-75095708</v>
      </c>
      <c r="BB66" s="239">
        <v>-45057424</v>
      </c>
      <c r="BC66" s="239">
        <v>-30038282</v>
      </c>
      <c r="BD66" s="239">
        <v>0</v>
      </c>
      <c r="BE66" s="239">
        <v>-150191414</v>
      </c>
      <c r="BF66" s="239">
        <v>22824912</v>
      </c>
      <c r="BG66" s="239">
        <v>13694947</v>
      </c>
      <c r="BH66" s="239">
        <v>9129965</v>
      </c>
      <c r="BI66" s="239">
        <v>0</v>
      </c>
      <c r="BJ66" s="239">
        <v>45649824</v>
      </c>
      <c r="BK66" s="239">
        <v>-81351747</v>
      </c>
      <c r="BL66" s="239">
        <v>-48811049</v>
      </c>
      <c r="BM66" s="239">
        <v>-32540699</v>
      </c>
      <c r="BN66" s="239">
        <v>0</v>
      </c>
      <c r="BO66" s="239">
        <v>-162703495</v>
      </c>
      <c r="BP66" s="239">
        <v>-133622543</v>
      </c>
      <c r="BQ66" s="239">
        <v>-80173526</v>
      </c>
      <c r="BR66" s="239">
        <v>-53449016</v>
      </c>
      <c r="BS66" s="239">
        <v>0</v>
      </c>
      <c r="BT66" s="239">
        <v>-267245085</v>
      </c>
      <c r="BU66" s="239">
        <v>40184389</v>
      </c>
      <c r="BV66" s="239">
        <v>24110633</v>
      </c>
      <c r="BW66" s="239">
        <v>16073756</v>
      </c>
      <c r="BX66" s="239">
        <v>0</v>
      </c>
      <c r="BY66" s="239">
        <v>80368778</v>
      </c>
      <c r="BZ66" s="239">
        <v>33695222</v>
      </c>
      <c r="CA66" s="239">
        <v>20217133</v>
      </c>
      <c r="CB66" s="239">
        <v>13478089</v>
      </c>
      <c r="CC66" s="239">
        <v>0</v>
      </c>
      <c r="CD66" s="239">
        <v>67390444</v>
      </c>
      <c r="CE66" s="239">
        <v>6489167</v>
      </c>
      <c r="CF66" s="239">
        <v>3893500</v>
      </c>
      <c r="CG66" s="239">
        <v>2595667</v>
      </c>
      <c r="CH66" s="239">
        <v>0</v>
      </c>
      <c r="CI66" s="239">
        <v>12978334</v>
      </c>
      <c r="CJ66" s="239">
        <v>393095939</v>
      </c>
      <c r="CK66" s="239">
        <v>235857563</v>
      </c>
      <c r="CL66" s="239">
        <v>157238376</v>
      </c>
      <c r="CM66" s="239">
        <v>0</v>
      </c>
      <c r="CN66" s="239">
        <v>786191878</v>
      </c>
      <c r="CO66" s="239">
        <v>386319746</v>
      </c>
      <c r="CP66" s="239">
        <v>231791847</v>
      </c>
      <c r="CQ66" s="239">
        <v>154527898</v>
      </c>
      <c r="CR66" s="239">
        <v>0</v>
      </c>
      <c r="CS66" s="239">
        <v>772639491</v>
      </c>
      <c r="CT66" s="239">
        <v>-6776193</v>
      </c>
      <c r="CU66" s="239">
        <v>-4065716</v>
      </c>
      <c r="CV66" s="239">
        <v>-2710478</v>
      </c>
      <c r="CW66" s="239">
        <v>0</v>
      </c>
      <c r="CX66" s="239">
        <v>-13552387</v>
      </c>
      <c r="CY66" s="239">
        <v>-287026</v>
      </c>
      <c r="CZ66" s="239">
        <v>-172216</v>
      </c>
      <c r="DA66" s="239">
        <v>-114811</v>
      </c>
      <c r="DB66" s="239">
        <v>0</v>
      </c>
      <c r="DC66" s="239">
        <v>-574053</v>
      </c>
      <c r="DD66" s="641">
        <v>0.5</v>
      </c>
      <c r="DE66" s="641">
        <v>0.3</v>
      </c>
      <c r="DF66" s="641">
        <v>0.2</v>
      </c>
      <c r="DG66" s="641">
        <v>0</v>
      </c>
      <c r="DH66" s="641">
        <v>1</v>
      </c>
      <c r="DI66" s="214" t="s">
        <v>1193</v>
      </c>
    </row>
    <row r="67" spans="1:113" s="214" customFormat="1" x14ac:dyDescent="0.2">
      <c r="B67" s="609" t="s">
        <v>216</v>
      </c>
      <c r="C67" s="609" t="s">
        <v>215</v>
      </c>
      <c r="D67" s="239">
        <v>32823822</v>
      </c>
      <c r="E67" s="239">
        <v>26259057</v>
      </c>
      <c r="F67" s="239">
        <v>5908288</v>
      </c>
      <c r="G67" s="239">
        <v>656476</v>
      </c>
      <c r="H67" s="239">
        <v>65647643</v>
      </c>
      <c r="I67" s="239">
        <v>0</v>
      </c>
      <c r="J67" s="239">
        <v>0</v>
      </c>
      <c r="K67" s="239">
        <v>32823822</v>
      </c>
      <c r="L67" s="239">
        <v>240074</v>
      </c>
      <c r="M67" s="239">
        <v>240074</v>
      </c>
      <c r="N67" s="239">
        <v>0</v>
      </c>
      <c r="O67" s="239">
        <v>0</v>
      </c>
      <c r="P67" s="239">
        <v>0</v>
      </c>
      <c r="Q67" s="239">
        <v>0</v>
      </c>
      <c r="R67" s="239">
        <v>0</v>
      </c>
      <c r="S67" s="239">
        <v>0</v>
      </c>
      <c r="T67" s="239">
        <v>0</v>
      </c>
      <c r="U67" s="239">
        <v>0</v>
      </c>
      <c r="V67" s="239">
        <v>0</v>
      </c>
      <c r="W67" s="239">
        <v>1403597</v>
      </c>
      <c r="X67" s="239">
        <v>1122878</v>
      </c>
      <c r="Y67" s="239">
        <v>252648</v>
      </c>
      <c r="Z67" s="239">
        <v>28072</v>
      </c>
      <c r="AA67" s="239">
        <v>2807195</v>
      </c>
      <c r="AB67" s="239">
        <v>-976475</v>
      </c>
      <c r="AC67" s="239">
        <v>-781180</v>
      </c>
      <c r="AD67" s="239">
        <v>-175766</v>
      </c>
      <c r="AE67" s="239">
        <v>-19530</v>
      </c>
      <c r="AF67" s="239">
        <v>-1952951</v>
      </c>
      <c r="AG67" s="239">
        <v>-480632</v>
      </c>
      <c r="AH67" s="239">
        <v>-384506</v>
      </c>
      <c r="AI67" s="239">
        <v>-86513</v>
      </c>
      <c r="AJ67" s="239">
        <v>-9613</v>
      </c>
      <c r="AK67" s="239">
        <v>-961264</v>
      </c>
      <c r="AL67" s="239">
        <v>157397</v>
      </c>
      <c r="AM67" s="239">
        <v>125918</v>
      </c>
      <c r="AN67" s="239">
        <v>28332</v>
      </c>
      <c r="AO67" s="239">
        <v>3148</v>
      </c>
      <c r="AP67" s="239">
        <v>314795</v>
      </c>
      <c r="AQ67" s="239">
        <v>-329245</v>
      </c>
      <c r="AR67" s="239">
        <v>-263396</v>
      </c>
      <c r="AS67" s="239">
        <v>-59264</v>
      </c>
      <c r="AT67" s="239">
        <v>-6585</v>
      </c>
      <c r="AU67" s="239">
        <v>-658490</v>
      </c>
      <c r="AV67" s="239">
        <v>-652480</v>
      </c>
      <c r="AW67" s="239">
        <v>-521984</v>
      </c>
      <c r="AX67" s="239">
        <v>-117445</v>
      </c>
      <c r="AY67" s="239">
        <v>-13050</v>
      </c>
      <c r="AZ67" s="239">
        <v>-1304959</v>
      </c>
      <c r="BA67" s="239">
        <v>-3736723</v>
      </c>
      <c r="BB67" s="239">
        <v>-2989379</v>
      </c>
      <c r="BC67" s="239">
        <v>-672611</v>
      </c>
      <c r="BD67" s="239">
        <v>-74733</v>
      </c>
      <c r="BE67" s="239">
        <v>-7473446</v>
      </c>
      <c r="BF67" s="239">
        <v>1323064</v>
      </c>
      <c r="BG67" s="239">
        <v>1058451</v>
      </c>
      <c r="BH67" s="239">
        <v>238152</v>
      </c>
      <c r="BI67" s="239">
        <v>26461</v>
      </c>
      <c r="BJ67" s="239">
        <v>2646128</v>
      </c>
      <c r="BK67" s="239">
        <v>166338</v>
      </c>
      <c r="BL67" s="239">
        <v>133071</v>
      </c>
      <c r="BM67" s="239">
        <v>29941</v>
      </c>
      <c r="BN67" s="239">
        <v>3327</v>
      </c>
      <c r="BO67" s="239">
        <v>332677</v>
      </c>
      <c r="BP67" s="239">
        <v>-2247321</v>
      </c>
      <c r="BQ67" s="239">
        <v>-1797857</v>
      </c>
      <c r="BR67" s="239">
        <v>-404518</v>
      </c>
      <c r="BS67" s="239">
        <v>-44945</v>
      </c>
      <c r="BT67" s="239">
        <v>-4494641</v>
      </c>
      <c r="BU67" s="239">
        <v>-3020010</v>
      </c>
      <c r="BV67" s="239">
        <v>-2416008</v>
      </c>
      <c r="BW67" s="239">
        <v>-543602</v>
      </c>
      <c r="BX67" s="239">
        <v>-60400</v>
      </c>
      <c r="BY67" s="239">
        <v>-6040020</v>
      </c>
      <c r="BZ67" s="239">
        <v>-2240315</v>
      </c>
      <c r="CA67" s="239">
        <v>-1792252</v>
      </c>
      <c r="CB67" s="239">
        <v>-403257</v>
      </c>
      <c r="CC67" s="239">
        <v>-44806</v>
      </c>
      <c r="CD67" s="239">
        <v>-4480630</v>
      </c>
      <c r="CE67" s="239">
        <v>-779695</v>
      </c>
      <c r="CF67" s="239">
        <v>-623756</v>
      </c>
      <c r="CG67" s="239">
        <v>-140345</v>
      </c>
      <c r="CH67" s="239">
        <v>-15594</v>
      </c>
      <c r="CI67" s="239">
        <v>-1559390</v>
      </c>
      <c r="CJ67" s="239">
        <v>31740230</v>
      </c>
      <c r="CK67" s="239">
        <v>25392184</v>
      </c>
      <c r="CL67" s="239">
        <v>5713241</v>
      </c>
      <c r="CM67" s="239">
        <v>634805</v>
      </c>
      <c r="CN67" s="239">
        <v>63480460</v>
      </c>
      <c r="CO67" s="239">
        <v>32823822</v>
      </c>
      <c r="CP67" s="239">
        <v>26259057</v>
      </c>
      <c r="CQ67" s="239">
        <v>5908288</v>
      </c>
      <c r="CR67" s="239">
        <v>656476</v>
      </c>
      <c r="CS67" s="239">
        <v>65647643</v>
      </c>
      <c r="CT67" s="239">
        <v>1083592</v>
      </c>
      <c r="CU67" s="239">
        <v>866873</v>
      </c>
      <c r="CV67" s="239">
        <v>195047</v>
      </c>
      <c r="CW67" s="239">
        <v>21671</v>
      </c>
      <c r="CX67" s="239">
        <v>2167183</v>
      </c>
      <c r="CY67" s="239">
        <v>303897</v>
      </c>
      <c r="CZ67" s="239">
        <v>243117</v>
      </c>
      <c r="DA67" s="239">
        <v>54702</v>
      </c>
      <c r="DB67" s="239">
        <v>6077</v>
      </c>
      <c r="DC67" s="239">
        <v>607793</v>
      </c>
      <c r="DD67" s="641">
        <v>0.5</v>
      </c>
      <c r="DE67" s="641">
        <v>0.4</v>
      </c>
      <c r="DF67" s="641">
        <v>0.09</v>
      </c>
      <c r="DG67" s="641">
        <v>0.01</v>
      </c>
      <c r="DH67" s="641">
        <v>1</v>
      </c>
      <c r="DI67" s="214" t="s">
        <v>1190</v>
      </c>
    </row>
    <row r="68" spans="1:113" s="214" customFormat="1" x14ac:dyDescent="0.2">
      <c r="B68" s="609" t="s">
        <v>218</v>
      </c>
      <c r="C68" s="609" t="s">
        <v>217</v>
      </c>
      <c r="D68" s="239">
        <v>21057037</v>
      </c>
      <c r="E68" s="239">
        <v>16845630</v>
      </c>
      <c r="F68" s="239">
        <v>4211408</v>
      </c>
      <c r="G68" s="239">
        <v>0</v>
      </c>
      <c r="H68" s="239">
        <v>42114075</v>
      </c>
      <c r="I68" s="239">
        <v>0</v>
      </c>
      <c r="J68" s="239">
        <v>0</v>
      </c>
      <c r="K68" s="239">
        <v>21057037</v>
      </c>
      <c r="L68" s="239">
        <v>111435</v>
      </c>
      <c r="M68" s="239">
        <v>111435</v>
      </c>
      <c r="N68" s="239">
        <v>0</v>
      </c>
      <c r="O68" s="239">
        <v>0</v>
      </c>
      <c r="P68" s="239">
        <v>33333</v>
      </c>
      <c r="Q68" s="239">
        <v>0</v>
      </c>
      <c r="R68" s="239">
        <v>33333</v>
      </c>
      <c r="S68" s="239">
        <v>0</v>
      </c>
      <c r="T68" s="239">
        <v>0</v>
      </c>
      <c r="U68" s="239">
        <v>0</v>
      </c>
      <c r="V68" s="239">
        <v>0</v>
      </c>
      <c r="W68" s="239">
        <v>395211</v>
      </c>
      <c r="X68" s="239">
        <v>316169</v>
      </c>
      <c r="Y68" s="239">
        <v>79042</v>
      </c>
      <c r="Z68" s="239">
        <v>0</v>
      </c>
      <c r="AA68" s="239">
        <v>790422</v>
      </c>
      <c r="AB68" s="239">
        <v>-1071710</v>
      </c>
      <c r="AC68" s="239">
        <v>-857368</v>
      </c>
      <c r="AD68" s="239">
        <v>-214342</v>
      </c>
      <c r="AE68" s="239">
        <v>0</v>
      </c>
      <c r="AF68" s="239">
        <v>-2143420</v>
      </c>
      <c r="AG68" s="239">
        <v>-75000</v>
      </c>
      <c r="AH68" s="239">
        <v>-60000</v>
      </c>
      <c r="AI68" s="239">
        <v>-15000</v>
      </c>
      <c r="AJ68" s="239">
        <v>0</v>
      </c>
      <c r="AK68" s="239">
        <v>-150000</v>
      </c>
      <c r="AL68" s="239">
        <v>9195</v>
      </c>
      <c r="AM68" s="239">
        <v>7356</v>
      </c>
      <c r="AN68" s="239">
        <v>1839</v>
      </c>
      <c r="AO68" s="239">
        <v>0</v>
      </c>
      <c r="AP68" s="239">
        <v>18390</v>
      </c>
      <c r="AQ68" s="239">
        <v>-21695</v>
      </c>
      <c r="AR68" s="239">
        <v>-17356</v>
      </c>
      <c r="AS68" s="239">
        <v>-4339</v>
      </c>
      <c r="AT68" s="239">
        <v>0</v>
      </c>
      <c r="AU68" s="239">
        <v>-43390</v>
      </c>
      <c r="AV68" s="239">
        <v>-87500</v>
      </c>
      <c r="AW68" s="239">
        <v>-70000</v>
      </c>
      <c r="AX68" s="239">
        <v>-17500</v>
      </c>
      <c r="AY68" s="239">
        <v>0</v>
      </c>
      <c r="AZ68" s="239">
        <v>-175000</v>
      </c>
      <c r="BA68" s="239">
        <v>-329046</v>
      </c>
      <c r="BB68" s="239">
        <v>-263235</v>
      </c>
      <c r="BC68" s="239">
        <v>-65809</v>
      </c>
      <c r="BD68" s="239">
        <v>0</v>
      </c>
      <c r="BE68" s="239">
        <v>-658090</v>
      </c>
      <c r="BF68" s="239">
        <v>202282</v>
      </c>
      <c r="BG68" s="239">
        <v>161825</v>
      </c>
      <c r="BH68" s="239">
        <v>40456</v>
      </c>
      <c r="BI68" s="239">
        <v>0</v>
      </c>
      <c r="BJ68" s="239">
        <v>404563</v>
      </c>
      <c r="BK68" s="239">
        <v>-428711</v>
      </c>
      <c r="BL68" s="239">
        <v>-342969</v>
      </c>
      <c r="BM68" s="239">
        <v>-85742</v>
      </c>
      <c r="BN68" s="239">
        <v>0</v>
      </c>
      <c r="BO68" s="239">
        <v>-857422</v>
      </c>
      <c r="BP68" s="239">
        <v>-555475</v>
      </c>
      <c r="BQ68" s="239">
        <v>-444379</v>
      </c>
      <c r="BR68" s="239">
        <v>-111095</v>
      </c>
      <c r="BS68" s="239">
        <v>0</v>
      </c>
      <c r="BT68" s="239">
        <v>-1110949</v>
      </c>
      <c r="BU68" s="239">
        <v>4073074</v>
      </c>
      <c r="BV68" s="239">
        <v>3258459</v>
      </c>
      <c r="BW68" s="239">
        <v>814615</v>
      </c>
      <c r="BX68" s="239">
        <v>0</v>
      </c>
      <c r="BY68" s="239">
        <v>8146148</v>
      </c>
      <c r="BZ68" s="239">
        <v>4006925</v>
      </c>
      <c r="CA68" s="239">
        <v>3205540</v>
      </c>
      <c r="CB68" s="239">
        <v>801385</v>
      </c>
      <c r="CC68" s="239">
        <v>0</v>
      </c>
      <c r="CD68" s="239">
        <v>8013850</v>
      </c>
      <c r="CE68" s="239">
        <v>66149</v>
      </c>
      <c r="CF68" s="239">
        <v>52919</v>
      </c>
      <c r="CG68" s="239">
        <v>13230</v>
      </c>
      <c r="CH68" s="239">
        <v>0</v>
      </c>
      <c r="CI68" s="239">
        <v>132298</v>
      </c>
      <c r="CJ68" s="239">
        <v>19624634</v>
      </c>
      <c r="CK68" s="239">
        <v>15699707</v>
      </c>
      <c r="CL68" s="239">
        <v>3924927</v>
      </c>
      <c r="CM68" s="239">
        <v>0</v>
      </c>
      <c r="CN68" s="239">
        <v>39249268</v>
      </c>
      <c r="CO68" s="239">
        <v>21057037</v>
      </c>
      <c r="CP68" s="239">
        <v>16845630</v>
      </c>
      <c r="CQ68" s="239">
        <v>4211408</v>
      </c>
      <c r="CR68" s="239">
        <v>0</v>
      </c>
      <c r="CS68" s="239">
        <v>42114075</v>
      </c>
      <c r="CT68" s="239">
        <v>1432403</v>
      </c>
      <c r="CU68" s="239">
        <v>1145923</v>
      </c>
      <c r="CV68" s="239">
        <v>286481</v>
      </c>
      <c r="CW68" s="239">
        <v>0</v>
      </c>
      <c r="CX68" s="239">
        <v>2864807</v>
      </c>
      <c r="CY68" s="239">
        <v>1498552</v>
      </c>
      <c r="CZ68" s="239">
        <v>1198842</v>
      </c>
      <c r="DA68" s="239">
        <v>299711</v>
      </c>
      <c r="DB68" s="239">
        <v>0</v>
      </c>
      <c r="DC68" s="239">
        <v>2997105</v>
      </c>
      <c r="DD68" s="641">
        <v>0.5</v>
      </c>
      <c r="DE68" s="641">
        <v>0.4</v>
      </c>
      <c r="DF68" s="641">
        <v>0.1</v>
      </c>
      <c r="DG68" s="641">
        <v>0</v>
      </c>
      <c r="DH68" s="641">
        <v>1</v>
      </c>
      <c r="DI68" s="214" t="s">
        <v>1190</v>
      </c>
    </row>
    <row r="69" spans="1:113" s="214" customFormat="1" x14ac:dyDescent="0.2">
      <c r="B69" s="609" t="s">
        <v>220</v>
      </c>
      <c r="C69" s="609" t="s">
        <v>219</v>
      </c>
      <c r="D69" s="239">
        <v>16701962</v>
      </c>
      <c r="E69" s="239">
        <v>13361569</v>
      </c>
      <c r="F69" s="239">
        <v>3340392</v>
      </c>
      <c r="G69" s="239">
        <v>0</v>
      </c>
      <c r="H69" s="239">
        <v>33403923</v>
      </c>
      <c r="I69" s="239">
        <v>0</v>
      </c>
      <c r="J69" s="239">
        <v>0</v>
      </c>
      <c r="K69" s="239">
        <v>16701962</v>
      </c>
      <c r="L69" s="239">
        <v>89783</v>
      </c>
      <c r="M69" s="239">
        <v>89783</v>
      </c>
      <c r="N69" s="239">
        <v>0</v>
      </c>
      <c r="O69" s="239">
        <v>0</v>
      </c>
      <c r="P69" s="239">
        <v>0</v>
      </c>
      <c r="Q69" s="239">
        <v>0</v>
      </c>
      <c r="R69" s="239">
        <v>0</v>
      </c>
      <c r="S69" s="239">
        <v>0</v>
      </c>
      <c r="T69" s="239">
        <v>0</v>
      </c>
      <c r="U69" s="239">
        <v>0</v>
      </c>
      <c r="V69" s="239">
        <v>0</v>
      </c>
      <c r="W69" s="239">
        <v>1285172</v>
      </c>
      <c r="X69" s="239">
        <v>1028138</v>
      </c>
      <c r="Y69" s="239">
        <v>257035</v>
      </c>
      <c r="Z69" s="239">
        <v>0</v>
      </c>
      <c r="AA69" s="239">
        <v>2570345</v>
      </c>
      <c r="AB69" s="239">
        <v>-344645</v>
      </c>
      <c r="AC69" s="239">
        <v>-275716</v>
      </c>
      <c r="AD69" s="239">
        <v>-68929</v>
      </c>
      <c r="AE69" s="239">
        <v>0</v>
      </c>
      <c r="AF69" s="239">
        <v>-689290</v>
      </c>
      <c r="AG69" s="239">
        <v>-444230.69999999995</v>
      </c>
      <c r="AH69" s="239">
        <v>-355383</v>
      </c>
      <c r="AI69" s="239">
        <v>-88845</v>
      </c>
      <c r="AJ69" s="239">
        <v>0</v>
      </c>
      <c r="AK69" s="239">
        <v>-888458.7</v>
      </c>
      <c r="AL69" s="239">
        <v>107357</v>
      </c>
      <c r="AM69" s="239">
        <v>85885</v>
      </c>
      <c r="AN69" s="239">
        <v>21471</v>
      </c>
      <c r="AO69" s="239">
        <v>0</v>
      </c>
      <c r="AP69" s="239">
        <v>214713</v>
      </c>
      <c r="AQ69" s="239">
        <v>-92037</v>
      </c>
      <c r="AR69" s="239">
        <v>-73630</v>
      </c>
      <c r="AS69" s="239">
        <v>-18408</v>
      </c>
      <c r="AT69" s="239">
        <v>0</v>
      </c>
      <c r="AU69" s="239">
        <v>-184075</v>
      </c>
      <c r="AV69" s="239">
        <v>-428910.69999999995</v>
      </c>
      <c r="AW69" s="239">
        <v>-343128</v>
      </c>
      <c r="AX69" s="239">
        <v>-85782</v>
      </c>
      <c r="AY69" s="239">
        <v>0</v>
      </c>
      <c r="AZ69" s="239">
        <v>-857820.7</v>
      </c>
      <c r="BA69" s="239">
        <v>-1386157</v>
      </c>
      <c r="BB69" s="239">
        <v>-1108928</v>
      </c>
      <c r="BC69" s="239">
        <v>-277232</v>
      </c>
      <c r="BD69" s="239">
        <v>0</v>
      </c>
      <c r="BE69" s="239">
        <v>-2772317</v>
      </c>
      <c r="BF69" s="239">
        <v>481553</v>
      </c>
      <c r="BG69" s="239">
        <v>385242</v>
      </c>
      <c r="BH69" s="239">
        <v>96311</v>
      </c>
      <c r="BI69" s="239">
        <v>0</v>
      </c>
      <c r="BJ69" s="239">
        <v>963106</v>
      </c>
      <c r="BK69" s="239">
        <v>-1076732</v>
      </c>
      <c r="BL69" s="239">
        <v>-861386</v>
      </c>
      <c r="BM69" s="239">
        <v>-215346</v>
      </c>
      <c r="BN69" s="239">
        <v>0</v>
      </c>
      <c r="BO69" s="239">
        <v>-2153464</v>
      </c>
      <c r="BP69" s="239">
        <v>-1981336</v>
      </c>
      <c r="BQ69" s="239">
        <v>-1585072</v>
      </c>
      <c r="BR69" s="239">
        <v>-396267</v>
      </c>
      <c r="BS69" s="239">
        <v>0</v>
      </c>
      <c r="BT69" s="239">
        <v>-3962675</v>
      </c>
      <c r="BU69" s="239">
        <v>-1242885</v>
      </c>
      <c r="BV69" s="239">
        <v>-994308</v>
      </c>
      <c r="BW69" s="239">
        <v>-248577</v>
      </c>
      <c r="BX69" s="239">
        <v>0</v>
      </c>
      <c r="BY69" s="239">
        <v>-2485770</v>
      </c>
      <c r="BZ69" s="239">
        <v>-940984</v>
      </c>
      <c r="CA69" s="239">
        <v>-752787</v>
      </c>
      <c r="CB69" s="239">
        <v>-188197</v>
      </c>
      <c r="CC69" s="239">
        <v>0</v>
      </c>
      <c r="CD69" s="239">
        <v>-1881968</v>
      </c>
      <c r="CE69" s="239">
        <v>-301901</v>
      </c>
      <c r="CF69" s="239">
        <v>-241521</v>
      </c>
      <c r="CG69" s="239">
        <v>-60380</v>
      </c>
      <c r="CH69" s="239">
        <v>0</v>
      </c>
      <c r="CI69" s="239">
        <v>-603802</v>
      </c>
      <c r="CJ69" s="239">
        <v>17044257</v>
      </c>
      <c r="CK69" s="239">
        <v>13635405</v>
      </c>
      <c r="CL69" s="239">
        <v>3408851</v>
      </c>
      <c r="CM69" s="239">
        <v>0</v>
      </c>
      <c r="CN69" s="239">
        <v>34088513</v>
      </c>
      <c r="CO69" s="239">
        <v>16701962</v>
      </c>
      <c r="CP69" s="239">
        <v>13361569</v>
      </c>
      <c r="CQ69" s="239">
        <v>3340392</v>
      </c>
      <c r="CR69" s="239">
        <v>0</v>
      </c>
      <c r="CS69" s="239">
        <v>33403923</v>
      </c>
      <c r="CT69" s="239">
        <v>-342295</v>
      </c>
      <c r="CU69" s="239">
        <v>-273836</v>
      </c>
      <c r="CV69" s="239">
        <v>-68459</v>
      </c>
      <c r="CW69" s="239">
        <v>0</v>
      </c>
      <c r="CX69" s="239">
        <v>-684590</v>
      </c>
      <c r="CY69" s="239">
        <v>-644196</v>
      </c>
      <c r="CZ69" s="239">
        <v>-515357</v>
      </c>
      <c r="DA69" s="239">
        <v>-128839</v>
      </c>
      <c r="DB69" s="239">
        <v>0</v>
      </c>
      <c r="DC69" s="239">
        <v>-1288392</v>
      </c>
      <c r="DD69" s="641">
        <v>0.5</v>
      </c>
      <c r="DE69" s="641">
        <v>0.4</v>
      </c>
      <c r="DF69" s="641">
        <v>0.1</v>
      </c>
      <c r="DG69" s="641">
        <v>0</v>
      </c>
      <c r="DH69" s="641">
        <v>1</v>
      </c>
      <c r="DI69" s="214" t="s">
        <v>1190</v>
      </c>
    </row>
    <row r="70" spans="1:113" s="214" customFormat="1" x14ac:dyDescent="0.2">
      <c r="B70" s="609" t="s">
        <v>222</v>
      </c>
      <c r="C70" s="609" t="s">
        <v>221</v>
      </c>
      <c r="D70" s="239">
        <v>77209217</v>
      </c>
      <c r="E70" s="239">
        <v>77209218</v>
      </c>
      <c r="F70" s="239">
        <v>0</v>
      </c>
      <c r="G70" s="239">
        <v>0</v>
      </c>
      <c r="H70" s="239">
        <v>154418435</v>
      </c>
      <c r="I70" s="239">
        <v>287779.76652892563</v>
      </c>
      <c r="J70" s="239">
        <v>287779.76652892563</v>
      </c>
      <c r="K70" s="239">
        <v>76921437.233471081</v>
      </c>
      <c r="L70" s="239">
        <v>1124554</v>
      </c>
      <c r="M70" s="239">
        <v>1124554</v>
      </c>
      <c r="N70" s="239">
        <v>16328</v>
      </c>
      <c r="O70" s="239">
        <v>16328</v>
      </c>
      <c r="P70" s="239">
        <v>1900148</v>
      </c>
      <c r="Q70" s="239">
        <v>0</v>
      </c>
      <c r="R70" s="239">
        <v>1900148</v>
      </c>
      <c r="S70" s="239">
        <v>287779.76652892563</v>
      </c>
      <c r="T70" s="239">
        <v>0</v>
      </c>
      <c r="U70" s="239">
        <v>0</v>
      </c>
      <c r="V70" s="239">
        <v>287779.76652892563</v>
      </c>
      <c r="W70" s="239">
        <v>3309921</v>
      </c>
      <c r="X70" s="239">
        <v>3309922</v>
      </c>
      <c r="Y70" s="239">
        <v>0</v>
      </c>
      <c r="Z70" s="239">
        <v>0</v>
      </c>
      <c r="AA70" s="239">
        <v>6619843</v>
      </c>
      <c r="AB70" s="239">
        <v>-2205881</v>
      </c>
      <c r="AC70" s="239">
        <v>-2205882</v>
      </c>
      <c r="AD70" s="239">
        <v>0</v>
      </c>
      <c r="AE70" s="239">
        <v>0</v>
      </c>
      <c r="AF70" s="239">
        <v>-4411763</v>
      </c>
      <c r="AG70" s="239">
        <v>-1453905</v>
      </c>
      <c r="AH70" s="239">
        <v>-1453905</v>
      </c>
      <c r="AI70" s="239">
        <v>0</v>
      </c>
      <c r="AJ70" s="239">
        <v>0</v>
      </c>
      <c r="AK70" s="239">
        <v>-2907810</v>
      </c>
      <c r="AL70" s="239">
        <v>589473</v>
      </c>
      <c r="AM70" s="239">
        <v>589473</v>
      </c>
      <c r="AN70" s="239">
        <v>0</v>
      </c>
      <c r="AO70" s="239">
        <v>0</v>
      </c>
      <c r="AP70" s="239">
        <v>1178946</v>
      </c>
      <c r="AQ70" s="239">
        <v>-367950</v>
      </c>
      <c r="AR70" s="239">
        <v>-367950</v>
      </c>
      <c r="AS70" s="239">
        <v>0</v>
      </c>
      <c r="AT70" s="239">
        <v>0</v>
      </c>
      <c r="AU70" s="239">
        <v>-735900</v>
      </c>
      <c r="AV70" s="239">
        <v>-1232382</v>
      </c>
      <c r="AW70" s="239">
        <v>-1232382</v>
      </c>
      <c r="AX70" s="239">
        <v>0</v>
      </c>
      <c r="AY70" s="239">
        <v>0</v>
      </c>
      <c r="AZ70" s="239">
        <v>-2464764</v>
      </c>
      <c r="BA70" s="239">
        <v>-10794800</v>
      </c>
      <c r="BB70" s="239">
        <v>-10794800</v>
      </c>
      <c r="BC70" s="239">
        <v>0</v>
      </c>
      <c r="BD70" s="239">
        <v>0</v>
      </c>
      <c r="BE70" s="239">
        <v>-21589600</v>
      </c>
      <c r="BF70" s="239">
        <v>0</v>
      </c>
      <c r="BG70" s="239">
        <v>0</v>
      </c>
      <c r="BH70" s="239">
        <v>0</v>
      </c>
      <c r="BI70" s="239">
        <v>0</v>
      </c>
      <c r="BJ70" s="239">
        <v>0</v>
      </c>
      <c r="BK70" s="239">
        <v>706300</v>
      </c>
      <c r="BL70" s="239">
        <v>706300</v>
      </c>
      <c r="BM70" s="239">
        <v>0</v>
      </c>
      <c r="BN70" s="239">
        <v>0</v>
      </c>
      <c r="BO70" s="239">
        <v>1412600</v>
      </c>
      <c r="BP70" s="239">
        <v>-10088500</v>
      </c>
      <c r="BQ70" s="239">
        <v>-10088500</v>
      </c>
      <c r="BR70" s="239">
        <v>0</v>
      </c>
      <c r="BS70" s="239">
        <v>0</v>
      </c>
      <c r="BT70" s="239">
        <v>-20177000</v>
      </c>
      <c r="BU70" s="239">
        <v>6856</v>
      </c>
      <c r="BV70" s="239">
        <v>6856</v>
      </c>
      <c r="BW70" s="239">
        <v>0</v>
      </c>
      <c r="BX70" s="239">
        <v>0</v>
      </c>
      <c r="BY70" s="239">
        <v>13712</v>
      </c>
      <c r="BZ70" s="239">
        <v>31525</v>
      </c>
      <c r="CA70" s="239">
        <v>31525</v>
      </c>
      <c r="CB70" s="239">
        <v>0</v>
      </c>
      <c r="CC70" s="239">
        <v>0</v>
      </c>
      <c r="CD70" s="239">
        <v>63050</v>
      </c>
      <c r="CE70" s="239">
        <v>-24669</v>
      </c>
      <c r="CF70" s="239">
        <v>-24669</v>
      </c>
      <c r="CG70" s="239">
        <v>0</v>
      </c>
      <c r="CH70" s="239">
        <v>0</v>
      </c>
      <c r="CI70" s="239">
        <v>-49338</v>
      </c>
      <c r="CJ70" s="239">
        <v>75960038</v>
      </c>
      <c r="CK70" s="239">
        <v>75960038</v>
      </c>
      <c r="CL70" s="239">
        <v>0</v>
      </c>
      <c r="CM70" s="239">
        <v>0</v>
      </c>
      <c r="CN70" s="239">
        <v>151920076</v>
      </c>
      <c r="CO70" s="239">
        <v>77209217</v>
      </c>
      <c r="CP70" s="239">
        <v>77209218</v>
      </c>
      <c r="CQ70" s="239">
        <v>0</v>
      </c>
      <c r="CR70" s="239">
        <v>0</v>
      </c>
      <c r="CS70" s="239">
        <v>154418435</v>
      </c>
      <c r="CT70" s="239">
        <v>1249179</v>
      </c>
      <c r="CU70" s="239">
        <v>1249180</v>
      </c>
      <c r="CV70" s="239">
        <v>0</v>
      </c>
      <c r="CW70" s="239">
        <v>0</v>
      </c>
      <c r="CX70" s="239">
        <v>2498359</v>
      </c>
      <c r="CY70" s="239">
        <v>1224510</v>
      </c>
      <c r="CZ70" s="239">
        <v>1224511</v>
      </c>
      <c r="DA70" s="239">
        <v>0</v>
      </c>
      <c r="DB70" s="239">
        <v>0</v>
      </c>
      <c r="DC70" s="239">
        <v>2449021</v>
      </c>
      <c r="DD70" s="641">
        <v>0.5</v>
      </c>
      <c r="DE70" s="641">
        <v>0.5</v>
      </c>
      <c r="DF70" s="641">
        <v>0</v>
      </c>
      <c r="DG70" s="641">
        <v>0</v>
      </c>
      <c r="DH70" s="641">
        <v>1</v>
      </c>
      <c r="DI70" s="214" t="s">
        <v>747</v>
      </c>
    </row>
    <row r="71" spans="1:113" s="214" customFormat="1" x14ac:dyDescent="0.2">
      <c r="B71" s="609" t="s">
        <v>224</v>
      </c>
      <c r="C71" s="609" t="s">
        <v>223</v>
      </c>
      <c r="D71" s="239">
        <v>15495128</v>
      </c>
      <c r="E71" s="239">
        <v>12396103</v>
      </c>
      <c r="F71" s="239">
        <v>3099026</v>
      </c>
      <c r="G71" s="239">
        <v>0</v>
      </c>
      <c r="H71" s="239">
        <v>30990257</v>
      </c>
      <c r="I71" s="239">
        <v>0</v>
      </c>
      <c r="J71" s="239">
        <v>0</v>
      </c>
      <c r="K71" s="239">
        <v>15495128</v>
      </c>
      <c r="L71" s="239">
        <v>178689</v>
      </c>
      <c r="M71" s="239">
        <v>178689</v>
      </c>
      <c r="N71" s="239">
        <v>0</v>
      </c>
      <c r="O71" s="239">
        <v>0</v>
      </c>
      <c r="P71" s="239">
        <v>78171</v>
      </c>
      <c r="Q71" s="239">
        <v>0</v>
      </c>
      <c r="R71" s="239">
        <v>78171</v>
      </c>
      <c r="S71" s="239">
        <v>0</v>
      </c>
      <c r="T71" s="239">
        <v>0</v>
      </c>
      <c r="U71" s="239">
        <v>0</v>
      </c>
      <c r="V71" s="239">
        <v>0</v>
      </c>
      <c r="W71" s="239">
        <v>571172</v>
      </c>
      <c r="X71" s="239">
        <v>456937</v>
      </c>
      <c r="Y71" s="239">
        <v>114234</v>
      </c>
      <c r="Z71" s="239">
        <v>0</v>
      </c>
      <c r="AA71" s="239">
        <v>1142343</v>
      </c>
      <c r="AB71" s="239">
        <v>-126218</v>
      </c>
      <c r="AC71" s="239">
        <v>-100975</v>
      </c>
      <c r="AD71" s="239">
        <v>-25244</v>
      </c>
      <c r="AE71" s="239">
        <v>0</v>
      </c>
      <c r="AF71" s="239">
        <v>-252437</v>
      </c>
      <c r="AG71" s="239">
        <v>-105474</v>
      </c>
      <c r="AH71" s="239">
        <v>-84381</v>
      </c>
      <c r="AI71" s="239">
        <v>-21095</v>
      </c>
      <c r="AJ71" s="239">
        <v>0</v>
      </c>
      <c r="AK71" s="239">
        <v>-210950</v>
      </c>
      <c r="AL71" s="239">
        <v>47007</v>
      </c>
      <c r="AM71" s="239">
        <v>37606</v>
      </c>
      <c r="AN71" s="239">
        <v>9402</v>
      </c>
      <c r="AO71" s="239">
        <v>0</v>
      </c>
      <c r="AP71" s="239">
        <v>94015</v>
      </c>
      <c r="AQ71" s="239">
        <v>-87595</v>
      </c>
      <c r="AR71" s="239">
        <v>-70076</v>
      </c>
      <c r="AS71" s="239">
        <v>-17519</v>
      </c>
      <c r="AT71" s="239">
        <v>0</v>
      </c>
      <c r="AU71" s="239">
        <v>-175190</v>
      </c>
      <c r="AV71" s="239">
        <v>-146062</v>
      </c>
      <c r="AW71" s="239">
        <v>-116851</v>
      </c>
      <c r="AX71" s="239">
        <v>-29212</v>
      </c>
      <c r="AY71" s="239">
        <v>0</v>
      </c>
      <c r="AZ71" s="239">
        <v>-292125</v>
      </c>
      <c r="BA71" s="239">
        <v>-1294676</v>
      </c>
      <c r="BB71" s="239">
        <v>-1035741</v>
      </c>
      <c r="BC71" s="239">
        <v>-258936</v>
      </c>
      <c r="BD71" s="239">
        <v>0</v>
      </c>
      <c r="BE71" s="239">
        <v>-2589353</v>
      </c>
      <c r="BF71" s="239">
        <v>368058</v>
      </c>
      <c r="BG71" s="239">
        <v>294447</v>
      </c>
      <c r="BH71" s="239">
        <v>73612</v>
      </c>
      <c r="BI71" s="239">
        <v>0</v>
      </c>
      <c r="BJ71" s="239">
        <v>736117</v>
      </c>
      <c r="BK71" s="239">
        <v>-19622</v>
      </c>
      <c r="BL71" s="239">
        <v>-15698</v>
      </c>
      <c r="BM71" s="239">
        <v>-3924</v>
      </c>
      <c r="BN71" s="239">
        <v>0</v>
      </c>
      <c r="BO71" s="239">
        <v>-39244</v>
      </c>
      <c r="BP71" s="239">
        <v>-946240</v>
      </c>
      <c r="BQ71" s="239">
        <v>-756992</v>
      </c>
      <c r="BR71" s="239">
        <v>-189248</v>
      </c>
      <c r="BS71" s="239">
        <v>0</v>
      </c>
      <c r="BT71" s="239">
        <v>-1892480</v>
      </c>
      <c r="BU71" s="239">
        <v>-1140036</v>
      </c>
      <c r="BV71" s="239">
        <v>-912029</v>
      </c>
      <c r="BW71" s="239">
        <v>-228007</v>
      </c>
      <c r="BX71" s="239">
        <v>0</v>
      </c>
      <c r="BY71" s="239">
        <v>-2280072</v>
      </c>
      <c r="BZ71" s="239">
        <v>-1444149</v>
      </c>
      <c r="CA71" s="239">
        <v>-1155320</v>
      </c>
      <c r="CB71" s="239">
        <v>-288830</v>
      </c>
      <c r="CC71" s="239">
        <v>0</v>
      </c>
      <c r="CD71" s="239">
        <v>-2888299</v>
      </c>
      <c r="CE71" s="239">
        <v>304113</v>
      </c>
      <c r="CF71" s="239">
        <v>243291</v>
      </c>
      <c r="CG71" s="239">
        <v>60823</v>
      </c>
      <c r="CH71" s="239">
        <v>0</v>
      </c>
      <c r="CI71" s="239">
        <v>608227</v>
      </c>
      <c r="CJ71" s="239">
        <v>15382516</v>
      </c>
      <c r="CK71" s="239">
        <v>12306013</v>
      </c>
      <c r="CL71" s="239">
        <v>3076503</v>
      </c>
      <c r="CM71" s="239">
        <v>0</v>
      </c>
      <c r="CN71" s="239">
        <v>30765032</v>
      </c>
      <c r="CO71" s="239">
        <v>15495128</v>
      </c>
      <c r="CP71" s="239">
        <v>12396103</v>
      </c>
      <c r="CQ71" s="239">
        <v>3099026</v>
      </c>
      <c r="CR71" s="239">
        <v>0</v>
      </c>
      <c r="CS71" s="239">
        <v>30990257</v>
      </c>
      <c r="CT71" s="239">
        <v>112612</v>
      </c>
      <c r="CU71" s="239">
        <v>90090</v>
      </c>
      <c r="CV71" s="239">
        <v>22523</v>
      </c>
      <c r="CW71" s="239">
        <v>0</v>
      </c>
      <c r="CX71" s="239">
        <v>225225</v>
      </c>
      <c r="CY71" s="239">
        <v>416725</v>
      </c>
      <c r="CZ71" s="239">
        <v>333381</v>
      </c>
      <c r="DA71" s="239">
        <v>83346</v>
      </c>
      <c r="DB71" s="239">
        <v>0</v>
      </c>
      <c r="DC71" s="239">
        <v>833452</v>
      </c>
      <c r="DD71" s="641">
        <v>0.5</v>
      </c>
      <c r="DE71" s="641">
        <v>0.4</v>
      </c>
      <c r="DF71" s="641">
        <v>0.1</v>
      </c>
      <c r="DG71" s="641">
        <v>0</v>
      </c>
      <c r="DH71" s="641">
        <v>1</v>
      </c>
      <c r="DI71" s="214" t="s">
        <v>1190</v>
      </c>
    </row>
    <row r="72" spans="1:113" s="214" customFormat="1" x14ac:dyDescent="0.2">
      <c r="B72" s="609" t="s">
        <v>226</v>
      </c>
      <c r="C72" s="609" t="s">
        <v>225</v>
      </c>
      <c r="D72" s="239">
        <v>61632588</v>
      </c>
      <c r="E72" s="239">
        <v>60399936</v>
      </c>
      <c r="F72" s="239">
        <v>0</v>
      </c>
      <c r="G72" s="239">
        <v>1232652</v>
      </c>
      <c r="H72" s="239">
        <v>123265176</v>
      </c>
      <c r="I72" s="239">
        <v>0</v>
      </c>
      <c r="J72" s="239">
        <v>0</v>
      </c>
      <c r="K72" s="239">
        <v>61632588</v>
      </c>
      <c r="L72" s="239">
        <v>379337</v>
      </c>
      <c r="M72" s="239">
        <v>379337</v>
      </c>
      <c r="N72" s="239">
        <v>0</v>
      </c>
      <c r="O72" s="239">
        <v>0</v>
      </c>
      <c r="P72" s="239">
        <v>0</v>
      </c>
      <c r="Q72" s="239">
        <v>0</v>
      </c>
      <c r="R72" s="239">
        <v>0</v>
      </c>
      <c r="S72" s="239">
        <v>0</v>
      </c>
      <c r="T72" s="239">
        <v>0</v>
      </c>
      <c r="U72" s="239">
        <v>0</v>
      </c>
      <c r="V72" s="239">
        <v>0</v>
      </c>
      <c r="W72" s="239">
        <v>2773724</v>
      </c>
      <c r="X72" s="239">
        <v>2718249</v>
      </c>
      <c r="Y72" s="239">
        <v>0</v>
      </c>
      <c r="Z72" s="239">
        <v>55474</v>
      </c>
      <c r="AA72" s="239">
        <v>5547447</v>
      </c>
      <c r="AB72" s="239">
        <v>-1235277</v>
      </c>
      <c r="AC72" s="239">
        <v>-1210572</v>
      </c>
      <c r="AD72" s="239">
        <v>0</v>
      </c>
      <c r="AE72" s="239">
        <v>-24706</v>
      </c>
      <c r="AF72" s="239">
        <v>-2470555</v>
      </c>
      <c r="AG72" s="239">
        <v>-1521846</v>
      </c>
      <c r="AH72" s="239">
        <v>-1491409</v>
      </c>
      <c r="AI72" s="239">
        <v>0</v>
      </c>
      <c r="AJ72" s="239">
        <v>-30437</v>
      </c>
      <c r="AK72" s="239">
        <v>-3043692</v>
      </c>
      <c r="AL72" s="239">
        <v>499132</v>
      </c>
      <c r="AM72" s="239">
        <v>489149</v>
      </c>
      <c r="AN72" s="239">
        <v>0</v>
      </c>
      <c r="AO72" s="239">
        <v>9983</v>
      </c>
      <c r="AP72" s="239">
        <v>998264</v>
      </c>
      <c r="AQ72" s="239">
        <v>-333089</v>
      </c>
      <c r="AR72" s="239">
        <v>-326427</v>
      </c>
      <c r="AS72" s="239">
        <v>0</v>
      </c>
      <c r="AT72" s="239">
        <v>-6662</v>
      </c>
      <c r="AU72" s="239">
        <v>-666178</v>
      </c>
      <c r="AV72" s="239">
        <v>-1355803</v>
      </c>
      <c r="AW72" s="239">
        <v>-1328687</v>
      </c>
      <c r="AX72" s="239">
        <v>0</v>
      </c>
      <c r="AY72" s="239">
        <v>-27116</v>
      </c>
      <c r="AZ72" s="239">
        <v>-2711606</v>
      </c>
      <c r="BA72" s="239">
        <v>-4310234</v>
      </c>
      <c r="BB72" s="239">
        <v>-4224029</v>
      </c>
      <c r="BC72" s="239">
        <v>0</v>
      </c>
      <c r="BD72" s="239">
        <v>-86204</v>
      </c>
      <c r="BE72" s="239">
        <v>-8620467</v>
      </c>
      <c r="BF72" s="239">
        <v>1067602</v>
      </c>
      <c r="BG72" s="239">
        <v>1046250</v>
      </c>
      <c r="BH72" s="239">
        <v>0</v>
      </c>
      <c r="BI72" s="239">
        <v>21352</v>
      </c>
      <c r="BJ72" s="239">
        <v>2135204</v>
      </c>
      <c r="BK72" s="239">
        <v>-401773</v>
      </c>
      <c r="BL72" s="239">
        <v>-393737</v>
      </c>
      <c r="BM72" s="239">
        <v>0</v>
      </c>
      <c r="BN72" s="239">
        <v>-8035</v>
      </c>
      <c r="BO72" s="239">
        <v>-803545</v>
      </c>
      <c r="BP72" s="239">
        <v>-3644405</v>
      </c>
      <c r="BQ72" s="239">
        <v>-3571516</v>
      </c>
      <c r="BR72" s="239">
        <v>0</v>
      </c>
      <c r="BS72" s="239">
        <v>-72887</v>
      </c>
      <c r="BT72" s="239">
        <v>-7288808</v>
      </c>
      <c r="BU72" s="239">
        <v>-1025938</v>
      </c>
      <c r="BV72" s="239">
        <v>-1005420</v>
      </c>
      <c r="BW72" s="239">
        <v>0</v>
      </c>
      <c r="BX72" s="239">
        <v>-20519</v>
      </c>
      <c r="BY72" s="239">
        <v>-2051877</v>
      </c>
      <c r="BZ72" s="239">
        <v>-362290</v>
      </c>
      <c r="CA72" s="239">
        <v>-355044</v>
      </c>
      <c r="CB72" s="239">
        <v>0</v>
      </c>
      <c r="CC72" s="239">
        <v>-7246</v>
      </c>
      <c r="CD72" s="239">
        <v>-724580</v>
      </c>
      <c r="CE72" s="239">
        <v>-663648</v>
      </c>
      <c r="CF72" s="239">
        <v>-650376</v>
      </c>
      <c r="CG72" s="239">
        <v>0</v>
      </c>
      <c r="CH72" s="239">
        <v>-13273</v>
      </c>
      <c r="CI72" s="239">
        <v>-1327297</v>
      </c>
      <c r="CJ72" s="239">
        <v>59639785</v>
      </c>
      <c r="CK72" s="239">
        <v>58446990</v>
      </c>
      <c r="CL72" s="239">
        <v>0</v>
      </c>
      <c r="CM72" s="239">
        <v>1192796</v>
      </c>
      <c r="CN72" s="239">
        <v>119279571</v>
      </c>
      <c r="CO72" s="239">
        <v>61632588</v>
      </c>
      <c r="CP72" s="239">
        <v>60399936</v>
      </c>
      <c r="CQ72" s="239">
        <v>0</v>
      </c>
      <c r="CR72" s="239">
        <v>1232652</v>
      </c>
      <c r="CS72" s="239">
        <v>123265176</v>
      </c>
      <c r="CT72" s="239">
        <v>1992803</v>
      </c>
      <c r="CU72" s="239">
        <v>1952946</v>
      </c>
      <c r="CV72" s="239">
        <v>0</v>
      </c>
      <c r="CW72" s="239">
        <v>39856</v>
      </c>
      <c r="CX72" s="239">
        <v>3985605</v>
      </c>
      <c r="CY72" s="239">
        <v>1329155</v>
      </c>
      <c r="CZ72" s="239">
        <v>1302570</v>
      </c>
      <c r="DA72" s="239">
        <v>0</v>
      </c>
      <c r="DB72" s="239">
        <v>26583</v>
      </c>
      <c r="DC72" s="239">
        <v>2658308</v>
      </c>
      <c r="DD72" s="641">
        <v>0.5</v>
      </c>
      <c r="DE72" s="641">
        <v>0.49</v>
      </c>
      <c r="DF72" s="641">
        <v>0</v>
      </c>
      <c r="DG72" s="641">
        <v>0.01</v>
      </c>
      <c r="DH72" s="641">
        <v>1</v>
      </c>
      <c r="DI72" s="214" t="s">
        <v>1192</v>
      </c>
    </row>
    <row r="73" spans="1:113" s="214" customFormat="1" x14ac:dyDescent="0.2">
      <c r="B73" s="609" t="s">
        <v>228</v>
      </c>
      <c r="C73" s="609" t="s">
        <v>227</v>
      </c>
      <c r="D73" s="239">
        <v>9222046</v>
      </c>
      <c r="E73" s="239">
        <v>7377637</v>
      </c>
      <c r="F73" s="239">
        <v>1659968</v>
      </c>
      <c r="G73" s="239">
        <v>184441</v>
      </c>
      <c r="H73" s="239">
        <v>18444092</v>
      </c>
      <c r="I73" s="239">
        <v>0</v>
      </c>
      <c r="J73" s="239">
        <v>0</v>
      </c>
      <c r="K73" s="239">
        <v>9222046</v>
      </c>
      <c r="L73" s="239">
        <v>120297</v>
      </c>
      <c r="M73" s="239">
        <v>120297</v>
      </c>
      <c r="N73" s="239">
        <v>0</v>
      </c>
      <c r="O73" s="239">
        <v>0</v>
      </c>
      <c r="P73" s="239">
        <v>0</v>
      </c>
      <c r="Q73" s="239">
        <v>0</v>
      </c>
      <c r="R73" s="239">
        <v>0</v>
      </c>
      <c r="S73" s="239">
        <v>0</v>
      </c>
      <c r="T73" s="239">
        <v>0</v>
      </c>
      <c r="U73" s="239">
        <v>0</v>
      </c>
      <c r="V73" s="239">
        <v>0</v>
      </c>
      <c r="W73" s="239">
        <v>187364</v>
      </c>
      <c r="X73" s="239">
        <v>149892</v>
      </c>
      <c r="Y73" s="239">
        <v>33726</v>
      </c>
      <c r="Z73" s="239">
        <v>3747</v>
      </c>
      <c r="AA73" s="239">
        <v>374729</v>
      </c>
      <c r="AB73" s="239">
        <v>-78691</v>
      </c>
      <c r="AC73" s="239">
        <v>-62953</v>
      </c>
      <c r="AD73" s="239">
        <v>-14164</v>
      </c>
      <c r="AE73" s="239">
        <v>-1574</v>
      </c>
      <c r="AF73" s="239">
        <v>-157382</v>
      </c>
      <c r="AG73" s="239">
        <v>-66848</v>
      </c>
      <c r="AH73" s="239">
        <v>-53480</v>
      </c>
      <c r="AI73" s="239">
        <v>-12034</v>
      </c>
      <c r="AJ73" s="239">
        <v>-1338</v>
      </c>
      <c r="AK73" s="239">
        <v>-133700</v>
      </c>
      <c r="AL73" s="239">
        <v>60187</v>
      </c>
      <c r="AM73" s="239">
        <v>48150</v>
      </c>
      <c r="AN73" s="239">
        <v>10834</v>
      </c>
      <c r="AO73" s="239">
        <v>1204</v>
      </c>
      <c r="AP73" s="239">
        <v>120375</v>
      </c>
      <c r="AQ73" s="239">
        <v>-62713</v>
      </c>
      <c r="AR73" s="239">
        <v>-50170</v>
      </c>
      <c r="AS73" s="239">
        <v>-11288</v>
      </c>
      <c r="AT73" s="239">
        <v>-1254</v>
      </c>
      <c r="AU73" s="239">
        <v>-125425</v>
      </c>
      <c r="AV73" s="239">
        <v>-69374</v>
      </c>
      <c r="AW73" s="239">
        <v>-55500</v>
      </c>
      <c r="AX73" s="239">
        <v>-12488</v>
      </c>
      <c r="AY73" s="239">
        <v>-1388</v>
      </c>
      <c r="AZ73" s="239">
        <v>-138750</v>
      </c>
      <c r="BA73" s="239">
        <v>-1030400</v>
      </c>
      <c r="BB73" s="239">
        <v>-824320</v>
      </c>
      <c r="BC73" s="239">
        <v>-185471</v>
      </c>
      <c r="BD73" s="239">
        <v>-20609</v>
      </c>
      <c r="BE73" s="239">
        <v>-2060800</v>
      </c>
      <c r="BF73" s="239">
        <v>443629</v>
      </c>
      <c r="BG73" s="239">
        <v>354903</v>
      </c>
      <c r="BH73" s="239">
        <v>79853</v>
      </c>
      <c r="BI73" s="239">
        <v>8873</v>
      </c>
      <c r="BJ73" s="239">
        <v>887258</v>
      </c>
      <c r="BK73" s="239">
        <v>-285379</v>
      </c>
      <c r="BL73" s="239">
        <v>-228303</v>
      </c>
      <c r="BM73" s="239">
        <v>-51368</v>
      </c>
      <c r="BN73" s="239">
        <v>-5708</v>
      </c>
      <c r="BO73" s="239">
        <v>-570758</v>
      </c>
      <c r="BP73" s="239">
        <v>-872150</v>
      </c>
      <c r="BQ73" s="239">
        <v>-697720</v>
      </c>
      <c r="BR73" s="239">
        <v>-156986</v>
      </c>
      <c r="BS73" s="239">
        <v>-17444</v>
      </c>
      <c r="BT73" s="239">
        <v>-1744300</v>
      </c>
      <c r="BU73" s="239">
        <v>-1059292</v>
      </c>
      <c r="BV73" s="239">
        <v>-847433</v>
      </c>
      <c r="BW73" s="239">
        <v>-190672</v>
      </c>
      <c r="BX73" s="239">
        <v>-21186</v>
      </c>
      <c r="BY73" s="239">
        <v>-2118583</v>
      </c>
      <c r="BZ73" s="239">
        <v>-454688</v>
      </c>
      <c r="CA73" s="239">
        <v>-363751</v>
      </c>
      <c r="CB73" s="239">
        <v>-81844</v>
      </c>
      <c r="CC73" s="239">
        <v>-9094</v>
      </c>
      <c r="CD73" s="239">
        <v>-909377</v>
      </c>
      <c r="CE73" s="239">
        <v>-604604</v>
      </c>
      <c r="CF73" s="239">
        <v>-483682</v>
      </c>
      <c r="CG73" s="239">
        <v>-108828</v>
      </c>
      <c r="CH73" s="239">
        <v>-12092</v>
      </c>
      <c r="CI73" s="239">
        <v>-1209206</v>
      </c>
      <c r="CJ73" s="239">
        <v>9247069</v>
      </c>
      <c r="CK73" s="239">
        <v>7397654</v>
      </c>
      <c r="CL73" s="239">
        <v>1664472</v>
      </c>
      <c r="CM73" s="239">
        <v>184941</v>
      </c>
      <c r="CN73" s="239">
        <v>18494136</v>
      </c>
      <c r="CO73" s="239">
        <v>9222046</v>
      </c>
      <c r="CP73" s="239">
        <v>7377637</v>
      </c>
      <c r="CQ73" s="239">
        <v>1659968</v>
      </c>
      <c r="CR73" s="239">
        <v>184441</v>
      </c>
      <c r="CS73" s="239">
        <v>18444092</v>
      </c>
      <c r="CT73" s="239">
        <v>-25023</v>
      </c>
      <c r="CU73" s="239">
        <v>-20017</v>
      </c>
      <c r="CV73" s="239">
        <v>-4504</v>
      </c>
      <c r="CW73" s="239">
        <v>-500</v>
      </c>
      <c r="CX73" s="239">
        <v>-50044</v>
      </c>
      <c r="CY73" s="239">
        <v>-629627</v>
      </c>
      <c r="CZ73" s="239">
        <v>-503699</v>
      </c>
      <c r="DA73" s="239">
        <v>-113332</v>
      </c>
      <c r="DB73" s="239">
        <v>-12592</v>
      </c>
      <c r="DC73" s="239">
        <v>-1259250</v>
      </c>
      <c r="DD73" s="641">
        <v>0.5</v>
      </c>
      <c r="DE73" s="641">
        <v>0.4</v>
      </c>
      <c r="DF73" s="641">
        <v>0.09</v>
      </c>
      <c r="DG73" s="641">
        <v>0.01</v>
      </c>
      <c r="DH73" s="641">
        <v>1</v>
      </c>
      <c r="DI73" s="214" t="s">
        <v>1190</v>
      </c>
    </row>
    <row r="74" spans="1:113" s="214" customFormat="1" x14ac:dyDescent="0.2">
      <c r="B74" s="609" t="s">
        <v>230</v>
      </c>
      <c r="C74" s="609" t="s">
        <v>229</v>
      </c>
      <c r="D74" s="239">
        <v>60284751</v>
      </c>
      <c r="E74" s="239">
        <v>48227800</v>
      </c>
      <c r="F74" s="239">
        <v>12056950</v>
      </c>
      <c r="G74" s="239">
        <v>0</v>
      </c>
      <c r="H74" s="239">
        <v>120569501</v>
      </c>
      <c r="I74" s="239">
        <v>0</v>
      </c>
      <c r="J74" s="239">
        <v>0</v>
      </c>
      <c r="K74" s="239">
        <v>60284751</v>
      </c>
      <c r="L74" s="239">
        <v>206882</v>
      </c>
      <c r="M74" s="239">
        <v>206882</v>
      </c>
      <c r="N74" s="239">
        <v>0</v>
      </c>
      <c r="O74" s="239">
        <v>0</v>
      </c>
      <c r="P74" s="239">
        <v>9940</v>
      </c>
      <c r="Q74" s="239">
        <v>0</v>
      </c>
      <c r="R74" s="239">
        <v>9940</v>
      </c>
      <c r="S74" s="239">
        <v>0</v>
      </c>
      <c r="T74" s="239">
        <v>0</v>
      </c>
      <c r="U74" s="239">
        <v>0</v>
      </c>
      <c r="V74" s="239">
        <v>0</v>
      </c>
      <c r="W74" s="239">
        <v>1456253</v>
      </c>
      <c r="X74" s="239">
        <v>1165002</v>
      </c>
      <c r="Y74" s="239">
        <v>291251</v>
      </c>
      <c r="Z74" s="239">
        <v>0</v>
      </c>
      <c r="AA74" s="239">
        <v>2912506</v>
      </c>
      <c r="AB74" s="239">
        <v>-1751842</v>
      </c>
      <c r="AC74" s="239">
        <v>-1401474</v>
      </c>
      <c r="AD74" s="239">
        <v>-350368</v>
      </c>
      <c r="AE74" s="239">
        <v>0</v>
      </c>
      <c r="AF74" s="239">
        <v>-3503684</v>
      </c>
      <c r="AG74" s="239">
        <v>-431232</v>
      </c>
      <c r="AH74" s="239">
        <v>-344985</v>
      </c>
      <c r="AI74" s="239">
        <v>-86246</v>
      </c>
      <c r="AJ74" s="239">
        <v>0</v>
      </c>
      <c r="AK74" s="239">
        <v>-862463</v>
      </c>
      <c r="AL74" s="239">
        <v>179968</v>
      </c>
      <c r="AM74" s="239">
        <v>143975</v>
      </c>
      <c r="AN74" s="239">
        <v>35994</v>
      </c>
      <c r="AO74" s="239">
        <v>0</v>
      </c>
      <c r="AP74" s="239">
        <v>359937</v>
      </c>
      <c r="AQ74" s="239">
        <v>-528327</v>
      </c>
      <c r="AR74" s="239">
        <v>-422662</v>
      </c>
      <c r="AS74" s="239">
        <v>-105665</v>
      </c>
      <c r="AT74" s="239">
        <v>0</v>
      </c>
      <c r="AU74" s="239">
        <v>-1056654</v>
      </c>
      <c r="AV74" s="239">
        <v>-779591</v>
      </c>
      <c r="AW74" s="239">
        <v>-623672</v>
      </c>
      <c r="AX74" s="239">
        <v>-155917</v>
      </c>
      <c r="AY74" s="239">
        <v>0</v>
      </c>
      <c r="AZ74" s="239">
        <v>-1559180</v>
      </c>
      <c r="BA74" s="239">
        <v>-4428928</v>
      </c>
      <c r="BB74" s="239">
        <v>-3543140</v>
      </c>
      <c r="BC74" s="239">
        <v>-885785</v>
      </c>
      <c r="BD74" s="239">
        <v>0</v>
      </c>
      <c r="BE74" s="239">
        <v>-8857853</v>
      </c>
      <c r="BF74" s="239">
        <v>478484</v>
      </c>
      <c r="BG74" s="239">
        <v>382787</v>
      </c>
      <c r="BH74" s="239">
        <v>95697</v>
      </c>
      <c r="BI74" s="239">
        <v>0</v>
      </c>
      <c r="BJ74" s="239">
        <v>956968</v>
      </c>
      <c r="BK74" s="239">
        <v>1260646</v>
      </c>
      <c r="BL74" s="239">
        <v>1008516</v>
      </c>
      <c r="BM74" s="239">
        <v>252129</v>
      </c>
      <c r="BN74" s="239">
        <v>0</v>
      </c>
      <c r="BO74" s="239">
        <v>2521291</v>
      </c>
      <c r="BP74" s="239">
        <v>-2689798</v>
      </c>
      <c r="BQ74" s="239">
        <v>-2151837</v>
      </c>
      <c r="BR74" s="239">
        <v>-537959</v>
      </c>
      <c r="BS74" s="239">
        <v>0</v>
      </c>
      <c r="BT74" s="239">
        <v>-5379594</v>
      </c>
      <c r="BU74" s="239">
        <v>712060</v>
      </c>
      <c r="BV74" s="239">
        <v>569648</v>
      </c>
      <c r="BW74" s="239">
        <v>142412</v>
      </c>
      <c r="BX74" s="239">
        <v>0</v>
      </c>
      <c r="BY74" s="239">
        <v>1424120</v>
      </c>
      <c r="BZ74" s="239">
        <v>2539455</v>
      </c>
      <c r="CA74" s="239">
        <v>2031564</v>
      </c>
      <c r="CB74" s="239">
        <v>507891</v>
      </c>
      <c r="CC74" s="239">
        <v>0</v>
      </c>
      <c r="CD74" s="239">
        <v>5078910</v>
      </c>
      <c r="CE74" s="239">
        <v>-1827395</v>
      </c>
      <c r="CF74" s="239">
        <v>-1461916</v>
      </c>
      <c r="CG74" s="239">
        <v>-365479</v>
      </c>
      <c r="CH74" s="239">
        <v>0</v>
      </c>
      <c r="CI74" s="239">
        <v>-3654790</v>
      </c>
      <c r="CJ74" s="239">
        <v>59752492</v>
      </c>
      <c r="CK74" s="239">
        <v>47801993</v>
      </c>
      <c r="CL74" s="239">
        <v>11950498</v>
      </c>
      <c r="CM74" s="239">
        <v>0</v>
      </c>
      <c r="CN74" s="239">
        <v>119504983</v>
      </c>
      <c r="CO74" s="239">
        <v>60284751</v>
      </c>
      <c r="CP74" s="239">
        <v>48227800</v>
      </c>
      <c r="CQ74" s="239">
        <v>12056950</v>
      </c>
      <c r="CR74" s="239">
        <v>0</v>
      </c>
      <c r="CS74" s="239">
        <v>120569501</v>
      </c>
      <c r="CT74" s="239">
        <v>532259</v>
      </c>
      <c r="CU74" s="239">
        <v>425807</v>
      </c>
      <c r="CV74" s="239">
        <v>106452</v>
      </c>
      <c r="CW74" s="239">
        <v>0</v>
      </c>
      <c r="CX74" s="239">
        <v>1064518</v>
      </c>
      <c r="CY74" s="239">
        <v>-1295136</v>
      </c>
      <c r="CZ74" s="239">
        <v>-1036109</v>
      </c>
      <c r="DA74" s="239">
        <v>-259027</v>
      </c>
      <c r="DB74" s="239">
        <v>0</v>
      </c>
      <c r="DC74" s="239">
        <v>-2590272</v>
      </c>
      <c r="DD74" s="641">
        <v>0.5</v>
      </c>
      <c r="DE74" s="641">
        <v>0.4</v>
      </c>
      <c r="DF74" s="641">
        <v>0.1</v>
      </c>
      <c r="DG74" s="641">
        <v>0</v>
      </c>
      <c r="DH74" s="641">
        <v>1</v>
      </c>
      <c r="DI74" s="214" t="s">
        <v>1190</v>
      </c>
    </row>
    <row r="75" spans="1:113" s="214" customFormat="1" x14ac:dyDescent="0.2">
      <c r="A75" s="215" t="s">
        <v>1211</v>
      </c>
      <c r="B75" s="609" t="s">
        <v>232</v>
      </c>
      <c r="C75" s="609" t="s">
        <v>231</v>
      </c>
      <c r="D75" s="239">
        <v>61852427</v>
      </c>
      <c r="E75" s="239">
        <v>37111457</v>
      </c>
      <c r="F75" s="239">
        <v>24740971</v>
      </c>
      <c r="G75" s="239">
        <v>0</v>
      </c>
      <c r="H75" s="239">
        <v>123704855</v>
      </c>
      <c r="I75" s="239">
        <v>1543.5051652892562</v>
      </c>
      <c r="J75" s="239">
        <v>1543.5051652892562</v>
      </c>
      <c r="K75" s="239">
        <v>61850883.494834714</v>
      </c>
      <c r="L75" s="239">
        <v>426913</v>
      </c>
      <c r="M75" s="239">
        <v>426913</v>
      </c>
      <c r="N75" s="239">
        <v>0</v>
      </c>
      <c r="O75" s="239">
        <v>0</v>
      </c>
      <c r="P75" s="239">
        <v>0</v>
      </c>
      <c r="Q75" s="239">
        <v>0</v>
      </c>
      <c r="R75" s="239">
        <v>0</v>
      </c>
      <c r="S75" s="239">
        <v>926.10309917355369</v>
      </c>
      <c r="T75" s="239">
        <v>617.4020661157025</v>
      </c>
      <c r="U75" s="239">
        <v>0</v>
      </c>
      <c r="V75" s="239">
        <v>1543.5051652892562</v>
      </c>
      <c r="W75" s="239">
        <v>5755321</v>
      </c>
      <c r="X75" s="239">
        <v>3453193</v>
      </c>
      <c r="Y75" s="239">
        <v>2302128</v>
      </c>
      <c r="Z75" s="239">
        <v>0</v>
      </c>
      <c r="AA75" s="239">
        <v>11510642</v>
      </c>
      <c r="AB75" s="239">
        <v>-2226327</v>
      </c>
      <c r="AC75" s="239">
        <v>-1335797</v>
      </c>
      <c r="AD75" s="239">
        <v>-890531</v>
      </c>
      <c r="AE75" s="239">
        <v>0</v>
      </c>
      <c r="AF75" s="239">
        <v>-4452655</v>
      </c>
      <c r="AG75" s="239">
        <v>-5342133</v>
      </c>
      <c r="AH75" s="239">
        <v>-3205281</v>
      </c>
      <c r="AI75" s="239">
        <v>-2136854</v>
      </c>
      <c r="AJ75" s="239">
        <v>0</v>
      </c>
      <c r="AK75" s="239">
        <v>-10684268</v>
      </c>
      <c r="AL75" s="239">
        <v>1062629</v>
      </c>
      <c r="AM75" s="239">
        <v>637577</v>
      </c>
      <c r="AN75" s="239">
        <v>425052</v>
      </c>
      <c r="AO75" s="239">
        <v>0</v>
      </c>
      <c r="AP75" s="239">
        <v>2125258</v>
      </c>
      <c r="AQ75" s="239">
        <v>-1328267</v>
      </c>
      <c r="AR75" s="239">
        <v>-796960</v>
      </c>
      <c r="AS75" s="239">
        <v>-531307</v>
      </c>
      <c r="AT75" s="239">
        <v>0</v>
      </c>
      <c r="AU75" s="239">
        <v>-2656534</v>
      </c>
      <c r="AV75" s="239">
        <v>-5607771</v>
      </c>
      <c r="AW75" s="239">
        <v>-3364664</v>
      </c>
      <c r="AX75" s="239">
        <v>-2243109</v>
      </c>
      <c r="AY75" s="239">
        <v>0</v>
      </c>
      <c r="AZ75" s="239">
        <v>-11215544</v>
      </c>
      <c r="BA75" s="239">
        <v>-13250000</v>
      </c>
      <c r="BB75" s="239">
        <v>-7950000</v>
      </c>
      <c r="BC75" s="239">
        <v>-5300000</v>
      </c>
      <c r="BD75" s="239">
        <v>0</v>
      </c>
      <c r="BE75" s="239">
        <v>-26500000</v>
      </c>
      <c r="BF75" s="239">
        <v>2679194</v>
      </c>
      <c r="BG75" s="239">
        <v>1607516</v>
      </c>
      <c r="BH75" s="239">
        <v>1071678</v>
      </c>
      <c r="BI75" s="239">
        <v>0</v>
      </c>
      <c r="BJ75" s="239">
        <v>5358388</v>
      </c>
      <c r="BK75" s="239">
        <v>4820806</v>
      </c>
      <c r="BL75" s="239">
        <v>2892484</v>
      </c>
      <c r="BM75" s="239">
        <v>1928322</v>
      </c>
      <c r="BN75" s="239">
        <v>0</v>
      </c>
      <c r="BO75" s="239">
        <v>9641612</v>
      </c>
      <c r="BP75" s="239">
        <v>-5750000</v>
      </c>
      <c r="BQ75" s="239">
        <v>-3450000</v>
      </c>
      <c r="BR75" s="239">
        <v>-2300000</v>
      </c>
      <c r="BS75" s="239">
        <v>0</v>
      </c>
      <c r="BT75" s="239">
        <v>-11500000</v>
      </c>
      <c r="BU75" s="239">
        <v>-13497850</v>
      </c>
      <c r="BV75" s="239">
        <v>-8098710</v>
      </c>
      <c r="BW75" s="239">
        <v>-5399140</v>
      </c>
      <c r="BX75" s="239">
        <v>0</v>
      </c>
      <c r="BY75" s="239">
        <v>-26995700</v>
      </c>
      <c r="BZ75" s="239">
        <v>-8707792</v>
      </c>
      <c r="CA75" s="239">
        <v>-5224676</v>
      </c>
      <c r="CB75" s="239">
        <v>-3483117</v>
      </c>
      <c r="CC75" s="239">
        <v>0</v>
      </c>
      <c r="CD75" s="239">
        <v>-17415585</v>
      </c>
      <c r="CE75" s="239">
        <v>-4790058</v>
      </c>
      <c r="CF75" s="239">
        <v>-2874034</v>
      </c>
      <c r="CG75" s="239">
        <v>-1916023</v>
      </c>
      <c r="CH75" s="239">
        <v>0</v>
      </c>
      <c r="CI75" s="239">
        <v>-9580115</v>
      </c>
      <c r="CJ75" s="239">
        <v>54553293</v>
      </c>
      <c r="CK75" s="239">
        <v>32731976</v>
      </c>
      <c r="CL75" s="239">
        <v>21821317</v>
      </c>
      <c r="CM75" s="239">
        <v>0</v>
      </c>
      <c r="CN75" s="239">
        <v>109106586</v>
      </c>
      <c r="CO75" s="239">
        <v>61852427</v>
      </c>
      <c r="CP75" s="239">
        <v>37111457</v>
      </c>
      <c r="CQ75" s="239">
        <v>24740971</v>
      </c>
      <c r="CR75" s="239">
        <v>0</v>
      </c>
      <c r="CS75" s="239">
        <v>123704855</v>
      </c>
      <c r="CT75" s="239">
        <v>7299134</v>
      </c>
      <c r="CU75" s="239">
        <v>4379481</v>
      </c>
      <c r="CV75" s="239">
        <v>2919654</v>
      </c>
      <c r="CW75" s="239">
        <v>0</v>
      </c>
      <c r="CX75" s="239">
        <v>14598269</v>
      </c>
      <c r="CY75" s="239">
        <v>2509076</v>
      </c>
      <c r="CZ75" s="239">
        <v>1505447</v>
      </c>
      <c r="DA75" s="239">
        <v>1003631</v>
      </c>
      <c r="DB75" s="239">
        <v>0</v>
      </c>
      <c r="DC75" s="239">
        <v>5018154</v>
      </c>
      <c r="DD75" s="641">
        <v>0.5</v>
      </c>
      <c r="DE75" s="641">
        <v>0.3</v>
      </c>
      <c r="DF75" s="641">
        <v>0.2</v>
      </c>
      <c r="DG75" s="641">
        <v>0</v>
      </c>
      <c r="DH75" s="641">
        <v>1</v>
      </c>
      <c r="DI75" s="214" t="s">
        <v>1191</v>
      </c>
    </row>
    <row r="76" spans="1:113" s="214" customFormat="1" x14ac:dyDescent="0.2">
      <c r="B76" s="609" t="s">
        <v>234</v>
      </c>
      <c r="C76" s="609" t="s">
        <v>233</v>
      </c>
      <c r="D76" s="239">
        <v>31098139</v>
      </c>
      <c r="E76" s="239">
        <v>24878512</v>
      </c>
      <c r="F76" s="239">
        <v>6219628</v>
      </c>
      <c r="G76" s="239">
        <v>0</v>
      </c>
      <c r="H76" s="239">
        <v>62196279</v>
      </c>
      <c r="I76" s="239">
        <v>0</v>
      </c>
      <c r="J76" s="239">
        <v>0</v>
      </c>
      <c r="K76" s="239">
        <v>31098139</v>
      </c>
      <c r="L76" s="239">
        <v>217273</v>
      </c>
      <c r="M76" s="239">
        <v>217273</v>
      </c>
      <c r="N76" s="239">
        <v>0</v>
      </c>
      <c r="O76" s="239">
        <v>0</v>
      </c>
      <c r="P76" s="239">
        <v>0</v>
      </c>
      <c r="Q76" s="239">
        <v>0</v>
      </c>
      <c r="R76" s="239">
        <v>0</v>
      </c>
      <c r="S76" s="239">
        <v>0</v>
      </c>
      <c r="T76" s="239">
        <v>0</v>
      </c>
      <c r="U76" s="239">
        <v>0</v>
      </c>
      <c r="V76" s="239">
        <v>0</v>
      </c>
      <c r="W76" s="239">
        <v>1347007</v>
      </c>
      <c r="X76" s="239">
        <v>1077606</v>
      </c>
      <c r="Y76" s="239">
        <v>269401</v>
      </c>
      <c r="Z76" s="239">
        <v>0</v>
      </c>
      <c r="AA76" s="239">
        <v>2694014</v>
      </c>
      <c r="AB76" s="239">
        <v>-781220</v>
      </c>
      <c r="AC76" s="239">
        <v>-624976</v>
      </c>
      <c r="AD76" s="239">
        <v>-156244</v>
      </c>
      <c r="AE76" s="239">
        <v>0</v>
      </c>
      <c r="AF76" s="239">
        <v>-1562440</v>
      </c>
      <c r="AG76" s="239">
        <v>-305352</v>
      </c>
      <c r="AH76" s="239">
        <v>-244282</v>
      </c>
      <c r="AI76" s="239">
        <v>-61071</v>
      </c>
      <c r="AJ76" s="239">
        <v>0</v>
      </c>
      <c r="AK76" s="239">
        <v>-610705</v>
      </c>
      <c r="AL76" s="239">
        <v>230946</v>
      </c>
      <c r="AM76" s="239">
        <v>184756</v>
      </c>
      <c r="AN76" s="239">
        <v>46189</v>
      </c>
      <c r="AO76" s="239">
        <v>0</v>
      </c>
      <c r="AP76" s="239">
        <v>461891</v>
      </c>
      <c r="AQ76" s="239">
        <v>-289103</v>
      </c>
      <c r="AR76" s="239">
        <v>-231282</v>
      </c>
      <c r="AS76" s="239">
        <v>-57821</v>
      </c>
      <c r="AT76" s="239">
        <v>0</v>
      </c>
      <c r="AU76" s="239">
        <v>-578206</v>
      </c>
      <c r="AV76" s="239">
        <v>-363509</v>
      </c>
      <c r="AW76" s="239">
        <v>-290808</v>
      </c>
      <c r="AX76" s="239">
        <v>-72703</v>
      </c>
      <c r="AY76" s="239">
        <v>0</v>
      </c>
      <c r="AZ76" s="239">
        <v>-727020</v>
      </c>
      <c r="BA76" s="239">
        <v>-4862008.5999999996</v>
      </c>
      <c r="BB76" s="239">
        <v>-3889605</v>
      </c>
      <c r="BC76" s="239">
        <v>-972401</v>
      </c>
      <c r="BD76" s="239">
        <v>0</v>
      </c>
      <c r="BE76" s="239">
        <v>-9724014</v>
      </c>
      <c r="BF76" s="239">
        <v>322183</v>
      </c>
      <c r="BG76" s="239">
        <v>257746</v>
      </c>
      <c r="BH76" s="239">
        <v>64437</v>
      </c>
      <c r="BI76" s="239">
        <v>0</v>
      </c>
      <c r="BJ76" s="239">
        <v>644366</v>
      </c>
      <c r="BK76" s="239">
        <v>-11333</v>
      </c>
      <c r="BL76" s="239">
        <v>-9067</v>
      </c>
      <c r="BM76" s="239">
        <v>-2267</v>
      </c>
      <c r="BN76" s="239">
        <v>0</v>
      </c>
      <c r="BO76" s="239">
        <v>-22667</v>
      </c>
      <c r="BP76" s="239">
        <v>-4551158.5999999996</v>
      </c>
      <c r="BQ76" s="239">
        <v>-3640926</v>
      </c>
      <c r="BR76" s="239">
        <v>-910231</v>
      </c>
      <c r="BS76" s="239">
        <v>0</v>
      </c>
      <c r="BT76" s="239">
        <v>-9102315</v>
      </c>
      <c r="BU76" s="239">
        <v>-2268408</v>
      </c>
      <c r="BV76" s="239">
        <v>-1814727</v>
      </c>
      <c r="BW76" s="239">
        <v>-453682</v>
      </c>
      <c r="BX76" s="239">
        <v>0</v>
      </c>
      <c r="BY76" s="239">
        <v>-4536817</v>
      </c>
      <c r="BZ76" s="239">
        <v>-1105669</v>
      </c>
      <c r="CA76" s="239">
        <v>-884536</v>
      </c>
      <c r="CB76" s="239">
        <v>-221134</v>
      </c>
      <c r="CC76" s="239">
        <v>0</v>
      </c>
      <c r="CD76" s="239">
        <v>-2211339</v>
      </c>
      <c r="CE76" s="239">
        <v>-1162739</v>
      </c>
      <c r="CF76" s="239">
        <v>-930191</v>
      </c>
      <c r="CG76" s="239">
        <v>-232548</v>
      </c>
      <c r="CH76" s="239">
        <v>0</v>
      </c>
      <c r="CI76" s="239">
        <v>-2325478</v>
      </c>
      <c r="CJ76" s="239">
        <v>30761724</v>
      </c>
      <c r="CK76" s="239">
        <v>24609380</v>
      </c>
      <c r="CL76" s="239">
        <v>6152345</v>
      </c>
      <c r="CM76" s="239">
        <v>0</v>
      </c>
      <c r="CN76" s="239">
        <v>61523449</v>
      </c>
      <c r="CO76" s="239">
        <v>31098139</v>
      </c>
      <c r="CP76" s="239">
        <v>24878512</v>
      </c>
      <c r="CQ76" s="239">
        <v>6219628</v>
      </c>
      <c r="CR76" s="239">
        <v>0</v>
      </c>
      <c r="CS76" s="239">
        <v>62196279</v>
      </c>
      <c r="CT76" s="239">
        <v>336415</v>
      </c>
      <c r="CU76" s="239">
        <v>269132</v>
      </c>
      <c r="CV76" s="239">
        <v>67283</v>
      </c>
      <c r="CW76" s="239">
        <v>0</v>
      </c>
      <c r="CX76" s="239">
        <v>672830</v>
      </c>
      <c r="CY76" s="239">
        <v>-826324</v>
      </c>
      <c r="CZ76" s="239">
        <v>-661059</v>
      </c>
      <c r="DA76" s="239">
        <v>-165265</v>
      </c>
      <c r="DB76" s="239">
        <v>0</v>
      </c>
      <c r="DC76" s="239">
        <v>-1652648</v>
      </c>
      <c r="DD76" s="641">
        <v>0.5</v>
      </c>
      <c r="DE76" s="641">
        <v>0.4</v>
      </c>
      <c r="DF76" s="641">
        <v>0.1</v>
      </c>
      <c r="DG76" s="641">
        <v>0</v>
      </c>
      <c r="DH76" s="641">
        <v>1</v>
      </c>
      <c r="DI76" s="214" t="s">
        <v>1190</v>
      </c>
    </row>
    <row r="77" spans="1:113" s="214" customFormat="1" x14ac:dyDescent="0.2">
      <c r="B77" s="609" t="s">
        <v>236</v>
      </c>
      <c r="C77" s="609" t="s">
        <v>235</v>
      </c>
      <c r="D77" s="239">
        <v>16773176</v>
      </c>
      <c r="E77" s="239">
        <v>16437713</v>
      </c>
      <c r="F77" s="239">
        <v>0</v>
      </c>
      <c r="G77" s="239">
        <v>335464</v>
      </c>
      <c r="H77" s="239">
        <v>33546353</v>
      </c>
      <c r="I77" s="239">
        <v>14504.789256198348</v>
      </c>
      <c r="J77" s="239">
        <v>14504.789256198348</v>
      </c>
      <c r="K77" s="239">
        <v>16758671.210743802</v>
      </c>
      <c r="L77" s="239">
        <v>147463</v>
      </c>
      <c r="M77" s="239">
        <v>147463</v>
      </c>
      <c r="N77" s="239">
        <v>192983</v>
      </c>
      <c r="O77" s="239">
        <v>192983</v>
      </c>
      <c r="P77" s="239">
        <v>0</v>
      </c>
      <c r="Q77" s="239">
        <v>0</v>
      </c>
      <c r="R77" s="239">
        <v>0</v>
      </c>
      <c r="S77" s="239">
        <v>14504.789256198348</v>
      </c>
      <c r="T77" s="239">
        <v>0</v>
      </c>
      <c r="U77" s="239">
        <v>0</v>
      </c>
      <c r="V77" s="239">
        <v>14504.789256198348</v>
      </c>
      <c r="W77" s="239">
        <v>724189</v>
      </c>
      <c r="X77" s="239">
        <v>709705</v>
      </c>
      <c r="Y77" s="239">
        <v>0</v>
      </c>
      <c r="Z77" s="239">
        <v>14484</v>
      </c>
      <c r="AA77" s="239">
        <v>1448378</v>
      </c>
      <c r="AB77" s="239">
        <v>-233816</v>
      </c>
      <c r="AC77" s="239">
        <v>-229139</v>
      </c>
      <c r="AD77" s="239">
        <v>0</v>
      </c>
      <c r="AE77" s="239">
        <v>-4676</v>
      </c>
      <c r="AF77" s="239">
        <v>-467631</v>
      </c>
      <c r="AG77" s="239">
        <v>-176578</v>
      </c>
      <c r="AH77" s="239">
        <v>-173046</v>
      </c>
      <c r="AI77" s="239">
        <v>0</v>
      </c>
      <c r="AJ77" s="239">
        <v>-3532</v>
      </c>
      <c r="AK77" s="239">
        <v>-353156</v>
      </c>
      <c r="AL77" s="239">
        <v>186858</v>
      </c>
      <c r="AM77" s="239">
        <v>183121</v>
      </c>
      <c r="AN77" s="239">
        <v>0</v>
      </c>
      <c r="AO77" s="239">
        <v>3737</v>
      </c>
      <c r="AP77" s="239">
        <v>373716</v>
      </c>
      <c r="AQ77" s="239">
        <v>-191500</v>
      </c>
      <c r="AR77" s="239">
        <v>-187670</v>
      </c>
      <c r="AS77" s="239">
        <v>0</v>
      </c>
      <c r="AT77" s="239">
        <v>-3830</v>
      </c>
      <c r="AU77" s="239">
        <v>-383000</v>
      </c>
      <c r="AV77" s="239">
        <v>-181220</v>
      </c>
      <c r="AW77" s="239">
        <v>-177595</v>
      </c>
      <c r="AX77" s="239">
        <v>0</v>
      </c>
      <c r="AY77" s="239">
        <v>-3625</v>
      </c>
      <c r="AZ77" s="239">
        <v>-362440</v>
      </c>
      <c r="BA77" s="239">
        <v>-371463</v>
      </c>
      <c r="BB77" s="239">
        <v>-364033</v>
      </c>
      <c r="BC77" s="239">
        <v>0</v>
      </c>
      <c r="BD77" s="239">
        <v>-7430</v>
      </c>
      <c r="BE77" s="239">
        <v>-742926</v>
      </c>
      <c r="BF77" s="239">
        <v>203769</v>
      </c>
      <c r="BG77" s="239">
        <v>199694</v>
      </c>
      <c r="BH77" s="239">
        <v>0</v>
      </c>
      <c r="BI77" s="239">
        <v>4075</v>
      </c>
      <c r="BJ77" s="239">
        <v>407538</v>
      </c>
      <c r="BK77" s="239">
        <v>-362195</v>
      </c>
      <c r="BL77" s="239">
        <v>-354951</v>
      </c>
      <c r="BM77" s="239">
        <v>0</v>
      </c>
      <c r="BN77" s="239">
        <v>-7244</v>
      </c>
      <c r="BO77" s="239">
        <v>-724390</v>
      </c>
      <c r="BP77" s="239">
        <v>-529889</v>
      </c>
      <c r="BQ77" s="239">
        <v>-519290</v>
      </c>
      <c r="BR77" s="239">
        <v>0</v>
      </c>
      <c r="BS77" s="239">
        <v>-10599</v>
      </c>
      <c r="BT77" s="239">
        <v>-1059778</v>
      </c>
      <c r="BU77" s="239">
        <v>-1546125</v>
      </c>
      <c r="BV77" s="239">
        <v>-1515202</v>
      </c>
      <c r="BW77" s="239">
        <v>0</v>
      </c>
      <c r="BX77" s="239">
        <v>-30922</v>
      </c>
      <c r="BY77" s="239">
        <v>-3092249</v>
      </c>
      <c r="BZ77" s="239">
        <v>-1265875</v>
      </c>
      <c r="CA77" s="239">
        <v>-1240557</v>
      </c>
      <c r="CB77" s="239">
        <v>0</v>
      </c>
      <c r="CC77" s="239">
        <v>-25317</v>
      </c>
      <c r="CD77" s="239">
        <v>-2531749</v>
      </c>
      <c r="CE77" s="239">
        <v>-280250</v>
      </c>
      <c r="CF77" s="239">
        <v>-274645</v>
      </c>
      <c r="CG77" s="239">
        <v>0</v>
      </c>
      <c r="CH77" s="239">
        <v>-5605</v>
      </c>
      <c r="CI77" s="239">
        <v>-560500</v>
      </c>
      <c r="CJ77" s="239">
        <v>17734367</v>
      </c>
      <c r="CK77" s="239">
        <v>17379679</v>
      </c>
      <c r="CL77" s="239">
        <v>0</v>
      </c>
      <c r="CM77" s="239">
        <v>354687</v>
      </c>
      <c r="CN77" s="239">
        <v>35468733</v>
      </c>
      <c r="CO77" s="239">
        <v>16773176</v>
      </c>
      <c r="CP77" s="239">
        <v>16437713</v>
      </c>
      <c r="CQ77" s="239">
        <v>0</v>
      </c>
      <c r="CR77" s="239">
        <v>335464</v>
      </c>
      <c r="CS77" s="239">
        <v>33546353</v>
      </c>
      <c r="CT77" s="239">
        <v>-961191</v>
      </c>
      <c r="CU77" s="239">
        <v>-941966</v>
      </c>
      <c r="CV77" s="239">
        <v>0</v>
      </c>
      <c r="CW77" s="239">
        <v>-19223</v>
      </c>
      <c r="CX77" s="239">
        <v>-1922380</v>
      </c>
      <c r="CY77" s="239">
        <v>-1241441</v>
      </c>
      <c r="CZ77" s="239">
        <v>-1216611</v>
      </c>
      <c r="DA77" s="239">
        <v>0</v>
      </c>
      <c r="DB77" s="239">
        <v>-24828</v>
      </c>
      <c r="DC77" s="239">
        <v>-2482880</v>
      </c>
      <c r="DD77" s="641">
        <v>0.5</v>
      </c>
      <c r="DE77" s="641">
        <v>0.49</v>
      </c>
      <c r="DF77" s="641">
        <v>0</v>
      </c>
      <c r="DG77" s="641">
        <v>0.01</v>
      </c>
      <c r="DH77" s="641">
        <v>1</v>
      </c>
      <c r="DI77" s="214" t="s">
        <v>747</v>
      </c>
    </row>
    <row r="78" spans="1:113" s="214" customFormat="1" x14ac:dyDescent="0.2">
      <c r="B78" s="609" t="s">
        <v>238</v>
      </c>
      <c r="C78" s="609" t="s">
        <v>237</v>
      </c>
      <c r="D78" s="239">
        <v>44175954</v>
      </c>
      <c r="E78" s="239">
        <v>35340764</v>
      </c>
      <c r="F78" s="239">
        <v>7951672</v>
      </c>
      <c r="G78" s="239">
        <v>883519</v>
      </c>
      <c r="H78" s="239">
        <v>88351909</v>
      </c>
      <c r="I78" s="239">
        <v>0</v>
      </c>
      <c r="J78" s="239">
        <v>0</v>
      </c>
      <c r="K78" s="239">
        <v>44175954</v>
      </c>
      <c r="L78" s="239">
        <v>175625</v>
      </c>
      <c r="M78" s="239">
        <v>175625</v>
      </c>
      <c r="N78" s="239">
        <v>0</v>
      </c>
      <c r="O78" s="239">
        <v>0</v>
      </c>
      <c r="P78" s="239">
        <v>0</v>
      </c>
      <c r="Q78" s="239">
        <v>0</v>
      </c>
      <c r="R78" s="239">
        <v>0</v>
      </c>
      <c r="S78" s="239">
        <v>0</v>
      </c>
      <c r="T78" s="239">
        <v>0</v>
      </c>
      <c r="U78" s="239">
        <v>0</v>
      </c>
      <c r="V78" s="239">
        <v>0</v>
      </c>
      <c r="W78" s="239">
        <v>600399</v>
      </c>
      <c r="X78" s="239">
        <v>480319</v>
      </c>
      <c r="Y78" s="239">
        <v>108072</v>
      </c>
      <c r="Z78" s="239">
        <v>12008</v>
      </c>
      <c r="AA78" s="239">
        <v>1200798</v>
      </c>
      <c r="AB78" s="239">
        <v>-1631363</v>
      </c>
      <c r="AC78" s="239">
        <v>-1305090</v>
      </c>
      <c r="AD78" s="239">
        <v>-293645</v>
      </c>
      <c r="AE78" s="239">
        <v>-32627</v>
      </c>
      <c r="AF78" s="239">
        <v>-3262725</v>
      </c>
      <c r="AG78" s="239">
        <v>-679182</v>
      </c>
      <c r="AH78" s="239">
        <v>-543348</v>
      </c>
      <c r="AI78" s="239">
        <v>-122254</v>
      </c>
      <c r="AJ78" s="239">
        <v>-13584</v>
      </c>
      <c r="AK78" s="239">
        <v>-1358368</v>
      </c>
      <c r="AL78" s="239">
        <v>117873</v>
      </c>
      <c r="AM78" s="239">
        <v>94298</v>
      </c>
      <c r="AN78" s="239">
        <v>21217</v>
      </c>
      <c r="AO78" s="239">
        <v>2357</v>
      </c>
      <c r="AP78" s="239">
        <v>235745</v>
      </c>
      <c r="AQ78" s="239">
        <v>-110576</v>
      </c>
      <c r="AR78" s="239">
        <v>-88462</v>
      </c>
      <c r="AS78" s="239">
        <v>-19904</v>
      </c>
      <c r="AT78" s="239">
        <v>-2212</v>
      </c>
      <c r="AU78" s="239">
        <v>-221154</v>
      </c>
      <c r="AV78" s="239">
        <v>-671885</v>
      </c>
      <c r="AW78" s="239">
        <v>-537512</v>
      </c>
      <c r="AX78" s="239">
        <v>-120941</v>
      </c>
      <c r="AY78" s="239">
        <v>-13439</v>
      </c>
      <c r="AZ78" s="239">
        <v>-1343777</v>
      </c>
      <c r="BA78" s="239">
        <v>-6056922</v>
      </c>
      <c r="BB78" s="239">
        <v>-4845537</v>
      </c>
      <c r="BC78" s="239">
        <v>-1090246</v>
      </c>
      <c r="BD78" s="239">
        <v>-121138</v>
      </c>
      <c r="BE78" s="239">
        <v>-12113843</v>
      </c>
      <c r="BF78" s="239">
        <v>901336</v>
      </c>
      <c r="BG78" s="239">
        <v>721070</v>
      </c>
      <c r="BH78" s="239">
        <v>162241</v>
      </c>
      <c r="BI78" s="239">
        <v>18027</v>
      </c>
      <c r="BJ78" s="239">
        <v>1802674</v>
      </c>
      <c r="BK78" s="239">
        <v>-1031288</v>
      </c>
      <c r="BL78" s="239">
        <v>-825031</v>
      </c>
      <c r="BM78" s="239">
        <v>-185632</v>
      </c>
      <c r="BN78" s="239">
        <v>-20626</v>
      </c>
      <c r="BO78" s="239">
        <v>-2062577</v>
      </c>
      <c r="BP78" s="239">
        <v>-6186874</v>
      </c>
      <c r="BQ78" s="239">
        <v>-4949498</v>
      </c>
      <c r="BR78" s="239">
        <v>-1113637</v>
      </c>
      <c r="BS78" s="239">
        <v>-123737</v>
      </c>
      <c r="BT78" s="239">
        <v>-12373746</v>
      </c>
      <c r="BU78" s="239">
        <v>-1425871</v>
      </c>
      <c r="BV78" s="239">
        <v>-1140696</v>
      </c>
      <c r="BW78" s="239">
        <v>-256657</v>
      </c>
      <c r="BX78" s="239">
        <v>-28517</v>
      </c>
      <c r="BY78" s="239">
        <v>-2851741</v>
      </c>
      <c r="BZ78" s="239">
        <v>-1562654</v>
      </c>
      <c r="CA78" s="239">
        <v>-1250123</v>
      </c>
      <c r="CB78" s="239">
        <v>-281278</v>
      </c>
      <c r="CC78" s="239">
        <v>-31253</v>
      </c>
      <c r="CD78" s="239">
        <v>-3125308</v>
      </c>
      <c r="CE78" s="239">
        <v>136783</v>
      </c>
      <c r="CF78" s="239">
        <v>109427</v>
      </c>
      <c r="CG78" s="239">
        <v>24621</v>
      </c>
      <c r="CH78" s="239">
        <v>2736</v>
      </c>
      <c r="CI78" s="239">
        <v>273567</v>
      </c>
      <c r="CJ78" s="239">
        <v>43342595</v>
      </c>
      <c r="CK78" s="239">
        <v>34674076</v>
      </c>
      <c r="CL78" s="239">
        <v>7801667</v>
      </c>
      <c r="CM78" s="239">
        <v>866852</v>
      </c>
      <c r="CN78" s="239">
        <v>86685190</v>
      </c>
      <c r="CO78" s="239">
        <v>44175954</v>
      </c>
      <c r="CP78" s="239">
        <v>35340764</v>
      </c>
      <c r="CQ78" s="239">
        <v>7951672</v>
      </c>
      <c r="CR78" s="239">
        <v>883519</v>
      </c>
      <c r="CS78" s="239">
        <v>88351909</v>
      </c>
      <c r="CT78" s="239">
        <v>833359</v>
      </c>
      <c r="CU78" s="239">
        <v>666688</v>
      </c>
      <c r="CV78" s="239">
        <v>150005</v>
      </c>
      <c r="CW78" s="239">
        <v>16667</v>
      </c>
      <c r="CX78" s="239">
        <v>1666719</v>
      </c>
      <c r="CY78" s="239">
        <v>970142</v>
      </c>
      <c r="CZ78" s="239">
        <v>776115</v>
      </c>
      <c r="DA78" s="239">
        <v>174626</v>
      </c>
      <c r="DB78" s="239">
        <v>19403</v>
      </c>
      <c r="DC78" s="239">
        <v>1940286</v>
      </c>
      <c r="DD78" s="641">
        <v>0.5</v>
      </c>
      <c r="DE78" s="641">
        <v>0.4</v>
      </c>
      <c r="DF78" s="641">
        <v>0.09</v>
      </c>
      <c r="DG78" s="641">
        <v>0.01</v>
      </c>
      <c r="DH78" s="641">
        <v>1</v>
      </c>
      <c r="DI78" s="214" t="s">
        <v>1190</v>
      </c>
    </row>
    <row r="79" spans="1:113" s="214" customFormat="1" x14ac:dyDescent="0.2">
      <c r="B79" s="609" t="s">
        <v>240</v>
      </c>
      <c r="C79" s="609" t="s">
        <v>239</v>
      </c>
      <c r="D79" s="239">
        <v>23114551</v>
      </c>
      <c r="E79" s="239">
        <v>18491641</v>
      </c>
      <c r="F79" s="239">
        <v>4622910</v>
      </c>
      <c r="G79" s="239">
        <v>0</v>
      </c>
      <c r="H79" s="239">
        <v>46229102</v>
      </c>
      <c r="I79" s="239">
        <v>0</v>
      </c>
      <c r="J79" s="239">
        <v>0</v>
      </c>
      <c r="K79" s="239">
        <v>23114551</v>
      </c>
      <c r="L79" s="239">
        <v>118572</v>
      </c>
      <c r="M79" s="239">
        <v>118572</v>
      </c>
      <c r="N79" s="239">
        <v>0</v>
      </c>
      <c r="O79" s="239">
        <v>0</v>
      </c>
      <c r="P79" s="239">
        <v>782823</v>
      </c>
      <c r="Q79" s="239">
        <v>0</v>
      </c>
      <c r="R79" s="239">
        <v>782823</v>
      </c>
      <c r="S79" s="239">
        <v>0</v>
      </c>
      <c r="T79" s="239">
        <v>0</v>
      </c>
      <c r="U79" s="239">
        <v>0</v>
      </c>
      <c r="V79" s="239">
        <v>0</v>
      </c>
      <c r="W79" s="239">
        <v>183199</v>
      </c>
      <c r="X79" s="239">
        <v>146559</v>
      </c>
      <c r="Y79" s="239">
        <v>36640</v>
      </c>
      <c r="Z79" s="239">
        <v>0</v>
      </c>
      <c r="AA79" s="239">
        <v>366398</v>
      </c>
      <c r="AB79" s="239">
        <v>-175207</v>
      </c>
      <c r="AC79" s="239">
        <v>-140166</v>
      </c>
      <c r="AD79" s="239">
        <v>-35042</v>
      </c>
      <c r="AE79" s="239">
        <v>0</v>
      </c>
      <c r="AF79" s="239">
        <v>-350415</v>
      </c>
      <c r="AG79" s="239">
        <v>-102466</v>
      </c>
      <c r="AH79" s="239">
        <v>-81974</v>
      </c>
      <c r="AI79" s="239">
        <v>-20494</v>
      </c>
      <c r="AJ79" s="239">
        <v>0</v>
      </c>
      <c r="AK79" s="239">
        <v>-204934</v>
      </c>
      <c r="AL79" s="239">
        <v>52962</v>
      </c>
      <c r="AM79" s="239">
        <v>42370</v>
      </c>
      <c r="AN79" s="239">
        <v>10592</v>
      </c>
      <c r="AO79" s="239">
        <v>0</v>
      </c>
      <c r="AP79" s="239">
        <v>105924</v>
      </c>
      <c r="AQ79" s="239">
        <v>-55093</v>
      </c>
      <c r="AR79" s="239">
        <v>-44074</v>
      </c>
      <c r="AS79" s="239">
        <v>-11019</v>
      </c>
      <c r="AT79" s="239">
        <v>0</v>
      </c>
      <c r="AU79" s="239">
        <v>-110186</v>
      </c>
      <c r="AV79" s="239">
        <v>-104597</v>
      </c>
      <c r="AW79" s="239">
        <v>-83678</v>
      </c>
      <c r="AX79" s="239">
        <v>-20921</v>
      </c>
      <c r="AY79" s="239">
        <v>0</v>
      </c>
      <c r="AZ79" s="239">
        <v>-209196</v>
      </c>
      <c r="BA79" s="239">
        <v>-2117249</v>
      </c>
      <c r="BB79" s="239">
        <v>-1693798</v>
      </c>
      <c r="BC79" s="239">
        <v>-423448</v>
      </c>
      <c r="BD79" s="239">
        <v>0</v>
      </c>
      <c r="BE79" s="239">
        <v>-4234495</v>
      </c>
      <c r="BF79" s="239">
        <v>916515</v>
      </c>
      <c r="BG79" s="239">
        <v>733212</v>
      </c>
      <c r="BH79" s="239">
        <v>183303</v>
      </c>
      <c r="BI79" s="239">
        <v>0</v>
      </c>
      <c r="BJ79" s="239">
        <v>1833030</v>
      </c>
      <c r="BK79" s="239">
        <v>-773</v>
      </c>
      <c r="BL79" s="239">
        <v>-618</v>
      </c>
      <c r="BM79" s="239">
        <v>-155</v>
      </c>
      <c r="BN79" s="239">
        <v>0</v>
      </c>
      <c r="BO79" s="239">
        <v>-1546</v>
      </c>
      <c r="BP79" s="239">
        <v>-1201507</v>
      </c>
      <c r="BQ79" s="239">
        <v>-961204</v>
      </c>
      <c r="BR79" s="239">
        <v>-240300</v>
      </c>
      <c r="BS79" s="239">
        <v>0</v>
      </c>
      <c r="BT79" s="239">
        <v>-2403011</v>
      </c>
      <c r="BU79" s="239">
        <v>620295</v>
      </c>
      <c r="BV79" s="239">
        <v>496236</v>
      </c>
      <c r="BW79" s="239">
        <v>124059</v>
      </c>
      <c r="BX79" s="239">
        <v>0</v>
      </c>
      <c r="BY79" s="239">
        <v>1240590</v>
      </c>
      <c r="BZ79" s="239">
        <v>677272</v>
      </c>
      <c r="CA79" s="239">
        <v>541817</v>
      </c>
      <c r="CB79" s="239">
        <v>135454</v>
      </c>
      <c r="CC79" s="239">
        <v>0</v>
      </c>
      <c r="CD79" s="239">
        <v>1354543</v>
      </c>
      <c r="CE79" s="239">
        <v>-56977</v>
      </c>
      <c r="CF79" s="239">
        <v>-45581</v>
      </c>
      <c r="CG79" s="239">
        <v>-11395</v>
      </c>
      <c r="CH79" s="239">
        <v>0</v>
      </c>
      <c r="CI79" s="239">
        <v>-113953</v>
      </c>
      <c r="CJ79" s="239">
        <v>21698274</v>
      </c>
      <c r="CK79" s="239">
        <v>17358620</v>
      </c>
      <c r="CL79" s="239">
        <v>4339655</v>
      </c>
      <c r="CM79" s="239">
        <v>0</v>
      </c>
      <c r="CN79" s="239">
        <v>43396549</v>
      </c>
      <c r="CO79" s="239">
        <v>23114551</v>
      </c>
      <c r="CP79" s="239">
        <v>18491641</v>
      </c>
      <c r="CQ79" s="239">
        <v>4622910</v>
      </c>
      <c r="CR79" s="239">
        <v>0</v>
      </c>
      <c r="CS79" s="239">
        <v>46229102</v>
      </c>
      <c r="CT79" s="239">
        <v>1416277</v>
      </c>
      <c r="CU79" s="239">
        <v>1133021</v>
      </c>
      <c r="CV79" s="239">
        <v>283255</v>
      </c>
      <c r="CW79" s="239">
        <v>0</v>
      </c>
      <c r="CX79" s="239">
        <v>2832553</v>
      </c>
      <c r="CY79" s="239">
        <v>1359300</v>
      </c>
      <c r="CZ79" s="239">
        <v>1087440</v>
      </c>
      <c r="DA79" s="239">
        <v>271860</v>
      </c>
      <c r="DB79" s="239">
        <v>0</v>
      </c>
      <c r="DC79" s="239">
        <v>2718600</v>
      </c>
      <c r="DD79" s="641">
        <v>0.5</v>
      </c>
      <c r="DE79" s="641">
        <v>0.4</v>
      </c>
      <c r="DF79" s="641">
        <v>0.1</v>
      </c>
      <c r="DG79" s="641">
        <v>0</v>
      </c>
      <c r="DH79" s="641">
        <v>1</v>
      </c>
      <c r="DI79" s="214" t="s">
        <v>1190</v>
      </c>
    </row>
    <row r="80" spans="1:113" s="214" customFormat="1" x14ac:dyDescent="0.2">
      <c r="B80" s="609" t="s">
        <v>242</v>
      </c>
      <c r="C80" s="609" t="s">
        <v>241</v>
      </c>
      <c r="D80" s="239">
        <v>43679375</v>
      </c>
      <c r="E80" s="239">
        <v>42805787</v>
      </c>
      <c r="F80" s="239">
        <v>0</v>
      </c>
      <c r="G80" s="239">
        <v>873587</v>
      </c>
      <c r="H80" s="239">
        <v>87358749</v>
      </c>
      <c r="I80" s="239">
        <v>22385.136363636364</v>
      </c>
      <c r="J80" s="239">
        <v>22385.136363636364</v>
      </c>
      <c r="K80" s="239">
        <v>43656989.863636367</v>
      </c>
      <c r="L80" s="239">
        <v>319205</v>
      </c>
      <c r="M80" s="239">
        <v>319205</v>
      </c>
      <c r="N80" s="239">
        <v>63938</v>
      </c>
      <c r="O80" s="239">
        <v>63938</v>
      </c>
      <c r="P80" s="239">
        <v>730950</v>
      </c>
      <c r="Q80" s="239">
        <v>0</v>
      </c>
      <c r="R80" s="239">
        <v>730950</v>
      </c>
      <c r="S80" s="239">
        <v>22385.136363636364</v>
      </c>
      <c r="T80" s="239">
        <v>0</v>
      </c>
      <c r="U80" s="239">
        <v>0</v>
      </c>
      <c r="V80" s="239">
        <v>22385.136363636364</v>
      </c>
      <c r="W80" s="239">
        <v>3547544</v>
      </c>
      <c r="X80" s="239">
        <v>3476593</v>
      </c>
      <c r="Y80" s="239">
        <v>0</v>
      </c>
      <c r="Z80" s="239">
        <v>70951</v>
      </c>
      <c r="AA80" s="239">
        <v>7095088</v>
      </c>
      <c r="AB80" s="239">
        <v>-239885</v>
      </c>
      <c r="AC80" s="239">
        <v>-235087</v>
      </c>
      <c r="AD80" s="239">
        <v>0</v>
      </c>
      <c r="AE80" s="239">
        <v>-4798</v>
      </c>
      <c r="AF80" s="239">
        <v>-479770</v>
      </c>
      <c r="AG80" s="239">
        <v>-1895877</v>
      </c>
      <c r="AH80" s="239">
        <v>-1857959</v>
      </c>
      <c r="AI80" s="239">
        <v>0</v>
      </c>
      <c r="AJ80" s="239">
        <v>-37918</v>
      </c>
      <c r="AK80" s="239">
        <v>-3791754</v>
      </c>
      <c r="AL80" s="239">
        <v>285040</v>
      </c>
      <c r="AM80" s="239">
        <v>279340</v>
      </c>
      <c r="AN80" s="239">
        <v>0</v>
      </c>
      <c r="AO80" s="239">
        <v>5701</v>
      </c>
      <c r="AP80" s="239">
        <v>570081</v>
      </c>
      <c r="AQ80" s="239">
        <v>-570638</v>
      </c>
      <c r="AR80" s="239">
        <v>-559226</v>
      </c>
      <c r="AS80" s="239">
        <v>0</v>
      </c>
      <c r="AT80" s="239">
        <v>-11413</v>
      </c>
      <c r="AU80" s="239">
        <v>-1141277</v>
      </c>
      <c r="AV80" s="239">
        <v>-2181475</v>
      </c>
      <c r="AW80" s="239">
        <v>-2137845</v>
      </c>
      <c r="AX80" s="239">
        <v>0</v>
      </c>
      <c r="AY80" s="239">
        <v>-43630</v>
      </c>
      <c r="AZ80" s="239">
        <v>-4362950</v>
      </c>
      <c r="BA80" s="239">
        <v>-4005652</v>
      </c>
      <c r="BB80" s="239">
        <v>-3925538</v>
      </c>
      <c r="BC80" s="239">
        <v>0</v>
      </c>
      <c r="BD80" s="239">
        <v>-80114</v>
      </c>
      <c r="BE80" s="239">
        <v>-8011304</v>
      </c>
      <c r="BF80" s="239">
        <v>2565101</v>
      </c>
      <c r="BG80" s="239">
        <v>2513799</v>
      </c>
      <c r="BH80" s="239">
        <v>0</v>
      </c>
      <c r="BI80" s="239">
        <v>51302</v>
      </c>
      <c r="BJ80" s="239">
        <v>5130202</v>
      </c>
      <c r="BK80" s="239">
        <v>-2596051</v>
      </c>
      <c r="BL80" s="239">
        <v>-2544129</v>
      </c>
      <c r="BM80" s="239">
        <v>0</v>
      </c>
      <c r="BN80" s="239">
        <v>-51921</v>
      </c>
      <c r="BO80" s="239">
        <v>-5192101</v>
      </c>
      <c r="BP80" s="239">
        <v>-4036602</v>
      </c>
      <c r="BQ80" s="239">
        <v>-3955868</v>
      </c>
      <c r="BR80" s="239">
        <v>0</v>
      </c>
      <c r="BS80" s="239">
        <v>-80733</v>
      </c>
      <c r="BT80" s="239">
        <v>-8073203</v>
      </c>
      <c r="BU80" s="239">
        <v>-1134944</v>
      </c>
      <c r="BV80" s="239">
        <v>-1112245</v>
      </c>
      <c r="BW80" s="239">
        <v>0</v>
      </c>
      <c r="BX80" s="239">
        <v>-22699</v>
      </c>
      <c r="BY80" s="239">
        <v>-2269888</v>
      </c>
      <c r="BZ80" s="239">
        <v>-177320</v>
      </c>
      <c r="CA80" s="239">
        <v>-173774</v>
      </c>
      <c r="CB80" s="239">
        <v>0</v>
      </c>
      <c r="CC80" s="239">
        <v>-3546</v>
      </c>
      <c r="CD80" s="239">
        <v>-354640</v>
      </c>
      <c r="CE80" s="239">
        <v>-957624</v>
      </c>
      <c r="CF80" s="239">
        <v>-938471</v>
      </c>
      <c r="CG80" s="239">
        <v>0</v>
      </c>
      <c r="CH80" s="239">
        <v>-19153</v>
      </c>
      <c r="CI80" s="239">
        <v>-1915248</v>
      </c>
      <c r="CJ80" s="239">
        <v>45408646</v>
      </c>
      <c r="CK80" s="239">
        <v>44500473</v>
      </c>
      <c r="CL80" s="239">
        <v>0</v>
      </c>
      <c r="CM80" s="239">
        <v>908173</v>
      </c>
      <c r="CN80" s="239">
        <v>90817292</v>
      </c>
      <c r="CO80" s="239">
        <v>43679375</v>
      </c>
      <c r="CP80" s="239">
        <v>42805787</v>
      </c>
      <c r="CQ80" s="239">
        <v>0</v>
      </c>
      <c r="CR80" s="239">
        <v>873587</v>
      </c>
      <c r="CS80" s="239">
        <v>87358749</v>
      </c>
      <c r="CT80" s="239">
        <v>-1729271</v>
      </c>
      <c r="CU80" s="239">
        <v>-1694686</v>
      </c>
      <c r="CV80" s="239">
        <v>0</v>
      </c>
      <c r="CW80" s="239">
        <v>-34586</v>
      </c>
      <c r="CX80" s="239">
        <v>-3458543</v>
      </c>
      <c r="CY80" s="239">
        <v>-2686895</v>
      </c>
      <c r="CZ80" s="239">
        <v>-2633157</v>
      </c>
      <c r="DA80" s="239">
        <v>0</v>
      </c>
      <c r="DB80" s="239">
        <v>-53739</v>
      </c>
      <c r="DC80" s="239">
        <v>-5373791</v>
      </c>
      <c r="DD80" s="641">
        <v>0.5</v>
      </c>
      <c r="DE80" s="641">
        <v>0.49</v>
      </c>
      <c r="DF80" s="641">
        <v>0</v>
      </c>
      <c r="DG80" s="641">
        <v>0.01</v>
      </c>
      <c r="DH80" s="641">
        <v>1</v>
      </c>
      <c r="DI80" s="214" t="s">
        <v>747</v>
      </c>
    </row>
    <row r="81" spans="2:113" s="214" customFormat="1" x14ac:dyDescent="0.2">
      <c r="B81" s="609" t="s">
        <v>244</v>
      </c>
      <c r="C81" s="609" t="s">
        <v>243</v>
      </c>
      <c r="D81" s="239">
        <v>8193671</v>
      </c>
      <c r="E81" s="239">
        <v>6554936</v>
      </c>
      <c r="F81" s="239">
        <v>1474861</v>
      </c>
      <c r="G81" s="239">
        <v>163873</v>
      </c>
      <c r="H81" s="239">
        <v>16387341</v>
      </c>
      <c r="I81" s="239">
        <v>0</v>
      </c>
      <c r="J81" s="239">
        <v>0</v>
      </c>
      <c r="K81" s="239">
        <v>8193671</v>
      </c>
      <c r="L81" s="239">
        <v>146145</v>
      </c>
      <c r="M81" s="239">
        <v>146145</v>
      </c>
      <c r="N81" s="239">
        <v>0</v>
      </c>
      <c r="O81" s="239">
        <v>0</v>
      </c>
      <c r="P81" s="239">
        <v>142142</v>
      </c>
      <c r="Q81" s="239">
        <v>0</v>
      </c>
      <c r="R81" s="239">
        <v>142142</v>
      </c>
      <c r="S81" s="239">
        <v>0</v>
      </c>
      <c r="T81" s="239">
        <v>0</v>
      </c>
      <c r="U81" s="239">
        <v>0</v>
      </c>
      <c r="V81" s="239">
        <v>0</v>
      </c>
      <c r="W81" s="239">
        <v>395342</v>
      </c>
      <c r="X81" s="239">
        <v>316274</v>
      </c>
      <c r="Y81" s="239">
        <v>71162</v>
      </c>
      <c r="Z81" s="239">
        <v>7907</v>
      </c>
      <c r="AA81" s="239">
        <v>790685</v>
      </c>
      <c r="AB81" s="239">
        <v>-138124</v>
      </c>
      <c r="AC81" s="239">
        <v>-110499</v>
      </c>
      <c r="AD81" s="239">
        <v>-24862</v>
      </c>
      <c r="AE81" s="239">
        <v>-2762</v>
      </c>
      <c r="AF81" s="239">
        <v>-276247</v>
      </c>
      <c r="AG81" s="239">
        <v>-132500</v>
      </c>
      <c r="AH81" s="239">
        <v>-106000</v>
      </c>
      <c r="AI81" s="239">
        <v>-23850</v>
      </c>
      <c r="AJ81" s="239">
        <v>-2650</v>
      </c>
      <c r="AK81" s="239">
        <v>-265000</v>
      </c>
      <c r="AL81" s="239">
        <v>262746</v>
      </c>
      <c r="AM81" s="239">
        <v>210197</v>
      </c>
      <c r="AN81" s="239">
        <v>47294</v>
      </c>
      <c r="AO81" s="239">
        <v>5255</v>
      </c>
      <c r="AP81" s="239">
        <v>525492</v>
      </c>
      <c r="AQ81" s="239">
        <v>-212746</v>
      </c>
      <c r="AR81" s="239">
        <v>-170197</v>
      </c>
      <c r="AS81" s="239">
        <v>-38294</v>
      </c>
      <c r="AT81" s="239">
        <v>-4255</v>
      </c>
      <c r="AU81" s="239">
        <v>-425492</v>
      </c>
      <c r="AV81" s="239">
        <v>-82500</v>
      </c>
      <c r="AW81" s="239">
        <v>-66000</v>
      </c>
      <c r="AX81" s="239">
        <v>-14850</v>
      </c>
      <c r="AY81" s="239">
        <v>-1650</v>
      </c>
      <c r="AZ81" s="239">
        <v>-165000</v>
      </c>
      <c r="BA81" s="239">
        <v>-303583</v>
      </c>
      <c r="BB81" s="239">
        <v>-242866</v>
      </c>
      <c r="BC81" s="239">
        <v>-54644</v>
      </c>
      <c r="BD81" s="239">
        <v>-6072</v>
      </c>
      <c r="BE81" s="239">
        <v>-607165</v>
      </c>
      <c r="BF81" s="239">
        <v>456908</v>
      </c>
      <c r="BG81" s="239">
        <v>365527</v>
      </c>
      <c r="BH81" s="239">
        <v>82244</v>
      </c>
      <c r="BI81" s="239">
        <v>9138</v>
      </c>
      <c r="BJ81" s="239">
        <v>913817</v>
      </c>
      <c r="BK81" s="239">
        <v>-471325</v>
      </c>
      <c r="BL81" s="239">
        <v>-377061</v>
      </c>
      <c r="BM81" s="239">
        <v>-84839</v>
      </c>
      <c r="BN81" s="239">
        <v>-9427</v>
      </c>
      <c r="BO81" s="239">
        <v>-942652</v>
      </c>
      <c r="BP81" s="239">
        <v>-318000</v>
      </c>
      <c r="BQ81" s="239">
        <v>-254400</v>
      </c>
      <c r="BR81" s="239">
        <v>-57239</v>
      </c>
      <c r="BS81" s="239">
        <v>-6361</v>
      </c>
      <c r="BT81" s="239">
        <v>-636000</v>
      </c>
      <c r="BU81" s="239">
        <v>-394914</v>
      </c>
      <c r="BV81" s="239">
        <v>-315932</v>
      </c>
      <c r="BW81" s="239">
        <v>-71085</v>
      </c>
      <c r="BX81" s="239">
        <v>-7898</v>
      </c>
      <c r="BY81" s="239">
        <v>-789829</v>
      </c>
      <c r="BZ81" s="239">
        <v>-329168</v>
      </c>
      <c r="CA81" s="239">
        <v>-263334</v>
      </c>
      <c r="CB81" s="239">
        <v>-59250</v>
      </c>
      <c r="CC81" s="239">
        <v>-6583</v>
      </c>
      <c r="CD81" s="239">
        <v>-658335</v>
      </c>
      <c r="CE81" s="239">
        <v>-65746</v>
      </c>
      <c r="CF81" s="239">
        <v>-52598</v>
      </c>
      <c r="CG81" s="239">
        <v>-11835</v>
      </c>
      <c r="CH81" s="239">
        <v>-1315</v>
      </c>
      <c r="CI81" s="239">
        <v>-131494</v>
      </c>
      <c r="CJ81" s="239">
        <v>8879558</v>
      </c>
      <c r="CK81" s="239">
        <v>7103647</v>
      </c>
      <c r="CL81" s="239">
        <v>1598321</v>
      </c>
      <c r="CM81" s="239">
        <v>177591</v>
      </c>
      <c r="CN81" s="239">
        <v>17759117</v>
      </c>
      <c r="CO81" s="239">
        <v>8193671</v>
      </c>
      <c r="CP81" s="239">
        <v>6554936</v>
      </c>
      <c r="CQ81" s="239">
        <v>1474861</v>
      </c>
      <c r="CR81" s="239">
        <v>163873</v>
      </c>
      <c r="CS81" s="239">
        <v>16387341</v>
      </c>
      <c r="CT81" s="239">
        <v>-685887</v>
      </c>
      <c r="CU81" s="239">
        <v>-548711</v>
      </c>
      <c r="CV81" s="239">
        <v>-123460</v>
      </c>
      <c r="CW81" s="239">
        <v>-13718</v>
      </c>
      <c r="CX81" s="239">
        <v>-1371776</v>
      </c>
      <c r="CY81" s="239">
        <v>-751633</v>
      </c>
      <c r="CZ81" s="239">
        <v>-601309</v>
      </c>
      <c r="DA81" s="239">
        <v>-135295</v>
      </c>
      <c r="DB81" s="239">
        <v>-15033</v>
      </c>
      <c r="DC81" s="239">
        <v>-1503270</v>
      </c>
      <c r="DD81" s="641">
        <v>0.5</v>
      </c>
      <c r="DE81" s="641">
        <v>0.4</v>
      </c>
      <c r="DF81" s="641">
        <v>0.09</v>
      </c>
      <c r="DG81" s="641">
        <v>0.01</v>
      </c>
      <c r="DH81" s="641">
        <v>1</v>
      </c>
      <c r="DI81" s="214" t="s">
        <v>1190</v>
      </c>
    </row>
    <row r="82" spans="2:113" s="214" customFormat="1" x14ac:dyDescent="0.2">
      <c r="B82" s="609" t="s">
        <v>246</v>
      </c>
      <c r="C82" s="609" t="s">
        <v>245</v>
      </c>
      <c r="D82" s="239">
        <v>47370833</v>
      </c>
      <c r="E82" s="239">
        <v>46423417</v>
      </c>
      <c r="F82" s="239">
        <v>0</v>
      </c>
      <c r="G82" s="239">
        <v>947417</v>
      </c>
      <c r="H82" s="239">
        <v>94741667</v>
      </c>
      <c r="I82" s="239">
        <v>0</v>
      </c>
      <c r="J82" s="239">
        <v>0</v>
      </c>
      <c r="K82" s="239">
        <v>47370833</v>
      </c>
      <c r="L82" s="239">
        <v>373751</v>
      </c>
      <c r="M82" s="239">
        <v>373751</v>
      </c>
      <c r="N82" s="239">
        <v>0</v>
      </c>
      <c r="O82" s="239">
        <v>0</v>
      </c>
      <c r="P82" s="239">
        <v>150287</v>
      </c>
      <c r="Q82" s="239">
        <v>0</v>
      </c>
      <c r="R82" s="239">
        <v>150287</v>
      </c>
      <c r="S82" s="239">
        <v>0</v>
      </c>
      <c r="T82" s="239">
        <v>0</v>
      </c>
      <c r="U82" s="239">
        <v>0</v>
      </c>
      <c r="V82" s="239">
        <v>0</v>
      </c>
      <c r="W82" s="239">
        <v>3515807</v>
      </c>
      <c r="X82" s="239">
        <v>3445491</v>
      </c>
      <c r="Y82" s="239">
        <v>0</v>
      </c>
      <c r="Z82" s="239">
        <v>70316</v>
      </c>
      <c r="AA82" s="239">
        <v>7031614</v>
      </c>
      <c r="AB82" s="239">
        <v>-840294</v>
      </c>
      <c r="AC82" s="239">
        <v>-823489</v>
      </c>
      <c r="AD82" s="239">
        <v>0</v>
      </c>
      <c r="AE82" s="239">
        <v>-16806</v>
      </c>
      <c r="AF82" s="239">
        <v>-1680589</v>
      </c>
      <c r="AG82" s="239">
        <v>-1970365</v>
      </c>
      <c r="AH82" s="239">
        <v>-1930956</v>
      </c>
      <c r="AI82" s="239">
        <v>0</v>
      </c>
      <c r="AJ82" s="239">
        <v>-39407</v>
      </c>
      <c r="AK82" s="239">
        <v>-3940728</v>
      </c>
      <c r="AL82" s="239">
        <v>1206277</v>
      </c>
      <c r="AM82" s="239">
        <v>1182151</v>
      </c>
      <c r="AN82" s="239">
        <v>0</v>
      </c>
      <c r="AO82" s="239">
        <v>24126</v>
      </c>
      <c r="AP82" s="239">
        <v>2412554</v>
      </c>
      <c r="AQ82" s="239">
        <v>-923475</v>
      </c>
      <c r="AR82" s="239">
        <v>-905006</v>
      </c>
      <c r="AS82" s="239">
        <v>0</v>
      </c>
      <c r="AT82" s="239">
        <v>-18470</v>
      </c>
      <c r="AU82" s="239">
        <v>-1846951</v>
      </c>
      <c r="AV82" s="239">
        <v>-1687563</v>
      </c>
      <c r="AW82" s="239">
        <v>-1653811</v>
      </c>
      <c r="AX82" s="239">
        <v>0</v>
      </c>
      <c r="AY82" s="239">
        <v>-33751</v>
      </c>
      <c r="AZ82" s="239">
        <v>-3375125</v>
      </c>
      <c r="BA82" s="239">
        <v>-4583087</v>
      </c>
      <c r="BB82" s="239">
        <v>-4491429</v>
      </c>
      <c r="BC82" s="239">
        <v>0</v>
      </c>
      <c r="BD82" s="239">
        <v>-91663</v>
      </c>
      <c r="BE82" s="239">
        <v>-9166179</v>
      </c>
      <c r="BF82" s="239">
        <v>2430814</v>
      </c>
      <c r="BG82" s="239">
        <v>2382197</v>
      </c>
      <c r="BH82" s="239">
        <v>0</v>
      </c>
      <c r="BI82" s="239">
        <v>48616</v>
      </c>
      <c r="BJ82" s="239">
        <v>4861627</v>
      </c>
      <c r="BK82" s="239">
        <v>-1244123</v>
      </c>
      <c r="BL82" s="239">
        <v>-1219240</v>
      </c>
      <c r="BM82" s="239">
        <v>0</v>
      </c>
      <c r="BN82" s="239">
        <v>-24882</v>
      </c>
      <c r="BO82" s="239">
        <v>-2488245</v>
      </c>
      <c r="BP82" s="239">
        <v>-3396396</v>
      </c>
      <c r="BQ82" s="239">
        <v>-3328472</v>
      </c>
      <c r="BR82" s="239">
        <v>0</v>
      </c>
      <c r="BS82" s="239">
        <v>-67929</v>
      </c>
      <c r="BT82" s="239">
        <v>-6792797</v>
      </c>
      <c r="BU82" s="239">
        <v>-494706</v>
      </c>
      <c r="BV82" s="239">
        <v>-484811</v>
      </c>
      <c r="BW82" s="239">
        <v>0</v>
      </c>
      <c r="BX82" s="239">
        <v>-9894</v>
      </c>
      <c r="BY82" s="239">
        <v>-989411</v>
      </c>
      <c r="BZ82" s="239">
        <v>-636626</v>
      </c>
      <c r="CA82" s="239">
        <v>-623893</v>
      </c>
      <c r="CB82" s="239">
        <v>0</v>
      </c>
      <c r="CC82" s="239">
        <v>-12733</v>
      </c>
      <c r="CD82" s="239">
        <v>-1273252</v>
      </c>
      <c r="CE82" s="239">
        <v>141920</v>
      </c>
      <c r="CF82" s="239">
        <v>139082</v>
      </c>
      <c r="CG82" s="239">
        <v>0</v>
      </c>
      <c r="CH82" s="239">
        <v>2839</v>
      </c>
      <c r="CI82" s="239">
        <v>283841</v>
      </c>
      <c r="CJ82" s="239">
        <v>48682951</v>
      </c>
      <c r="CK82" s="239">
        <v>47709292</v>
      </c>
      <c r="CL82" s="239">
        <v>0</v>
      </c>
      <c r="CM82" s="239">
        <v>973659</v>
      </c>
      <c r="CN82" s="239">
        <v>97365902</v>
      </c>
      <c r="CO82" s="239">
        <v>47370833</v>
      </c>
      <c r="CP82" s="239">
        <v>46423417</v>
      </c>
      <c r="CQ82" s="239">
        <v>0</v>
      </c>
      <c r="CR82" s="239">
        <v>947417</v>
      </c>
      <c r="CS82" s="239">
        <v>94741667</v>
      </c>
      <c r="CT82" s="239">
        <v>-1312118</v>
      </c>
      <c r="CU82" s="239">
        <v>-1285875</v>
      </c>
      <c r="CV82" s="239">
        <v>0</v>
      </c>
      <c r="CW82" s="239">
        <v>-26242</v>
      </c>
      <c r="CX82" s="239">
        <v>-2624235</v>
      </c>
      <c r="CY82" s="239">
        <v>-1170198</v>
      </c>
      <c r="CZ82" s="239">
        <v>-1146793</v>
      </c>
      <c r="DA82" s="239">
        <v>0</v>
      </c>
      <c r="DB82" s="239">
        <v>-23403</v>
      </c>
      <c r="DC82" s="239">
        <v>-2340394</v>
      </c>
      <c r="DD82" s="641">
        <v>0.5</v>
      </c>
      <c r="DE82" s="641">
        <v>0.49</v>
      </c>
      <c r="DF82" s="641">
        <v>0</v>
      </c>
      <c r="DG82" s="641">
        <v>0.01</v>
      </c>
      <c r="DH82" s="641">
        <v>1</v>
      </c>
      <c r="DI82" s="214" t="s">
        <v>1192</v>
      </c>
    </row>
    <row r="83" spans="2:113" s="214" customFormat="1" x14ac:dyDescent="0.2">
      <c r="B83" s="609" t="s">
        <v>248</v>
      </c>
      <c r="C83" s="609" t="s">
        <v>247</v>
      </c>
      <c r="D83" s="239">
        <v>17506897</v>
      </c>
      <c r="E83" s="239">
        <v>14005517</v>
      </c>
      <c r="F83" s="239">
        <v>3151241</v>
      </c>
      <c r="G83" s="239">
        <v>350138</v>
      </c>
      <c r="H83" s="239">
        <v>35013793</v>
      </c>
      <c r="I83" s="239">
        <v>1395018.2438016529</v>
      </c>
      <c r="J83" s="239">
        <v>1395018.2438016529</v>
      </c>
      <c r="K83" s="239">
        <v>16111878.756198347</v>
      </c>
      <c r="L83" s="239">
        <v>157828</v>
      </c>
      <c r="M83" s="239">
        <v>157828</v>
      </c>
      <c r="N83" s="239">
        <v>0</v>
      </c>
      <c r="O83" s="239">
        <v>0</v>
      </c>
      <c r="P83" s="239">
        <v>44145</v>
      </c>
      <c r="Q83" s="239">
        <v>0</v>
      </c>
      <c r="R83" s="239">
        <v>44145</v>
      </c>
      <c r="S83" s="239">
        <v>1116014.5950413223</v>
      </c>
      <c r="T83" s="239">
        <v>251103.2838842975</v>
      </c>
      <c r="U83" s="239">
        <v>27900.364876033062</v>
      </c>
      <c r="V83" s="239">
        <v>1395018.2438016529</v>
      </c>
      <c r="W83" s="239">
        <v>1109406</v>
      </c>
      <c r="X83" s="239">
        <v>887525</v>
      </c>
      <c r="Y83" s="239">
        <v>199693</v>
      </c>
      <c r="Z83" s="239">
        <v>22188</v>
      </c>
      <c r="AA83" s="239">
        <v>2218812</v>
      </c>
      <c r="AB83" s="239">
        <v>-329501</v>
      </c>
      <c r="AC83" s="239">
        <v>-263601</v>
      </c>
      <c r="AD83" s="239">
        <v>-59310</v>
      </c>
      <c r="AE83" s="239">
        <v>-6590</v>
      </c>
      <c r="AF83" s="239">
        <v>-659002</v>
      </c>
      <c r="AG83" s="239">
        <v>-978983</v>
      </c>
      <c r="AH83" s="239">
        <v>-783189</v>
      </c>
      <c r="AI83" s="239">
        <v>-176218</v>
      </c>
      <c r="AJ83" s="239">
        <v>-19580</v>
      </c>
      <c r="AK83" s="239">
        <v>-1957970</v>
      </c>
      <c r="AL83" s="239">
        <v>114355</v>
      </c>
      <c r="AM83" s="239">
        <v>91484</v>
      </c>
      <c r="AN83" s="239">
        <v>20584</v>
      </c>
      <c r="AO83" s="239">
        <v>2287</v>
      </c>
      <c r="AP83" s="239">
        <v>228710</v>
      </c>
      <c r="AQ83" s="239">
        <v>-16140</v>
      </c>
      <c r="AR83" s="239">
        <v>-12912</v>
      </c>
      <c r="AS83" s="239">
        <v>-2905</v>
      </c>
      <c r="AT83" s="239">
        <v>-323</v>
      </c>
      <c r="AU83" s="239">
        <v>-32280</v>
      </c>
      <c r="AV83" s="239">
        <v>-880768</v>
      </c>
      <c r="AW83" s="239">
        <v>-704617</v>
      </c>
      <c r="AX83" s="239">
        <v>-158539</v>
      </c>
      <c r="AY83" s="239">
        <v>-17616</v>
      </c>
      <c r="AZ83" s="239">
        <v>-1761540</v>
      </c>
      <c r="BA83" s="239">
        <v>-1410000</v>
      </c>
      <c r="BB83" s="239">
        <v>-1128000</v>
      </c>
      <c r="BC83" s="239">
        <v>-253800</v>
      </c>
      <c r="BD83" s="239">
        <v>-28200</v>
      </c>
      <c r="BE83" s="239">
        <v>-2820000</v>
      </c>
      <c r="BF83" s="239">
        <v>491500</v>
      </c>
      <c r="BG83" s="239">
        <v>393200</v>
      </c>
      <c r="BH83" s="239">
        <v>88470</v>
      </c>
      <c r="BI83" s="239">
        <v>9830</v>
      </c>
      <c r="BJ83" s="239">
        <v>983000</v>
      </c>
      <c r="BK83" s="239">
        <v>-284500</v>
      </c>
      <c r="BL83" s="239">
        <v>-227600</v>
      </c>
      <c r="BM83" s="239">
        <v>-51210</v>
      </c>
      <c r="BN83" s="239">
        <v>-5690</v>
      </c>
      <c r="BO83" s="239">
        <v>-569000</v>
      </c>
      <c r="BP83" s="239">
        <v>-1203000</v>
      </c>
      <c r="BQ83" s="239">
        <v>-962400</v>
      </c>
      <c r="BR83" s="239">
        <v>-216540</v>
      </c>
      <c r="BS83" s="239">
        <v>-24060</v>
      </c>
      <c r="BT83" s="239">
        <v>-2406000</v>
      </c>
      <c r="BU83" s="239">
        <v>-1829750</v>
      </c>
      <c r="BV83" s="239">
        <v>-1463800</v>
      </c>
      <c r="BW83" s="239">
        <v>-329355</v>
      </c>
      <c r="BX83" s="239">
        <v>-36595</v>
      </c>
      <c r="BY83" s="239">
        <v>-3659500</v>
      </c>
      <c r="BZ83" s="239">
        <v>-904612</v>
      </c>
      <c r="CA83" s="239">
        <v>-723689</v>
      </c>
      <c r="CB83" s="239">
        <v>-162830</v>
      </c>
      <c r="CC83" s="239">
        <v>-18092</v>
      </c>
      <c r="CD83" s="239">
        <v>-1809223</v>
      </c>
      <c r="CE83" s="239">
        <v>-925138</v>
      </c>
      <c r="CF83" s="239">
        <v>-740111</v>
      </c>
      <c r="CG83" s="239">
        <v>-166525</v>
      </c>
      <c r="CH83" s="239">
        <v>-18503</v>
      </c>
      <c r="CI83" s="239">
        <v>-1850277</v>
      </c>
      <c r="CJ83" s="239">
        <v>17231000</v>
      </c>
      <c r="CK83" s="239">
        <v>13784800</v>
      </c>
      <c r="CL83" s="239">
        <v>3101580</v>
      </c>
      <c r="CM83" s="239">
        <v>344620</v>
      </c>
      <c r="CN83" s="239">
        <v>34462000</v>
      </c>
      <c r="CO83" s="239">
        <v>17506897</v>
      </c>
      <c r="CP83" s="239">
        <v>14005517</v>
      </c>
      <c r="CQ83" s="239">
        <v>3151241</v>
      </c>
      <c r="CR83" s="239">
        <v>350138</v>
      </c>
      <c r="CS83" s="239">
        <v>35013793</v>
      </c>
      <c r="CT83" s="239">
        <v>275897</v>
      </c>
      <c r="CU83" s="239">
        <v>220717</v>
      </c>
      <c r="CV83" s="239">
        <v>49661</v>
      </c>
      <c r="CW83" s="239">
        <v>5518</v>
      </c>
      <c r="CX83" s="239">
        <v>551793</v>
      </c>
      <c r="CY83" s="239">
        <v>-649241</v>
      </c>
      <c r="CZ83" s="239">
        <v>-519394</v>
      </c>
      <c r="DA83" s="239">
        <v>-116864</v>
      </c>
      <c r="DB83" s="239">
        <v>-12985</v>
      </c>
      <c r="DC83" s="239">
        <v>-1298484</v>
      </c>
      <c r="DD83" s="641">
        <v>0.5</v>
      </c>
      <c r="DE83" s="641">
        <v>0.4</v>
      </c>
      <c r="DF83" s="641">
        <v>0.09</v>
      </c>
      <c r="DG83" s="641">
        <v>0.01</v>
      </c>
      <c r="DH83" s="641">
        <v>1</v>
      </c>
      <c r="DI83" s="214" t="s">
        <v>1190</v>
      </c>
    </row>
    <row r="84" spans="2:113" s="214" customFormat="1" x14ac:dyDescent="0.2">
      <c r="B84" s="609" t="s">
        <v>250</v>
      </c>
      <c r="C84" s="609" t="s">
        <v>249</v>
      </c>
      <c r="D84" s="239">
        <v>45139304</v>
      </c>
      <c r="E84" s="239">
        <v>44236517</v>
      </c>
      <c r="F84" s="239">
        <v>0</v>
      </c>
      <c r="G84" s="239">
        <v>902786</v>
      </c>
      <c r="H84" s="239">
        <v>90278607</v>
      </c>
      <c r="I84" s="239">
        <v>0</v>
      </c>
      <c r="J84" s="239">
        <v>0</v>
      </c>
      <c r="K84" s="239">
        <v>45139304</v>
      </c>
      <c r="L84" s="239">
        <v>427645</v>
      </c>
      <c r="M84" s="239">
        <v>427645</v>
      </c>
      <c r="N84" s="239">
        <v>0</v>
      </c>
      <c r="O84" s="239">
        <v>0</v>
      </c>
      <c r="P84" s="239">
        <v>0</v>
      </c>
      <c r="Q84" s="239">
        <v>0</v>
      </c>
      <c r="R84" s="239">
        <v>0</v>
      </c>
      <c r="S84" s="239">
        <v>0</v>
      </c>
      <c r="T84" s="239">
        <v>0</v>
      </c>
      <c r="U84" s="239">
        <v>0</v>
      </c>
      <c r="V84" s="239">
        <v>0</v>
      </c>
      <c r="W84" s="239">
        <v>3902894</v>
      </c>
      <c r="X84" s="239">
        <v>3824836</v>
      </c>
      <c r="Y84" s="239">
        <v>0</v>
      </c>
      <c r="Z84" s="239">
        <v>78058</v>
      </c>
      <c r="AA84" s="239">
        <v>7805788</v>
      </c>
      <c r="AB84" s="239">
        <v>-322685</v>
      </c>
      <c r="AC84" s="239">
        <v>-316231</v>
      </c>
      <c r="AD84" s="239">
        <v>0</v>
      </c>
      <c r="AE84" s="239">
        <v>-6454</v>
      </c>
      <c r="AF84" s="239">
        <v>-645370</v>
      </c>
      <c r="AG84" s="239">
        <v>-1567500</v>
      </c>
      <c r="AH84" s="239">
        <v>-1536150</v>
      </c>
      <c r="AI84" s="239">
        <v>0</v>
      </c>
      <c r="AJ84" s="239">
        <v>-31350</v>
      </c>
      <c r="AK84" s="239">
        <v>-3135000</v>
      </c>
      <c r="AL84" s="239">
        <v>786598</v>
      </c>
      <c r="AM84" s="239">
        <v>770866</v>
      </c>
      <c r="AN84" s="239">
        <v>0</v>
      </c>
      <c r="AO84" s="239">
        <v>15732</v>
      </c>
      <c r="AP84" s="239">
        <v>1573196</v>
      </c>
      <c r="AQ84" s="239">
        <v>-1624098</v>
      </c>
      <c r="AR84" s="239">
        <v>-1591616</v>
      </c>
      <c r="AS84" s="239">
        <v>0</v>
      </c>
      <c r="AT84" s="239">
        <v>-32482</v>
      </c>
      <c r="AU84" s="239">
        <v>-3248196</v>
      </c>
      <c r="AV84" s="239">
        <v>-2405000</v>
      </c>
      <c r="AW84" s="239">
        <v>-2356900</v>
      </c>
      <c r="AX84" s="239">
        <v>0</v>
      </c>
      <c r="AY84" s="239">
        <v>-48100</v>
      </c>
      <c r="AZ84" s="239">
        <v>-4810000</v>
      </c>
      <c r="BA84" s="239">
        <v>-5300000</v>
      </c>
      <c r="BB84" s="239">
        <v>-5194000</v>
      </c>
      <c r="BC84" s="239">
        <v>0</v>
      </c>
      <c r="BD84" s="239">
        <v>-106000</v>
      </c>
      <c r="BE84" s="239">
        <v>-10600000</v>
      </c>
      <c r="BF84" s="239">
        <v>2147189</v>
      </c>
      <c r="BG84" s="239">
        <v>2104245</v>
      </c>
      <c r="BH84" s="239">
        <v>0</v>
      </c>
      <c r="BI84" s="239">
        <v>42944</v>
      </c>
      <c r="BJ84" s="239">
        <v>4294378</v>
      </c>
      <c r="BK84" s="239">
        <v>-4097189</v>
      </c>
      <c r="BL84" s="239">
        <v>-4015245</v>
      </c>
      <c r="BM84" s="239">
        <v>0</v>
      </c>
      <c r="BN84" s="239">
        <v>-81944</v>
      </c>
      <c r="BO84" s="239">
        <v>-8194378</v>
      </c>
      <c r="BP84" s="239">
        <v>-7250000</v>
      </c>
      <c r="BQ84" s="239">
        <v>-7105000</v>
      </c>
      <c r="BR84" s="239">
        <v>0</v>
      </c>
      <c r="BS84" s="239">
        <v>-145000</v>
      </c>
      <c r="BT84" s="239">
        <v>-14500000</v>
      </c>
      <c r="BU84" s="239">
        <v>-862797</v>
      </c>
      <c r="BV84" s="239">
        <v>-845541</v>
      </c>
      <c r="BW84" s="239">
        <v>0</v>
      </c>
      <c r="BX84" s="239">
        <v>-17256</v>
      </c>
      <c r="BY84" s="239">
        <v>-1725594</v>
      </c>
      <c r="BZ84" s="239">
        <v>-1764607</v>
      </c>
      <c r="CA84" s="239">
        <v>-1729314</v>
      </c>
      <c r="CB84" s="239">
        <v>0</v>
      </c>
      <c r="CC84" s="239">
        <v>-35292</v>
      </c>
      <c r="CD84" s="239">
        <v>-3529213</v>
      </c>
      <c r="CE84" s="239">
        <v>901810</v>
      </c>
      <c r="CF84" s="239">
        <v>883773</v>
      </c>
      <c r="CG84" s="239">
        <v>0</v>
      </c>
      <c r="CH84" s="239">
        <v>18036</v>
      </c>
      <c r="CI84" s="239">
        <v>1803619</v>
      </c>
      <c r="CJ84" s="239">
        <v>46638998</v>
      </c>
      <c r="CK84" s="239">
        <v>45706218</v>
      </c>
      <c r="CL84" s="239">
        <v>0</v>
      </c>
      <c r="CM84" s="239">
        <v>932780</v>
      </c>
      <c r="CN84" s="239">
        <v>93277996</v>
      </c>
      <c r="CO84" s="239">
        <v>45139304</v>
      </c>
      <c r="CP84" s="239">
        <v>44236517</v>
      </c>
      <c r="CQ84" s="239">
        <v>0</v>
      </c>
      <c r="CR84" s="239">
        <v>902786</v>
      </c>
      <c r="CS84" s="239">
        <v>90278607</v>
      </c>
      <c r="CT84" s="239">
        <v>-1499694</v>
      </c>
      <c r="CU84" s="239">
        <v>-1469701</v>
      </c>
      <c r="CV84" s="239">
        <v>0</v>
      </c>
      <c r="CW84" s="239">
        <v>-29994</v>
      </c>
      <c r="CX84" s="239">
        <v>-2999389</v>
      </c>
      <c r="CY84" s="239">
        <v>-597884</v>
      </c>
      <c r="CZ84" s="239">
        <v>-585928</v>
      </c>
      <c r="DA84" s="239">
        <v>0</v>
      </c>
      <c r="DB84" s="239">
        <v>-11958</v>
      </c>
      <c r="DC84" s="239">
        <v>-1195770</v>
      </c>
      <c r="DD84" s="641">
        <v>0.5</v>
      </c>
      <c r="DE84" s="641">
        <v>0.49</v>
      </c>
      <c r="DF84" s="641">
        <v>0</v>
      </c>
      <c r="DG84" s="641">
        <v>0.01</v>
      </c>
      <c r="DH84" s="641">
        <v>1</v>
      </c>
      <c r="DI84" s="214" t="s">
        <v>1192</v>
      </c>
    </row>
    <row r="85" spans="2:113" s="214" customFormat="1" x14ac:dyDescent="0.2">
      <c r="B85" s="609" t="s">
        <v>252</v>
      </c>
      <c r="C85" s="609" t="s">
        <v>251</v>
      </c>
      <c r="D85" s="239">
        <v>58270682</v>
      </c>
      <c r="E85" s="239">
        <v>57105268</v>
      </c>
      <c r="F85" s="239">
        <v>0</v>
      </c>
      <c r="G85" s="239">
        <v>1165414</v>
      </c>
      <c r="H85" s="239">
        <v>116541364</v>
      </c>
      <c r="I85" s="239">
        <v>0</v>
      </c>
      <c r="J85" s="239">
        <v>0</v>
      </c>
      <c r="K85" s="239">
        <v>58270682</v>
      </c>
      <c r="L85" s="239">
        <v>599673</v>
      </c>
      <c r="M85" s="239">
        <v>599673</v>
      </c>
      <c r="N85" s="239">
        <v>0</v>
      </c>
      <c r="O85" s="239">
        <v>0</v>
      </c>
      <c r="P85" s="239">
        <v>100255</v>
      </c>
      <c r="Q85" s="239">
        <v>0</v>
      </c>
      <c r="R85" s="239">
        <v>100255</v>
      </c>
      <c r="S85" s="239">
        <v>0</v>
      </c>
      <c r="T85" s="239">
        <v>0</v>
      </c>
      <c r="U85" s="239">
        <v>0</v>
      </c>
      <c r="V85" s="239">
        <v>0</v>
      </c>
      <c r="W85" s="239">
        <v>2919202</v>
      </c>
      <c r="X85" s="239">
        <v>2860817</v>
      </c>
      <c r="Y85" s="239">
        <v>0</v>
      </c>
      <c r="Z85" s="239">
        <v>58384</v>
      </c>
      <c r="AA85" s="239">
        <v>5838403</v>
      </c>
      <c r="AB85" s="239">
        <v>-1131717</v>
      </c>
      <c r="AC85" s="239">
        <v>-1109083</v>
      </c>
      <c r="AD85" s="239">
        <v>0</v>
      </c>
      <c r="AE85" s="239">
        <v>-22634</v>
      </c>
      <c r="AF85" s="239">
        <v>-2263434</v>
      </c>
      <c r="AG85" s="239">
        <v>-2528990</v>
      </c>
      <c r="AH85" s="239">
        <v>-2478411</v>
      </c>
      <c r="AI85" s="239">
        <v>0</v>
      </c>
      <c r="AJ85" s="239">
        <v>-50579</v>
      </c>
      <c r="AK85" s="239">
        <v>-5057980</v>
      </c>
      <c r="AL85" s="239">
        <v>945566</v>
      </c>
      <c r="AM85" s="239">
        <v>926655</v>
      </c>
      <c r="AN85" s="239">
        <v>0</v>
      </c>
      <c r="AO85" s="239">
        <v>18911</v>
      </c>
      <c r="AP85" s="239">
        <v>1891132</v>
      </c>
      <c r="AQ85" s="239">
        <v>-496037</v>
      </c>
      <c r="AR85" s="239">
        <v>-486117</v>
      </c>
      <c r="AS85" s="239">
        <v>0</v>
      </c>
      <c r="AT85" s="239">
        <v>-9921</v>
      </c>
      <c r="AU85" s="239">
        <v>-992075</v>
      </c>
      <c r="AV85" s="239">
        <v>-2079461</v>
      </c>
      <c r="AW85" s="239">
        <v>-2037873</v>
      </c>
      <c r="AX85" s="239">
        <v>0</v>
      </c>
      <c r="AY85" s="239">
        <v>-41589</v>
      </c>
      <c r="AZ85" s="239">
        <v>-4158923</v>
      </c>
      <c r="BA85" s="239">
        <v>-9123732</v>
      </c>
      <c r="BB85" s="239">
        <v>-8941258</v>
      </c>
      <c r="BC85" s="239">
        <v>0</v>
      </c>
      <c r="BD85" s="239">
        <v>-182475</v>
      </c>
      <c r="BE85" s="239">
        <v>-18247465</v>
      </c>
      <c r="BF85" s="239">
        <v>3714130</v>
      </c>
      <c r="BG85" s="239">
        <v>3639847</v>
      </c>
      <c r="BH85" s="239">
        <v>0</v>
      </c>
      <c r="BI85" s="239">
        <v>74283</v>
      </c>
      <c r="BJ85" s="239">
        <v>7428260</v>
      </c>
      <c r="BK85" s="239">
        <v>-3691120</v>
      </c>
      <c r="BL85" s="239">
        <v>-3617298</v>
      </c>
      <c r="BM85" s="239">
        <v>0</v>
      </c>
      <c r="BN85" s="239">
        <v>-73822</v>
      </c>
      <c r="BO85" s="239">
        <v>-7382240</v>
      </c>
      <c r="BP85" s="239">
        <v>-9100722</v>
      </c>
      <c r="BQ85" s="239">
        <v>-8918709</v>
      </c>
      <c r="BR85" s="239">
        <v>0</v>
      </c>
      <c r="BS85" s="239">
        <v>-182014</v>
      </c>
      <c r="BT85" s="239">
        <v>-18201445</v>
      </c>
      <c r="BU85" s="239">
        <v>-3845264</v>
      </c>
      <c r="BV85" s="239">
        <v>-3768359</v>
      </c>
      <c r="BW85" s="239">
        <v>0</v>
      </c>
      <c r="BX85" s="239">
        <v>-76905</v>
      </c>
      <c r="BY85" s="239">
        <v>-7690528</v>
      </c>
      <c r="BZ85" s="239">
        <v>-3346173</v>
      </c>
      <c r="CA85" s="239">
        <v>-3279249</v>
      </c>
      <c r="CB85" s="239">
        <v>0</v>
      </c>
      <c r="CC85" s="239">
        <v>-66923</v>
      </c>
      <c r="CD85" s="239">
        <v>-6692345</v>
      </c>
      <c r="CE85" s="239">
        <v>-499091</v>
      </c>
      <c r="CF85" s="239">
        <v>-489110</v>
      </c>
      <c r="CG85" s="239">
        <v>0</v>
      </c>
      <c r="CH85" s="239">
        <v>-9982</v>
      </c>
      <c r="CI85" s="239">
        <v>-998183</v>
      </c>
      <c r="CJ85" s="239">
        <v>55918410</v>
      </c>
      <c r="CK85" s="239">
        <v>54800042</v>
      </c>
      <c r="CL85" s="239">
        <v>0</v>
      </c>
      <c r="CM85" s="239">
        <v>1118368</v>
      </c>
      <c r="CN85" s="239">
        <v>111836820</v>
      </c>
      <c r="CO85" s="239">
        <v>58270682</v>
      </c>
      <c r="CP85" s="239">
        <v>57105268</v>
      </c>
      <c r="CQ85" s="239">
        <v>0</v>
      </c>
      <c r="CR85" s="239">
        <v>1165414</v>
      </c>
      <c r="CS85" s="239">
        <v>116541364</v>
      </c>
      <c r="CT85" s="239">
        <v>2352272</v>
      </c>
      <c r="CU85" s="239">
        <v>2305226</v>
      </c>
      <c r="CV85" s="239">
        <v>0</v>
      </c>
      <c r="CW85" s="239">
        <v>47046</v>
      </c>
      <c r="CX85" s="239">
        <v>4704544</v>
      </c>
      <c r="CY85" s="239">
        <v>1853181</v>
      </c>
      <c r="CZ85" s="239">
        <v>1816116</v>
      </c>
      <c r="DA85" s="239">
        <v>0</v>
      </c>
      <c r="DB85" s="239">
        <v>37064</v>
      </c>
      <c r="DC85" s="239">
        <v>3706361</v>
      </c>
      <c r="DD85" s="641">
        <v>0.5</v>
      </c>
      <c r="DE85" s="641">
        <v>0.49</v>
      </c>
      <c r="DF85" s="641">
        <v>0</v>
      </c>
      <c r="DG85" s="641">
        <v>0.01</v>
      </c>
      <c r="DH85" s="641">
        <v>1</v>
      </c>
      <c r="DI85" s="214" t="s">
        <v>747</v>
      </c>
    </row>
    <row r="86" spans="2:113" s="214" customFormat="1" x14ac:dyDescent="0.2">
      <c r="B86" s="609" t="s">
        <v>254</v>
      </c>
      <c r="C86" s="609" t="s">
        <v>253</v>
      </c>
      <c r="D86" s="239">
        <v>72776947</v>
      </c>
      <c r="E86" s="239">
        <v>43666168</v>
      </c>
      <c r="F86" s="239">
        <v>29110779</v>
      </c>
      <c r="G86" s="239">
        <v>0</v>
      </c>
      <c r="H86" s="239">
        <v>145553894</v>
      </c>
      <c r="I86" s="239">
        <v>0</v>
      </c>
      <c r="J86" s="239">
        <v>0</v>
      </c>
      <c r="K86" s="239">
        <v>72776947</v>
      </c>
      <c r="L86" s="239">
        <v>490136</v>
      </c>
      <c r="M86" s="239">
        <v>490136</v>
      </c>
      <c r="N86" s="239">
        <v>0</v>
      </c>
      <c r="O86" s="239">
        <v>0</v>
      </c>
      <c r="P86" s="239">
        <v>0</v>
      </c>
      <c r="Q86" s="239">
        <v>0</v>
      </c>
      <c r="R86" s="239">
        <v>0</v>
      </c>
      <c r="S86" s="239">
        <v>0</v>
      </c>
      <c r="T86" s="239">
        <v>0</v>
      </c>
      <c r="U86" s="239">
        <v>0</v>
      </c>
      <c r="V86" s="239">
        <v>0</v>
      </c>
      <c r="W86" s="239">
        <v>9066260</v>
      </c>
      <c r="X86" s="239">
        <v>5439756</v>
      </c>
      <c r="Y86" s="239">
        <v>3626504</v>
      </c>
      <c r="Z86" s="239">
        <v>0</v>
      </c>
      <c r="AA86" s="239">
        <v>18132520</v>
      </c>
      <c r="AB86" s="239">
        <v>-4595476</v>
      </c>
      <c r="AC86" s="239">
        <v>-2757286</v>
      </c>
      <c r="AD86" s="239">
        <v>-1838190</v>
      </c>
      <c r="AE86" s="239">
        <v>0</v>
      </c>
      <c r="AF86" s="239">
        <v>-9190952</v>
      </c>
      <c r="AG86" s="239">
        <v>-6143176.4950000001</v>
      </c>
      <c r="AH86" s="239">
        <v>-3685905.7390000001</v>
      </c>
      <c r="AI86" s="239">
        <v>-2457270.8260000004</v>
      </c>
      <c r="AJ86" s="239">
        <v>0</v>
      </c>
      <c r="AK86" s="239">
        <v>-12286353.060000001</v>
      </c>
      <c r="AL86" s="239">
        <v>1589153</v>
      </c>
      <c r="AM86" s="239">
        <v>953492</v>
      </c>
      <c r="AN86" s="239">
        <v>635661</v>
      </c>
      <c r="AO86" s="239">
        <v>0</v>
      </c>
      <c r="AP86" s="239">
        <v>3178306</v>
      </c>
      <c r="AQ86" s="239">
        <v>-288596</v>
      </c>
      <c r="AR86" s="239">
        <v>-173157</v>
      </c>
      <c r="AS86" s="239">
        <v>-115438</v>
      </c>
      <c r="AT86" s="239">
        <v>0</v>
      </c>
      <c r="AU86" s="239">
        <v>-577191</v>
      </c>
      <c r="AV86" s="239">
        <v>-4842619.4950000001</v>
      </c>
      <c r="AW86" s="239">
        <v>-2905570.7390000001</v>
      </c>
      <c r="AX86" s="239">
        <v>-1937047.8260000004</v>
      </c>
      <c r="AY86" s="239">
        <v>0</v>
      </c>
      <c r="AZ86" s="239">
        <v>-9685238.0600000005</v>
      </c>
      <c r="BA86" s="239">
        <v>-7679125</v>
      </c>
      <c r="BB86" s="239">
        <v>-4607473</v>
      </c>
      <c r="BC86" s="239">
        <v>-3071651</v>
      </c>
      <c r="BD86" s="239">
        <v>0</v>
      </c>
      <c r="BE86" s="239">
        <v>-15358249</v>
      </c>
      <c r="BF86" s="239">
        <v>1320711</v>
      </c>
      <c r="BG86" s="239">
        <v>792427</v>
      </c>
      <c r="BH86" s="239">
        <v>528284</v>
      </c>
      <c r="BI86" s="239">
        <v>0</v>
      </c>
      <c r="BJ86" s="239">
        <v>2641422</v>
      </c>
      <c r="BK86" s="239">
        <v>-2188698</v>
      </c>
      <c r="BL86" s="239">
        <v>-1313219</v>
      </c>
      <c r="BM86" s="239">
        <v>-875479</v>
      </c>
      <c r="BN86" s="239">
        <v>0</v>
      </c>
      <c r="BO86" s="239">
        <v>-4377396</v>
      </c>
      <c r="BP86" s="239">
        <v>-8547112</v>
      </c>
      <c r="BQ86" s="239">
        <v>-5128265</v>
      </c>
      <c r="BR86" s="239">
        <v>-3418846</v>
      </c>
      <c r="BS86" s="239">
        <v>0</v>
      </c>
      <c r="BT86" s="239">
        <v>-17094223</v>
      </c>
      <c r="BU86" s="239">
        <v>17768531</v>
      </c>
      <c r="BV86" s="239">
        <v>10661119</v>
      </c>
      <c r="BW86" s="239">
        <v>7107413</v>
      </c>
      <c r="BX86" s="239">
        <v>0</v>
      </c>
      <c r="BY86" s="239">
        <v>35537063</v>
      </c>
      <c r="BZ86" s="239">
        <v>15757000</v>
      </c>
      <c r="CA86" s="239">
        <v>9454200</v>
      </c>
      <c r="CB86" s="239">
        <v>6302800</v>
      </c>
      <c r="CC86" s="239">
        <v>0</v>
      </c>
      <c r="CD86" s="239">
        <v>31514000</v>
      </c>
      <c r="CE86" s="239">
        <v>2011531</v>
      </c>
      <c r="CF86" s="239">
        <v>1206919</v>
      </c>
      <c r="CG86" s="239">
        <v>804613</v>
      </c>
      <c r="CH86" s="239">
        <v>0</v>
      </c>
      <c r="CI86" s="239">
        <v>4023063</v>
      </c>
      <c r="CJ86" s="239">
        <v>71509961</v>
      </c>
      <c r="CK86" s="239">
        <v>42905977</v>
      </c>
      <c r="CL86" s="239">
        <v>28603985</v>
      </c>
      <c r="CM86" s="239">
        <v>0</v>
      </c>
      <c r="CN86" s="239">
        <v>143019923</v>
      </c>
      <c r="CO86" s="239">
        <v>72776947</v>
      </c>
      <c r="CP86" s="239">
        <v>43666168</v>
      </c>
      <c r="CQ86" s="239">
        <v>29110779</v>
      </c>
      <c r="CR86" s="239">
        <v>0</v>
      </c>
      <c r="CS86" s="239">
        <v>145553894</v>
      </c>
      <c r="CT86" s="239">
        <v>1266986</v>
      </c>
      <c r="CU86" s="239">
        <v>760191</v>
      </c>
      <c r="CV86" s="239">
        <v>506794</v>
      </c>
      <c r="CW86" s="239">
        <v>0</v>
      </c>
      <c r="CX86" s="239">
        <v>2533971</v>
      </c>
      <c r="CY86" s="239">
        <v>3278517</v>
      </c>
      <c r="CZ86" s="239">
        <v>1967110</v>
      </c>
      <c r="DA86" s="239">
        <v>1311407</v>
      </c>
      <c r="DB86" s="239">
        <v>0</v>
      </c>
      <c r="DC86" s="239">
        <v>6557034</v>
      </c>
      <c r="DD86" s="641">
        <v>0.5</v>
      </c>
      <c r="DE86" s="641">
        <v>0.3</v>
      </c>
      <c r="DF86" s="641">
        <v>0.2</v>
      </c>
      <c r="DG86" s="641">
        <v>0</v>
      </c>
      <c r="DH86" s="641">
        <v>1</v>
      </c>
      <c r="DI86" s="214" t="s">
        <v>1191</v>
      </c>
    </row>
    <row r="87" spans="2:113" s="214" customFormat="1" x14ac:dyDescent="0.2">
      <c r="B87" s="609" t="s">
        <v>256</v>
      </c>
      <c r="C87" s="609" t="s">
        <v>255</v>
      </c>
      <c r="D87" s="239">
        <v>9817613</v>
      </c>
      <c r="E87" s="239">
        <v>7854090</v>
      </c>
      <c r="F87" s="239">
        <v>1767170</v>
      </c>
      <c r="G87" s="239">
        <v>196352</v>
      </c>
      <c r="H87" s="239">
        <v>19635225</v>
      </c>
      <c r="I87" s="239">
        <v>0</v>
      </c>
      <c r="J87" s="239">
        <v>0</v>
      </c>
      <c r="K87" s="239">
        <v>9817613</v>
      </c>
      <c r="L87" s="239">
        <v>94023</v>
      </c>
      <c r="M87" s="239">
        <v>94023</v>
      </c>
      <c r="N87" s="239">
        <v>0</v>
      </c>
      <c r="O87" s="239">
        <v>0</v>
      </c>
      <c r="P87" s="239">
        <v>278565</v>
      </c>
      <c r="Q87" s="239">
        <v>0</v>
      </c>
      <c r="R87" s="239">
        <v>278565</v>
      </c>
      <c r="S87" s="239">
        <v>0</v>
      </c>
      <c r="T87" s="239">
        <v>0</v>
      </c>
      <c r="U87" s="239">
        <v>0</v>
      </c>
      <c r="V87" s="239">
        <v>0</v>
      </c>
      <c r="W87" s="239">
        <v>381653</v>
      </c>
      <c r="X87" s="239">
        <v>305322</v>
      </c>
      <c r="Y87" s="239">
        <v>68698</v>
      </c>
      <c r="Z87" s="239">
        <v>7633</v>
      </c>
      <c r="AA87" s="239">
        <v>763306</v>
      </c>
      <c r="AB87" s="239">
        <v>-143675</v>
      </c>
      <c r="AC87" s="239">
        <v>-114940</v>
      </c>
      <c r="AD87" s="239">
        <v>-25861</v>
      </c>
      <c r="AE87" s="239">
        <v>-2873</v>
      </c>
      <c r="AF87" s="239">
        <v>-287349</v>
      </c>
      <c r="AG87" s="239">
        <v>-116335.47</v>
      </c>
      <c r="AH87" s="239">
        <v>-93069</v>
      </c>
      <c r="AI87" s="239">
        <v>-20941</v>
      </c>
      <c r="AJ87" s="239">
        <v>-2328</v>
      </c>
      <c r="AK87" s="239">
        <v>-232673.47</v>
      </c>
      <c r="AL87" s="239">
        <v>25662</v>
      </c>
      <c r="AM87" s="239">
        <v>20529</v>
      </c>
      <c r="AN87" s="239">
        <v>4619</v>
      </c>
      <c r="AO87" s="239">
        <v>513</v>
      </c>
      <c r="AP87" s="239">
        <v>51323</v>
      </c>
      <c r="AQ87" s="239">
        <v>-22647</v>
      </c>
      <c r="AR87" s="239">
        <v>-18118</v>
      </c>
      <c r="AS87" s="239">
        <v>-4076</v>
      </c>
      <c r="AT87" s="239">
        <v>-453</v>
      </c>
      <c r="AU87" s="239">
        <v>-45294</v>
      </c>
      <c r="AV87" s="239">
        <v>-113320.47</v>
      </c>
      <c r="AW87" s="239">
        <v>-90658</v>
      </c>
      <c r="AX87" s="239">
        <v>-20398</v>
      </c>
      <c r="AY87" s="239">
        <v>-2268</v>
      </c>
      <c r="AZ87" s="239">
        <v>-226644.47</v>
      </c>
      <c r="BA87" s="239">
        <v>-531559</v>
      </c>
      <c r="BB87" s="239">
        <v>-425246</v>
      </c>
      <c r="BC87" s="239">
        <v>-95680</v>
      </c>
      <c r="BD87" s="239">
        <v>-10632</v>
      </c>
      <c r="BE87" s="239">
        <v>-1063117</v>
      </c>
      <c r="BF87" s="239">
        <v>317554</v>
      </c>
      <c r="BG87" s="239">
        <v>254044</v>
      </c>
      <c r="BH87" s="239">
        <v>57160</v>
      </c>
      <c r="BI87" s="239">
        <v>6351</v>
      </c>
      <c r="BJ87" s="239">
        <v>635109</v>
      </c>
      <c r="BK87" s="239">
        <v>-244976</v>
      </c>
      <c r="BL87" s="239">
        <v>-195981</v>
      </c>
      <c r="BM87" s="239">
        <v>-44096</v>
      </c>
      <c r="BN87" s="239">
        <v>-4900</v>
      </c>
      <c r="BO87" s="239">
        <v>-489953</v>
      </c>
      <c r="BP87" s="239">
        <v>-458981</v>
      </c>
      <c r="BQ87" s="239">
        <v>-367183</v>
      </c>
      <c r="BR87" s="239">
        <v>-82616</v>
      </c>
      <c r="BS87" s="239">
        <v>-9181</v>
      </c>
      <c r="BT87" s="239">
        <v>-917961</v>
      </c>
      <c r="BU87" s="239">
        <v>299791</v>
      </c>
      <c r="BV87" s="239">
        <v>239832</v>
      </c>
      <c r="BW87" s="239">
        <v>53962</v>
      </c>
      <c r="BX87" s="239">
        <v>5996</v>
      </c>
      <c r="BY87" s="239">
        <v>599581</v>
      </c>
      <c r="BZ87" s="239">
        <v>395761</v>
      </c>
      <c r="CA87" s="239">
        <v>316608</v>
      </c>
      <c r="CB87" s="239">
        <v>71237</v>
      </c>
      <c r="CC87" s="239">
        <v>7915</v>
      </c>
      <c r="CD87" s="239">
        <v>791521</v>
      </c>
      <c r="CE87" s="239">
        <v>-95970</v>
      </c>
      <c r="CF87" s="239">
        <v>-76776</v>
      </c>
      <c r="CG87" s="239">
        <v>-17275</v>
      </c>
      <c r="CH87" s="239">
        <v>-1919</v>
      </c>
      <c r="CI87" s="239">
        <v>-191940</v>
      </c>
      <c r="CJ87" s="239">
        <v>9506425</v>
      </c>
      <c r="CK87" s="239">
        <v>7605140</v>
      </c>
      <c r="CL87" s="239">
        <v>1711156</v>
      </c>
      <c r="CM87" s="239">
        <v>190128</v>
      </c>
      <c r="CN87" s="239">
        <v>19012849</v>
      </c>
      <c r="CO87" s="239">
        <v>9817613</v>
      </c>
      <c r="CP87" s="239">
        <v>7854090</v>
      </c>
      <c r="CQ87" s="239">
        <v>1767170</v>
      </c>
      <c r="CR87" s="239">
        <v>196352</v>
      </c>
      <c r="CS87" s="239">
        <v>19635225</v>
      </c>
      <c r="CT87" s="239">
        <v>311188</v>
      </c>
      <c r="CU87" s="239">
        <v>248950</v>
      </c>
      <c r="CV87" s="239">
        <v>56014</v>
      </c>
      <c r="CW87" s="239">
        <v>6224</v>
      </c>
      <c r="CX87" s="239">
        <v>622376</v>
      </c>
      <c r="CY87" s="239">
        <v>215218</v>
      </c>
      <c r="CZ87" s="239">
        <v>172174</v>
      </c>
      <c r="DA87" s="239">
        <v>38739</v>
      </c>
      <c r="DB87" s="239">
        <v>4305</v>
      </c>
      <c r="DC87" s="239">
        <v>430436</v>
      </c>
      <c r="DD87" s="641">
        <v>0.5</v>
      </c>
      <c r="DE87" s="641">
        <v>0.4</v>
      </c>
      <c r="DF87" s="641">
        <v>0.09</v>
      </c>
      <c r="DG87" s="641">
        <v>0.01</v>
      </c>
      <c r="DH87" s="641">
        <v>1</v>
      </c>
      <c r="DI87" s="214" t="s">
        <v>1190</v>
      </c>
    </row>
    <row r="88" spans="2:113" s="214" customFormat="1" x14ac:dyDescent="0.2">
      <c r="B88" s="609" t="s">
        <v>258</v>
      </c>
      <c r="C88" s="609" t="s">
        <v>257</v>
      </c>
      <c r="D88" s="239">
        <v>17171040</v>
      </c>
      <c r="E88" s="239">
        <v>13736832</v>
      </c>
      <c r="F88" s="239">
        <v>3090787</v>
      </c>
      <c r="G88" s="239">
        <v>343421</v>
      </c>
      <c r="H88" s="239">
        <v>34342080</v>
      </c>
      <c r="I88" s="239">
        <v>0</v>
      </c>
      <c r="J88" s="239">
        <v>0</v>
      </c>
      <c r="K88" s="239">
        <v>17171040</v>
      </c>
      <c r="L88" s="239">
        <v>227426</v>
      </c>
      <c r="M88" s="239">
        <v>227426</v>
      </c>
      <c r="N88" s="239">
        <v>0</v>
      </c>
      <c r="O88" s="239">
        <v>0</v>
      </c>
      <c r="P88" s="239">
        <v>241980</v>
      </c>
      <c r="Q88" s="239">
        <v>0</v>
      </c>
      <c r="R88" s="239">
        <v>241980</v>
      </c>
      <c r="S88" s="239">
        <v>0</v>
      </c>
      <c r="T88" s="239">
        <v>0</v>
      </c>
      <c r="U88" s="239">
        <v>0</v>
      </c>
      <c r="V88" s="239">
        <v>0</v>
      </c>
      <c r="W88" s="239">
        <v>556732</v>
      </c>
      <c r="X88" s="239">
        <v>445386</v>
      </c>
      <c r="Y88" s="239">
        <v>100212</v>
      </c>
      <c r="Z88" s="239">
        <v>11135</v>
      </c>
      <c r="AA88" s="239">
        <v>1113465</v>
      </c>
      <c r="AB88" s="239">
        <v>-269721</v>
      </c>
      <c r="AC88" s="239">
        <v>-215777</v>
      </c>
      <c r="AD88" s="239">
        <v>-48550</v>
      </c>
      <c r="AE88" s="239">
        <v>-5394</v>
      </c>
      <c r="AF88" s="239">
        <v>-539442</v>
      </c>
      <c r="AG88" s="239">
        <v>-90674</v>
      </c>
      <c r="AH88" s="239">
        <v>-72540</v>
      </c>
      <c r="AI88" s="239">
        <v>-16322</v>
      </c>
      <c r="AJ88" s="239">
        <v>-1814</v>
      </c>
      <c r="AK88" s="239">
        <v>-181350</v>
      </c>
      <c r="AL88" s="239">
        <v>41430</v>
      </c>
      <c r="AM88" s="239">
        <v>33145</v>
      </c>
      <c r="AN88" s="239">
        <v>7458</v>
      </c>
      <c r="AO88" s="239">
        <v>829</v>
      </c>
      <c r="AP88" s="239">
        <v>82862</v>
      </c>
      <c r="AQ88" s="239">
        <v>-104793</v>
      </c>
      <c r="AR88" s="239">
        <v>-83835</v>
      </c>
      <c r="AS88" s="239">
        <v>-18863</v>
      </c>
      <c r="AT88" s="239">
        <v>-2096</v>
      </c>
      <c r="AU88" s="239">
        <v>-209587</v>
      </c>
      <c r="AV88" s="239">
        <v>-154037</v>
      </c>
      <c r="AW88" s="239">
        <v>-123230</v>
      </c>
      <c r="AX88" s="239">
        <v>-27727</v>
      </c>
      <c r="AY88" s="239">
        <v>-3081</v>
      </c>
      <c r="AZ88" s="239">
        <v>-308075</v>
      </c>
      <c r="BA88" s="239">
        <v>-1671454</v>
      </c>
      <c r="BB88" s="239">
        <v>-1337161</v>
      </c>
      <c r="BC88" s="239">
        <v>-300861</v>
      </c>
      <c r="BD88" s="239">
        <v>-33429</v>
      </c>
      <c r="BE88" s="239">
        <v>-3342905</v>
      </c>
      <c r="BF88" s="239">
        <v>895074</v>
      </c>
      <c r="BG88" s="239">
        <v>716060</v>
      </c>
      <c r="BH88" s="239">
        <v>161114</v>
      </c>
      <c r="BI88" s="239">
        <v>17902</v>
      </c>
      <c r="BJ88" s="239">
        <v>1790150</v>
      </c>
      <c r="BK88" s="239">
        <v>0</v>
      </c>
      <c r="BL88" s="239">
        <v>0</v>
      </c>
      <c r="BM88" s="239">
        <v>0</v>
      </c>
      <c r="BN88" s="239">
        <v>0</v>
      </c>
      <c r="BO88" s="239">
        <v>0</v>
      </c>
      <c r="BP88" s="239">
        <v>-776380</v>
      </c>
      <c r="BQ88" s="239">
        <v>-621101</v>
      </c>
      <c r="BR88" s="239">
        <v>-139747</v>
      </c>
      <c r="BS88" s="239">
        <v>-15527</v>
      </c>
      <c r="BT88" s="239">
        <v>-1552755</v>
      </c>
      <c r="BU88" s="239">
        <v>-803189</v>
      </c>
      <c r="BV88" s="239">
        <v>-642551</v>
      </c>
      <c r="BW88" s="239">
        <v>-144574</v>
      </c>
      <c r="BX88" s="239">
        <v>-16064</v>
      </c>
      <c r="BY88" s="239">
        <v>-1606378</v>
      </c>
      <c r="BZ88" s="239">
        <v>-662247</v>
      </c>
      <c r="CA88" s="239">
        <v>-529798</v>
      </c>
      <c r="CB88" s="239">
        <v>-119204</v>
      </c>
      <c r="CC88" s="239">
        <v>-13245</v>
      </c>
      <c r="CD88" s="239">
        <v>-1324494</v>
      </c>
      <c r="CE88" s="239">
        <v>-140942</v>
      </c>
      <c r="CF88" s="239">
        <v>-112753</v>
      </c>
      <c r="CG88" s="239">
        <v>-25370</v>
      </c>
      <c r="CH88" s="239">
        <v>-2819</v>
      </c>
      <c r="CI88" s="239">
        <v>-281884</v>
      </c>
      <c r="CJ88" s="239">
        <v>16654696</v>
      </c>
      <c r="CK88" s="239">
        <v>13323756</v>
      </c>
      <c r="CL88" s="239">
        <v>2997845</v>
      </c>
      <c r="CM88" s="239">
        <v>333094</v>
      </c>
      <c r="CN88" s="239">
        <v>33309391</v>
      </c>
      <c r="CO88" s="239">
        <v>17171040</v>
      </c>
      <c r="CP88" s="239">
        <v>13736832</v>
      </c>
      <c r="CQ88" s="239">
        <v>3090787</v>
      </c>
      <c r="CR88" s="239">
        <v>343421</v>
      </c>
      <c r="CS88" s="239">
        <v>34342080</v>
      </c>
      <c r="CT88" s="239">
        <v>516344</v>
      </c>
      <c r="CU88" s="239">
        <v>413076</v>
      </c>
      <c r="CV88" s="239">
        <v>92942</v>
      </c>
      <c r="CW88" s="239">
        <v>10327</v>
      </c>
      <c r="CX88" s="239">
        <v>1032689</v>
      </c>
      <c r="CY88" s="239">
        <v>375402</v>
      </c>
      <c r="CZ88" s="239">
        <v>300323</v>
      </c>
      <c r="DA88" s="239">
        <v>67572</v>
      </c>
      <c r="DB88" s="239">
        <v>7508</v>
      </c>
      <c r="DC88" s="239">
        <v>750805</v>
      </c>
      <c r="DD88" s="641">
        <v>0.5</v>
      </c>
      <c r="DE88" s="641">
        <v>0.4</v>
      </c>
      <c r="DF88" s="641">
        <v>0.09</v>
      </c>
      <c r="DG88" s="641">
        <v>0.01</v>
      </c>
      <c r="DH88" s="641">
        <v>1</v>
      </c>
      <c r="DI88" s="214" t="s">
        <v>1190</v>
      </c>
    </row>
    <row r="89" spans="2:113" s="214" customFormat="1" x14ac:dyDescent="0.2">
      <c r="B89" s="609" t="s">
        <v>260</v>
      </c>
      <c r="C89" s="609" t="s">
        <v>259</v>
      </c>
      <c r="D89" s="239">
        <v>11169058</v>
      </c>
      <c r="E89" s="239">
        <v>8935247</v>
      </c>
      <c r="F89" s="239">
        <v>2010431</v>
      </c>
      <c r="G89" s="239">
        <v>223381</v>
      </c>
      <c r="H89" s="239">
        <v>22338117</v>
      </c>
      <c r="I89" s="239">
        <v>0</v>
      </c>
      <c r="J89" s="239">
        <v>0</v>
      </c>
      <c r="K89" s="239">
        <v>11169058</v>
      </c>
      <c r="L89" s="239">
        <v>109195</v>
      </c>
      <c r="M89" s="239">
        <v>109195</v>
      </c>
      <c r="N89" s="239">
        <v>0</v>
      </c>
      <c r="O89" s="239">
        <v>0</v>
      </c>
      <c r="P89" s="239">
        <v>260420</v>
      </c>
      <c r="Q89" s="239">
        <v>0</v>
      </c>
      <c r="R89" s="239">
        <v>260420</v>
      </c>
      <c r="S89" s="239">
        <v>0</v>
      </c>
      <c r="T89" s="239">
        <v>0</v>
      </c>
      <c r="U89" s="239">
        <v>0</v>
      </c>
      <c r="V89" s="239">
        <v>0</v>
      </c>
      <c r="W89" s="239">
        <v>251194</v>
      </c>
      <c r="X89" s="239">
        <v>200956</v>
      </c>
      <c r="Y89" s="239">
        <v>45215</v>
      </c>
      <c r="Z89" s="239">
        <v>5024</v>
      </c>
      <c r="AA89" s="239">
        <v>502389</v>
      </c>
      <c r="AB89" s="239">
        <v>-80298</v>
      </c>
      <c r="AC89" s="239">
        <v>-64238</v>
      </c>
      <c r="AD89" s="239">
        <v>-14454</v>
      </c>
      <c r="AE89" s="239">
        <v>-1606</v>
      </c>
      <c r="AF89" s="239">
        <v>-160596</v>
      </c>
      <c r="AG89" s="239">
        <v>-165403.00000000003</v>
      </c>
      <c r="AH89" s="239">
        <v>-132323</v>
      </c>
      <c r="AI89" s="239">
        <v>-29773</v>
      </c>
      <c r="AJ89" s="239">
        <v>-3308</v>
      </c>
      <c r="AK89" s="239">
        <v>-330807</v>
      </c>
      <c r="AL89" s="239">
        <v>58941</v>
      </c>
      <c r="AM89" s="239">
        <v>47153</v>
      </c>
      <c r="AN89" s="239">
        <v>10609</v>
      </c>
      <c r="AO89" s="239">
        <v>1179</v>
      </c>
      <c r="AP89" s="239">
        <v>117882</v>
      </c>
      <c r="AQ89" s="239">
        <v>-50414</v>
      </c>
      <c r="AR89" s="239">
        <v>-40332</v>
      </c>
      <c r="AS89" s="239">
        <v>-9075</v>
      </c>
      <c r="AT89" s="239">
        <v>-1008</v>
      </c>
      <c r="AU89" s="239">
        <v>-100829</v>
      </c>
      <c r="AV89" s="239">
        <v>-156876.00000000003</v>
      </c>
      <c r="AW89" s="239">
        <v>-125502</v>
      </c>
      <c r="AX89" s="239">
        <v>-28239</v>
      </c>
      <c r="AY89" s="239">
        <v>-3137</v>
      </c>
      <c r="AZ89" s="239">
        <v>-313754</v>
      </c>
      <c r="BA89" s="239">
        <v>-1038817.4</v>
      </c>
      <c r="BB89" s="239">
        <v>-831054</v>
      </c>
      <c r="BC89" s="239">
        <v>-186987</v>
      </c>
      <c r="BD89" s="239">
        <v>-20776</v>
      </c>
      <c r="BE89" s="239">
        <v>-2077634.4</v>
      </c>
      <c r="BF89" s="239">
        <v>618709</v>
      </c>
      <c r="BG89" s="239">
        <v>494966</v>
      </c>
      <c r="BH89" s="239">
        <v>111367</v>
      </c>
      <c r="BI89" s="239">
        <v>12374</v>
      </c>
      <c r="BJ89" s="239">
        <v>1237416</v>
      </c>
      <c r="BK89" s="239">
        <v>-70796</v>
      </c>
      <c r="BL89" s="239">
        <v>-56636</v>
      </c>
      <c r="BM89" s="239">
        <v>-12743</v>
      </c>
      <c r="BN89" s="239">
        <v>-1416</v>
      </c>
      <c r="BO89" s="239">
        <v>-141591</v>
      </c>
      <c r="BP89" s="239">
        <v>-490904.4</v>
      </c>
      <c r="BQ89" s="239">
        <v>-392724</v>
      </c>
      <c r="BR89" s="239">
        <v>-88363</v>
      </c>
      <c r="BS89" s="239">
        <v>-9818</v>
      </c>
      <c r="BT89" s="239">
        <v>-981809.39999999991</v>
      </c>
      <c r="BU89" s="239">
        <v>-415451.73000000045</v>
      </c>
      <c r="BV89" s="239">
        <v>-332361</v>
      </c>
      <c r="BW89" s="239">
        <v>-74781</v>
      </c>
      <c r="BX89" s="239">
        <v>-8309</v>
      </c>
      <c r="BY89" s="239">
        <v>-830902.73000000045</v>
      </c>
      <c r="BZ89" s="239">
        <v>-151564</v>
      </c>
      <c r="CA89" s="239">
        <v>-121252</v>
      </c>
      <c r="CB89" s="239">
        <v>-27282</v>
      </c>
      <c r="CC89" s="239">
        <v>-3031</v>
      </c>
      <c r="CD89" s="239">
        <v>-303129</v>
      </c>
      <c r="CE89" s="239">
        <v>-263887.73000000045</v>
      </c>
      <c r="CF89" s="239">
        <v>-211109</v>
      </c>
      <c r="CG89" s="239">
        <v>-47499</v>
      </c>
      <c r="CH89" s="239">
        <v>-5278</v>
      </c>
      <c r="CI89" s="239">
        <v>-527773.73000000045</v>
      </c>
      <c r="CJ89" s="239">
        <v>10942169</v>
      </c>
      <c r="CK89" s="239">
        <v>8753736</v>
      </c>
      <c r="CL89" s="239">
        <v>1969591</v>
      </c>
      <c r="CM89" s="239">
        <v>218843</v>
      </c>
      <c r="CN89" s="239">
        <v>21884339</v>
      </c>
      <c r="CO89" s="239">
        <v>11169058</v>
      </c>
      <c r="CP89" s="239">
        <v>8935247</v>
      </c>
      <c r="CQ89" s="239">
        <v>2010431</v>
      </c>
      <c r="CR89" s="239">
        <v>223381</v>
      </c>
      <c r="CS89" s="239">
        <v>22338117</v>
      </c>
      <c r="CT89" s="239">
        <v>226889</v>
      </c>
      <c r="CU89" s="239">
        <v>181511</v>
      </c>
      <c r="CV89" s="239">
        <v>40840</v>
      </c>
      <c r="CW89" s="239">
        <v>4538</v>
      </c>
      <c r="CX89" s="239">
        <v>453778</v>
      </c>
      <c r="CY89" s="239">
        <v>-36998.730000000447</v>
      </c>
      <c r="CZ89" s="239">
        <v>-29598</v>
      </c>
      <c r="DA89" s="239">
        <v>-6659</v>
      </c>
      <c r="DB89" s="239">
        <v>-740</v>
      </c>
      <c r="DC89" s="239">
        <v>-73995.730000000447</v>
      </c>
      <c r="DD89" s="641">
        <v>0.5</v>
      </c>
      <c r="DE89" s="641">
        <v>0.4</v>
      </c>
      <c r="DF89" s="641">
        <v>0.09</v>
      </c>
      <c r="DG89" s="641">
        <v>0.01</v>
      </c>
      <c r="DH89" s="641">
        <v>1</v>
      </c>
      <c r="DI89" s="214" t="s">
        <v>1190</v>
      </c>
    </row>
    <row r="90" spans="2:113" s="214" customFormat="1" x14ac:dyDescent="0.2">
      <c r="B90" s="609" t="s">
        <v>262</v>
      </c>
      <c r="C90" s="609" t="s">
        <v>261</v>
      </c>
      <c r="D90" s="239">
        <v>13664893</v>
      </c>
      <c r="E90" s="239">
        <v>10931914</v>
      </c>
      <c r="F90" s="239">
        <v>2459681</v>
      </c>
      <c r="G90" s="239">
        <v>273298</v>
      </c>
      <c r="H90" s="239">
        <v>27329786</v>
      </c>
      <c r="I90" s="239">
        <v>0</v>
      </c>
      <c r="J90" s="239">
        <v>0</v>
      </c>
      <c r="K90" s="239">
        <v>13664893</v>
      </c>
      <c r="L90" s="239">
        <v>153391</v>
      </c>
      <c r="M90" s="239">
        <v>153391</v>
      </c>
      <c r="N90" s="239">
        <v>0</v>
      </c>
      <c r="O90" s="239">
        <v>0</v>
      </c>
      <c r="P90" s="239">
        <v>0</v>
      </c>
      <c r="Q90" s="239">
        <v>0</v>
      </c>
      <c r="R90" s="239">
        <v>0</v>
      </c>
      <c r="S90" s="239">
        <v>0</v>
      </c>
      <c r="T90" s="239">
        <v>0</v>
      </c>
      <c r="U90" s="239">
        <v>0</v>
      </c>
      <c r="V90" s="239">
        <v>0</v>
      </c>
      <c r="W90" s="239">
        <v>717019</v>
      </c>
      <c r="X90" s="239">
        <v>573616</v>
      </c>
      <c r="Y90" s="239">
        <v>129064</v>
      </c>
      <c r="Z90" s="239">
        <v>14340</v>
      </c>
      <c r="AA90" s="239">
        <v>1434039</v>
      </c>
      <c r="AB90" s="239">
        <v>-581691</v>
      </c>
      <c r="AC90" s="239">
        <v>-465352</v>
      </c>
      <c r="AD90" s="239">
        <v>-104704</v>
      </c>
      <c r="AE90" s="239">
        <v>-11634</v>
      </c>
      <c r="AF90" s="239">
        <v>-1163381</v>
      </c>
      <c r="AG90" s="239">
        <v>-170748</v>
      </c>
      <c r="AH90" s="239">
        <v>-136597</v>
      </c>
      <c r="AI90" s="239">
        <v>-30734</v>
      </c>
      <c r="AJ90" s="239">
        <v>-3415</v>
      </c>
      <c r="AK90" s="239">
        <v>-341494</v>
      </c>
      <c r="AL90" s="239">
        <v>105654</v>
      </c>
      <c r="AM90" s="239">
        <v>84523</v>
      </c>
      <c r="AN90" s="239">
        <v>19018</v>
      </c>
      <c r="AO90" s="239">
        <v>2113</v>
      </c>
      <c r="AP90" s="239">
        <v>211308</v>
      </c>
      <c r="AQ90" s="239">
        <v>-151000</v>
      </c>
      <c r="AR90" s="239">
        <v>-120800</v>
      </c>
      <c r="AS90" s="239">
        <v>-27180</v>
      </c>
      <c r="AT90" s="239">
        <v>-3020</v>
      </c>
      <c r="AU90" s="239">
        <v>-302000</v>
      </c>
      <c r="AV90" s="239">
        <v>-216094</v>
      </c>
      <c r="AW90" s="239">
        <v>-172874</v>
      </c>
      <c r="AX90" s="239">
        <v>-38896</v>
      </c>
      <c r="AY90" s="239">
        <v>-4322</v>
      </c>
      <c r="AZ90" s="239">
        <v>-432186</v>
      </c>
      <c r="BA90" s="239">
        <v>-952731</v>
      </c>
      <c r="BB90" s="239">
        <v>-762184</v>
      </c>
      <c r="BC90" s="239">
        <v>-171492</v>
      </c>
      <c r="BD90" s="239">
        <v>-19055</v>
      </c>
      <c r="BE90" s="239">
        <v>-1905462</v>
      </c>
      <c r="BF90" s="239">
        <v>375000</v>
      </c>
      <c r="BG90" s="239">
        <v>300000</v>
      </c>
      <c r="BH90" s="239">
        <v>67500</v>
      </c>
      <c r="BI90" s="239">
        <v>7500</v>
      </c>
      <c r="BJ90" s="239">
        <v>750000</v>
      </c>
      <c r="BK90" s="239">
        <v>-650000</v>
      </c>
      <c r="BL90" s="239">
        <v>-520000</v>
      </c>
      <c r="BM90" s="239">
        <v>-117000</v>
      </c>
      <c r="BN90" s="239">
        <v>-13000</v>
      </c>
      <c r="BO90" s="239">
        <v>-1300000</v>
      </c>
      <c r="BP90" s="239">
        <v>-1227731</v>
      </c>
      <c r="BQ90" s="239">
        <v>-982184</v>
      </c>
      <c r="BR90" s="239">
        <v>-220992</v>
      </c>
      <c r="BS90" s="239">
        <v>-24555</v>
      </c>
      <c r="BT90" s="239">
        <v>-2455462</v>
      </c>
      <c r="BU90" s="239">
        <v>-668153</v>
      </c>
      <c r="BV90" s="239">
        <v>-534522</v>
      </c>
      <c r="BW90" s="239">
        <v>-120268</v>
      </c>
      <c r="BX90" s="239">
        <v>-13363</v>
      </c>
      <c r="BY90" s="239">
        <v>-1336306</v>
      </c>
      <c r="BZ90" s="239">
        <v>-796734</v>
      </c>
      <c r="CA90" s="239">
        <v>-637387</v>
      </c>
      <c r="CB90" s="239">
        <v>-143412</v>
      </c>
      <c r="CC90" s="239">
        <v>-15935</v>
      </c>
      <c r="CD90" s="239">
        <v>-1593468</v>
      </c>
      <c r="CE90" s="239">
        <v>128581</v>
      </c>
      <c r="CF90" s="239">
        <v>102865</v>
      </c>
      <c r="CG90" s="239">
        <v>23144</v>
      </c>
      <c r="CH90" s="239">
        <v>2572</v>
      </c>
      <c r="CI90" s="239">
        <v>257162</v>
      </c>
      <c r="CJ90" s="239">
        <v>14809654</v>
      </c>
      <c r="CK90" s="239">
        <v>11847723</v>
      </c>
      <c r="CL90" s="239">
        <v>2665738</v>
      </c>
      <c r="CM90" s="239">
        <v>296193</v>
      </c>
      <c r="CN90" s="239">
        <v>29619308</v>
      </c>
      <c r="CO90" s="239">
        <v>13664893</v>
      </c>
      <c r="CP90" s="239">
        <v>10931914</v>
      </c>
      <c r="CQ90" s="239">
        <v>2459681</v>
      </c>
      <c r="CR90" s="239">
        <v>273298</v>
      </c>
      <c r="CS90" s="239">
        <v>27329786</v>
      </c>
      <c r="CT90" s="239">
        <v>-1144761</v>
      </c>
      <c r="CU90" s="239">
        <v>-915809</v>
      </c>
      <c r="CV90" s="239">
        <v>-206057</v>
      </c>
      <c r="CW90" s="239">
        <v>-22895</v>
      </c>
      <c r="CX90" s="239">
        <v>-2289522</v>
      </c>
      <c r="CY90" s="239">
        <v>-1016180</v>
      </c>
      <c r="CZ90" s="239">
        <v>-812944</v>
      </c>
      <c r="DA90" s="239">
        <v>-182913</v>
      </c>
      <c r="DB90" s="239">
        <v>-20323</v>
      </c>
      <c r="DC90" s="239">
        <v>-2032360</v>
      </c>
      <c r="DD90" s="641">
        <v>0.5</v>
      </c>
      <c r="DE90" s="641">
        <v>0.4</v>
      </c>
      <c r="DF90" s="641">
        <v>0.09</v>
      </c>
      <c r="DG90" s="641">
        <v>0.01</v>
      </c>
      <c r="DH90" s="641">
        <v>1</v>
      </c>
      <c r="DI90" s="214" t="s">
        <v>1190</v>
      </c>
    </row>
    <row r="91" spans="2:113" s="214" customFormat="1" x14ac:dyDescent="0.2">
      <c r="B91" s="609" t="s">
        <v>264</v>
      </c>
      <c r="C91" s="609" t="s">
        <v>263</v>
      </c>
      <c r="D91" s="239">
        <v>22068847</v>
      </c>
      <c r="E91" s="239">
        <v>17655077</v>
      </c>
      <c r="F91" s="239">
        <v>4413769</v>
      </c>
      <c r="G91" s="239">
        <v>0</v>
      </c>
      <c r="H91" s="239">
        <v>44137693</v>
      </c>
      <c r="I91" s="239">
        <v>0</v>
      </c>
      <c r="J91" s="239">
        <v>0</v>
      </c>
      <c r="K91" s="239">
        <v>22068847</v>
      </c>
      <c r="L91" s="239">
        <v>193935</v>
      </c>
      <c r="M91" s="239">
        <v>193935</v>
      </c>
      <c r="N91" s="239">
        <v>0</v>
      </c>
      <c r="O91" s="239">
        <v>0</v>
      </c>
      <c r="P91" s="239">
        <v>0</v>
      </c>
      <c r="Q91" s="239">
        <v>0</v>
      </c>
      <c r="R91" s="239">
        <v>0</v>
      </c>
      <c r="S91" s="239">
        <v>0</v>
      </c>
      <c r="T91" s="239">
        <v>0</v>
      </c>
      <c r="U91" s="239">
        <v>0</v>
      </c>
      <c r="V91" s="239">
        <v>0</v>
      </c>
      <c r="W91" s="239">
        <v>888055</v>
      </c>
      <c r="X91" s="239">
        <v>710444</v>
      </c>
      <c r="Y91" s="239">
        <v>177611</v>
      </c>
      <c r="Z91" s="239">
        <v>0</v>
      </c>
      <c r="AA91" s="239">
        <v>1776110</v>
      </c>
      <c r="AB91" s="239">
        <v>-333414</v>
      </c>
      <c r="AC91" s="239">
        <v>-266731</v>
      </c>
      <c r="AD91" s="239">
        <v>-66683</v>
      </c>
      <c r="AE91" s="239">
        <v>0</v>
      </c>
      <c r="AF91" s="239">
        <v>-666828</v>
      </c>
      <c r="AG91" s="239">
        <v>-566921</v>
      </c>
      <c r="AH91" s="239">
        <v>-453536</v>
      </c>
      <c r="AI91" s="239">
        <v>-113384</v>
      </c>
      <c r="AJ91" s="239">
        <v>0</v>
      </c>
      <c r="AK91" s="239">
        <v>-1133841</v>
      </c>
      <c r="AL91" s="239">
        <v>292802</v>
      </c>
      <c r="AM91" s="239">
        <v>234242</v>
      </c>
      <c r="AN91" s="239">
        <v>58561</v>
      </c>
      <c r="AO91" s="239">
        <v>0</v>
      </c>
      <c r="AP91" s="239">
        <v>585605</v>
      </c>
      <c r="AQ91" s="239">
        <v>-228121</v>
      </c>
      <c r="AR91" s="239">
        <v>-182496</v>
      </c>
      <c r="AS91" s="239">
        <v>-45624</v>
      </c>
      <c r="AT91" s="239">
        <v>0</v>
      </c>
      <c r="AU91" s="239">
        <v>-456241</v>
      </c>
      <c r="AV91" s="239">
        <v>-502240</v>
      </c>
      <c r="AW91" s="239">
        <v>-401790</v>
      </c>
      <c r="AX91" s="239">
        <v>-100447</v>
      </c>
      <c r="AY91" s="239">
        <v>0</v>
      </c>
      <c r="AZ91" s="239">
        <v>-1004477</v>
      </c>
      <c r="BA91" s="239">
        <v>-3162742</v>
      </c>
      <c r="BB91" s="239">
        <v>-2530193</v>
      </c>
      <c r="BC91" s="239">
        <v>-632549</v>
      </c>
      <c r="BD91" s="239">
        <v>0</v>
      </c>
      <c r="BE91" s="239">
        <v>-6325484</v>
      </c>
      <c r="BF91" s="239">
        <v>142198</v>
      </c>
      <c r="BG91" s="239">
        <v>113758</v>
      </c>
      <c r="BH91" s="239">
        <v>28440</v>
      </c>
      <c r="BI91" s="239">
        <v>0</v>
      </c>
      <c r="BJ91" s="239">
        <v>284396</v>
      </c>
      <c r="BK91" s="239">
        <v>-374899</v>
      </c>
      <c r="BL91" s="239">
        <v>-299920</v>
      </c>
      <c r="BM91" s="239">
        <v>-74980</v>
      </c>
      <c r="BN91" s="239">
        <v>0</v>
      </c>
      <c r="BO91" s="239">
        <v>-749799</v>
      </c>
      <c r="BP91" s="239">
        <v>-3395443</v>
      </c>
      <c r="BQ91" s="239">
        <v>-2716355</v>
      </c>
      <c r="BR91" s="239">
        <v>-679089</v>
      </c>
      <c r="BS91" s="239">
        <v>0</v>
      </c>
      <c r="BT91" s="239">
        <v>-6790887</v>
      </c>
      <c r="BU91" s="239">
        <v>-2923902</v>
      </c>
      <c r="BV91" s="239">
        <v>-2339122</v>
      </c>
      <c r="BW91" s="239">
        <v>-584781</v>
      </c>
      <c r="BX91" s="239">
        <v>0</v>
      </c>
      <c r="BY91" s="239">
        <v>-5847805</v>
      </c>
      <c r="BZ91" s="239">
        <v>-2837986</v>
      </c>
      <c r="CA91" s="239">
        <v>-2270389</v>
      </c>
      <c r="CB91" s="239">
        <v>-567597</v>
      </c>
      <c r="CC91" s="239">
        <v>0</v>
      </c>
      <c r="CD91" s="239">
        <v>-5675972</v>
      </c>
      <c r="CE91" s="239">
        <v>-85916</v>
      </c>
      <c r="CF91" s="239">
        <v>-68733</v>
      </c>
      <c r="CG91" s="239">
        <v>-17184</v>
      </c>
      <c r="CH91" s="239">
        <v>0</v>
      </c>
      <c r="CI91" s="239">
        <v>-171833</v>
      </c>
      <c r="CJ91" s="239">
        <v>22233490</v>
      </c>
      <c r="CK91" s="239">
        <v>17786792</v>
      </c>
      <c r="CL91" s="239">
        <v>4446698</v>
      </c>
      <c r="CM91" s="239">
        <v>0</v>
      </c>
      <c r="CN91" s="239">
        <v>44466980</v>
      </c>
      <c r="CO91" s="239">
        <v>22068847</v>
      </c>
      <c r="CP91" s="239">
        <v>17655077</v>
      </c>
      <c r="CQ91" s="239">
        <v>4413769</v>
      </c>
      <c r="CR91" s="239">
        <v>0</v>
      </c>
      <c r="CS91" s="239">
        <v>44137693</v>
      </c>
      <c r="CT91" s="239">
        <v>-164643</v>
      </c>
      <c r="CU91" s="239">
        <v>-131715</v>
      </c>
      <c r="CV91" s="239">
        <v>-32929</v>
      </c>
      <c r="CW91" s="239">
        <v>0</v>
      </c>
      <c r="CX91" s="239">
        <v>-329287</v>
      </c>
      <c r="CY91" s="239">
        <v>-250559</v>
      </c>
      <c r="CZ91" s="239">
        <v>-200448</v>
      </c>
      <c r="DA91" s="239">
        <v>-50113</v>
      </c>
      <c r="DB91" s="239">
        <v>0</v>
      </c>
      <c r="DC91" s="239">
        <v>-501120</v>
      </c>
      <c r="DD91" s="641">
        <v>0.5</v>
      </c>
      <c r="DE91" s="641">
        <v>0.4</v>
      </c>
      <c r="DF91" s="641">
        <v>0.1</v>
      </c>
      <c r="DG91" s="641">
        <v>0</v>
      </c>
      <c r="DH91" s="641">
        <v>1</v>
      </c>
      <c r="DI91" s="214" t="s">
        <v>1190</v>
      </c>
    </row>
    <row r="92" spans="2:113" s="214" customFormat="1" x14ac:dyDescent="0.2">
      <c r="B92" s="609" t="s">
        <v>266</v>
      </c>
      <c r="C92" s="609" t="s">
        <v>265</v>
      </c>
      <c r="D92" s="239">
        <v>17462878</v>
      </c>
      <c r="E92" s="239">
        <v>13970302</v>
      </c>
      <c r="F92" s="239">
        <v>3492576</v>
      </c>
      <c r="G92" s="239">
        <v>0</v>
      </c>
      <c r="H92" s="239">
        <v>34925756</v>
      </c>
      <c r="I92" s="239">
        <v>0</v>
      </c>
      <c r="J92" s="239">
        <v>0</v>
      </c>
      <c r="K92" s="239">
        <v>17462878</v>
      </c>
      <c r="L92" s="239">
        <v>268877</v>
      </c>
      <c r="M92" s="239">
        <v>268877</v>
      </c>
      <c r="N92" s="239">
        <v>0</v>
      </c>
      <c r="O92" s="239">
        <v>0</v>
      </c>
      <c r="P92" s="239">
        <v>560839</v>
      </c>
      <c r="Q92" s="239">
        <v>55275</v>
      </c>
      <c r="R92" s="239">
        <v>616114</v>
      </c>
      <c r="S92" s="239">
        <v>0</v>
      </c>
      <c r="T92" s="239">
        <v>0</v>
      </c>
      <c r="U92" s="239">
        <v>0</v>
      </c>
      <c r="V92" s="239">
        <v>0</v>
      </c>
      <c r="W92" s="239">
        <v>1435233</v>
      </c>
      <c r="X92" s="239">
        <v>1148186</v>
      </c>
      <c r="Y92" s="239">
        <v>287047</v>
      </c>
      <c r="Z92" s="239">
        <v>0</v>
      </c>
      <c r="AA92" s="239">
        <v>2870466</v>
      </c>
      <c r="AB92" s="239">
        <v>-374739</v>
      </c>
      <c r="AC92" s="239">
        <v>-299792</v>
      </c>
      <c r="AD92" s="239">
        <v>-74948</v>
      </c>
      <c r="AE92" s="239">
        <v>0</v>
      </c>
      <c r="AF92" s="239">
        <v>-749479</v>
      </c>
      <c r="AG92" s="239">
        <v>-522000</v>
      </c>
      <c r="AH92" s="239">
        <v>-417599</v>
      </c>
      <c r="AI92" s="239">
        <v>-104400</v>
      </c>
      <c r="AJ92" s="239">
        <v>0</v>
      </c>
      <c r="AK92" s="239">
        <v>-1043999</v>
      </c>
      <c r="AL92" s="239">
        <v>257388</v>
      </c>
      <c r="AM92" s="239">
        <v>205911</v>
      </c>
      <c r="AN92" s="239">
        <v>51478</v>
      </c>
      <c r="AO92" s="239">
        <v>0</v>
      </c>
      <c r="AP92" s="239">
        <v>514777</v>
      </c>
      <c r="AQ92" s="239">
        <v>-342888</v>
      </c>
      <c r="AR92" s="239">
        <v>-274310</v>
      </c>
      <c r="AS92" s="239">
        <v>-68578</v>
      </c>
      <c r="AT92" s="239">
        <v>0</v>
      </c>
      <c r="AU92" s="239">
        <v>-685776</v>
      </c>
      <c r="AV92" s="239">
        <v>-607500</v>
      </c>
      <c r="AW92" s="239">
        <v>-485998</v>
      </c>
      <c r="AX92" s="239">
        <v>-121500</v>
      </c>
      <c r="AY92" s="239">
        <v>0</v>
      </c>
      <c r="AZ92" s="239">
        <v>-1214998</v>
      </c>
      <c r="BA92" s="239">
        <v>-1615473</v>
      </c>
      <c r="BB92" s="239">
        <v>-1292380</v>
      </c>
      <c r="BC92" s="239">
        <v>-323094</v>
      </c>
      <c r="BD92" s="239">
        <v>0</v>
      </c>
      <c r="BE92" s="239">
        <v>-3230947</v>
      </c>
      <c r="BF92" s="239">
        <v>95685</v>
      </c>
      <c r="BG92" s="239">
        <v>76548</v>
      </c>
      <c r="BH92" s="239">
        <v>19137</v>
      </c>
      <c r="BI92" s="239">
        <v>0</v>
      </c>
      <c r="BJ92" s="239">
        <v>191370</v>
      </c>
      <c r="BK92" s="239">
        <v>69356</v>
      </c>
      <c r="BL92" s="239">
        <v>55485</v>
      </c>
      <c r="BM92" s="239">
        <v>13871</v>
      </c>
      <c r="BN92" s="239">
        <v>0</v>
      </c>
      <c r="BO92" s="239">
        <v>138712</v>
      </c>
      <c r="BP92" s="239">
        <v>-1450432</v>
      </c>
      <c r="BQ92" s="239">
        <v>-1160347</v>
      </c>
      <c r="BR92" s="239">
        <v>-290086</v>
      </c>
      <c r="BS92" s="239">
        <v>0</v>
      </c>
      <c r="BT92" s="239">
        <v>-2900865</v>
      </c>
      <c r="BU92" s="239">
        <v>-1875872</v>
      </c>
      <c r="BV92" s="239">
        <v>-1500698</v>
      </c>
      <c r="BW92" s="239">
        <v>-375174</v>
      </c>
      <c r="BX92" s="239">
        <v>0</v>
      </c>
      <c r="BY92" s="239">
        <v>-3751744</v>
      </c>
      <c r="BZ92" s="239">
        <v>-1974694</v>
      </c>
      <c r="CA92" s="239">
        <v>-1579756</v>
      </c>
      <c r="CB92" s="239">
        <v>-394939</v>
      </c>
      <c r="CC92" s="239">
        <v>0</v>
      </c>
      <c r="CD92" s="239">
        <v>-3949389</v>
      </c>
      <c r="CE92" s="239">
        <v>98822</v>
      </c>
      <c r="CF92" s="239">
        <v>79058</v>
      </c>
      <c r="CG92" s="239">
        <v>19765</v>
      </c>
      <c r="CH92" s="239">
        <v>0</v>
      </c>
      <c r="CI92" s="239">
        <v>197645</v>
      </c>
      <c r="CJ92" s="239">
        <v>16890214</v>
      </c>
      <c r="CK92" s="239">
        <v>13512171</v>
      </c>
      <c r="CL92" s="239">
        <v>3378043</v>
      </c>
      <c r="CM92" s="239">
        <v>0</v>
      </c>
      <c r="CN92" s="239">
        <v>33780428</v>
      </c>
      <c r="CO92" s="239">
        <v>17462878</v>
      </c>
      <c r="CP92" s="239">
        <v>13970302</v>
      </c>
      <c r="CQ92" s="239">
        <v>3492576</v>
      </c>
      <c r="CR92" s="239">
        <v>0</v>
      </c>
      <c r="CS92" s="239">
        <v>34925756</v>
      </c>
      <c r="CT92" s="239">
        <v>572664</v>
      </c>
      <c r="CU92" s="239">
        <v>458131</v>
      </c>
      <c r="CV92" s="239">
        <v>114533</v>
      </c>
      <c r="CW92" s="239">
        <v>0</v>
      </c>
      <c r="CX92" s="239">
        <v>1145328</v>
      </c>
      <c r="CY92" s="239">
        <v>671486</v>
      </c>
      <c r="CZ92" s="239">
        <v>537189</v>
      </c>
      <c r="DA92" s="239">
        <v>134298</v>
      </c>
      <c r="DB92" s="239">
        <v>0</v>
      </c>
      <c r="DC92" s="239">
        <v>1342973</v>
      </c>
      <c r="DD92" s="641">
        <v>0.5</v>
      </c>
      <c r="DE92" s="641">
        <v>0.4</v>
      </c>
      <c r="DF92" s="641">
        <v>0.1</v>
      </c>
      <c r="DG92" s="641">
        <v>0</v>
      </c>
      <c r="DH92" s="641">
        <v>1</v>
      </c>
      <c r="DI92" s="214" t="s">
        <v>1190</v>
      </c>
    </row>
    <row r="93" spans="2:113" s="214" customFormat="1" x14ac:dyDescent="0.2">
      <c r="B93" s="609" t="s">
        <v>268</v>
      </c>
      <c r="C93" s="609" t="s">
        <v>267</v>
      </c>
      <c r="D93" s="239">
        <v>11499216</v>
      </c>
      <c r="E93" s="239">
        <v>9199372</v>
      </c>
      <c r="F93" s="239">
        <v>2299843</v>
      </c>
      <c r="G93" s="239">
        <v>0</v>
      </c>
      <c r="H93" s="239">
        <v>22998431</v>
      </c>
      <c r="I93" s="239">
        <v>0</v>
      </c>
      <c r="J93" s="239">
        <v>0</v>
      </c>
      <c r="K93" s="239">
        <v>11499216</v>
      </c>
      <c r="L93" s="239">
        <v>100187</v>
      </c>
      <c r="M93" s="239">
        <v>100187</v>
      </c>
      <c r="N93" s="239">
        <v>0</v>
      </c>
      <c r="O93" s="239">
        <v>0</v>
      </c>
      <c r="P93" s="239">
        <v>468423</v>
      </c>
      <c r="Q93" s="239">
        <v>0</v>
      </c>
      <c r="R93" s="239">
        <v>468423</v>
      </c>
      <c r="S93" s="239">
        <v>0</v>
      </c>
      <c r="T93" s="239">
        <v>0</v>
      </c>
      <c r="U93" s="239">
        <v>0</v>
      </c>
      <c r="V93" s="239">
        <v>0</v>
      </c>
      <c r="W93" s="239">
        <v>134777</v>
      </c>
      <c r="X93" s="239">
        <v>107821</v>
      </c>
      <c r="Y93" s="239">
        <v>26955</v>
      </c>
      <c r="Z93" s="239">
        <v>0</v>
      </c>
      <c r="AA93" s="239">
        <v>269553</v>
      </c>
      <c r="AB93" s="239">
        <v>-148763</v>
      </c>
      <c r="AC93" s="239">
        <v>-119011</v>
      </c>
      <c r="AD93" s="239">
        <v>-29753</v>
      </c>
      <c r="AE93" s="239">
        <v>0</v>
      </c>
      <c r="AF93" s="239">
        <v>-297527</v>
      </c>
      <c r="AG93" s="239">
        <v>-60080</v>
      </c>
      <c r="AH93" s="239">
        <v>-48062</v>
      </c>
      <c r="AI93" s="239">
        <v>-12015</v>
      </c>
      <c r="AJ93" s="239">
        <v>0</v>
      </c>
      <c r="AK93" s="239">
        <v>-120157</v>
      </c>
      <c r="AL93" s="239">
        <v>43176</v>
      </c>
      <c r="AM93" s="239">
        <v>34540</v>
      </c>
      <c r="AN93" s="239">
        <v>8635</v>
      </c>
      <c r="AO93" s="239">
        <v>0</v>
      </c>
      <c r="AP93" s="239">
        <v>86351</v>
      </c>
      <c r="AQ93" s="239">
        <v>-49474</v>
      </c>
      <c r="AR93" s="239">
        <v>-39579</v>
      </c>
      <c r="AS93" s="239">
        <v>-9895</v>
      </c>
      <c r="AT93" s="239">
        <v>0</v>
      </c>
      <c r="AU93" s="239">
        <v>-98948</v>
      </c>
      <c r="AV93" s="239">
        <v>-66378</v>
      </c>
      <c r="AW93" s="239">
        <v>-53101</v>
      </c>
      <c r="AX93" s="239">
        <v>-13275</v>
      </c>
      <c r="AY93" s="239">
        <v>0</v>
      </c>
      <c r="AZ93" s="239">
        <v>-132754</v>
      </c>
      <c r="BA93" s="239">
        <v>-992864</v>
      </c>
      <c r="BB93" s="239">
        <v>-794291</v>
      </c>
      <c r="BC93" s="239">
        <v>-198573</v>
      </c>
      <c r="BD93" s="239">
        <v>0</v>
      </c>
      <c r="BE93" s="239">
        <v>-1985728</v>
      </c>
      <c r="BF93" s="239">
        <v>283584</v>
      </c>
      <c r="BG93" s="239">
        <v>226867</v>
      </c>
      <c r="BH93" s="239">
        <v>56717</v>
      </c>
      <c r="BI93" s="239">
        <v>0</v>
      </c>
      <c r="BJ93" s="239">
        <v>567168</v>
      </c>
      <c r="BK93" s="239">
        <v>-616601</v>
      </c>
      <c r="BL93" s="239">
        <v>-493280</v>
      </c>
      <c r="BM93" s="239">
        <v>-123320</v>
      </c>
      <c r="BN93" s="239">
        <v>0</v>
      </c>
      <c r="BO93" s="239">
        <v>-1233201</v>
      </c>
      <c r="BP93" s="239">
        <v>-1325881</v>
      </c>
      <c r="BQ93" s="239">
        <v>-1060704</v>
      </c>
      <c r="BR93" s="239">
        <v>-265176</v>
      </c>
      <c r="BS93" s="239">
        <v>0</v>
      </c>
      <c r="BT93" s="239">
        <v>-2651761</v>
      </c>
      <c r="BU93" s="239">
        <v>-427641</v>
      </c>
      <c r="BV93" s="239">
        <v>-342112</v>
      </c>
      <c r="BW93" s="239">
        <v>-85528</v>
      </c>
      <c r="BX93" s="239">
        <v>0</v>
      </c>
      <c r="BY93" s="239">
        <v>-855281</v>
      </c>
      <c r="BZ93" s="239">
        <v>-361604</v>
      </c>
      <c r="CA93" s="239">
        <v>-289283</v>
      </c>
      <c r="CB93" s="239">
        <v>-72321</v>
      </c>
      <c r="CC93" s="239">
        <v>0</v>
      </c>
      <c r="CD93" s="239">
        <v>-723208</v>
      </c>
      <c r="CE93" s="239">
        <v>-66037</v>
      </c>
      <c r="CF93" s="239">
        <v>-52829</v>
      </c>
      <c r="CG93" s="239">
        <v>-13207</v>
      </c>
      <c r="CH93" s="239">
        <v>0</v>
      </c>
      <c r="CI93" s="239">
        <v>-132073</v>
      </c>
      <c r="CJ93" s="239">
        <v>11577641</v>
      </c>
      <c r="CK93" s="239">
        <v>9262112</v>
      </c>
      <c r="CL93" s="239">
        <v>2315528</v>
      </c>
      <c r="CM93" s="239">
        <v>0</v>
      </c>
      <c r="CN93" s="239">
        <v>23155281</v>
      </c>
      <c r="CO93" s="239">
        <v>11499216</v>
      </c>
      <c r="CP93" s="239">
        <v>9199372</v>
      </c>
      <c r="CQ93" s="239">
        <v>2299843</v>
      </c>
      <c r="CR93" s="239">
        <v>0</v>
      </c>
      <c r="CS93" s="239">
        <v>22998431</v>
      </c>
      <c r="CT93" s="239">
        <v>-78425</v>
      </c>
      <c r="CU93" s="239">
        <v>-62740</v>
      </c>
      <c r="CV93" s="239">
        <v>-15685</v>
      </c>
      <c r="CW93" s="239">
        <v>0</v>
      </c>
      <c r="CX93" s="239">
        <v>-156850</v>
      </c>
      <c r="CY93" s="239">
        <v>-144462</v>
      </c>
      <c r="CZ93" s="239">
        <v>-115569</v>
      </c>
      <c r="DA93" s="239">
        <v>-28892</v>
      </c>
      <c r="DB93" s="239">
        <v>0</v>
      </c>
      <c r="DC93" s="239">
        <v>-288923</v>
      </c>
      <c r="DD93" s="641">
        <v>0.5</v>
      </c>
      <c r="DE93" s="641">
        <v>0.4</v>
      </c>
      <c r="DF93" s="641">
        <v>0.1</v>
      </c>
      <c r="DG93" s="641">
        <v>0</v>
      </c>
      <c r="DH93" s="641">
        <v>1</v>
      </c>
      <c r="DI93" s="214" t="s">
        <v>1190</v>
      </c>
    </row>
    <row r="94" spans="2:113" s="214" customFormat="1" x14ac:dyDescent="0.2">
      <c r="B94" s="609" t="s">
        <v>270</v>
      </c>
      <c r="C94" s="609" t="s">
        <v>269</v>
      </c>
      <c r="D94" s="239">
        <v>52817082</v>
      </c>
      <c r="E94" s="239">
        <v>51760740</v>
      </c>
      <c r="F94" s="239">
        <v>0</v>
      </c>
      <c r="G94" s="239">
        <v>1056342</v>
      </c>
      <c r="H94" s="239">
        <v>105634164</v>
      </c>
      <c r="I94" s="239">
        <v>96998.36880165289</v>
      </c>
      <c r="J94" s="239">
        <v>96998.36880165289</v>
      </c>
      <c r="K94" s="239">
        <v>52720083.631198347</v>
      </c>
      <c r="L94" s="239">
        <v>445553</v>
      </c>
      <c r="M94" s="239">
        <v>445553</v>
      </c>
      <c r="N94" s="239">
        <v>883</v>
      </c>
      <c r="O94" s="239">
        <v>883</v>
      </c>
      <c r="P94" s="239">
        <v>3754186</v>
      </c>
      <c r="Q94" s="239">
        <v>0</v>
      </c>
      <c r="R94" s="239">
        <v>3754186</v>
      </c>
      <c r="S94" s="239">
        <v>95058.401425619842</v>
      </c>
      <c r="T94" s="239">
        <v>0</v>
      </c>
      <c r="U94" s="239">
        <v>1939.9673760330579</v>
      </c>
      <c r="V94" s="239">
        <v>96998.36880165289</v>
      </c>
      <c r="W94" s="239">
        <v>1880591</v>
      </c>
      <c r="X94" s="239">
        <v>1842980</v>
      </c>
      <c r="Y94" s="239">
        <v>0</v>
      </c>
      <c r="Z94" s="239">
        <v>37612</v>
      </c>
      <c r="AA94" s="239">
        <v>3761183</v>
      </c>
      <c r="AB94" s="239">
        <v>-1127227</v>
      </c>
      <c r="AC94" s="239">
        <v>-1104682</v>
      </c>
      <c r="AD94" s="239">
        <v>0</v>
      </c>
      <c r="AE94" s="239">
        <v>-22545</v>
      </c>
      <c r="AF94" s="239">
        <v>-2254454</v>
      </c>
      <c r="AG94" s="239">
        <v>-872572</v>
      </c>
      <c r="AH94" s="239">
        <v>-855120</v>
      </c>
      <c r="AI94" s="239">
        <v>0</v>
      </c>
      <c r="AJ94" s="239">
        <v>-17451</v>
      </c>
      <c r="AK94" s="239">
        <v>-1745143</v>
      </c>
      <c r="AL94" s="239">
        <v>187948</v>
      </c>
      <c r="AM94" s="239">
        <v>184190</v>
      </c>
      <c r="AN94" s="239">
        <v>0</v>
      </c>
      <c r="AO94" s="239">
        <v>3759</v>
      </c>
      <c r="AP94" s="239">
        <v>375897</v>
      </c>
      <c r="AQ94" s="239">
        <v>-269525</v>
      </c>
      <c r="AR94" s="239">
        <v>-264135</v>
      </c>
      <c r="AS94" s="239">
        <v>0</v>
      </c>
      <c r="AT94" s="239">
        <v>-5391</v>
      </c>
      <c r="AU94" s="239">
        <v>-539051</v>
      </c>
      <c r="AV94" s="239">
        <v>-954149</v>
      </c>
      <c r="AW94" s="239">
        <v>-935065</v>
      </c>
      <c r="AX94" s="239">
        <v>0</v>
      </c>
      <c r="AY94" s="239">
        <v>-19083</v>
      </c>
      <c r="AZ94" s="239">
        <v>-1908297</v>
      </c>
      <c r="BA94" s="239">
        <v>-2428700</v>
      </c>
      <c r="BB94" s="239">
        <v>-2380124</v>
      </c>
      <c r="BC94" s="239">
        <v>0</v>
      </c>
      <c r="BD94" s="239">
        <v>-48574</v>
      </c>
      <c r="BE94" s="239">
        <v>-4857398</v>
      </c>
      <c r="BF94" s="239">
        <v>1735282</v>
      </c>
      <c r="BG94" s="239">
        <v>1700577</v>
      </c>
      <c r="BH94" s="239">
        <v>0</v>
      </c>
      <c r="BI94" s="239">
        <v>34706</v>
      </c>
      <c r="BJ94" s="239">
        <v>3470565</v>
      </c>
      <c r="BK94" s="239">
        <v>-1443428</v>
      </c>
      <c r="BL94" s="239">
        <v>-1414560</v>
      </c>
      <c r="BM94" s="239">
        <v>0</v>
      </c>
      <c r="BN94" s="239">
        <v>-28869</v>
      </c>
      <c r="BO94" s="239">
        <v>-2886857</v>
      </c>
      <c r="BP94" s="239">
        <v>-2136846</v>
      </c>
      <c r="BQ94" s="239">
        <v>-2094107</v>
      </c>
      <c r="BR94" s="239">
        <v>0</v>
      </c>
      <c r="BS94" s="239">
        <v>-42737</v>
      </c>
      <c r="BT94" s="239">
        <v>-4273690</v>
      </c>
      <c r="BU94" s="239">
        <v>1471344</v>
      </c>
      <c r="BV94" s="239">
        <v>1441917</v>
      </c>
      <c r="BW94" s="239">
        <v>0</v>
      </c>
      <c r="BX94" s="239">
        <v>29427</v>
      </c>
      <c r="BY94" s="239">
        <v>2942688</v>
      </c>
      <c r="BZ94" s="239">
        <v>2008342</v>
      </c>
      <c r="CA94" s="239">
        <v>1968176</v>
      </c>
      <c r="CB94" s="239">
        <v>0</v>
      </c>
      <c r="CC94" s="239">
        <v>40167</v>
      </c>
      <c r="CD94" s="239">
        <v>4016685</v>
      </c>
      <c r="CE94" s="239">
        <v>-536998</v>
      </c>
      <c r="CF94" s="239">
        <v>-526259</v>
      </c>
      <c r="CG94" s="239">
        <v>0</v>
      </c>
      <c r="CH94" s="239">
        <v>-10740</v>
      </c>
      <c r="CI94" s="239">
        <v>-1073997</v>
      </c>
      <c r="CJ94" s="239">
        <v>52954829</v>
      </c>
      <c r="CK94" s="239">
        <v>51895733</v>
      </c>
      <c r="CL94" s="239">
        <v>0</v>
      </c>
      <c r="CM94" s="239">
        <v>1059097</v>
      </c>
      <c r="CN94" s="239">
        <v>105909659</v>
      </c>
      <c r="CO94" s="239">
        <v>52817082</v>
      </c>
      <c r="CP94" s="239">
        <v>51760740</v>
      </c>
      <c r="CQ94" s="239">
        <v>0</v>
      </c>
      <c r="CR94" s="239">
        <v>1056342</v>
      </c>
      <c r="CS94" s="239">
        <v>105634164</v>
      </c>
      <c r="CT94" s="239">
        <v>-137747</v>
      </c>
      <c r="CU94" s="239">
        <v>-134993</v>
      </c>
      <c r="CV94" s="239">
        <v>0</v>
      </c>
      <c r="CW94" s="239">
        <v>-2755</v>
      </c>
      <c r="CX94" s="239">
        <v>-275495</v>
      </c>
      <c r="CY94" s="239">
        <v>-674745</v>
      </c>
      <c r="CZ94" s="239">
        <v>-661252</v>
      </c>
      <c r="DA94" s="239">
        <v>0</v>
      </c>
      <c r="DB94" s="239">
        <v>-13495</v>
      </c>
      <c r="DC94" s="239">
        <v>-1349492</v>
      </c>
      <c r="DD94" s="641">
        <v>0.5</v>
      </c>
      <c r="DE94" s="641">
        <v>0.49</v>
      </c>
      <c r="DF94" s="641">
        <v>0</v>
      </c>
      <c r="DG94" s="641">
        <v>0.01</v>
      </c>
      <c r="DH94" s="641">
        <v>1</v>
      </c>
      <c r="DI94" s="214" t="s">
        <v>747</v>
      </c>
    </row>
    <row r="95" spans="2:113" s="214" customFormat="1" x14ac:dyDescent="0.2">
      <c r="B95" s="609" t="s">
        <v>272</v>
      </c>
      <c r="C95" s="609" t="s">
        <v>271</v>
      </c>
      <c r="D95" s="239">
        <v>28405018</v>
      </c>
      <c r="E95" s="239">
        <v>22724014</v>
      </c>
      <c r="F95" s="239">
        <v>5112903</v>
      </c>
      <c r="G95" s="239">
        <v>568100</v>
      </c>
      <c r="H95" s="239">
        <v>56810035</v>
      </c>
      <c r="I95" s="239">
        <v>0</v>
      </c>
      <c r="J95" s="239">
        <v>0</v>
      </c>
      <c r="K95" s="239">
        <v>28405018</v>
      </c>
      <c r="L95" s="239">
        <v>179064</v>
      </c>
      <c r="M95" s="239">
        <v>179064</v>
      </c>
      <c r="N95" s="239">
        <v>0</v>
      </c>
      <c r="O95" s="239">
        <v>0</v>
      </c>
      <c r="P95" s="239">
        <v>0</v>
      </c>
      <c r="Q95" s="239">
        <v>0</v>
      </c>
      <c r="R95" s="239">
        <v>0</v>
      </c>
      <c r="S95" s="239">
        <v>0</v>
      </c>
      <c r="T95" s="239">
        <v>0</v>
      </c>
      <c r="U95" s="239">
        <v>0</v>
      </c>
      <c r="V95" s="239">
        <v>0</v>
      </c>
      <c r="W95" s="239">
        <v>997779</v>
      </c>
      <c r="X95" s="239">
        <v>798223</v>
      </c>
      <c r="Y95" s="239">
        <v>179600</v>
      </c>
      <c r="Z95" s="239">
        <v>19956</v>
      </c>
      <c r="AA95" s="239">
        <v>1995558</v>
      </c>
      <c r="AB95" s="239">
        <v>-975626</v>
      </c>
      <c r="AC95" s="239">
        <v>-780501</v>
      </c>
      <c r="AD95" s="239">
        <v>-175613</v>
      </c>
      <c r="AE95" s="239">
        <v>-19513</v>
      </c>
      <c r="AF95" s="239">
        <v>-1951253</v>
      </c>
      <c r="AG95" s="239">
        <v>-334004</v>
      </c>
      <c r="AH95" s="239">
        <v>-267205</v>
      </c>
      <c r="AI95" s="239">
        <v>-60121</v>
      </c>
      <c r="AJ95" s="239">
        <v>-6680</v>
      </c>
      <c r="AK95" s="239">
        <v>-668010</v>
      </c>
      <c r="AL95" s="239">
        <v>178170</v>
      </c>
      <c r="AM95" s="239">
        <v>142535</v>
      </c>
      <c r="AN95" s="239">
        <v>32070</v>
      </c>
      <c r="AO95" s="239">
        <v>3563</v>
      </c>
      <c r="AP95" s="239">
        <v>356338</v>
      </c>
      <c r="AQ95" s="239">
        <v>-139953</v>
      </c>
      <c r="AR95" s="239">
        <v>-111962</v>
      </c>
      <c r="AS95" s="239">
        <v>-25192</v>
      </c>
      <c r="AT95" s="239">
        <v>-2799</v>
      </c>
      <c r="AU95" s="239">
        <v>-279906</v>
      </c>
      <c r="AV95" s="239">
        <v>-295787</v>
      </c>
      <c r="AW95" s="239">
        <v>-236632</v>
      </c>
      <c r="AX95" s="239">
        <v>-53243</v>
      </c>
      <c r="AY95" s="239">
        <v>-5916</v>
      </c>
      <c r="AZ95" s="239">
        <v>-591578</v>
      </c>
      <c r="BA95" s="239">
        <v>-2723537</v>
      </c>
      <c r="BB95" s="239">
        <v>-2178829</v>
      </c>
      <c r="BC95" s="239">
        <v>-490237</v>
      </c>
      <c r="BD95" s="239">
        <v>-54471</v>
      </c>
      <c r="BE95" s="239">
        <v>-5447074</v>
      </c>
      <c r="BF95" s="239">
        <v>690264</v>
      </c>
      <c r="BG95" s="239">
        <v>552211</v>
      </c>
      <c r="BH95" s="239">
        <v>124247</v>
      </c>
      <c r="BI95" s="239">
        <v>13805</v>
      </c>
      <c r="BJ95" s="239">
        <v>1380527</v>
      </c>
      <c r="BK95" s="239">
        <v>-666230</v>
      </c>
      <c r="BL95" s="239">
        <v>-532985</v>
      </c>
      <c r="BM95" s="239">
        <v>-119922</v>
      </c>
      <c r="BN95" s="239">
        <v>-13325</v>
      </c>
      <c r="BO95" s="239">
        <v>-1332462</v>
      </c>
      <c r="BP95" s="239">
        <v>-2699503</v>
      </c>
      <c r="BQ95" s="239">
        <v>-2159603</v>
      </c>
      <c r="BR95" s="239">
        <v>-485912</v>
      </c>
      <c r="BS95" s="239">
        <v>-53991</v>
      </c>
      <c r="BT95" s="239">
        <v>-5399009</v>
      </c>
      <c r="BU95" s="239">
        <v>-369056</v>
      </c>
      <c r="BV95" s="239">
        <v>-295245</v>
      </c>
      <c r="BW95" s="239">
        <v>-66430</v>
      </c>
      <c r="BX95" s="239">
        <v>-7381</v>
      </c>
      <c r="BY95" s="239">
        <v>-738112</v>
      </c>
      <c r="BZ95" s="239">
        <v>-807392</v>
      </c>
      <c r="CA95" s="239">
        <v>-645913</v>
      </c>
      <c r="CB95" s="239">
        <v>-145330</v>
      </c>
      <c r="CC95" s="239">
        <v>-16148</v>
      </c>
      <c r="CD95" s="239">
        <v>-1614783</v>
      </c>
      <c r="CE95" s="239">
        <v>438336</v>
      </c>
      <c r="CF95" s="239">
        <v>350668</v>
      </c>
      <c r="CG95" s="239">
        <v>78900</v>
      </c>
      <c r="CH95" s="239">
        <v>8767</v>
      </c>
      <c r="CI95" s="239">
        <v>876671</v>
      </c>
      <c r="CJ95" s="239">
        <v>27297011</v>
      </c>
      <c r="CK95" s="239">
        <v>21837609</v>
      </c>
      <c r="CL95" s="239">
        <v>4913462</v>
      </c>
      <c r="CM95" s="239">
        <v>545940</v>
      </c>
      <c r="CN95" s="239">
        <v>54594022</v>
      </c>
      <c r="CO95" s="239">
        <v>28405018</v>
      </c>
      <c r="CP95" s="239">
        <v>22724014</v>
      </c>
      <c r="CQ95" s="239">
        <v>5112903</v>
      </c>
      <c r="CR95" s="239">
        <v>568100</v>
      </c>
      <c r="CS95" s="239">
        <v>56810035</v>
      </c>
      <c r="CT95" s="239">
        <v>1108007</v>
      </c>
      <c r="CU95" s="239">
        <v>886405</v>
      </c>
      <c r="CV95" s="239">
        <v>199441</v>
      </c>
      <c r="CW95" s="239">
        <v>22160</v>
      </c>
      <c r="CX95" s="239">
        <v>2216013</v>
      </c>
      <c r="CY95" s="239">
        <v>1546343</v>
      </c>
      <c r="CZ95" s="239">
        <v>1237073</v>
      </c>
      <c r="DA95" s="239">
        <v>278341</v>
      </c>
      <c r="DB95" s="239">
        <v>30927</v>
      </c>
      <c r="DC95" s="239">
        <v>3092684</v>
      </c>
      <c r="DD95" s="641">
        <v>0.5</v>
      </c>
      <c r="DE95" s="641">
        <v>0.4</v>
      </c>
      <c r="DF95" s="641">
        <v>0.09</v>
      </c>
      <c r="DG95" s="641">
        <v>0.01</v>
      </c>
      <c r="DH95" s="641">
        <v>1</v>
      </c>
      <c r="DI95" s="214" t="s">
        <v>1190</v>
      </c>
    </row>
    <row r="96" spans="2:113" s="214" customFormat="1" x14ac:dyDescent="0.2">
      <c r="B96" s="609" t="s">
        <v>274</v>
      </c>
      <c r="C96" s="609" t="s">
        <v>273</v>
      </c>
      <c r="D96" s="239">
        <v>16234081</v>
      </c>
      <c r="E96" s="239">
        <v>12987264</v>
      </c>
      <c r="F96" s="239">
        <v>2922134</v>
      </c>
      <c r="G96" s="239">
        <v>324682</v>
      </c>
      <c r="H96" s="239">
        <v>32468161</v>
      </c>
      <c r="I96" s="239">
        <v>0</v>
      </c>
      <c r="J96" s="239">
        <v>0</v>
      </c>
      <c r="K96" s="239">
        <v>16234081</v>
      </c>
      <c r="L96" s="239">
        <v>125728</v>
      </c>
      <c r="M96" s="239">
        <v>125728</v>
      </c>
      <c r="N96" s="239">
        <v>0</v>
      </c>
      <c r="O96" s="239">
        <v>0</v>
      </c>
      <c r="P96" s="239">
        <v>0</v>
      </c>
      <c r="Q96" s="239">
        <v>0</v>
      </c>
      <c r="R96" s="239">
        <v>0</v>
      </c>
      <c r="S96" s="239">
        <v>0</v>
      </c>
      <c r="T96" s="239">
        <v>0</v>
      </c>
      <c r="U96" s="239">
        <v>0</v>
      </c>
      <c r="V96" s="239">
        <v>0</v>
      </c>
      <c r="W96" s="239">
        <v>965483</v>
      </c>
      <c r="X96" s="239">
        <v>772386</v>
      </c>
      <c r="Y96" s="239">
        <v>173787</v>
      </c>
      <c r="Z96" s="239">
        <v>19310</v>
      </c>
      <c r="AA96" s="239">
        <v>1930966</v>
      </c>
      <c r="AB96" s="239">
        <v>-1403638</v>
      </c>
      <c r="AC96" s="239">
        <v>-1122911</v>
      </c>
      <c r="AD96" s="239">
        <v>-252655</v>
      </c>
      <c r="AE96" s="239">
        <v>-28073</v>
      </c>
      <c r="AF96" s="239">
        <v>-2807277</v>
      </c>
      <c r="AG96" s="239">
        <v>-235097</v>
      </c>
      <c r="AH96" s="239">
        <v>-188078</v>
      </c>
      <c r="AI96" s="239">
        <v>-42318</v>
      </c>
      <c r="AJ96" s="239">
        <v>-4701</v>
      </c>
      <c r="AK96" s="239">
        <v>-470194</v>
      </c>
      <c r="AL96" s="239">
        <v>-65263</v>
      </c>
      <c r="AM96" s="239">
        <v>-52210</v>
      </c>
      <c r="AN96" s="239">
        <v>-11747</v>
      </c>
      <c r="AO96" s="239">
        <v>-1305</v>
      </c>
      <c r="AP96" s="239">
        <v>-130525</v>
      </c>
      <c r="AQ96" s="239">
        <v>55716</v>
      </c>
      <c r="AR96" s="239">
        <v>44572</v>
      </c>
      <c r="AS96" s="239">
        <v>10029</v>
      </c>
      <c r="AT96" s="239">
        <v>1114</v>
      </c>
      <c r="AU96" s="239">
        <v>111431</v>
      </c>
      <c r="AV96" s="239">
        <v>-244644</v>
      </c>
      <c r="AW96" s="239">
        <v>-195716</v>
      </c>
      <c r="AX96" s="239">
        <v>-44036</v>
      </c>
      <c r="AY96" s="239">
        <v>-4892</v>
      </c>
      <c r="AZ96" s="239">
        <v>-489288</v>
      </c>
      <c r="BA96" s="239">
        <v>-725208</v>
      </c>
      <c r="BB96" s="239">
        <v>-580168</v>
      </c>
      <c r="BC96" s="239">
        <v>-130537</v>
      </c>
      <c r="BD96" s="239">
        <v>-14504</v>
      </c>
      <c r="BE96" s="239">
        <v>-1450417</v>
      </c>
      <c r="BF96" s="239">
        <v>476357</v>
      </c>
      <c r="BG96" s="239">
        <v>381085</v>
      </c>
      <c r="BH96" s="239">
        <v>85744</v>
      </c>
      <c r="BI96" s="239">
        <v>9527</v>
      </c>
      <c r="BJ96" s="239">
        <v>952713</v>
      </c>
      <c r="BK96" s="239">
        <v>-453831</v>
      </c>
      <c r="BL96" s="239">
        <v>-363065</v>
      </c>
      <c r="BM96" s="239">
        <v>-81690</v>
      </c>
      <c r="BN96" s="239">
        <v>-9077</v>
      </c>
      <c r="BO96" s="239">
        <v>-907663</v>
      </c>
      <c r="BP96" s="239">
        <v>-702682</v>
      </c>
      <c r="BQ96" s="239">
        <v>-562148</v>
      </c>
      <c r="BR96" s="239">
        <v>-126483</v>
      </c>
      <c r="BS96" s="239">
        <v>-14054</v>
      </c>
      <c r="BT96" s="239">
        <v>-1405367</v>
      </c>
      <c r="BU96" s="239">
        <v>-804740</v>
      </c>
      <c r="BV96" s="239">
        <v>-643792</v>
      </c>
      <c r="BW96" s="239">
        <v>-144853</v>
      </c>
      <c r="BX96" s="239">
        <v>-16095</v>
      </c>
      <c r="BY96" s="239">
        <v>-1609480</v>
      </c>
      <c r="BZ96" s="239">
        <v>-855949</v>
      </c>
      <c r="CA96" s="239">
        <v>-684759</v>
      </c>
      <c r="CB96" s="239">
        <v>-154071</v>
      </c>
      <c r="CC96" s="239">
        <v>-17119</v>
      </c>
      <c r="CD96" s="239">
        <v>-1711898</v>
      </c>
      <c r="CE96" s="239">
        <v>51209</v>
      </c>
      <c r="CF96" s="239">
        <v>40967</v>
      </c>
      <c r="CG96" s="239">
        <v>9218</v>
      </c>
      <c r="CH96" s="239">
        <v>1024</v>
      </c>
      <c r="CI96" s="239">
        <v>102418</v>
      </c>
      <c r="CJ96" s="239">
        <v>17473812</v>
      </c>
      <c r="CK96" s="239">
        <v>13979050</v>
      </c>
      <c r="CL96" s="239">
        <v>3145286</v>
      </c>
      <c r="CM96" s="239">
        <v>349476</v>
      </c>
      <c r="CN96" s="239">
        <v>34947624</v>
      </c>
      <c r="CO96" s="239">
        <v>16234081</v>
      </c>
      <c r="CP96" s="239">
        <v>12987264</v>
      </c>
      <c r="CQ96" s="239">
        <v>2922134</v>
      </c>
      <c r="CR96" s="239">
        <v>324682</v>
      </c>
      <c r="CS96" s="239">
        <v>32468161</v>
      </c>
      <c r="CT96" s="239">
        <v>-1239731</v>
      </c>
      <c r="CU96" s="239">
        <v>-991786</v>
      </c>
      <c r="CV96" s="239">
        <v>-223152</v>
      </c>
      <c r="CW96" s="239">
        <v>-24794</v>
      </c>
      <c r="CX96" s="239">
        <v>-2479463</v>
      </c>
      <c r="CY96" s="239">
        <v>-1188522</v>
      </c>
      <c r="CZ96" s="239">
        <v>-950819</v>
      </c>
      <c r="DA96" s="239">
        <v>-213934</v>
      </c>
      <c r="DB96" s="239">
        <v>-23770</v>
      </c>
      <c r="DC96" s="239">
        <v>-2377045</v>
      </c>
      <c r="DD96" s="641">
        <v>0.5</v>
      </c>
      <c r="DE96" s="641">
        <v>0.4</v>
      </c>
      <c r="DF96" s="641">
        <v>0.09</v>
      </c>
      <c r="DG96" s="641">
        <v>0.01</v>
      </c>
      <c r="DH96" s="641">
        <v>1</v>
      </c>
      <c r="DI96" s="214" t="s">
        <v>1190</v>
      </c>
    </row>
    <row r="97" spans="1:113" s="214" customFormat="1" x14ac:dyDescent="0.2">
      <c r="A97" s="215" t="s">
        <v>1211</v>
      </c>
      <c r="B97" s="609" t="s">
        <v>276</v>
      </c>
      <c r="C97" s="609" t="s">
        <v>275</v>
      </c>
      <c r="D97" s="239">
        <v>29331574</v>
      </c>
      <c r="E97" s="239">
        <v>23465260</v>
      </c>
      <c r="F97" s="239">
        <v>5279684</v>
      </c>
      <c r="G97" s="239">
        <v>586632</v>
      </c>
      <c r="H97" s="239">
        <v>58663150</v>
      </c>
      <c r="I97" s="239">
        <v>0</v>
      </c>
      <c r="J97" s="239">
        <v>0</v>
      </c>
      <c r="K97" s="239">
        <v>29331574</v>
      </c>
      <c r="L97" s="239">
        <v>150579</v>
      </c>
      <c r="M97" s="239">
        <v>150579</v>
      </c>
      <c r="N97" s="239">
        <v>0</v>
      </c>
      <c r="O97" s="239">
        <v>0</v>
      </c>
      <c r="P97" s="239">
        <v>0</v>
      </c>
      <c r="Q97" s="239">
        <v>0</v>
      </c>
      <c r="R97" s="239">
        <v>0</v>
      </c>
      <c r="S97" s="239">
        <v>0</v>
      </c>
      <c r="T97" s="239">
        <v>0</v>
      </c>
      <c r="U97" s="239">
        <v>0</v>
      </c>
      <c r="V97" s="239">
        <v>0</v>
      </c>
      <c r="W97" s="239">
        <v>509983</v>
      </c>
      <c r="X97" s="239">
        <v>407986</v>
      </c>
      <c r="Y97" s="239">
        <v>91797</v>
      </c>
      <c r="Z97" s="239">
        <v>10200</v>
      </c>
      <c r="AA97" s="239">
        <v>1019966</v>
      </c>
      <c r="AB97" s="239">
        <v>-522017</v>
      </c>
      <c r="AC97" s="239">
        <v>-417613</v>
      </c>
      <c r="AD97" s="239">
        <v>-93963</v>
      </c>
      <c r="AE97" s="239">
        <v>-10440</v>
      </c>
      <c r="AF97" s="239">
        <v>-1044033</v>
      </c>
      <c r="AG97" s="239">
        <v>-326099</v>
      </c>
      <c r="AH97" s="239">
        <v>-260880</v>
      </c>
      <c r="AI97" s="239">
        <v>-58698</v>
      </c>
      <c r="AJ97" s="239">
        <v>-6522</v>
      </c>
      <c r="AK97" s="239">
        <v>-652199</v>
      </c>
      <c r="AL97" s="239">
        <v>222614</v>
      </c>
      <c r="AM97" s="239">
        <v>178090</v>
      </c>
      <c r="AN97" s="239">
        <v>40070</v>
      </c>
      <c r="AO97" s="239">
        <v>4452</v>
      </c>
      <c r="AP97" s="239">
        <v>445226</v>
      </c>
      <c r="AQ97" s="239">
        <v>-133586</v>
      </c>
      <c r="AR97" s="239">
        <v>-106869</v>
      </c>
      <c r="AS97" s="239">
        <v>-24046</v>
      </c>
      <c r="AT97" s="239">
        <v>-2672</v>
      </c>
      <c r="AU97" s="239">
        <v>-267173</v>
      </c>
      <c r="AV97" s="239">
        <v>-237071</v>
      </c>
      <c r="AW97" s="239">
        <v>-189659</v>
      </c>
      <c r="AX97" s="239">
        <v>-42674</v>
      </c>
      <c r="AY97" s="239">
        <v>-4742</v>
      </c>
      <c r="AZ97" s="239">
        <v>-474146</v>
      </c>
      <c r="BA97" s="239">
        <v>-2750001</v>
      </c>
      <c r="BB97" s="239">
        <v>-2199999</v>
      </c>
      <c r="BC97" s="239">
        <v>-495000</v>
      </c>
      <c r="BD97" s="239">
        <v>-55000</v>
      </c>
      <c r="BE97" s="239">
        <v>-5500000</v>
      </c>
      <c r="BF97" s="239">
        <v>824112</v>
      </c>
      <c r="BG97" s="239">
        <v>659289</v>
      </c>
      <c r="BH97" s="239">
        <v>148340</v>
      </c>
      <c r="BI97" s="239">
        <v>16482</v>
      </c>
      <c r="BJ97" s="239">
        <v>1648223</v>
      </c>
      <c r="BK97" s="239">
        <v>-908344</v>
      </c>
      <c r="BL97" s="239">
        <v>-726675</v>
      </c>
      <c r="BM97" s="239">
        <v>-163502</v>
      </c>
      <c r="BN97" s="239">
        <v>-18167</v>
      </c>
      <c r="BO97" s="239">
        <v>-1816688</v>
      </c>
      <c r="BP97" s="239">
        <v>-2834233</v>
      </c>
      <c r="BQ97" s="239">
        <v>-2267385</v>
      </c>
      <c r="BR97" s="239">
        <v>-510162</v>
      </c>
      <c r="BS97" s="239">
        <v>-56685</v>
      </c>
      <c r="BT97" s="239">
        <v>-5668465</v>
      </c>
      <c r="BU97" s="239">
        <v>241470</v>
      </c>
      <c r="BV97" s="239">
        <v>193176</v>
      </c>
      <c r="BW97" s="239">
        <v>43465</v>
      </c>
      <c r="BX97" s="239">
        <v>4829</v>
      </c>
      <c r="BY97" s="239">
        <v>482940</v>
      </c>
      <c r="BZ97" s="239">
        <v>570357</v>
      </c>
      <c r="CA97" s="239">
        <v>456285</v>
      </c>
      <c r="CB97" s="239">
        <v>102664</v>
      </c>
      <c r="CC97" s="239">
        <v>11407</v>
      </c>
      <c r="CD97" s="239">
        <v>1140713</v>
      </c>
      <c r="CE97" s="239">
        <v>-328887</v>
      </c>
      <c r="CF97" s="239">
        <v>-263109</v>
      </c>
      <c r="CG97" s="239">
        <v>-59199</v>
      </c>
      <c r="CH97" s="239">
        <v>-6578</v>
      </c>
      <c r="CI97" s="239">
        <v>-657773</v>
      </c>
      <c r="CJ97" s="239">
        <v>29807558</v>
      </c>
      <c r="CK97" s="239">
        <v>23846046</v>
      </c>
      <c r="CL97" s="239">
        <v>5365360</v>
      </c>
      <c r="CM97" s="239">
        <v>596151</v>
      </c>
      <c r="CN97" s="239">
        <v>59615115</v>
      </c>
      <c r="CO97" s="239">
        <v>29331574</v>
      </c>
      <c r="CP97" s="239">
        <v>23465260</v>
      </c>
      <c r="CQ97" s="239">
        <v>5279684</v>
      </c>
      <c r="CR97" s="239">
        <v>586632</v>
      </c>
      <c r="CS97" s="239">
        <v>58663150</v>
      </c>
      <c r="CT97" s="239">
        <v>-475984</v>
      </c>
      <c r="CU97" s="239">
        <v>-380786</v>
      </c>
      <c r="CV97" s="239">
        <v>-85676</v>
      </c>
      <c r="CW97" s="239">
        <v>-9519</v>
      </c>
      <c r="CX97" s="239">
        <v>-951965</v>
      </c>
      <c r="CY97" s="239">
        <v>-804871</v>
      </c>
      <c r="CZ97" s="239">
        <v>-643895</v>
      </c>
      <c r="DA97" s="239">
        <v>-144875</v>
      </c>
      <c r="DB97" s="239">
        <v>-16097</v>
      </c>
      <c r="DC97" s="239">
        <v>-1609738</v>
      </c>
      <c r="DD97" s="641">
        <v>0.5</v>
      </c>
      <c r="DE97" s="641">
        <v>0.4</v>
      </c>
      <c r="DF97" s="641">
        <v>0.09</v>
      </c>
      <c r="DG97" s="641">
        <v>0.01</v>
      </c>
      <c r="DH97" s="641">
        <v>1</v>
      </c>
      <c r="DI97" s="214" t="s">
        <v>1190</v>
      </c>
    </row>
    <row r="98" spans="1:113" s="214" customFormat="1" x14ac:dyDescent="0.2">
      <c r="B98" s="609" t="s">
        <v>278</v>
      </c>
      <c r="C98" s="609" t="s">
        <v>277</v>
      </c>
      <c r="D98" s="239">
        <v>9944199</v>
      </c>
      <c r="E98" s="239">
        <v>7955360</v>
      </c>
      <c r="F98" s="239">
        <v>1988840</v>
      </c>
      <c r="G98" s="239">
        <v>0</v>
      </c>
      <c r="H98" s="239">
        <v>19888399</v>
      </c>
      <c r="I98" s="239">
        <v>0</v>
      </c>
      <c r="J98" s="239">
        <v>0</v>
      </c>
      <c r="K98" s="239">
        <v>9944199</v>
      </c>
      <c r="L98" s="239">
        <v>127788</v>
      </c>
      <c r="M98" s="239">
        <v>127788</v>
      </c>
      <c r="N98" s="239">
        <v>0</v>
      </c>
      <c r="O98" s="239">
        <v>0</v>
      </c>
      <c r="P98" s="239">
        <v>0</v>
      </c>
      <c r="Q98" s="239">
        <v>0</v>
      </c>
      <c r="R98" s="239">
        <v>0</v>
      </c>
      <c r="S98" s="239">
        <v>0</v>
      </c>
      <c r="T98" s="239">
        <v>0</v>
      </c>
      <c r="U98" s="239">
        <v>0</v>
      </c>
      <c r="V98" s="239">
        <v>0</v>
      </c>
      <c r="W98" s="239">
        <v>355508</v>
      </c>
      <c r="X98" s="239">
        <v>284407</v>
      </c>
      <c r="Y98" s="239">
        <v>71102</v>
      </c>
      <c r="Z98" s="239">
        <v>0</v>
      </c>
      <c r="AA98" s="239">
        <v>711017</v>
      </c>
      <c r="AB98" s="239">
        <v>-50345</v>
      </c>
      <c r="AC98" s="239">
        <v>-40276</v>
      </c>
      <c r="AD98" s="239">
        <v>-10069</v>
      </c>
      <c r="AE98" s="239">
        <v>0</v>
      </c>
      <c r="AF98" s="239">
        <v>-100690</v>
      </c>
      <c r="AG98" s="239">
        <v>-67658</v>
      </c>
      <c r="AH98" s="239">
        <v>-54126</v>
      </c>
      <c r="AI98" s="239">
        <v>-13532</v>
      </c>
      <c r="AJ98" s="239">
        <v>0</v>
      </c>
      <c r="AK98" s="239">
        <v>-135316</v>
      </c>
      <c r="AL98" s="239">
        <v>54667</v>
      </c>
      <c r="AM98" s="239">
        <v>43734</v>
      </c>
      <c r="AN98" s="239">
        <v>10934</v>
      </c>
      <c r="AO98" s="239">
        <v>0</v>
      </c>
      <c r="AP98" s="239">
        <v>109335</v>
      </c>
      <c r="AQ98" s="239">
        <v>-64796</v>
      </c>
      <c r="AR98" s="239">
        <v>-51837</v>
      </c>
      <c r="AS98" s="239">
        <v>-12959</v>
      </c>
      <c r="AT98" s="239">
        <v>0</v>
      </c>
      <c r="AU98" s="239">
        <v>-129592</v>
      </c>
      <c r="AV98" s="239">
        <v>-77787</v>
      </c>
      <c r="AW98" s="239">
        <v>-62229</v>
      </c>
      <c r="AX98" s="239">
        <v>-15557</v>
      </c>
      <c r="AY98" s="239">
        <v>0</v>
      </c>
      <c r="AZ98" s="239">
        <v>-155573</v>
      </c>
      <c r="BA98" s="239">
        <v>-1094461.04</v>
      </c>
      <c r="BB98" s="239">
        <v>-875569</v>
      </c>
      <c r="BC98" s="239">
        <v>-218893</v>
      </c>
      <c r="BD98" s="239">
        <v>0</v>
      </c>
      <c r="BE98" s="239">
        <v>-2188923</v>
      </c>
      <c r="BF98" s="239">
        <v>957612</v>
      </c>
      <c r="BG98" s="239">
        <v>766090</v>
      </c>
      <c r="BH98" s="239">
        <v>191523</v>
      </c>
      <c r="BI98" s="239">
        <v>0</v>
      </c>
      <c r="BJ98" s="239">
        <v>1915225</v>
      </c>
      <c r="BK98" s="239">
        <v>-18196</v>
      </c>
      <c r="BL98" s="239">
        <v>-14556</v>
      </c>
      <c r="BM98" s="239">
        <v>-3639</v>
      </c>
      <c r="BN98" s="239">
        <v>0</v>
      </c>
      <c r="BO98" s="239">
        <v>-36391</v>
      </c>
      <c r="BP98" s="239">
        <v>-155045.04000000004</v>
      </c>
      <c r="BQ98" s="239">
        <v>-124035</v>
      </c>
      <c r="BR98" s="239">
        <v>-31009</v>
      </c>
      <c r="BS98" s="239">
        <v>0</v>
      </c>
      <c r="BT98" s="239">
        <v>-310089</v>
      </c>
      <c r="BU98" s="239">
        <v>-1702132</v>
      </c>
      <c r="BV98" s="239">
        <v>-1361706</v>
      </c>
      <c r="BW98" s="239">
        <v>-340427</v>
      </c>
      <c r="BX98" s="239">
        <v>0</v>
      </c>
      <c r="BY98" s="239">
        <v>-3404265</v>
      </c>
      <c r="BZ98" s="239">
        <v>-1027424</v>
      </c>
      <c r="CA98" s="239">
        <v>-821939</v>
      </c>
      <c r="CB98" s="239">
        <v>-205485</v>
      </c>
      <c r="CC98" s="239">
        <v>0</v>
      </c>
      <c r="CD98" s="239">
        <v>-2054848</v>
      </c>
      <c r="CE98" s="239">
        <v>-674708</v>
      </c>
      <c r="CF98" s="239">
        <v>-539767</v>
      </c>
      <c r="CG98" s="239">
        <v>-134942</v>
      </c>
      <c r="CH98" s="239">
        <v>0</v>
      </c>
      <c r="CI98" s="239">
        <v>-1349417</v>
      </c>
      <c r="CJ98" s="239">
        <v>10735829</v>
      </c>
      <c r="CK98" s="239">
        <v>8588663</v>
      </c>
      <c r="CL98" s="239">
        <v>2147166</v>
      </c>
      <c r="CM98" s="239">
        <v>0</v>
      </c>
      <c r="CN98" s="239">
        <v>21471658</v>
      </c>
      <c r="CO98" s="239">
        <v>9944199</v>
      </c>
      <c r="CP98" s="239">
        <v>7955360</v>
      </c>
      <c r="CQ98" s="239">
        <v>1988840</v>
      </c>
      <c r="CR98" s="239">
        <v>0</v>
      </c>
      <c r="CS98" s="239">
        <v>19888399</v>
      </c>
      <c r="CT98" s="239">
        <v>-791630</v>
      </c>
      <c r="CU98" s="239">
        <v>-633303</v>
      </c>
      <c r="CV98" s="239">
        <v>-158326</v>
      </c>
      <c r="CW98" s="239">
        <v>0</v>
      </c>
      <c r="CX98" s="239">
        <v>-1583259</v>
      </c>
      <c r="CY98" s="239">
        <v>-1466338</v>
      </c>
      <c r="CZ98" s="239">
        <v>-1173070</v>
      </c>
      <c r="DA98" s="239">
        <v>-293268</v>
      </c>
      <c r="DB98" s="239">
        <v>0</v>
      </c>
      <c r="DC98" s="239">
        <v>-2932676</v>
      </c>
      <c r="DD98" s="641">
        <v>0.5</v>
      </c>
      <c r="DE98" s="641">
        <v>0.4</v>
      </c>
      <c r="DF98" s="641">
        <v>0.1</v>
      </c>
      <c r="DG98" s="641">
        <v>0</v>
      </c>
      <c r="DH98" s="641">
        <v>1</v>
      </c>
      <c r="DI98" s="214" t="s">
        <v>1190</v>
      </c>
    </row>
    <row r="99" spans="1:113" s="214" customFormat="1" x14ac:dyDescent="0.2">
      <c r="B99" s="609" t="s">
        <v>280</v>
      </c>
      <c r="C99" s="609" t="s">
        <v>279</v>
      </c>
      <c r="D99" s="239">
        <v>27018990</v>
      </c>
      <c r="E99" s="239">
        <v>21615192</v>
      </c>
      <c r="F99" s="239">
        <v>5403798</v>
      </c>
      <c r="G99" s="239">
        <v>0</v>
      </c>
      <c r="H99" s="239">
        <v>54037980</v>
      </c>
      <c r="I99" s="239">
        <v>0</v>
      </c>
      <c r="J99" s="239">
        <v>0</v>
      </c>
      <c r="K99" s="239">
        <v>27018990</v>
      </c>
      <c r="L99" s="239">
        <v>178973</v>
      </c>
      <c r="M99" s="239">
        <v>178973</v>
      </c>
      <c r="N99" s="239">
        <v>0</v>
      </c>
      <c r="O99" s="239">
        <v>0</v>
      </c>
      <c r="P99" s="239">
        <v>25223</v>
      </c>
      <c r="Q99" s="239">
        <v>0</v>
      </c>
      <c r="R99" s="239">
        <v>25223</v>
      </c>
      <c r="S99" s="239">
        <v>0</v>
      </c>
      <c r="T99" s="239">
        <v>0</v>
      </c>
      <c r="U99" s="239">
        <v>0</v>
      </c>
      <c r="V99" s="239">
        <v>0</v>
      </c>
      <c r="W99" s="239">
        <v>311356</v>
      </c>
      <c r="X99" s="239">
        <v>249085</v>
      </c>
      <c r="Y99" s="239">
        <v>62271</v>
      </c>
      <c r="Z99" s="239">
        <v>0</v>
      </c>
      <c r="AA99" s="239">
        <v>622712</v>
      </c>
      <c r="AB99" s="239">
        <v>-910423</v>
      </c>
      <c r="AC99" s="239">
        <v>-728339</v>
      </c>
      <c r="AD99" s="239">
        <v>-182085</v>
      </c>
      <c r="AE99" s="239">
        <v>0</v>
      </c>
      <c r="AF99" s="239">
        <v>-1820847</v>
      </c>
      <c r="AG99" s="239">
        <v>-167500</v>
      </c>
      <c r="AH99" s="239">
        <v>-134000</v>
      </c>
      <c r="AI99" s="239">
        <v>-33500</v>
      </c>
      <c r="AJ99" s="239">
        <v>0</v>
      </c>
      <c r="AK99" s="239">
        <v>-335000</v>
      </c>
      <c r="AL99" s="239">
        <v>116251</v>
      </c>
      <c r="AM99" s="239">
        <v>93000</v>
      </c>
      <c r="AN99" s="239">
        <v>23250</v>
      </c>
      <c r="AO99" s="239">
        <v>0</v>
      </c>
      <c r="AP99" s="239">
        <v>232501</v>
      </c>
      <c r="AQ99" s="239">
        <v>-116251</v>
      </c>
      <c r="AR99" s="239">
        <v>-93000</v>
      </c>
      <c r="AS99" s="239">
        <v>-23250</v>
      </c>
      <c r="AT99" s="239">
        <v>0</v>
      </c>
      <c r="AU99" s="239">
        <v>-232501</v>
      </c>
      <c r="AV99" s="239">
        <v>-167500</v>
      </c>
      <c r="AW99" s="239">
        <v>-134000</v>
      </c>
      <c r="AX99" s="239">
        <v>-33500</v>
      </c>
      <c r="AY99" s="239">
        <v>0</v>
      </c>
      <c r="AZ99" s="239">
        <v>-335000</v>
      </c>
      <c r="BA99" s="239">
        <v>-1217195</v>
      </c>
      <c r="BB99" s="239">
        <v>-973755</v>
      </c>
      <c r="BC99" s="239">
        <v>-243439</v>
      </c>
      <c r="BD99" s="239">
        <v>0</v>
      </c>
      <c r="BE99" s="239">
        <v>-2434389</v>
      </c>
      <c r="BF99" s="239">
        <v>319752</v>
      </c>
      <c r="BG99" s="239">
        <v>255801</v>
      </c>
      <c r="BH99" s="239">
        <v>63950</v>
      </c>
      <c r="BI99" s="239">
        <v>0</v>
      </c>
      <c r="BJ99" s="239">
        <v>639503</v>
      </c>
      <c r="BK99" s="239">
        <v>-1930969</v>
      </c>
      <c r="BL99" s="239">
        <v>-1544775</v>
      </c>
      <c r="BM99" s="239">
        <v>-386194</v>
      </c>
      <c r="BN99" s="239">
        <v>0</v>
      </c>
      <c r="BO99" s="239">
        <v>-3861938</v>
      </c>
      <c r="BP99" s="239">
        <v>-2828412</v>
      </c>
      <c r="BQ99" s="239">
        <v>-2262729</v>
      </c>
      <c r="BR99" s="239">
        <v>-565683</v>
      </c>
      <c r="BS99" s="239">
        <v>0</v>
      </c>
      <c r="BT99" s="239">
        <v>-5656824</v>
      </c>
      <c r="BU99" s="239">
        <v>799453</v>
      </c>
      <c r="BV99" s="239">
        <v>639562</v>
      </c>
      <c r="BW99" s="239">
        <v>159891</v>
      </c>
      <c r="BX99" s="239">
        <v>0</v>
      </c>
      <c r="BY99" s="239">
        <v>1598906</v>
      </c>
      <c r="BZ99" s="239">
        <v>-561713</v>
      </c>
      <c r="CA99" s="239">
        <v>-449370</v>
      </c>
      <c r="CB99" s="239">
        <v>-112343</v>
      </c>
      <c r="CC99" s="239">
        <v>0</v>
      </c>
      <c r="CD99" s="239">
        <v>-1123426</v>
      </c>
      <c r="CE99" s="239">
        <v>1361166</v>
      </c>
      <c r="CF99" s="239">
        <v>1088932</v>
      </c>
      <c r="CG99" s="239">
        <v>272234</v>
      </c>
      <c r="CH99" s="239">
        <v>0</v>
      </c>
      <c r="CI99" s="239">
        <v>2722332</v>
      </c>
      <c r="CJ99" s="239">
        <v>28245865</v>
      </c>
      <c r="CK99" s="239">
        <v>22596692</v>
      </c>
      <c r="CL99" s="239">
        <v>5649173</v>
      </c>
      <c r="CM99" s="239">
        <v>0</v>
      </c>
      <c r="CN99" s="239">
        <v>56491730</v>
      </c>
      <c r="CO99" s="239">
        <v>27018990</v>
      </c>
      <c r="CP99" s="239">
        <v>21615192</v>
      </c>
      <c r="CQ99" s="239">
        <v>5403798</v>
      </c>
      <c r="CR99" s="239">
        <v>0</v>
      </c>
      <c r="CS99" s="239">
        <v>54037980</v>
      </c>
      <c r="CT99" s="239">
        <v>-1226875</v>
      </c>
      <c r="CU99" s="239">
        <v>-981500</v>
      </c>
      <c r="CV99" s="239">
        <v>-245375</v>
      </c>
      <c r="CW99" s="239">
        <v>0</v>
      </c>
      <c r="CX99" s="239">
        <v>-2453750</v>
      </c>
      <c r="CY99" s="239">
        <v>134291</v>
      </c>
      <c r="CZ99" s="239">
        <v>107432</v>
      </c>
      <c r="DA99" s="239">
        <v>26859</v>
      </c>
      <c r="DB99" s="239">
        <v>0</v>
      </c>
      <c r="DC99" s="239">
        <v>268582</v>
      </c>
      <c r="DD99" s="641">
        <v>0.5</v>
      </c>
      <c r="DE99" s="641">
        <v>0.4</v>
      </c>
      <c r="DF99" s="641">
        <v>0.1</v>
      </c>
      <c r="DG99" s="641">
        <v>0</v>
      </c>
      <c r="DH99" s="641">
        <v>1</v>
      </c>
      <c r="DI99" s="214" t="s">
        <v>1190</v>
      </c>
    </row>
    <row r="100" spans="1:113" s="214" customFormat="1" x14ac:dyDescent="0.2">
      <c r="B100" s="609" t="s">
        <v>282</v>
      </c>
      <c r="C100" s="609" t="s">
        <v>281</v>
      </c>
      <c r="D100" s="239">
        <v>57783056</v>
      </c>
      <c r="E100" s="239">
        <v>34669834</v>
      </c>
      <c r="F100" s="239">
        <v>23113223</v>
      </c>
      <c r="G100" s="239">
        <v>0</v>
      </c>
      <c r="H100" s="239">
        <v>115566113</v>
      </c>
      <c r="I100" s="239">
        <v>0</v>
      </c>
      <c r="J100" s="239">
        <v>0</v>
      </c>
      <c r="K100" s="239">
        <v>57783056</v>
      </c>
      <c r="L100" s="239">
        <v>343642</v>
      </c>
      <c r="M100" s="239">
        <v>343642</v>
      </c>
      <c r="N100" s="239">
        <v>0</v>
      </c>
      <c r="O100" s="239">
        <v>0</v>
      </c>
      <c r="P100" s="239">
        <v>0</v>
      </c>
      <c r="Q100" s="239">
        <v>0</v>
      </c>
      <c r="R100" s="239">
        <v>0</v>
      </c>
      <c r="S100" s="239">
        <v>0</v>
      </c>
      <c r="T100" s="239">
        <v>0</v>
      </c>
      <c r="U100" s="239">
        <v>0</v>
      </c>
      <c r="V100" s="239">
        <v>0</v>
      </c>
      <c r="W100" s="239">
        <v>2912339</v>
      </c>
      <c r="X100" s="239">
        <v>1747404</v>
      </c>
      <c r="Y100" s="239">
        <v>1164936</v>
      </c>
      <c r="Z100" s="239">
        <v>0</v>
      </c>
      <c r="AA100" s="239">
        <v>5824679</v>
      </c>
      <c r="AB100" s="239">
        <v>-1865185</v>
      </c>
      <c r="AC100" s="239">
        <v>-1119111</v>
      </c>
      <c r="AD100" s="239">
        <v>-746074</v>
      </c>
      <c r="AE100" s="239">
        <v>0</v>
      </c>
      <c r="AF100" s="239">
        <v>-3730370</v>
      </c>
      <c r="AG100" s="239">
        <v>-2591309</v>
      </c>
      <c r="AH100" s="239">
        <v>-1554784</v>
      </c>
      <c r="AI100" s="239">
        <v>-1036524</v>
      </c>
      <c r="AJ100" s="239">
        <v>0</v>
      </c>
      <c r="AK100" s="239">
        <v>-5182617</v>
      </c>
      <c r="AL100" s="239">
        <v>537434</v>
      </c>
      <c r="AM100" s="239">
        <v>322461</v>
      </c>
      <c r="AN100" s="239">
        <v>214974</v>
      </c>
      <c r="AO100" s="239">
        <v>0</v>
      </c>
      <c r="AP100" s="239">
        <v>1074869</v>
      </c>
      <c r="AQ100" s="239">
        <v>98107</v>
      </c>
      <c r="AR100" s="239">
        <v>58864</v>
      </c>
      <c r="AS100" s="239">
        <v>39243</v>
      </c>
      <c r="AT100" s="239">
        <v>0</v>
      </c>
      <c r="AU100" s="239">
        <v>196214</v>
      </c>
      <c r="AV100" s="239">
        <v>-1955768</v>
      </c>
      <c r="AW100" s="239">
        <v>-1173459</v>
      </c>
      <c r="AX100" s="239">
        <v>-782307</v>
      </c>
      <c r="AY100" s="239">
        <v>0</v>
      </c>
      <c r="AZ100" s="239">
        <v>-3911534</v>
      </c>
      <c r="BA100" s="239">
        <v>-6301516.5</v>
      </c>
      <c r="BB100" s="239">
        <v>-3780909</v>
      </c>
      <c r="BC100" s="239">
        <v>-2520607</v>
      </c>
      <c r="BD100" s="239">
        <v>0</v>
      </c>
      <c r="BE100" s="239">
        <v>-12603032.5</v>
      </c>
      <c r="BF100" s="239">
        <v>3008500</v>
      </c>
      <c r="BG100" s="239">
        <v>1805100</v>
      </c>
      <c r="BH100" s="239">
        <v>1203400</v>
      </c>
      <c r="BI100" s="239">
        <v>0</v>
      </c>
      <c r="BJ100" s="239">
        <v>6017000</v>
      </c>
      <c r="BK100" s="239">
        <v>-744984</v>
      </c>
      <c r="BL100" s="239">
        <v>-446990</v>
      </c>
      <c r="BM100" s="239">
        <v>-297993</v>
      </c>
      <c r="BN100" s="239">
        <v>0</v>
      </c>
      <c r="BO100" s="239">
        <v>-1489967</v>
      </c>
      <c r="BP100" s="239">
        <v>-4038000.5</v>
      </c>
      <c r="BQ100" s="239">
        <v>-2422799</v>
      </c>
      <c r="BR100" s="239">
        <v>-1615200</v>
      </c>
      <c r="BS100" s="239">
        <v>0</v>
      </c>
      <c r="BT100" s="239">
        <v>-8075999.5</v>
      </c>
      <c r="BU100" s="239">
        <v>-3845106</v>
      </c>
      <c r="BV100" s="239">
        <v>-2307064</v>
      </c>
      <c r="BW100" s="239">
        <v>-1538043</v>
      </c>
      <c r="BX100" s="239">
        <v>0</v>
      </c>
      <c r="BY100" s="239">
        <v>-7690213</v>
      </c>
      <c r="BZ100" s="239">
        <v>-2252826</v>
      </c>
      <c r="CA100" s="239">
        <v>-1351695</v>
      </c>
      <c r="CB100" s="239">
        <v>-901130</v>
      </c>
      <c r="CC100" s="239">
        <v>0</v>
      </c>
      <c r="CD100" s="239">
        <v>-4505651</v>
      </c>
      <c r="CE100" s="239">
        <v>-1592280</v>
      </c>
      <c r="CF100" s="239">
        <v>-955369</v>
      </c>
      <c r="CG100" s="239">
        <v>-636913</v>
      </c>
      <c r="CH100" s="239">
        <v>0</v>
      </c>
      <c r="CI100" s="239">
        <v>-3184562</v>
      </c>
      <c r="CJ100" s="239">
        <v>55122319</v>
      </c>
      <c r="CK100" s="239">
        <v>33073391</v>
      </c>
      <c r="CL100" s="239">
        <v>22048928</v>
      </c>
      <c r="CM100" s="239">
        <v>0</v>
      </c>
      <c r="CN100" s="239">
        <v>110244638</v>
      </c>
      <c r="CO100" s="239">
        <v>57783056</v>
      </c>
      <c r="CP100" s="239">
        <v>34669834</v>
      </c>
      <c r="CQ100" s="239">
        <v>23113223</v>
      </c>
      <c r="CR100" s="239">
        <v>0</v>
      </c>
      <c r="CS100" s="239">
        <v>115566113</v>
      </c>
      <c r="CT100" s="239">
        <v>2660737</v>
      </c>
      <c r="CU100" s="239">
        <v>1596443</v>
      </c>
      <c r="CV100" s="239">
        <v>1064295</v>
      </c>
      <c r="CW100" s="239">
        <v>0</v>
      </c>
      <c r="CX100" s="239">
        <v>5321475</v>
      </c>
      <c r="CY100" s="239">
        <v>1068457</v>
      </c>
      <c r="CZ100" s="239">
        <v>641074</v>
      </c>
      <c r="DA100" s="239">
        <v>427382</v>
      </c>
      <c r="DB100" s="239">
        <v>0</v>
      </c>
      <c r="DC100" s="239">
        <v>2136913</v>
      </c>
      <c r="DD100" s="641">
        <v>0.5</v>
      </c>
      <c r="DE100" s="641">
        <v>0.3</v>
      </c>
      <c r="DF100" s="641">
        <v>0.2</v>
      </c>
      <c r="DG100" s="641">
        <v>0</v>
      </c>
      <c r="DH100" s="641">
        <v>1</v>
      </c>
      <c r="DI100" s="214" t="s">
        <v>1191</v>
      </c>
    </row>
    <row r="101" spans="1:113" s="214" customFormat="1" x14ac:dyDescent="0.2">
      <c r="B101" s="609" t="s">
        <v>284</v>
      </c>
      <c r="C101" s="609" t="s">
        <v>283</v>
      </c>
      <c r="D101" s="239">
        <v>17901109</v>
      </c>
      <c r="E101" s="239">
        <v>14320888</v>
      </c>
      <c r="F101" s="239">
        <v>3222200</v>
      </c>
      <c r="G101" s="239">
        <v>358022</v>
      </c>
      <c r="H101" s="239">
        <v>35802219</v>
      </c>
      <c r="I101" s="239">
        <v>0</v>
      </c>
      <c r="J101" s="239">
        <v>0</v>
      </c>
      <c r="K101" s="239">
        <v>17901109</v>
      </c>
      <c r="L101" s="239">
        <v>172128</v>
      </c>
      <c r="M101" s="239">
        <v>172128</v>
      </c>
      <c r="N101" s="239">
        <v>0</v>
      </c>
      <c r="O101" s="239">
        <v>0</v>
      </c>
      <c r="P101" s="239">
        <v>0</v>
      </c>
      <c r="Q101" s="239">
        <v>0</v>
      </c>
      <c r="R101" s="239">
        <v>0</v>
      </c>
      <c r="S101" s="239">
        <v>0</v>
      </c>
      <c r="T101" s="239">
        <v>0</v>
      </c>
      <c r="U101" s="239">
        <v>0</v>
      </c>
      <c r="V101" s="239">
        <v>0</v>
      </c>
      <c r="W101" s="239">
        <v>556480</v>
      </c>
      <c r="X101" s="239">
        <v>445185</v>
      </c>
      <c r="Y101" s="239">
        <v>100167</v>
      </c>
      <c r="Z101" s="239">
        <v>11130</v>
      </c>
      <c r="AA101" s="239">
        <v>1112962</v>
      </c>
      <c r="AB101" s="239">
        <v>-658110</v>
      </c>
      <c r="AC101" s="239">
        <v>-526488</v>
      </c>
      <c r="AD101" s="239">
        <v>-118460</v>
      </c>
      <c r="AE101" s="239">
        <v>-13162</v>
      </c>
      <c r="AF101" s="239">
        <v>-1316220</v>
      </c>
      <c r="AG101" s="239">
        <v>-166585</v>
      </c>
      <c r="AH101" s="239">
        <v>-133268</v>
      </c>
      <c r="AI101" s="239">
        <v>-29986</v>
      </c>
      <c r="AJ101" s="239">
        <v>-3332</v>
      </c>
      <c r="AK101" s="239">
        <v>-333171</v>
      </c>
      <c r="AL101" s="239">
        <v>145199</v>
      </c>
      <c r="AM101" s="239">
        <v>116160</v>
      </c>
      <c r="AN101" s="239">
        <v>26136</v>
      </c>
      <c r="AO101" s="239">
        <v>2904</v>
      </c>
      <c r="AP101" s="239">
        <v>290399</v>
      </c>
      <c r="AQ101" s="239">
        <v>-114088</v>
      </c>
      <c r="AR101" s="239">
        <v>-91270</v>
      </c>
      <c r="AS101" s="239">
        <v>-20536</v>
      </c>
      <c r="AT101" s="239">
        <v>-2282</v>
      </c>
      <c r="AU101" s="239">
        <v>-228176</v>
      </c>
      <c r="AV101" s="239">
        <v>-135474</v>
      </c>
      <c r="AW101" s="239">
        <v>-108378</v>
      </c>
      <c r="AX101" s="239">
        <v>-24386</v>
      </c>
      <c r="AY101" s="239">
        <v>-2710</v>
      </c>
      <c r="AZ101" s="239">
        <v>-270948</v>
      </c>
      <c r="BA101" s="239">
        <v>-1787302</v>
      </c>
      <c r="BB101" s="239">
        <v>-1429843</v>
      </c>
      <c r="BC101" s="239">
        <v>-321714</v>
      </c>
      <c r="BD101" s="239">
        <v>-35746</v>
      </c>
      <c r="BE101" s="239">
        <v>-3574605</v>
      </c>
      <c r="BF101" s="239">
        <v>163622</v>
      </c>
      <c r="BG101" s="239">
        <v>130897</v>
      </c>
      <c r="BH101" s="239">
        <v>29452</v>
      </c>
      <c r="BI101" s="239">
        <v>3272</v>
      </c>
      <c r="BJ101" s="239">
        <v>327243</v>
      </c>
      <c r="BK101" s="239">
        <v>-130826</v>
      </c>
      <c r="BL101" s="239">
        <v>-104661</v>
      </c>
      <c r="BM101" s="239">
        <v>-23549</v>
      </c>
      <c r="BN101" s="239">
        <v>-2617</v>
      </c>
      <c r="BO101" s="239">
        <v>-261653</v>
      </c>
      <c r="BP101" s="239">
        <v>-1754506</v>
      </c>
      <c r="BQ101" s="239">
        <v>-1403607</v>
      </c>
      <c r="BR101" s="239">
        <v>-315811</v>
      </c>
      <c r="BS101" s="239">
        <v>-35091</v>
      </c>
      <c r="BT101" s="239">
        <v>-3509015</v>
      </c>
      <c r="BU101" s="239">
        <v>-757178</v>
      </c>
      <c r="BV101" s="239">
        <v>-605743</v>
      </c>
      <c r="BW101" s="239">
        <v>-136292</v>
      </c>
      <c r="BX101" s="239">
        <v>-15144</v>
      </c>
      <c r="BY101" s="239">
        <v>-1514357</v>
      </c>
      <c r="BZ101" s="239">
        <v>-680430</v>
      </c>
      <c r="CA101" s="239">
        <v>-544345</v>
      </c>
      <c r="CB101" s="239">
        <v>-122478</v>
      </c>
      <c r="CC101" s="239">
        <v>-13609</v>
      </c>
      <c r="CD101" s="239">
        <v>-1360862</v>
      </c>
      <c r="CE101" s="239">
        <v>-76748</v>
      </c>
      <c r="CF101" s="239">
        <v>-61398</v>
      </c>
      <c r="CG101" s="239">
        <v>-13814</v>
      </c>
      <c r="CH101" s="239">
        <v>-1535</v>
      </c>
      <c r="CI101" s="239">
        <v>-153495</v>
      </c>
      <c r="CJ101" s="239">
        <v>17867859</v>
      </c>
      <c r="CK101" s="239">
        <v>14294287</v>
      </c>
      <c r="CL101" s="239">
        <v>3216215</v>
      </c>
      <c r="CM101" s="239">
        <v>357357</v>
      </c>
      <c r="CN101" s="239">
        <v>35735718</v>
      </c>
      <c r="CO101" s="239">
        <v>17901109</v>
      </c>
      <c r="CP101" s="239">
        <v>14320888</v>
      </c>
      <c r="CQ101" s="239">
        <v>3222200</v>
      </c>
      <c r="CR101" s="239">
        <v>358022</v>
      </c>
      <c r="CS101" s="239">
        <v>35802219</v>
      </c>
      <c r="CT101" s="239">
        <v>33250</v>
      </c>
      <c r="CU101" s="239">
        <v>26601</v>
      </c>
      <c r="CV101" s="239">
        <v>5985</v>
      </c>
      <c r="CW101" s="239">
        <v>665</v>
      </c>
      <c r="CX101" s="239">
        <v>66501</v>
      </c>
      <c r="CY101" s="239">
        <v>-43498</v>
      </c>
      <c r="CZ101" s="239">
        <v>-34797</v>
      </c>
      <c r="DA101" s="239">
        <v>-7829</v>
      </c>
      <c r="DB101" s="239">
        <v>-870</v>
      </c>
      <c r="DC101" s="239">
        <v>-86994</v>
      </c>
      <c r="DD101" s="641">
        <v>0.5</v>
      </c>
      <c r="DE101" s="641">
        <v>0.4</v>
      </c>
      <c r="DF101" s="641">
        <v>0.09</v>
      </c>
      <c r="DG101" s="641">
        <v>0.01</v>
      </c>
      <c r="DH101" s="641">
        <v>1</v>
      </c>
      <c r="DI101" s="214" t="s">
        <v>1190</v>
      </c>
    </row>
    <row r="102" spans="1:113" s="214" customFormat="1" x14ac:dyDescent="0.2">
      <c r="B102" s="609" t="s">
        <v>286</v>
      </c>
      <c r="C102" s="609" t="s">
        <v>285</v>
      </c>
      <c r="D102" s="239">
        <v>11596789</v>
      </c>
      <c r="E102" s="239">
        <v>9277431</v>
      </c>
      <c r="F102" s="239">
        <v>2319358</v>
      </c>
      <c r="G102" s="239">
        <v>0</v>
      </c>
      <c r="H102" s="239">
        <v>23193578</v>
      </c>
      <c r="I102" s="239">
        <v>0</v>
      </c>
      <c r="J102" s="239">
        <v>0</v>
      </c>
      <c r="K102" s="239">
        <v>11596789</v>
      </c>
      <c r="L102" s="239">
        <v>85351</v>
      </c>
      <c r="M102" s="239">
        <v>85351</v>
      </c>
      <c r="N102" s="239">
        <v>0</v>
      </c>
      <c r="O102" s="239">
        <v>0</v>
      </c>
      <c r="P102" s="239">
        <v>0</v>
      </c>
      <c r="Q102" s="239">
        <v>0</v>
      </c>
      <c r="R102" s="239">
        <v>0</v>
      </c>
      <c r="S102" s="239">
        <v>0</v>
      </c>
      <c r="T102" s="239">
        <v>0</v>
      </c>
      <c r="U102" s="239">
        <v>0</v>
      </c>
      <c r="V102" s="239">
        <v>0</v>
      </c>
      <c r="W102" s="239">
        <v>80692</v>
      </c>
      <c r="X102" s="239">
        <v>64554</v>
      </c>
      <c r="Y102" s="239">
        <v>16139</v>
      </c>
      <c r="Z102" s="239">
        <v>0</v>
      </c>
      <c r="AA102" s="239">
        <v>161385</v>
      </c>
      <c r="AB102" s="239">
        <v>-54447</v>
      </c>
      <c r="AC102" s="239">
        <v>-43558</v>
      </c>
      <c r="AD102" s="239">
        <v>-10889</v>
      </c>
      <c r="AE102" s="239">
        <v>0</v>
      </c>
      <c r="AF102" s="239">
        <v>-108894</v>
      </c>
      <c r="AG102" s="239">
        <v>-47672</v>
      </c>
      <c r="AH102" s="239">
        <v>-38137</v>
      </c>
      <c r="AI102" s="239">
        <v>-9533</v>
      </c>
      <c r="AJ102" s="239">
        <v>0</v>
      </c>
      <c r="AK102" s="239">
        <v>-95342</v>
      </c>
      <c r="AL102" s="239">
        <v>40554</v>
      </c>
      <c r="AM102" s="239">
        <v>32444</v>
      </c>
      <c r="AN102" s="239">
        <v>8111</v>
      </c>
      <c r="AO102" s="239">
        <v>0</v>
      </c>
      <c r="AP102" s="239">
        <v>81109</v>
      </c>
      <c r="AQ102" s="239">
        <v>-38393</v>
      </c>
      <c r="AR102" s="239">
        <v>-30715</v>
      </c>
      <c r="AS102" s="239">
        <v>-7679</v>
      </c>
      <c r="AT102" s="239">
        <v>0</v>
      </c>
      <c r="AU102" s="239">
        <v>-76787</v>
      </c>
      <c r="AV102" s="239">
        <v>-45511</v>
      </c>
      <c r="AW102" s="239">
        <v>-36408</v>
      </c>
      <c r="AX102" s="239">
        <v>-9101</v>
      </c>
      <c r="AY102" s="239">
        <v>0</v>
      </c>
      <c r="AZ102" s="239">
        <v>-91020</v>
      </c>
      <c r="BA102" s="239">
        <v>-953430</v>
      </c>
      <c r="BB102" s="239">
        <v>-762744</v>
      </c>
      <c r="BC102" s="239">
        <v>-190687</v>
      </c>
      <c r="BD102" s="239">
        <v>0</v>
      </c>
      <c r="BE102" s="239">
        <v>-1906861</v>
      </c>
      <c r="BF102" s="239">
        <v>0</v>
      </c>
      <c r="BG102" s="239">
        <v>0</v>
      </c>
      <c r="BH102" s="239">
        <v>0</v>
      </c>
      <c r="BI102" s="239">
        <v>0</v>
      </c>
      <c r="BJ102" s="239">
        <v>0</v>
      </c>
      <c r="BK102" s="239">
        <v>-109388</v>
      </c>
      <c r="BL102" s="239">
        <v>-87510</v>
      </c>
      <c r="BM102" s="239">
        <v>-21878</v>
      </c>
      <c r="BN102" s="239">
        <v>0</v>
      </c>
      <c r="BO102" s="239">
        <v>-218776</v>
      </c>
      <c r="BP102" s="239">
        <v>-1062818</v>
      </c>
      <c r="BQ102" s="239">
        <v>-850254</v>
      </c>
      <c r="BR102" s="239">
        <v>-212565</v>
      </c>
      <c r="BS102" s="239">
        <v>0</v>
      </c>
      <c r="BT102" s="239">
        <v>-2125637</v>
      </c>
      <c r="BU102" s="239">
        <v>-251592</v>
      </c>
      <c r="BV102" s="239">
        <v>-201273</v>
      </c>
      <c r="BW102" s="239">
        <v>-50318</v>
      </c>
      <c r="BX102" s="239">
        <v>0</v>
      </c>
      <c r="BY102" s="239">
        <v>-503183</v>
      </c>
      <c r="BZ102" s="239">
        <v>-151404</v>
      </c>
      <c r="CA102" s="239">
        <v>-121124</v>
      </c>
      <c r="CB102" s="239">
        <v>-30281</v>
      </c>
      <c r="CC102" s="239">
        <v>0</v>
      </c>
      <c r="CD102" s="239">
        <v>-302809</v>
      </c>
      <c r="CE102" s="239">
        <v>-100188</v>
      </c>
      <c r="CF102" s="239">
        <v>-80149</v>
      </c>
      <c r="CG102" s="239">
        <v>-20037</v>
      </c>
      <c r="CH102" s="239">
        <v>0</v>
      </c>
      <c r="CI102" s="239">
        <v>-200374</v>
      </c>
      <c r="CJ102" s="239">
        <v>12012620</v>
      </c>
      <c r="CK102" s="239">
        <v>9610096</v>
      </c>
      <c r="CL102" s="239">
        <v>2402524</v>
      </c>
      <c r="CM102" s="239">
        <v>0</v>
      </c>
      <c r="CN102" s="239">
        <v>24025240</v>
      </c>
      <c r="CO102" s="239">
        <v>11596789</v>
      </c>
      <c r="CP102" s="239">
        <v>9277431</v>
      </c>
      <c r="CQ102" s="239">
        <v>2319358</v>
      </c>
      <c r="CR102" s="239">
        <v>0</v>
      </c>
      <c r="CS102" s="239">
        <v>23193578</v>
      </c>
      <c r="CT102" s="239">
        <v>-415831</v>
      </c>
      <c r="CU102" s="239">
        <v>-332665</v>
      </c>
      <c r="CV102" s="239">
        <v>-83166</v>
      </c>
      <c r="CW102" s="239">
        <v>0</v>
      </c>
      <c r="CX102" s="239">
        <v>-831662</v>
      </c>
      <c r="CY102" s="239">
        <v>-516019</v>
      </c>
      <c r="CZ102" s="239">
        <v>-412814</v>
      </c>
      <c r="DA102" s="239">
        <v>-103203</v>
      </c>
      <c r="DB102" s="239">
        <v>0</v>
      </c>
      <c r="DC102" s="239">
        <v>-1032036</v>
      </c>
      <c r="DD102" s="641">
        <v>0.5</v>
      </c>
      <c r="DE102" s="641">
        <v>0.4</v>
      </c>
      <c r="DF102" s="641">
        <v>0.1</v>
      </c>
      <c r="DG102" s="641">
        <v>0</v>
      </c>
      <c r="DH102" s="641">
        <v>1</v>
      </c>
      <c r="DI102" s="214" t="s">
        <v>1190</v>
      </c>
    </row>
    <row r="103" spans="1:113" s="214" customFormat="1" x14ac:dyDescent="0.2">
      <c r="B103" s="609" t="s">
        <v>288</v>
      </c>
      <c r="C103" s="609" t="s">
        <v>287</v>
      </c>
      <c r="D103" s="239">
        <v>11923196</v>
      </c>
      <c r="E103" s="239">
        <v>9538556</v>
      </c>
      <c r="F103" s="239">
        <v>2146175</v>
      </c>
      <c r="G103" s="239">
        <v>238464</v>
      </c>
      <c r="H103" s="239">
        <v>23846391</v>
      </c>
      <c r="I103" s="239">
        <v>0</v>
      </c>
      <c r="J103" s="239">
        <v>0</v>
      </c>
      <c r="K103" s="239">
        <v>11923196</v>
      </c>
      <c r="L103" s="239">
        <v>136407</v>
      </c>
      <c r="M103" s="239">
        <v>136407</v>
      </c>
      <c r="N103" s="239">
        <v>0</v>
      </c>
      <c r="O103" s="239">
        <v>0</v>
      </c>
      <c r="P103" s="239">
        <v>0</v>
      </c>
      <c r="Q103" s="239">
        <v>0</v>
      </c>
      <c r="R103" s="239">
        <v>0</v>
      </c>
      <c r="S103" s="239">
        <v>0</v>
      </c>
      <c r="T103" s="239">
        <v>0</v>
      </c>
      <c r="U103" s="239">
        <v>0</v>
      </c>
      <c r="V103" s="239">
        <v>0</v>
      </c>
      <c r="W103" s="239">
        <v>572705</v>
      </c>
      <c r="X103" s="239">
        <v>458164</v>
      </c>
      <c r="Y103" s="239">
        <v>103087</v>
      </c>
      <c r="Z103" s="239">
        <v>11454</v>
      </c>
      <c r="AA103" s="239">
        <v>1145410</v>
      </c>
      <c r="AB103" s="239">
        <v>-433781</v>
      </c>
      <c r="AC103" s="239">
        <v>-347024</v>
      </c>
      <c r="AD103" s="239">
        <v>-78080</v>
      </c>
      <c r="AE103" s="239">
        <v>-8676</v>
      </c>
      <c r="AF103" s="239">
        <v>-867561</v>
      </c>
      <c r="AG103" s="239">
        <v>-398000</v>
      </c>
      <c r="AH103" s="239">
        <v>-318400</v>
      </c>
      <c r="AI103" s="239">
        <v>-71640</v>
      </c>
      <c r="AJ103" s="239">
        <v>-7960</v>
      </c>
      <c r="AK103" s="239">
        <v>-796000</v>
      </c>
      <c r="AL103" s="239">
        <v>149837</v>
      </c>
      <c r="AM103" s="239">
        <v>119870</v>
      </c>
      <c r="AN103" s="239">
        <v>26971</v>
      </c>
      <c r="AO103" s="239">
        <v>2997</v>
      </c>
      <c r="AP103" s="239">
        <v>299675</v>
      </c>
      <c r="AQ103" s="239">
        <v>-95087</v>
      </c>
      <c r="AR103" s="239">
        <v>-76070</v>
      </c>
      <c r="AS103" s="239">
        <v>-17116</v>
      </c>
      <c r="AT103" s="239">
        <v>-1902</v>
      </c>
      <c r="AU103" s="239">
        <v>-190175</v>
      </c>
      <c r="AV103" s="239">
        <v>-343250</v>
      </c>
      <c r="AW103" s="239">
        <v>-274600</v>
      </c>
      <c r="AX103" s="239">
        <v>-61785</v>
      </c>
      <c r="AY103" s="239">
        <v>-6865</v>
      </c>
      <c r="AZ103" s="239">
        <v>-686500</v>
      </c>
      <c r="BA103" s="239">
        <v>-287000</v>
      </c>
      <c r="BB103" s="239">
        <v>-229600</v>
      </c>
      <c r="BC103" s="239">
        <v>-51660</v>
      </c>
      <c r="BD103" s="239">
        <v>-5740</v>
      </c>
      <c r="BE103" s="239">
        <v>-574000</v>
      </c>
      <c r="BF103" s="239">
        <v>287000</v>
      </c>
      <c r="BG103" s="239">
        <v>229600</v>
      </c>
      <c r="BH103" s="239">
        <v>51660</v>
      </c>
      <c r="BI103" s="239">
        <v>5740</v>
      </c>
      <c r="BJ103" s="239">
        <v>574000</v>
      </c>
      <c r="BK103" s="239">
        <v>-508850</v>
      </c>
      <c r="BL103" s="239">
        <v>-407080</v>
      </c>
      <c r="BM103" s="239">
        <v>-91593</v>
      </c>
      <c r="BN103" s="239">
        <v>-10177</v>
      </c>
      <c r="BO103" s="239">
        <v>-1017700</v>
      </c>
      <c r="BP103" s="239">
        <v>-508850</v>
      </c>
      <c r="BQ103" s="239">
        <v>-407080</v>
      </c>
      <c r="BR103" s="239">
        <v>-91593</v>
      </c>
      <c r="BS103" s="239">
        <v>-10177</v>
      </c>
      <c r="BT103" s="239">
        <v>-1017700</v>
      </c>
      <c r="BU103" s="239">
        <v>-480825</v>
      </c>
      <c r="BV103" s="239">
        <v>-384660</v>
      </c>
      <c r="BW103" s="239">
        <v>-86548</v>
      </c>
      <c r="BX103" s="239">
        <v>-9616</v>
      </c>
      <c r="BY103" s="239">
        <v>-961649</v>
      </c>
      <c r="BZ103" s="239">
        <v>-91019</v>
      </c>
      <c r="CA103" s="239">
        <v>-72815</v>
      </c>
      <c r="CB103" s="239">
        <v>-16383</v>
      </c>
      <c r="CC103" s="239">
        <v>-1820</v>
      </c>
      <c r="CD103" s="239">
        <v>-182037</v>
      </c>
      <c r="CE103" s="239">
        <v>-389806</v>
      </c>
      <c r="CF103" s="239">
        <v>-311845</v>
      </c>
      <c r="CG103" s="239">
        <v>-70165</v>
      </c>
      <c r="CH103" s="239">
        <v>-7796</v>
      </c>
      <c r="CI103" s="239">
        <v>-779612</v>
      </c>
      <c r="CJ103" s="239">
        <v>13182175</v>
      </c>
      <c r="CK103" s="239">
        <v>10545740</v>
      </c>
      <c r="CL103" s="239">
        <v>2372791</v>
      </c>
      <c r="CM103" s="239">
        <v>263643</v>
      </c>
      <c r="CN103" s="239">
        <v>26364349</v>
      </c>
      <c r="CO103" s="239">
        <v>11923196</v>
      </c>
      <c r="CP103" s="239">
        <v>9538556</v>
      </c>
      <c r="CQ103" s="239">
        <v>2146175</v>
      </c>
      <c r="CR103" s="239">
        <v>238464</v>
      </c>
      <c r="CS103" s="239">
        <v>23846391</v>
      </c>
      <c r="CT103" s="239">
        <v>-1258979</v>
      </c>
      <c r="CU103" s="239">
        <v>-1007184</v>
      </c>
      <c r="CV103" s="239">
        <v>-226616</v>
      </c>
      <c r="CW103" s="239">
        <v>-25179</v>
      </c>
      <c r="CX103" s="239">
        <v>-2517958</v>
      </c>
      <c r="CY103" s="239">
        <v>-1648785</v>
      </c>
      <c r="CZ103" s="239">
        <v>-1319029</v>
      </c>
      <c r="DA103" s="239">
        <v>-296781</v>
      </c>
      <c r="DB103" s="239">
        <v>-32975</v>
      </c>
      <c r="DC103" s="239">
        <v>-3297570</v>
      </c>
      <c r="DD103" s="641">
        <v>0.5</v>
      </c>
      <c r="DE103" s="641">
        <v>0.4</v>
      </c>
      <c r="DF103" s="641">
        <v>0.09</v>
      </c>
      <c r="DG103" s="641">
        <v>0.01</v>
      </c>
      <c r="DH103" s="641">
        <v>1</v>
      </c>
      <c r="DI103" s="214" t="s">
        <v>1190</v>
      </c>
    </row>
    <row r="104" spans="1:113" s="214" customFormat="1" x14ac:dyDescent="0.2">
      <c r="B104" s="609" t="s">
        <v>290</v>
      </c>
      <c r="C104" s="609" t="s">
        <v>289</v>
      </c>
      <c r="D104" s="239">
        <v>39165078</v>
      </c>
      <c r="E104" s="239">
        <v>31332063</v>
      </c>
      <c r="F104" s="239">
        <v>7049714</v>
      </c>
      <c r="G104" s="239">
        <v>783302</v>
      </c>
      <c r="H104" s="239">
        <v>78330157</v>
      </c>
      <c r="I104" s="239">
        <v>0</v>
      </c>
      <c r="J104" s="239">
        <v>0</v>
      </c>
      <c r="K104" s="239">
        <v>39165078</v>
      </c>
      <c r="L104" s="239">
        <v>219686</v>
      </c>
      <c r="M104" s="239">
        <v>219686</v>
      </c>
      <c r="N104" s="239">
        <v>0</v>
      </c>
      <c r="O104" s="239">
        <v>0</v>
      </c>
      <c r="P104" s="239">
        <v>0</v>
      </c>
      <c r="Q104" s="239">
        <v>0</v>
      </c>
      <c r="R104" s="239">
        <v>0</v>
      </c>
      <c r="S104" s="239">
        <v>0</v>
      </c>
      <c r="T104" s="239">
        <v>0</v>
      </c>
      <c r="U104" s="239">
        <v>0</v>
      </c>
      <c r="V104" s="239">
        <v>0</v>
      </c>
      <c r="W104" s="239">
        <v>1482831</v>
      </c>
      <c r="X104" s="239">
        <v>1186264</v>
      </c>
      <c r="Y104" s="239">
        <v>266909</v>
      </c>
      <c r="Z104" s="239">
        <v>29657</v>
      </c>
      <c r="AA104" s="239">
        <v>2965661</v>
      </c>
      <c r="AB104" s="239">
        <v>-735004</v>
      </c>
      <c r="AC104" s="239">
        <v>-588003</v>
      </c>
      <c r="AD104" s="239">
        <v>-132301</v>
      </c>
      <c r="AE104" s="239">
        <v>-14700</v>
      </c>
      <c r="AF104" s="239">
        <v>-1470008</v>
      </c>
      <c r="AG104" s="239">
        <v>-60000</v>
      </c>
      <c r="AH104" s="239">
        <v>-48000</v>
      </c>
      <c r="AI104" s="239">
        <v>-10800</v>
      </c>
      <c r="AJ104" s="239">
        <v>-1200</v>
      </c>
      <c r="AK104" s="239">
        <v>-120000</v>
      </c>
      <c r="AL104" s="239">
        <v>0</v>
      </c>
      <c r="AM104" s="239">
        <v>0</v>
      </c>
      <c r="AN104" s="239">
        <v>0</v>
      </c>
      <c r="AO104" s="239">
        <v>0</v>
      </c>
      <c r="AP104" s="239">
        <v>0</v>
      </c>
      <c r="AQ104" s="239">
        <v>-45000</v>
      </c>
      <c r="AR104" s="239">
        <v>-36000</v>
      </c>
      <c r="AS104" s="239">
        <v>-8100</v>
      </c>
      <c r="AT104" s="239">
        <v>-900</v>
      </c>
      <c r="AU104" s="239">
        <v>-90000</v>
      </c>
      <c r="AV104" s="239">
        <v>-105000</v>
      </c>
      <c r="AW104" s="239">
        <v>-84000</v>
      </c>
      <c r="AX104" s="239">
        <v>-18900</v>
      </c>
      <c r="AY104" s="239">
        <v>-2100</v>
      </c>
      <c r="AZ104" s="239">
        <v>-210000</v>
      </c>
      <c r="BA104" s="239">
        <v>-808132</v>
      </c>
      <c r="BB104" s="239">
        <v>-646503</v>
      </c>
      <c r="BC104" s="239">
        <v>-145464</v>
      </c>
      <c r="BD104" s="239">
        <v>-16162</v>
      </c>
      <c r="BE104" s="239">
        <v>-1616261</v>
      </c>
      <c r="BF104" s="239">
        <v>307024</v>
      </c>
      <c r="BG104" s="239">
        <v>245618</v>
      </c>
      <c r="BH104" s="239">
        <v>55264</v>
      </c>
      <c r="BI104" s="239">
        <v>6140</v>
      </c>
      <c r="BJ104" s="239">
        <v>614046</v>
      </c>
      <c r="BK104" s="239">
        <v>-72516</v>
      </c>
      <c r="BL104" s="239">
        <v>-58012</v>
      </c>
      <c r="BM104" s="239">
        <v>-13053</v>
      </c>
      <c r="BN104" s="239">
        <v>-1450</v>
      </c>
      <c r="BO104" s="239">
        <v>-145031</v>
      </c>
      <c r="BP104" s="239">
        <v>-573624</v>
      </c>
      <c r="BQ104" s="239">
        <v>-458897</v>
      </c>
      <c r="BR104" s="239">
        <v>-103253</v>
      </c>
      <c r="BS104" s="239">
        <v>-11472</v>
      </c>
      <c r="BT104" s="239">
        <v>-1147246</v>
      </c>
      <c r="BU104" s="239">
        <v>-383357</v>
      </c>
      <c r="BV104" s="239">
        <v>-306686</v>
      </c>
      <c r="BW104" s="239">
        <v>-69004</v>
      </c>
      <c r="BX104" s="239">
        <v>-7667</v>
      </c>
      <c r="BY104" s="239">
        <v>-766714</v>
      </c>
      <c r="BZ104" s="239">
        <v>-386969</v>
      </c>
      <c r="CA104" s="239">
        <v>-309576</v>
      </c>
      <c r="CB104" s="239">
        <v>-69655</v>
      </c>
      <c r="CC104" s="239">
        <v>-7739</v>
      </c>
      <c r="CD104" s="239">
        <v>-773939</v>
      </c>
      <c r="CE104" s="239">
        <v>3612</v>
      </c>
      <c r="CF104" s="239">
        <v>2890</v>
      </c>
      <c r="CG104" s="239">
        <v>651</v>
      </c>
      <c r="CH104" s="239">
        <v>72</v>
      </c>
      <c r="CI104" s="239">
        <v>7225</v>
      </c>
      <c r="CJ104" s="239">
        <v>39585617</v>
      </c>
      <c r="CK104" s="239">
        <v>31668493</v>
      </c>
      <c r="CL104" s="239">
        <v>7125411</v>
      </c>
      <c r="CM104" s="239">
        <v>791712</v>
      </c>
      <c r="CN104" s="239">
        <v>79171233</v>
      </c>
      <c r="CO104" s="239">
        <v>39165078</v>
      </c>
      <c r="CP104" s="239">
        <v>31332063</v>
      </c>
      <c r="CQ104" s="239">
        <v>7049714</v>
      </c>
      <c r="CR104" s="239">
        <v>783302</v>
      </c>
      <c r="CS104" s="239">
        <v>78330157</v>
      </c>
      <c r="CT104" s="239">
        <v>-420539</v>
      </c>
      <c r="CU104" s="239">
        <v>-336430</v>
      </c>
      <c r="CV104" s="239">
        <v>-75697</v>
      </c>
      <c r="CW104" s="239">
        <v>-8410</v>
      </c>
      <c r="CX104" s="239">
        <v>-841076</v>
      </c>
      <c r="CY104" s="239">
        <v>-416927</v>
      </c>
      <c r="CZ104" s="239">
        <v>-333540</v>
      </c>
      <c r="DA104" s="239">
        <v>-75046</v>
      </c>
      <c r="DB104" s="239">
        <v>-8338</v>
      </c>
      <c r="DC104" s="239">
        <v>-833851</v>
      </c>
      <c r="DD104" s="641">
        <v>0.5</v>
      </c>
      <c r="DE104" s="641">
        <v>0.4</v>
      </c>
      <c r="DF104" s="641">
        <v>0.09</v>
      </c>
      <c r="DG104" s="641">
        <v>0.01</v>
      </c>
      <c r="DH104" s="641">
        <v>1</v>
      </c>
      <c r="DI104" s="214" t="s">
        <v>1190</v>
      </c>
    </row>
    <row r="105" spans="1:113" s="214" customFormat="1" x14ac:dyDescent="0.2">
      <c r="B105" s="609" t="s">
        <v>292</v>
      </c>
      <c r="C105" s="609" t="s">
        <v>291</v>
      </c>
      <c r="D105" s="239">
        <v>21510737</v>
      </c>
      <c r="E105" s="239">
        <v>17208590</v>
      </c>
      <c r="F105" s="239">
        <v>3871933</v>
      </c>
      <c r="G105" s="239">
        <v>430215</v>
      </c>
      <c r="H105" s="239">
        <v>43021475</v>
      </c>
      <c r="I105" s="239">
        <v>324752.87809917354</v>
      </c>
      <c r="J105" s="239">
        <v>324752.87809917354</v>
      </c>
      <c r="K105" s="239">
        <v>21185984.121900827</v>
      </c>
      <c r="L105" s="239">
        <v>142304</v>
      </c>
      <c r="M105" s="239">
        <v>142304</v>
      </c>
      <c r="N105" s="239">
        <v>0</v>
      </c>
      <c r="O105" s="239">
        <v>0</v>
      </c>
      <c r="P105" s="239">
        <v>81582</v>
      </c>
      <c r="Q105" s="239">
        <v>0</v>
      </c>
      <c r="R105" s="239">
        <v>81582</v>
      </c>
      <c r="S105" s="239">
        <v>324752.87809917354</v>
      </c>
      <c r="T105" s="239">
        <v>0</v>
      </c>
      <c r="U105" s="239">
        <v>0</v>
      </c>
      <c r="V105" s="239">
        <v>324752.87809917354</v>
      </c>
      <c r="W105" s="239">
        <v>454380</v>
      </c>
      <c r="X105" s="239">
        <v>363504</v>
      </c>
      <c r="Y105" s="239">
        <v>81788</v>
      </c>
      <c r="Z105" s="239">
        <v>9088</v>
      </c>
      <c r="AA105" s="239">
        <v>908760</v>
      </c>
      <c r="AB105" s="239">
        <v>-651493</v>
      </c>
      <c r="AC105" s="239">
        <v>-521194</v>
      </c>
      <c r="AD105" s="239">
        <v>-117269</v>
      </c>
      <c r="AE105" s="239">
        <v>-13030</v>
      </c>
      <c r="AF105" s="239">
        <v>-1302986</v>
      </c>
      <c r="AG105" s="239">
        <v>-136857.49</v>
      </c>
      <c r="AH105" s="239">
        <v>-109485</v>
      </c>
      <c r="AI105" s="239">
        <v>-24634</v>
      </c>
      <c r="AJ105" s="239">
        <v>-2738</v>
      </c>
      <c r="AK105" s="239">
        <v>-273714.49</v>
      </c>
      <c r="AL105" s="239">
        <v>44991</v>
      </c>
      <c r="AM105" s="239">
        <v>35993</v>
      </c>
      <c r="AN105" s="239">
        <v>8098</v>
      </c>
      <c r="AO105" s="239">
        <v>900</v>
      </c>
      <c r="AP105" s="239">
        <v>89982</v>
      </c>
      <c r="AQ105" s="239">
        <v>-101064</v>
      </c>
      <c r="AR105" s="239">
        <v>-80852</v>
      </c>
      <c r="AS105" s="239">
        <v>-18192</v>
      </c>
      <c r="AT105" s="239">
        <v>-2021</v>
      </c>
      <c r="AU105" s="239">
        <v>-202129</v>
      </c>
      <c r="AV105" s="239">
        <v>-192930.49</v>
      </c>
      <c r="AW105" s="239">
        <v>-154344</v>
      </c>
      <c r="AX105" s="239">
        <v>-34728</v>
      </c>
      <c r="AY105" s="239">
        <v>-3859</v>
      </c>
      <c r="AZ105" s="239">
        <v>-385861.49</v>
      </c>
      <c r="BA105" s="239">
        <v>-4704173</v>
      </c>
      <c r="BB105" s="239">
        <v>-3763338</v>
      </c>
      <c r="BC105" s="239">
        <v>-846750</v>
      </c>
      <c r="BD105" s="239">
        <v>-94083</v>
      </c>
      <c r="BE105" s="239">
        <v>-9408344</v>
      </c>
      <c r="BF105" s="239">
        <v>1167559</v>
      </c>
      <c r="BG105" s="239">
        <v>934048</v>
      </c>
      <c r="BH105" s="239">
        <v>210161</v>
      </c>
      <c r="BI105" s="239">
        <v>23351</v>
      </c>
      <c r="BJ105" s="239">
        <v>2335119</v>
      </c>
      <c r="BK105" s="239">
        <v>146028</v>
      </c>
      <c r="BL105" s="239">
        <v>116822</v>
      </c>
      <c r="BM105" s="239">
        <v>26285</v>
      </c>
      <c r="BN105" s="239">
        <v>2921</v>
      </c>
      <c r="BO105" s="239">
        <v>292056</v>
      </c>
      <c r="BP105" s="239">
        <v>-3390586</v>
      </c>
      <c r="BQ105" s="239">
        <v>-2712468</v>
      </c>
      <c r="BR105" s="239">
        <v>-610304</v>
      </c>
      <c r="BS105" s="239">
        <v>-67811</v>
      </c>
      <c r="BT105" s="239">
        <v>-6781169</v>
      </c>
      <c r="BU105" s="239">
        <v>-3756130</v>
      </c>
      <c r="BV105" s="239">
        <v>-3004904</v>
      </c>
      <c r="BW105" s="239">
        <v>-676103</v>
      </c>
      <c r="BX105" s="239">
        <v>-75123</v>
      </c>
      <c r="BY105" s="239">
        <v>-7512260</v>
      </c>
      <c r="BZ105" s="239">
        <v>-1866925</v>
      </c>
      <c r="CA105" s="239">
        <v>-1493540</v>
      </c>
      <c r="CB105" s="239">
        <v>-336047</v>
      </c>
      <c r="CC105" s="239">
        <v>-37339</v>
      </c>
      <c r="CD105" s="239">
        <v>-3733851</v>
      </c>
      <c r="CE105" s="239">
        <v>-1889205</v>
      </c>
      <c r="CF105" s="239">
        <v>-1511364</v>
      </c>
      <c r="CG105" s="239">
        <v>-340056</v>
      </c>
      <c r="CH105" s="239">
        <v>-37784</v>
      </c>
      <c r="CI105" s="239">
        <v>-3778409</v>
      </c>
      <c r="CJ105" s="239">
        <v>20150642</v>
      </c>
      <c r="CK105" s="239">
        <v>16120513</v>
      </c>
      <c r="CL105" s="239">
        <v>3627115</v>
      </c>
      <c r="CM105" s="239">
        <v>403013</v>
      </c>
      <c r="CN105" s="239">
        <v>40301283</v>
      </c>
      <c r="CO105" s="239">
        <v>21510737</v>
      </c>
      <c r="CP105" s="239">
        <v>17208590</v>
      </c>
      <c r="CQ105" s="239">
        <v>3871933</v>
      </c>
      <c r="CR105" s="239">
        <v>430215</v>
      </c>
      <c r="CS105" s="239">
        <v>43021475</v>
      </c>
      <c r="CT105" s="239">
        <v>1360095</v>
      </c>
      <c r="CU105" s="239">
        <v>1088077</v>
      </c>
      <c r="CV105" s="239">
        <v>244818</v>
      </c>
      <c r="CW105" s="239">
        <v>27202</v>
      </c>
      <c r="CX105" s="239">
        <v>2720192</v>
      </c>
      <c r="CY105" s="239">
        <v>-529110</v>
      </c>
      <c r="CZ105" s="239">
        <v>-423287</v>
      </c>
      <c r="DA105" s="239">
        <v>-95238</v>
      </c>
      <c r="DB105" s="239">
        <v>-10582</v>
      </c>
      <c r="DC105" s="239">
        <v>-1058217</v>
      </c>
      <c r="DD105" s="641">
        <v>0.5</v>
      </c>
      <c r="DE105" s="641">
        <v>0.4</v>
      </c>
      <c r="DF105" s="641">
        <v>0.09</v>
      </c>
      <c r="DG105" s="641">
        <v>0.01</v>
      </c>
      <c r="DH105" s="641">
        <v>1</v>
      </c>
      <c r="DI105" s="214" t="s">
        <v>1190</v>
      </c>
    </row>
    <row r="106" spans="1:113" s="214" customFormat="1" x14ac:dyDescent="0.2">
      <c r="B106" s="609" t="s">
        <v>294</v>
      </c>
      <c r="C106" s="609" t="s">
        <v>293</v>
      </c>
      <c r="D106" s="239">
        <v>12676203</v>
      </c>
      <c r="E106" s="239">
        <v>10140962</v>
      </c>
      <c r="F106" s="239">
        <v>2281717</v>
      </c>
      <c r="G106" s="239">
        <v>253524</v>
      </c>
      <c r="H106" s="239">
        <v>25352406</v>
      </c>
      <c r="I106" s="239">
        <v>0</v>
      </c>
      <c r="J106" s="239">
        <v>0</v>
      </c>
      <c r="K106" s="239">
        <v>12676203</v>
      </c>
      <c r="L106" s="239">
        <v>127876</v>
      </c>
      <c r="M106" s="239">
        <v>127876</v>
      </c>
      <c r="N106" s="239">
        <v>0</v>
      </c>
      <c r="O106" s="239">
        <v>0</v>
      </c>
      <c r="P106" s="239">
        <v>221292</v>
      </c>
      <c r="Q106" s="239">
        <v>0</v>
      </c>
      <c r="R106" s="239">
        <v>221292</v>
      </c>
      <c r="S106" s="239">
        <v>0</v>
      </c>
      <c r="T106" s="239">
        <v>0</v>
      </c>
      <c r="U106" s="239">
        <v>0</v>
      </c>
      <c r="V106" s="239">
        <v>0</v>
      </c>
      <c r="W106" s="239">
        <v>742608</v>
      </c>
      <c r="X106" s="239">
        <v>594087</v>
      </c>
      <c r="Y106" s="239">
        <v>133670</v>
      </c>
      <c r="Z106" s="239">
        <v>14852</v>
      </c>
      <c r="AA106" s="239">
        <v>1485217</v>
      </c>
      <c r="AB106" s="239">
        <v>-125403</v>
      </c>
      <c r="AC106" s="239">
        <v>-100322</v>
      </c>
      <c r="AD106" s="239">
        <v>-22573</v>
      </c>
      <c r="AE106" s="239">
        <v>-2508</v>
      </c>
      <c r="AF106" s="239">
        <v>-250806</v>
      </c>
      <c r="AG106" s="239">
        <v>-320769.53000000003</v>
      </c>
      <c r="AH106" s="239">
        <v>-256616</v>
      </c>
      <c r="AI106" s="239">
        <v>-57739</v>
      </c>
      <c r="AJ106" s="239">
        <v>-6415</v>
      </c>
      <c r="AK106" s="239">
        <v>-641539.53</v>
      </c>
      <c r="AL106" s="239">
        <v>5685</v>
      </c>
      <c r="AM106" s="239">
        <v>4548</v>
      </c>
      <c r="AN106" s="239">
        <v>1023</v>
      </c>
      <c r="AO106" s="239">
        <v>114</v>
      </c>
      <c r="AP106" s="239">
        <v>11370</v>
      </c>
      <c r="AQ106" s="239">
        <v>-47812</v>
      </c>
      <c r="AR106" s="239">
        <v>-38250</v>
      </c>
      <c r="AS106" s="239">
        <v>-8606</v>
      </c>
      <c r="AT106" s="239">
        <v>-956</v>
      </c>
      <c r="AU106" s="239">
        <v>-95624</v>
      </c>
      <c r="AV106" s="239">
        <v>-362896.53</v>
      </c>
      <c r="AW106" s="239">
        <v>-290318</v>
      </c>
      <c r="AX106" s="239">
        <v>-65322</v>
      </c>
      <c r="AY106" s="239">
        <v>-7257</v>
      </c>
      <c r="AZ106" s="239">
        <v>-725793.53</v>
      </c>
      <c r="BA106" s="239">
        <v>-1659374</v>
      </c>
      <c r="BB106" s="239">
        <v>-1327501</v>
      </c>
      <c r="BC106" s="239">
        <v>-298688</v>
      </c>
      <c r="BD106" s="239">
        <v>-33189</v>
      </c>
      <c r="BE106" s="239">
        <v>-3318752</v>
      </c>
      <c r="BF106" s="239">
        <v>1089744</v>
      </c>
      <c r="BG106" s="239">
        <v>871796</v>
      </c>
      <c r="BH106" s="239">
        <v>196154</v>
      </c>
      <c r="BI106" s="239">
        <v>21795</v>
      </c>
      <c r="BJ106" s="239">
        <v>2179489</v>
      </c>
      <c r="BK106" s="239">
        <v>-731943</v>
      </c>
      <c r="BL106" s="239">
        <v>-585554</v>
      </c>
      <c r="BM106" s="239">
        <v>-131750</v>
      </c>
      <c r="BN106" s="239">
        <v>-14639</v>
      </c>
      <c r="BO106" s="239">
        <v>-1463886</v>
      </c>
      <c r="BP106" s="239">
        <v>-1301573</v>
      </c>
      <c r="BQ106" s="239">
        <v>-1041259</v>
      </c>
      <c r="BR106" s="239">
        <v>-234284</v>
      </c>
      <c r="BS106" s="239">
        <v>-26033</v>
      </c>
      <c r="BT106" s="239">
        <v>-2603149</v>
      </c>
      <c r="BU106" s="239">
        <v>-367776</v>
      </c>
      <c r="BV106" s="239">
        <v>-294221</v>
      </c>
      <c r="BW106" s="239">
        <v>-66200</v>
      </c>
      <c r="BX106" s="239">
        <v>-7356</v>
      </c>
      <c r="BY106" s="239">
        <v>-735553</v>
      </c>
      <c r="BZ106" s="239">
        <v>-300322</v>
      </c>
      <c r="CA106" s="239">
        <v>-240258</v>
      </c>
      <c r="CB106" s="239">
        <v>-54058</v>
      </c>
      <c r="CC106" s="239">
        <v>-6006</v>
      </c>
      <c r="CD106" s="239">
        <v>-600644</v>
      </c>
      <c r="CE106" s="239">
        <v>-67454</v>
      </c>
      <c r="CF106" s="239">
        <v>-53963</v>
      </c>
      <c r="CG106" s="239">
        <v>-12142</v>
      </c>
      <c r="CH106" s="239">
        <v>-1350</v>
      </c>
      <c r="CI106" s="239">
        <v>-134909</v>
      </c>
      <c r="CJ106" s="239">
        <v>12801595</v>
      </c>
      <c r="CK106" s="239">
        <v>10241276</v>
      </c>
      <c r="CL106" s="239">
        <v>2304287</v>
      </c>
      <c r="CM106" s="239">
        <v>256032</v>
      </c>
      <c r="CN106" s="239">
        <v>25603190</v>
      </c>
      <c r="CO106" s="239">
        <v>12676203</v>
      </c>
      <c r="CP106" s="239">
        <v>10140962</v>
      </c>
      <c r="CQ106" s="239">
        <v>2281717</v>
      </c>
      <c r="CR106" s="239">
        <v>253524</v>
      </c>
      <c r="CS106" s="239">
        <v>25352406</v>
      </c>
      <c r="CT106" s="239">
        <v>-125392</v>
      </c>
      <c r="CU106" s="239">
        <v>-100314</v>
      </c>
      <c r="CV106" s="239">
        <v>-22570</v>
      </c>
      <c r="CW106" s="239">
        <v>-2508</v>
      </c>
      <c r="CX106" s="239">
        <v>-250784</v>
      </c>
      <c r="CY106" s="239">
        <v>-192846</v>
      </c>
      <c r="CZ106" s="239">
        <v>-154277</v>
      </c>
      <c r="DA106" s="239">
        <v>-34712</v>
      </c>
      <c r="DB106" s="239">
        <v>-3858</v>
      </c>
      <c r="DC106" s="239">
        <v>-385693</v>
      </c>
      <c r="DD106" s="641">
        <v>0.5</v>
      </c>
      <c r="DE106" s="641">
        <v>0.4</v>
      </c>
      <c r="DF106" s="641">
        <v>0.09</v>
      </c>
      <c r="DG106" s="641">
        <v>0.01</v>
      </c>
      <c r="DH106" s="641">
        <v>1</v>
      </c>
      <c r="DI106" s="214" t="s">
        <v>1190</v>
      </c>
    </row>
    <row r="107" spans="1:113" s="214" customFormat="1" x14ac:dyDescent="0.2">
      <c r="B107" s="609" t="s">
        <v>296</v>
      </c>
      <c r="C107" s="609" t="s">
        <v>295</v>
      </c>
      <c r="D107" s="239">
        <v>11803491</v>
      </c>
      <c r="E107" s="239">
        <v>9442792</v>
      </c>
      <c r="F107" s="239">
        <v>2360698</v>
      </c>
      <c r="G107" s="239">
        <v>0</v>
      </c>
      <c r="H107" s="239">
        <v>23606981</v>
      </c>
      <c r="I107" s="239">
        <v>0</v>
      </c>
      <c r="J107" s="239">
        <v>0</v>
      </c>
      <c r="K107" s="239">
        <v>11803491</v>
      </c>
      <c r="L107" s="239">
        <v>90578</v>
      </c>
      <c r="M107" s="239">
        <v>90578</v>
      </c>
      <c r="N107" s="239">
        <v>0</v>
      </c>
      <c r="O107" s="239">
        <v>0</v>
      </c>
      <c r="P107" s="239">
        <v>104853</v>
      </c>
      <c r="Q107" s="239">
        <v>0</v>
      </c>
      <c r="R107" s="239">
        <v>104853</v>
      </c>
      <c r="S107" s="239">
        <v>0</v>
      </c>
      <c r="T107" s="239">
        <v>0</v>
      </c>
      <c r="U107" s="239">
        <v>0</v>
      </c>
      <c r="V107" s="239">
        <v>0</v>
      </c>
      <c r="W107" s="239">
        <v>396650</v>
      </c>
      <c r="X107" s="239">
        <v>317320</v>
      </c>
      <c r="Y107" s="239">
        <v>79330</v>
      </c>
      <c r="Z107" s="239">
        <v>0</v>
      </c>
      <c r="AA107" s="239">
        <v>793300</v>
      </c>
      <c r="AB107" s="239">
        <v>-167337</v>
      </c>
      <c r="AC107" s="239">
        <v>-133869</v>
      </c>
      <c r="AD107" s="239">
        <v>-33467</v>
      </c>
      <c r="AE107" s="239">
        <v>0</v>
      </c>
      <c r="AF107" s="239">
        <v>-334673</v>
      </c>
      <c r="AG107" s="239">
        <v>-121774.6</v>
      </c>
      <c r="AH107" s="239">
        <v>-97418</v>
      </c>
      <c r="AI107" s="239">
        <v>-24354</v>
      </c>
      <c r="AJ107" s="239">
        <v>0</v>
      </c>
      <c r="AK107" s="239">
        <v>-243546.59999999998</v>
      </c>
      <c r="AL107" s="239">
        <v>90723</v>
      </c>
      <c r="AM107" s="239">
        <v>72578</v>
      </c>
      <c r="AN107" s="239">
        <v>18145</v>
      </c>
      <c r="AO107" s="239">
        <v>0</v>
      </c>
      <c r="AP107" s="239">
        <v>181446</v>
      </c>
      <c r="AQ107" s="239">
        <v>-95057</v>
      </c>
      <c r="AR107" s="239">
        <v>-76045</v>
      </c>
      <c r="AS107" s="239">
        <v>-19011</v>
      </c>
      <c r="AT107" s="239">
        <v>0</v>
      </c>
      <c r="AU107" s="239">
        <v>-190113</v>
      </c>
      <c r="AV107" s="239">
        <v>-126108.6</v>
      </c>
      <c r="AW107" s="239">
        <v>-100885</v>
      </c>
      <c r="AX107" s="239">
        <v>-25220</v>
      </c>
      <c r="AY107" s="239">
        <v>0</v>
      </c>
      <c r="AZ107" s="239">
        <v>-252213.59999999998</v>
      </c>
      <c r="BA107" s="239">
        <v>-564509</v>
      </c>
      <c r="BB107" s="239">
        <v>-451609</v>
      </c>
      <c r="BC107" s="239">
        <v>-112901</v>
      </c>
      <c r="BD107" s="239">
        <v>0</v>
      </c>
      <c r="BE107" s="239">
        <v>-1129019</v>
      </c>
      <c r="BF107" s="239">
        <v>137637</v>
      </c>
      <c r="BG107" s="239">
        <v>110109</v>
      </c>
      <c r="BH107" s="239">
        <v>27527</v>
      </c>
      <c r="BI107" s="239">
        <v>0</v>
      </c>
      <c r="BJ107" s="239">
        <v>275273</v>
      </c>
      <c r="BK107" s="239">
        <v>-47497</v>
      </c>
      <c r="BL107" s="239">
        <v>-37997</v>
      </c>
      <c r="BM107" s="239">
        <v>-9499</v>
      </c>
      <c r="BN107" s="239">
        <v>0</v>
      </c>
      <c r="BO107" s="239">
        <v>-94993</v>
      </c>
      <c r="BP107" s="239">
        <v>-474369</v>
      </c>
      <c r="BQ107" s="239">
        <v>-379497</v>
      </c>
      <c r="BR107" s="239">
        <v>-94873</v>
      </c>
      <c r="BS107" s="239">
        <v>0</v>
      </c>
      <c r="BT107" s="239">
        <v>-948739</v>
      </c>
      <c r="BU107" s="239">
        <v>272336</v>
      </c>
      <c r="BV107" s="239">
        <v>217869</v>
      </c>
      <c r="BW107" s="239">
        <v>54467</v>
      </c>
      <c r="BX107" s="239">
        <v>0</v>
      </c>
      <c r="BY107" s="239">
        <v>544672</v>
      </c>
      <c r="BZ107" s="239">
        <v>-230116</v>
      </c>
      <c r="CA107" s="239">
        <v>-184092</v>
      </c>
      <c r="CB107" s="239">
        <v>-46023</v>
      </c>
      <c r="CC107" s="239">
        <v>0</v>
      </c>
      <c r="CD107" s="239">
        <v>-460231</v>
      </c>
      <c r="CE107" s="239">
        <v>502452</v>
      </c>
      <c r="CF107" s="239">
        <v>401961</v>
      </c>
      <c r="CG107" s="239">
        <v>100490</v>
      </c>
      <c r="CH107" s="239">
        <v>0</v>
      </c>
      <c r="CI107" s="239">
        <v>1004903</v>
      </c>
      <c r="CJ107" s="239">
        <v>11131702</v>
      </c>
      <c r="CK107" s="239">
        <v>8905362</v>
      </c>
      <c r="CL107" s="239">
        <v>2226340</v>
      </c>
      <c r="CM107" s="239">
        <v>0</v>
      </c>
      <c r="CN107" s="239">
        <v>22263404</v>
      </c>
      <c r="CO107" s="239">
        <v>11803491</v>
      </c>
      <c r="CP107" s="239">
        <v>9442792</v>
      </c>
      <c r="CQ107" s="239">
        <v>2360698</v>
      </c>
      <c r="CR107" s="239">
        <v>0</v>
      </c>
      <c r="CS107" s="239">
        <v>23606981</v>
      </c>
      <c r="CT107" s="239">
        <v>671789</v>
      </c>
      <c r="CU107" s="239">
        <v>537430</v>
      </c>
      <c r="CV107" s="239">
        <v>134358</v>
      </c>
      <c r="CW107" s="239">
        <v>0</v>
      </c>
      <c r="CX107" s="239">
        <v>1343577</v>
      </c>
      <c r="CY107" s="239">
        <v>1174241</v>
      </c>
      <c r="CZ107" s="239">
        <v>939391</v>
      </c>
      <c r="DA107" s="239">
        <v>234848</v>
      </c>
      <c r="DB107" s="239">
        <v>0</v>
      </c>
      <c r="DC107" s="239">
        <v>2348480</v>
      </c>
      <c r="DD107" s="641">
        <v>0.5</v>
      </c>
      <c r="DE107" s="641">
        <v>0.4</v>
      </c>
      <c r="DF107" s="641">
        <v>0.1</v>
      </c>
      <c r="DG107" s="641">
        <v>0</v>
      </c>
      <c r="DH107" s="641">
        <v>1</v>
      </c>
      <c r="DI107" s="214" t="s">
        <v>1190</v>
      </c>
    </row>
    <row r="108" spans="1:113" s="214" customFormat="1" x14ac:dyDescent="0.2">
      <c r="B108" s="609" t="s">
        <v>298</v>
      </c>
      <c r="C108" s="609" t="s">
        <v>297</v>
      </c>
      <c r="D108" s="239">
        <v>6000749</v>
      </c>
      <c r="E108" s="239">
        <v>4800600</v>
      </c>
      <c r="F108" s="239">
        <v>1200150</v>
      </c>
      <c r="G108" s="239">
        <v>0</v>
      </c>
      <c r="H108" s="239">
        <v>12001499</v>
      </c>
      <c r="I108" s="239">
        <v>0</v>
      </c>
      <c r="J108" s="239">
        <v>0</v>
      </c>
      <c r="K108" s="239">
        <v>6000749</v>
      </c>
      <c r="L108" s="239">
        <v>118856</v>
      </c>
      <c r="M108" s="239">
        <v>118856</v>
      </c>
      <c r="N108" s="239">
        <v>0</v>
      </c>
      <c r="O108" s="239">
        <v>0</v>
      </c>
      <c r="P108" s="239">
        <v>86580</v>
      </c>
      <c r="Q108" s="239">
        <v>0</v>
      </c>
      <c r="R108" s="239">
        <v>86580</v>
      </c>
      <c r="S108" s="239">
        <v>0</v>
      </c>
      <c r="T108" s="239">
        <v>0</v>
      </c>
      <c r="U108" s="239">
        <v>0</v>
      </c>
      <c r="V108" s="239">
        <v>0</v>
      </c>
      <c r="W108" s="239">
        <v>205306</v>
      </c>
      <c r="X108" s="239">
        <v>164245</v>
      </c>
      <c r="Y108" s="239">
        <v>41061</v>
      </c>
      <c r="Z108" s="239">
        <v>0</v>
      </c>
      <c r="AA108" s="239">
        <v>410612</v>
      </c>
      <c r="AB108" s="239">
        <v>-67033</v>
      </c>
      <c r="AC108" s="239">
        <v>-53627</v>
      </c>
      <c r="AD108" s="239">
        <v>-13407</v>
      </c>
      <c r="AE108" s="239">
        <v>0</v>
      </c>
      <c r="AF108" s="239">
        <v>-134067</v>
      </c>
      <c r="AG108" s="239">
        <v>-157140</v>
      </c>
      <c r="AH108" s="239">
        <v>-125710</v>
      </c>
      <c r="AI108" s="239">
        <v>-31429</v>
      </c>
      <c r="AJ108" s="239">
        <v>0</v>
      </c>
      <c r="AK108" s="239">
        <v>-314279</v>
      </c>
      <c r="AL108" s="239">
        <v>93732</v>
      </c>
      <c r="AM108" s="239">
        <v>74985</v>
      </c>
      <c r="AN108" s="239">
        <v>18746</v>
      </c>
      <c r="AO108" s="239">
        <v>0</v>
      </c>
      <c r="AP108" s="239">
        <v>187463</v>
      </c>
      <c r="AQ108" s="239">
        <v>-71592</v>
      </c>
      <c r="AR108" s="239">
        <v>-57274</v>
      </c>
      <c r="AS108" s="239">
        <v>-14318</v>
      </c>
      <c r="AT108" s="239">
        <v>0</v>
      </c>
      <c r="AU108" s="239">
        <v>-143184</v>
      </c>
      <c r="AV108" s="239">
        <v>-135000</v>
      </c>
      <c r="AW108" s="239">
        <v>-107999</v>
      </c>
      <c r="AX108" s="239">
        <v>-27001</v>
      </c>
      <c r="AY108" s="239">
        <v>0</v>
      </c>
      <c r="AZ108" s="239">
        <v>-270000</v>
      </c>
      <c r="BA108" s="239">
        <v>-528999</v>
      </c>
      <c r="BB108" s="239">
        <v>-423200</v>
      </c>
      <c r="BC108" s="239">
        <v>-105801</v>
      </c>
      <c r="BD108" s="239">
        <v>0</v>
      </c>
      <c r="BE108" s="239">
        <v>-1058000</v>
      </c>
      <c r="BF108" s="239">
        <v>372023</v>
      </c>
      <c r="BG108" s="239">
        <v>297619</v>
      </c>
      <c r="BH108" s="239">
        <v>74405</v>
      </c>
      <c r="BI108" s="239">
        <v>0</v>
      </c>
      <c r="BJ108" s="239">
        <v>744047</v>
      </c>
      <c r="BK108" s="239">
        <v>-96578</v>
      </c>
      <c r="BL108" s="239">
        <v>-77263</v>
      </c>
      <c r="BM108" s="239">
        <v>-19316</v>
      </c>
      <c r="BN108" s="239">
        <v>0</v>
      </c>
      <c r="BO108" s="239">
        <v>-193157</v>
      </c>
      <c r="BP108" s="239">
        <v>-253554</v>
      </c>
      <c r="BQ108" s="239">
        <v>-202844</v>
      </c>
      <c r="BR108" s="239">
        <v>-50712</v>
      </c>
      <c r="BS108" s="239">
        <v>0</v>
      </c>
      <c r="BT108" s="239">
        <v>-507110</v>
      </c>
      <c r="BU108" s="239">
        <v>-898989</v>
      </c>
      <c r="BV108" s="239">
        <v>-719191</v>
      </c>
      <c r="BW108" s="239">
        <v>-179798</v>
      </c>
      <c r="BX108" s="239">
        <v>0</v>
      </c>
      <c r="BY108" s="239">
        <v>-1797978</v>
      </c>
      <c r="BZ108" s="239">
        <v>-810928</v>
      </c>
      <c r="CA108" s="239">
        <v>-648743</v>
      </c>
      <c r="CB108" s="239">
        <v>-162186</v>
      </c>
      <c r="CC108" s="239">
        <v>0</v>
      </c>
      <c r="CD108" s="239">
        <v>-1621857</v>
      </c>
      <c r="CE108" s="239">
        <v>-88061</v>
      </c>
      <c r="CF108" s="239">
        <v>-70448</v>
      </c>
      <c r="CG108" s="239">
        <v>-17612</v>
      </c>
      <c r="CH108" s="239">
        <v>0</v>
      </c>
      <c r="CI108" s="239">
        <v>-176121</v>
      </c>
      <c r="CJ108" s="239">
        <v>6131376</v>
      </c>
      <c r="CK108" s="239">
        <v>4905101</v>
      </c>
      <c r="CL108" s="239">
        <v>1226275</v>
      </c>
      <c r="CM108" s="239">
        <v>0</v>
      </c>
      <c r="CN108" s="239">
        <v>12262752</v>
      </c>
      <c r="CO108" s="239">
        <v>6000749</v>
      </c>
      <c r="CP108" s="239">
        <v>4800600</v>
      </c>
      <c r="CQ108" s="239">
        <v>1200150</v>
      </c>
      <c r="CR108" s="239">
        <v>0</v>
      </c>
      <c r="CS108" s="239">
        <v>12001499</v>
      </c>
      <c r="CT108" s="239">
        <v>-130627</v>
      </c>
      <c r="CU108" s="239">
        <v>-104501</v>
      </c>
      <c r="CV108" s="239">
        <v>-26125</v>
      </c>
      <c r="CW108" s="239">
        <v>0</v>
      </c>
      <c r="CX108" s="239">
        <v>-261253</v>
      </c>
      <c r="CY108" s="239">
        <v>-218688</v>
      </c>
      <c r="CZ108" s="239">
        <v>-174949</v>
      </c>
      <c r="DA108" s="239">
        <v>-43737</v>
      </c>
      <c r="DB108" s="239">
        <v>0</v>
      </c>
      <c r="DC108" s="239">
        <v>-437374</v>
      </c>
      <c r="DD108" s="641">
        <v>0.5</v>
      </c>
      <c r="DE108" s="641">
        <v>0.4</v>
      </c>
      <c r="DF108" s="641">
        <v>0.1</v>
      </c>
      <c r="DG108" s="641">
        <v>0</v>
      </c>
      <c r="DH108" s="641">
        <v>1</v>
      </c>
      <c r="DI108" s="214" t="s">
        <v>1190</v>
      </c>
    </row>
    <row r="109" spans="1:113" s="214" customFormat="1" x14ac:dyDescent="0.2">
      <c r="B109" s="609" t="s">
        <v>300</v>
      </c>
      <c r="C109" s="609" t="s">
        <v>299</v>
      </c>
      <c r="D109" s="239">
        <v>15559486</v>
      </c>
      <c r="E109" s="239">
        <v>12447590</v>
      </c>
      <c r="F109" s="239">
        <v>2800708</v>
      </c>
      <c r="G109" s="239">
        <v>311190</v>
      </c>
      <c r="H109" s="239">
        <v>31118974</v>
      </c>
      <c r="I109" s="239">
        <v>25590.838842975209</v>
      </c>
      <c r="J109" s="239">
        <v>25590.838842975209</v>
      </c>
      <c r="K109" s="239">
        <v>15533895.161157025</v>
      </c>
      <c r="L109" s="239">
        <v>112252</v>
      </c>
      <c r="M109" s="239">
        <v>112252</v>
      </c>
      <c r="N109" s="239">
        <v>0</v>
      </c>
      <c r="O109" s="239">
        <v>0</v>
      </c>
      <c r="P109" s="239">
        <v>47587</v>
      </c>
      <c r="Q109" s="239">
        <v>0</v>
      </c>
      <c r="R109" s="239">
        <v>47587</v>
      </c>
      <c r="S109" s="239">
        <v>20472.671074380167</v>
      </c>
      <c r="T109" s="239">
        <v>4606.3509917355368</v>
      </c>
      <c r="U109" s="239">
        <v>511.81677685950416</v>
      </c>
      <c r="V109" s="239">
        <v>25590.838842975209</v>
      </c>
      <c r="W109" s="239">
        <v>922190</v>
      </c>
      <c r="X109" s="239">
        <v>737752</v>
      </c>
      <c r="Y109" s="239">
        <v>165994</v>
      </c>
      <c r="Z109" s="239">
        <v>18444</v>
      </c>
      <c r="AA109" s="239">
        <v>1844380</v>
      </c>
      <c r="AB109" s="239">
        <v>-464791</v>
      </c>
      <c r="AC109" s="239">
        <v>-371833</v>
      </c>
      <c r="AD109" s="239">
        <v>-83662</v>
      </c>
      <c r="AE109" s="239">
        <v>-9296</v>
      </c>
      <c r="AF109" s="239">
        <v>-929582</v>
      </c>
      <c r="AG109" s="239">
        <v>-385068</v>
      </c>
      <c r="AH109" s="239">
        <v>-308056</v>
      </c>
      <c r="AI109" s="239">
        <v>-69313</v>
      </c>
      <c r="AJ109" s="239">
        <v>-7702</v>
      </c>
      <c r="AK109" s="239">
        <v>-770139</v>
      </c>
      <c r="AL109" s="239">
        <v>95946</v>
      </c>
      <c r="AM109" s="239">
        <v>76756</v>
      </c>
      <c r="AN109" s="239">
        <v>17270</v>
      </c>
      <c r="AO109" s="239">
        <v>1919</v>
      </c>
      <c r="AP109" s="239">
        <v>191891</v>
      </c>
      <c r="AQ109" s="239">
        <v>-147989</v>
      </c>
      <c r="AR109" s="239">
        <v>-118391</v>
      </c>
      <c r="AS109" s="239">
        <v>-26638</v>
      </c>
      <c r="AT109" s="239">
        <v>-2960</v>
      </c>
      <c r="AU109" s="239">
        <v>-295978</v>
      </c>
      <c r="AV109" s="239">
        <v>-437111</v>
      </c>
      <c r="AW109" s="239">
        <v>-349691</v>
      </c>
      <c r="AX109" s="239">
        <v>-78681</v>
      </c>
      <c r="AY109" s="239">
        <v>-8743</v>
      </c>
      <c r="AZ109" s="239">
        <v>-874226</v>
      </c>
      <c r="BA109" s="239">
        <v>-4806613</v>
      </c>
      <c r="BB109" s="239">
        <v>-3845291</v>
      </c>
      <c r="BC109" s="239">
        <v>-865190</v>
      </c>
      <c r="BD109" s="239">
        <v>-96133</v>
      </c>
      <c r="BE109" s="239">
        <v>-9613227</v>
      </c>
      <c r="BF109" s="239">
        <v>0</v>
      </c>
      <c r="BG109" s="239">
        <v>0</v>
      </c>
      <c r="BH109" s="239">
        <v>0</v>
      </c>
      <c r="BI109" s="239">
        <v>0</v>
      </c>
      <c r="BJ109" s="239">
        <v>0</v>
      </c>
      <c r="BK109" s="239">
        <v>2345531</v>
      </c>
      <c r="BL109" s="239">
        <v>1876425</v>
      </c>
      <c r="BM109" s="239">
        <v>422196</v>
      </c>
      <c r="BN109" s="239">
        <v>46911</v>
      </c>
      <c r="BO109" s="239">
        <v>4691063</v>
      </c>
      <c r="BP109" s="239">
        <v>-2461082</v>
      </c>
      <c r="BQ109" s="239">
        <v>-1968866</v>
      </c>
      <c r="BR109" s="239">
        <v>-442994</v>
      </c>
      <c r="BS109" s="239">
        <v>-49222</v>
      </c>
      <c r="BT109" s="239">
        <v>-4922164</v>
      </c>
      <c r="BU109" s="239">
        <v>-2643136</v>
      </c>
      <c r="BV109" s="239">
        <v>-2114509</v>
      </c>
      <c r="BW109" s="239">
        <v>-475764</v>
      </c>
      <c r="BX109" s="239">
        <v>-52863</v>
      </c>
      <c r="BY109" s="239">
        <v>-5286272</v>
      </c>
      <c r="BZ109" s="239">
        <v>-819906</v>
      </c>
      <c r="CA109" s="239">
        <v>-655925</v>
      </c>
      <c r="CB109" s="239">
        <v>-147583</v>
      </c>
      <c r="CC109" s="239">
        <v>-16398</v>
      </c>
      <c r="CD109" s="239">
        <v>-1639812</v>
      </c>
      <c r="CE109" s="239">
        <v>-1823230</v>
      </c>
      <c r="CF109" s="239">
        <v>-1458584</v>
      </c>
      <c r="CG109" s="239">
        <v>-328181</v>
      </c>
      <c r="CH109" s="239">
        <v>-36465</v>
      </c>
      <c r="CI109" s="239">
        <v>-3646460</v>
      </c>
      <c r="CJ109" s="239">
        <v>11984032</v>
      </c>
      <c r="CK109" s="239">
        <v>9587226</v>
      </c>
      <c r="CL109" s="239">
        <v>2157126</v>
      </c>
      <c r="CM109" s="239">
        <v>239681</v>
      </c>
      <c r="CN109" s="239">
        <v>23968065</v>
      </c>
      <c r="CO109" s="239">
        <v>15559486</v>
      </c>
      <c r="CP109" s="239">
        <v>12447590</v>
      </c>
      <c r="CQ109" s="239">
        <v>2800708</v>
      </c>
      <c r="CR109" s="239">
        <v>311190</v>
      </c>
      <c r="CS109" s="239">
        <v>31118974</v>
      </c>
      <c r="CT109" s="239">
        <v>3575454</v>
      </c>
      <c r="CU109" s="239">
        <v>2860364</v>
      </c>
      <c r="CV109" s="239">
        <v>643582</v>
      </c>
      <c r="CW109" s="239">
        <v>71509</v>
      </c>
      <c r="CX109" s="239">
        <v>7150909</v>
      </c>
      <c r="CY109" s="239">
        <v>1752224</v>
      </c>
      <c r="CZ109" s="239">
        <v>1401780</v>
      </c>
      <c r="DA109" s="239">
        <v>315401</v>
      </c>
      <c r="DB109" s="239">
        <v>35044</v>
      </c>
      <c r="DC109" s="239">
        <v>3504449</v>
      </c>
      <c r="DD109" s="641">
        <v>0.5</v>
      </c>
      <c r="DE109" s="641">
        <v>0.4</v>
      </c>
      <c r="DF109" s="641">
        <v>0.09</v>
      </c>
      <c r="DG109" s="641">
        <v>0.01</v>
      </c>
      <c r="DH109" s="641">
        <v>1</v>
      </c>
      <c r="DI109" s="214" t="s">
        <v>1190</v>
      </c>
    </row>
    <row r="110" spans="1:113" s="214" customFormat="1" x14ac:dyDescent="0.2">
      <c r="B110" s="609" t="s">
        <v>302</v>
      </c>
      <c r="C110" s="609" t="s">
        <v>301</v>
      </c>
      <c r="D110" s="239">
        <v>44240251</v>
      </c>
      <c r="E110" s="239">
        <v>43355445</v>
      </c>
      <c r="F110" s="239">
        <v>0</v>
      </c>
      <c r="G110" s="239">
        <v>884805</v>
      </c>
      <c r="H110" s="239">
        <v>88480501</v>
      </c>
      <c r="I110" s="239">
        <v>0</v>
      </c>
      <c r="J110" s="239">
        <v>0</v>
      </c>
      <c r="K110" s="239">
        <v>44240251</v>
      </c>
      <c r="L110" s="239">
        <v>293350</v>
      </c>
      <c r="M110" s="239">
        <v>293350</v>
      </c>
      <c r="N110" s="239">
        <v>536956</v>
      </c>
      <c r="O110" s="239">
        <v>536956</v>
      </c>
      <c r="P110" s="239">
        <v>0</v>
      </c>
      <c r="Q110" s="239">
        <v>0</v>
      </c>
      <c r="R110" s="239">
        <v>0</v>
      </c>
      <c r="S110" s="239">
        <v>0</v>
      </c>
      <c r="T110" s="239">
        <v>0</v>
      </c>
      <c r="U110" s="239">
        <v>0</v>
      </c>
      <c r="V110" s="239">
        <v>0</v>
      </c>
      <c r="W110" s="239">
        <v>2323417</v>
      </c>
      <c r="X110" s="239">
        <v>2276949</v>
      </c>
      <c r="Y110" s="239">
        <v>0</v>
      </c>
      <c r="Z110" s="239">
        <v>46468</v>
      </c>
      <c r="AA110" s="239">
        <v>4646834</v>
      </c>
      <c r="AB110" s="239">
        <v>-1142181</v>
      </c>
      <c r="AC110" s="239">
        <v>-1119337</v>
      </c>
      <c r="AD110" s="239">
        <v>0</v>
      </c>
      <c r="AE110" s="239">
        <v>-22844</v>
      </c>
      <c r="AF110" s="239">
        <v>-2284362</v>
      </c>
      <c r="AG110" s="239">
        <v>-1582500</v>
      </c>
      <c r="AH110" s="239">
        <v>-1550850</v>
      </c>
      <c r="AI110" s="239">
        <v>0</v>
      </c>
      <c r="AJ110" s="239">
        <v>-31650</v>
      </c>
      <c r="AK110" s="239">
        <v>-3165000</v>
      </c>
      <c r="AL110" s="239">
        <v>1582500</v>
      </c>
      <c r="AM110" s="239">
        <v>1550850</v>
      </c>
      <c r="AN110" s="239">
        <v>0</v>
      </c>
      <c r="AO110" s="239">
        <v>31650</v>
      </c>
      <c r="AP110" s="239">
        <v>3165000</v>
      </c>
      <c r="AQ110" s="239">
        <v>-1582500</v>
      </c>
      <c r="AR110" s="239">
        <v>-1550850</v>
      </c>
      <c r="AS110" s="239">
        <v>0</v>
      </c>
      <c r="AT110" s="239">
        <v>-31650</v>
      </c>
      <c r="AU110" s="239">
        <v>-3165000</v>
      </c>
      <c r="AV110" s="239">
        <v>-1582500</v>
      </c>
      <c r="AW110" s="239">
        <v>-1550850</v>
      </c>
      <c r="AX110" s="239">
        <v>0</v>
      </c>
      <c r="AY110" s="239">
        <v>-31650</v>
      </c>
      <c r="AZ110" s="239">
        <v>-3165000</v>
      </c>
      <c r="BA110" s="239">
        <v>-1689937</v>
      </c>
      <c r="BB110" s="239">
        <v>-1656139</v>
      </c>
      <c r="BC110" s="239">
        <v>0</v>
      </c>
      <c r="BD110" s="239">
        <v>-33799</v>
      </c>
      <c r="BE110" s="239">
        <v>-3379875</v>
      </c>
      <c r="BF110" s="239">
        <v>1689937</v>
      </c>
      <c r="BG110" s="239">
        <v>1656139</v>
      </c>
      <c r="BH110" s="239">
        <v>0</v>
      </c>
      <c r="BI110" s="239">
        <v>33799</v>
      </c>
      <c r="BJ110" s="239">
        <v>3379875</v>
      </c>
      <c r="BK110" s="239">
        <v>-1689937</v>
      </c>
      <c r="BL110" s="239">
        <v>-1656139</v>
      </c>
      <c r="BM110" s="239">
        <v>0</v>
      </c>
      <c r="BN110" s="239">
        <v>-33799</v>
      </c>
      <c r="BO110" s="239">
        <v>-3379875</v>
      </c>
      <c r="BP110" s="239">
        <v>-1689937</v>
      </c>
      <c r="BQ110" s="239">
        <v>-1656139</v>
      </c>
      <c r="BR110" s="239">
        <v>0</v>
      </c>
      <c r="BS110" s="239">
        <v>-33799</v>
      </c>
      <c r="BT110" s="239">
        <v>-3379875</v>
      </c>
      <c r="BU110" s="239">
        <v>-3734521</v>
      </c>
      <c r="BV110" s="239">
        <v>-3659831</v>
      </c>
      <c r="BW110" s="239">
        <v>0</v>
      </c>
      <c r="BX110" s="239">
        <v>-74690</v>
      </c>
      <c r="BY110" s="239">
        <v>-7469042</v>
      </c>
      <c r="BZ110" s="239">
        <v>-3001469</v>
      </c>
      <c r="CA110" s="239">
        <v>-2941440</v>
      </c>
      <c r="CB110" s="239">
        <v>0</v>
      </c>
      <c r="CC110" s="239">
        <v>-60029</v>
      </c>
      <c r="CD110" s="239">
        <v>-6002938</v>
      </c>
      <c r="CE110" s="239">
        <v>-733052</v>
      </c>
      <c r="CF110" s="239">
        <v>-718391</v>
      </c>
      <c r="CG110" s="239">
        <v>0</v>
      </c>
      <c r="CH110" s="239">
        <v>-14661</v>
      </c>
      <c r="CI110" s="239">
        <v>-1466104</v>
      </c>
      <c r="CJ110" s="239">
        <v>47355790</v>
      </c>
      <c r="CK110" s="239">
        <v>46408675</v>
      </c>
      <c r="CL110" s="239">
        <v>0</v>
      </c>
      <c r="CM110" s="239">
        <v>947116</v>
      </c>
      <c r="CN110" s="239">
        <v>94711581</v>
      </c>
      <c r="CO110" s="239">
        <v>44240251</v>
      </c>
      <c r="CP110" s="239">
        <v>43355445</v>
      </c>
      <c r="CQ110" s="239">
        <v>0</v>
      </c>
      <c r="CR110" s="239">
        <v>884805</v>
      </c>
      <c r="CS110" s="239">
        <v>88480501</v>
      </c>
      <c r="CT110" s="239">
        <v>-3115539</v>
      </c>
      <c r="CU110" s="239">
        <v>-3053230</v>
      </c>
      <c r="CV110" s="239">
        <v>0</v>
      </c>
      <c r="CW110" s="239">
        <v>-62311</v>
      </c>
      <c r="CX110" s="239">
        <v>-6231080</v>
      </c>
      <c r="CY110" s="239">
        <v>-3848591</v>
      </c>
      <c r="CZ110" s="239">
        <v>-3771621</v>
      </c>
      <c r="DA110" s="239">
        <v>0</v>
      </c>
      <c r="DB110" s="239">
        <v>-76972</v>
      </c>
      <c r="DC110" s="239">
        <v>-7697184</v>
      </c>
      <c r="DD110" s="641">
        <v>0.5</v>
      </c>
      <c r="DE110" s="641">
        <v>0.49</v>
      </c>
      <c r="DF110" s="641">
        <v>0</v>
      </c>
      <c r="DG110" s="641">
        <v>0.01</v>
      </c>
      <c r="DH110" s="641">
        <v>1</v>
      </c>
      <c r="DI110" s="214" t="s">
        <v>1192</v>
      </c>
    </row>
    <row r="111" spans="1:113" s="214" customFormat="1" x14ac:dyDescent="0.2">
      <c r="B111" s="609" t="s">
        <v>304</v>
      </c>
      <c r="C111" s="609" t="s">
        <v>303</v>
      </c>
      <c r="D111" s="239">
        <v>10938208</v>
      </c>
      <c r="E111" s="239">
        <v>8750566</v>
      </c>
      <c r="F111" s="239">
        <v>1968877</v>
      </c>
      <c r="G111" s="239">
        <v>218764</v>
      </c>
      <c r="H111" s="239">
        <v>21876415</v>
      </c>
      <c r="I111" s="239">
        <v>0</v>
      </c>
      <c r="J111" s="239">
        <v>0</v>
      </c>
      <c r="K111" s="239">
        <v>10938208</v>
      </c>
      <c r="L111" s="239">
        <v>101234</v>
      </c>
      <c r="M111" s="239">
        <v>101234</v>
      </c>
      <c r="N111" s="239">
        <v>0</v>
      </c>
      <c r="O111" s="239">
        <v>0</v>
      </c>
      <c r="P111" s="239">
        <v>81757</v>
      </c>
      <c r="Q111" s="239">
        <v>0</v>
      </c>
      <c r="R111" s="239">
        <v>81757</v>
      </c>
      <c r="S111" s="239">
        <v>0</v>
      </c>
      <c r="T111" s="239">
        <v>0</v>
      </c>
      <c r="U111" s="239">
        <v>0</v>
      </c>
      <c r="V111" s="239">
        <v>0</v>
      </c>
      <c r="W111" s="239">
        <v>216467</v>
      </c>
      <c r="X111" s="239">
        <v>173174</v>
      </c>
      <c r="Y111" s="239">
        <v>38964</v>
      </c>
      <c r="Z111" s="239">
        <v>4329</v>
      </c>
      <c r="AA111" s="239">
        <v>432934</v>
      </c>
      <c r="AB111" s="239">
        <v>-160484</v>
      </c>
      <c r="AC111" s="239">
        <v>-128387</v>
      </c>
      <c r="AD111" s="239">
        <v>-28887</v>
      </c>
      <c r="AE111" s="239">
        <v>-3210</v>
      </c>
      <c r="AF111" s="239">
        <v>-320968</v>
      </c>
      <c r="AG111" s="239">
        <v>-88332</v>
      </c>
      <c r="AH111" s="239">
        <v>-70667</v>
      </c>
      <c r="AI111" s="239">
        <v>-15901</v>
      </c>
      <c r="AJ111" s="239">
        <v>-1766</v>
      </c>
      <c r="AK111" s="239">
        <v>-176666</v>
      </c>
      <c r="AL111" s="239">
        <v>30840</v>
      </c>
      <c r="AM111" s="239">
        <v>24672</v>
      </c>
      <c r="AN111" s="239">
        <v>5551</v>
      </c>
      <c r="AO111" s="239">
        <v>617</v>
      </c>
      <c r="AP111" s="239">
        <v>61680</v>
      </c>
      <c r="AQ111" s="239">
        <v>-37945</v>
      </c>
      <c r="AR111" s="239">
        <v>-30356</v>
      </c>
      <c r="AS111" s="239">
        <v>-6830</v>
      </c>
      <c r="AT111" s="239">
        <v>-759</v>
      </c>
      <c r="AU111" s="239">
        <v>-75890</v>
      </c>
      <c r="AV111" s="239">
        <v>-95437</v>
      </c>
      <c r="AW111" s="239">
        <v>-76351</v>
      </c>
      <c r="AX111" s="239">
        <v>-17180</v>
      </c>
      <c r="AY111" s="239">
        <v>-1908</v>
      </c>
      <c r="AZ111" s="239">
        <v>-190876</v>
      </c>
      <c r="BA111" s="239">
        <v>-1177961</v>
      </c>
      <c r="BB111" s="239">
        <v>-942369</v>
      </c>
      <c r="BC111" s="239">
        <v>-212033</v>
      </c>
      <c r="BD111" s="239">
        <v>-23559</v>
      </c>
      <c r="BE111" s="239">
        <v>-2355922</v>
      </c>
      <c r="BF111" s="239">
        <v>141331</v>
      </c>
      <c r="BG111" s="239">
        <v>113066</v>
      </c>
      <c r="BH111" s="239">
        <v>25440</v>
      </c>
      <c r="BI111" s="239">
        <v>2827</v>
      </c>
      <c r="BJ111" s="239">
        <v>282664</v>
      </c>
      <c r="BK111" s="239">
        <v>-260958</v>
      </c>
      <c r="BL111" s="239">
        <v>-208767</v>
      </c>
      <c r="BM111" s="239">
        <v>-46973</v>
      </c>
      <c r="BN111" s="239">
        <v>-5219</v>
      </c>
      <c r="BO111" s="239">
        <v>-521917</v>
      </c>
      <c r="BP111" s="239">
        <v>-1297588</v>
      </c>
      <c r="BQ111" s="239">
        <v>-1038070</v>
      </c>
      <c r="BR111" s="239">
        <v>-233566</v>
      </c>
      <c r="BS111" s="239">
        <v>-25951</v>
      </c>
      <c r="BT111" s="239">
        <v>-2595175</v>
      </c>
      <c r="BU111" s="239">
        <v>-368820</v>
      </c>
      <c r="BV111" s="239">
        <v>-295056</v>
      </c>
      <c r="BW111" s="239">
        <v>-66388</v>
      </c>
      <c r="BX111" s="239">
        <v>-7376</v>
      </c>
      <c r="BY111" s="239">
        <v>-737640</v>
      </c>
      <c r="BZ111" s="239">
        <v>-683908</v>
      </c>
      <c r="CA111" s="239">
        <v>-547127</v>
      </c>
      <c r="CB111" s="239">
        <v>-123104</v>
      </c>
      <c r="CC111" s="239">
        <v>-13678</v>
      </c>
      <c r="CD111" s="239">
        <v>-1367817</v>
      </c>
      <c r="CE111" s="239">
        <v>315088</v>
      </c>
      <c r="CF111" s="239">
        <v>252071</v>
      </c>
      <c r="CG111" s="239">
        <v>56716</v>
      </c>
      <c r="CH111" s="239">
        <v>6302</v>
      </c>
      <c r="CI111" s="239">
        <v>630177</v>
      </c>
      <c r="CJ111" s="239">
        <v>11059996</v>
      </c>
      <c r="CK111" s="239">
        <v>8847997</v>
      </c>
      <c r="CL111" s="239">
        <v>1990799</v>
      </c>
      <c r="CM111" s="239">
        <v>221200</v>
      </c>
      <c r="CN111" s="239">
        <v>22119992</v>
      </c>
      <c r="CO111" s="239">
        <v>10938208</v>
      </c>
      <c r="CP111" s="239">
        <v>8750566</v>
      </c>
      <c r="CQ111" s="239">
        <v>1968877</v>
      </c>
      <c r="CR111" s="239">
        <v>218764</v>
      </c>
      <c r="CS111" s="239">
        <v>21876415</v>
      </c>
      <c r="CT111" s="239">
        <v>-121788</v>
      </c>
      <c r="CU111" s="239">
        <v>-97431</v>
      </c>
      <c r="CV111" s="239">
        <v>-21922</v>
      </c>
      <c r="CW111" s="239">
        <v>-2436</v>
      </c>
      <c r="CX111" s="239">
        <v>-243577</v>
      </c>
      <c r="CY111" s="239">
        <v>193300</v>
      </c>
      <c r="CZ111" s="239">
        <v>154640</v>
      </c>
      <c r="DA111" s="239">
        <v>34794</v>
      </c>
      <c r="DB111" s="239">
        <v>3866</v>
      </c>
      <c r="DC111" s="239">
        <v>386600</v>
      </c>
      <c r="DD111" s="641">
        <v>0.5</v>
      </c>
      <c r="DE111" s="641">
        <v>0.4</v>
      </c>
      <c r="DF111" s="641">
        <v>0.09</v>
      </c>
      <c r="DG111" s="641">
        <v>0.01</v>
      </c>
      <c r="DH111" s="641">
        <v>1</v>
      </c>
      <c r="DI111" s="214" t="s">
        <v>1190</v>
      </c>
    </row>
    <row r="112" spans="1:113" s="214" customFormat="1" x14ac:dyDescent="0.2">
      <c r="B112" s="609" t="s">
        <v>306</v>
      </c>
      <c r="C112" s="609" t="s">
        <v>305</v>
      </c>
      <c r="D112" s="239">
        <v>25708812</v>
      </c>
      <c r="E112" s="239">
        <v>20567050</v>
      </c>
      <c r="F112" s="239">
        <v>5141763</v>
      </c>
      <c r="G112" s="239">
        <v>0</v>
      </c>
      <c r="H112" s="239">
        <v>51417625</v>
      </c>
      <c r="I112" s="239">
        <v>0</v>
      </c>
      <c r="J112" s="239">
        <v>0</v>
      </c>
      <c r="K112" s="239">
        <v>25708812</v>
      </c>
      <c r="L112" s="239">
        <v>179492</v>
      </c>
      <c r="M112" s="239">
        <v>179492</v>
      </c>
      <c r="N112" s="239">
        <v>0</v>
      </c>
      <c r="O112" s="239">
        <v>0</v>
      </c>
      <c r="P112" s="239">
        <v>0</v>
      </c>
      <c r="Q112" s="239">
        <v>0</v>
      </c>
      <c r="R112" s="239">
        <v>0</v>
      </c>
      <c r="S112" s="239">
        <v>0</v>
      </c>
      <c r="T112" s="239">
        <v>0</v>
      </c>
      <c r="U112" s="239">
        <v>0</v>
      </c>
      <c r="V112" s="239">
        <v>0</v>
      </c>
      <c r="W112" s="239">
        <v>1234947</v>
      </c>
      <c r="X112" s="239">
        <v>987958</v>
      </c>
      <c r="Y112" s="239">
        <v>246990</v>
      </c>
      <c r="Z112" s="239">
        <v>0</v>
      </c>
      <c r="AA112" s="239">
        <v>2469895</v>
      </c>
      <c r="AB112" s="239">
        <v>-576697</v>
      </c>
      <c r="AC112" s="239">
        <v>-461358</v>
      </c>
      <c r="AD112" s="239">
        <v>-115339</v>
      </c>
      <c r="AE112" s="239">
        <v>0</v>
      </c>
      <c r="AF112" s="239">
        <v>-1153394</v>
      </c>
      <c r="AG112" s="239">
        <v>-617371</v>
      </c>
      <c r="AH112" s="239">
        <v>-493898</v>
      </c>
      <c r="AI112" s="239">
        <v>-123474</v>
      </c>
      <c r="AJ112" s="239">
        <v>0</v>
      </c>
      <c r="AK112" s="239">
        <v>-1234743</v>
      </c>
      <c r="AL112" s="239">
        <v>14579</v>
      </c>
      <c r="AM112" s="239">
        <v>11663</v>
      </c>
      <c r="AN112" s="239">
        <v>2916</v>
      </c>
      <c r="AO112" s="239">
        <v>0</v>
      </c>
      <c r="AP112" s="239">
        <v>29158</v>
      </c>
      <c r="AQ112" s="239">
        <v>-242427</v>
      </c>
      <c r="AR112" s="239">
        <v>-193942</v>
      </c>
      <c r="AS112" s="239">
        <v>-48486</v>
      </c>
      <c r="AT112" s="239">
        <v>0</v>
      </c>
      <c r="AU112" s="239">
        <v>-484855</v>
      </c>
      <c r="AV112" s="239">
        <v>-845219</v>
      </c>
      <c r="AW112" s="239">
        <v>-676177</v>
      </c>
      <c r="AX112" s="239">
        <v>-169044</v>
      </c>
      <c r="AY112" s="239">
        <v>0</v>
      </c>
      <c r="AZ112" s="239">
        <v>-1690440</v>
      </c>
      <c r="BA112" s="239">
        <v>-1102831</v>
      </c>
      <c r="BB112" s="239">
        <v>-882264</v>
      </c>
      <c r="BC112" s="239">
        <v>-220565</v>
      </c>
      <c r="BD112" s="239">
        <v>0</v>
      </c>
      <c r="BE112" s="239">
        <v>-2205660</v>
      </c>
      <c r="BF112" s="239">
        <v>1085613</v>
      </c>
      <c r="BG112" s="239">
        <v>868491</v>
      </c>
      <c r="BH112" s="239">
        <v>217123</v>
      </c>
      <c r="BI112" s="239">
        <v>0</v>
      </c>
      <c r="BJ112" s="239">
        <v>2171227</v>
      </c>
      <c r="BK112" s="239">
        <v>-1465907</v>
      </c>
      <c r="BL112" s="239">
        <v>-1172726</v>
      </c>
      <c r="BM112" s="239">
        <v>-293181</v>
      </c>
      <c r="BN112" s="239">
        <v>0</v>
      </c>
      <c r="BO112" s="239">
        <v>-2931814</v>
      </c>
      <c r="BP112" s="239">
        <v>-1483125</v>
      </c>
      <c r="BQ112" s="239">
        <v>-1186499</v>
      </c>
      <c r="BR112" s="239">
        <v>-296623</v>
      </c>
      <c r="BS112" s="239">
        <v>0</v>
      </c>
      <c r="BT112" s="239">
        <v>-2966247</v>
      </c>
      <c r="BU112" s="239">
        <v>-1300915</v>
      </c>
      <c r="BV112" s="239">
        <v>-1040732</v>
      </c>
      <c r="BW112" s="239">
        <v>-260183</v>
      </c>
      <c r="BX112" s="239">
        <v>0</v>
      </c>
      <c r="BY112" s="239">
        <v>-2601830</v>
      </c>
      <c r="BZ112" s="239">
        <v>-805806</v>
      </c>
      <c r="CA112" s="239">
        <v>-644645</v>
      </c>
      <c r="CB112" s="239">
        <v>-161161</v>
      </c>
      <c r="CC112" s="239">
        <v>0</v>
      </c>
      <c r="CD112" s="239">
        <v>-1611612</v>
      </c>
      <c r="CE112" s="239">
        <v>-495109</v>
      </c>
      <c r="CF112" s="239">
        <v>-396087</v>
      </c>
      <c r="CG112" s="239">
        <v>-99022</v>
      </c>
      <c r="CH112" s="239">
        <v>0</v>
      </c>
      <c r="CI112" s="239">
        <v>-990218</v>
      </c>
      <c r="CJ112" s="239">
        <v>27367168</v>
      </c>
      <c r="CK112" s="239">
        <v>21893735</v>
      </c>
      <c r="CL112" s="239">
        <v>5473434</v>
      </c>
      <c r="CM112" s="239">
        <v>0</v>
      </c>
      <c r="CN112" s="239">
        <v>54734337</v>
      </c>
      <c r="CO112" s="239">
        <v>25708812</v>
      </c>
      <c r="CP112" s="239">
        <v>20567050</v>
      </c>
      <c r="CQ112" s="239">
        <v>5141763</v>
      </c>
      <c r="CR112" s="239">
        <v>0</v>
      </c>
      <c r="CS112" s="239">
        <v>51417625</v>
      </c>
      <c r="CT112" s="239">
        <v>-1658356</v>
      </c>
      <c r="CU112" s="239">
        <v>-1326685</v>
      </c>
      <c r="CV112" s="239">
        <v>-331671</v>
      </c>
      <c r="CW112" s="239">
        <v>0</v>
      </c>
      <c r="CX112" s="239">
        <v>-3316712</v>
      </c>
      <c r="CY112" s="239">
        <v>-2153465</v>
      </c>
      <c r="CZ112" s="239">
        <v>-1722772</v>
      </c>
      <c r="DA112" s="239">
        <v>-430693</v>
      </c>
      <c r="DB112" s="239">
        <v>0</v>
      </c>
      <c r="DC112" s="239">
        <v>-4306930</v>
      </c>
      <c r="DD112" s="641">
        <v>0.5</v>
      </c>
      <c r="DE112" s="641">
        <v>0.4</v>
      </c>
      <c r="DF112" s="641">
        <v>0.1</v>
      </c>
      <c r="DG112" s="641">
        <v>0</v>
      </c>
      <c r="DH112" s="641">
        <v>1</v>
      </c>
      <c r="DI112" s="214" t="s">
        <v>1190</v>
      </c>
    </row>
    <row r="113" spans="1:113" s="214" customFormat="1" x14ac:dyDescent="0.2">
      <c r="B113" s="609" t="s">
        <v>308</v>
      </c>
      <c r="C113" s="609" t="s">
        <v>307</v>
      </c>
      <c r="D113" s="239">
        <v>8427410</v>
      </c>
      <c r="E113" s="239">
        <v>6741928</v>
      </c>
      <c r="F113" s="239">
        <v>1516934</v>
      </c>
      <c r="G113" s="239">
        <v>168548</v>
      </c>
      <c r="H113" s="239">
        <v>16854820</v>
      </c>
      <c r="I113" s="239">
        <v>113515.34504132232</v>
      </c>
      <c r="J113" s="239">
        <v>113515.34504132232</v>
      </c>
      <c r="K113" s="239">
        <v>8313894.6549586775</v>
      </c>
      <c r="L113" s="239">
        <v>79768</v>
      </c>
      <c r="M113" s="239">
        <v>79768</v>
      </c>
      <c r="N113" s="239">
        <v>0</v>
      </c>
      <c r="O113" s="239">
        <v>0</v>
      </c>
      <c r="P113" s="239">
        <v>0</v>
      </c>
      <c r="Q113" s="239">
        <v>0</v>
      </c>
      <c r="R113" s="239">
        <v>0</v>
      </c>
      <c r="S113" s="239">
        <v>113515.34504132232</v>
      </c>
      <c r="T113" s="239">
        <v>0</v>
      </c>
      <c r="U113" s="239">
        <v>0</v>
      </c>
      <c r="V113" s="239">
        <v>113515.34504132232</v>
      </c>
      <c r="W113" s="239">
        <v>582846</v>
      </c>
      <c r="X113" s="239">
        <v>466277</v>
      </c>
      <c r="Y113" s="239">
        <v>104912</v>
      </c>
      <c r="Z113" s="239">
        <v>11657</v>
      </c>
      <c r="AA113" s="239">
        <v>1165692</v>
      </c>
      <c r="AB113" s="239">
        <v>-18508</v>
      </c>
      <c r="AC113" s="239">
        <v>-14807</v>
      </c>
      <c r="AD113" s="239">
        <v>-3332</v>
      </c>
      <c r="AE113" s="239">
        <v>-370</v>
      </c>
      <c r="AF113" s="239">
        <v>-37017</v>
      </c>
      <c r="AG113" s="239">
        <v>-357500</v>
      </c>
      <c r="AH113" s="239">
        <v>-286000</v>
      </c>
      <c r="AI113" s="239">
        <v>-64350</v>
      </c>
      <c r="AJ113" s="239">
        <v>-7150</v>
      </c>
      <c r="AK113" s="239">
        <v>-715000</v>
      </c>
      <c r="AL113" s="239">
        <v>57742</v>
      </c>
      <c r="AM113" s="239">
        <v>46193</v>
      </c>
      <c r="AN113" s="239">
        <v>10393</v>
      </c>
      <c r="AO113" s="239">
        <v>1155</v>
      </c>
      <c r="AP113" s="239">
        <v>115483</v>
      </c>
      <c r="AQ113" s="239">
        <v>-167842</v>
      </c>
      <c r="AR113" s="239">
        <v>-134273</v>
      </c>
      <c r="AS113" s="239">
        <v>-30211</v>
      </c>
      <c r="AT113" s="239">
        <v>-3357</v>
      </c>
      <c r="AU113" s="239">
        <v>-335683</v>
      </c>
      <c r="AV113" s="239">
        <v>-467600</v>
      </c>
      <c r="AW113" s="239">
        <v>-374080</v>
      </c>
      <c r="AX113" s="239">
        <v>-84168</v>
      </c>
      <c r="AY113" s="239">
        <v>-9352</v>
      </c>
      <c r="AZ113" s="239">
        <v>-935200</v>
      </c>
      <c r="BA113" s="239">
        <v>-2452859</v>
      </c>
      <c r="BB113" s="239">
        <v>-1962285</v>
      </c>
      <c r="BC113" s="239">
        <v>-441514</v>
      </c>
      <c r="BD113" s="239">
        <v>-49057</v>
      </c>
      <c r="BE113" s="239">
        <v>-4905715</v>
      </c>
      <c r="BF113" s="239">
        <v>930068</v>
      </c>
      <c r="BG113" s="239">
        <v>744054</v>
      </c>
      <c r="BH113" s="239">
        <v>167412</v>
      </c>
      <c r="BI113" s="239">
        <v>18601</v>
      </c>
      <c r="BJ113" s="239">
        <v>1860135</v>
      </c>
      <c r="BK113" s="239">
        <v>133138</v>
      </c>
      <c r="BL113" s="239">
        <v>106510</v>
      </c>
      <c r="BM113" s="239">
        <v>23965</v>
      </c>
      <c r="BN113" s="239">
        <v>2663</v>
      </c>
      <c r="BO113" s="239">
        <v>266276</v>
      </c>
      <c r="BP113" s="239">
        <v>-1389653</v>
      </c>
      <c r="BQ113" s="239">
        <v>-1111721</v>
      </c>
      <c r="BR113" s="239">
        <v>-250137</v>
      </c>
      <c r="BS113" s="239">
        <v>-27793</v>
      </c>
      <c r="BT113" s="239">
        <v>-2779304</v>
      </c>
      <c r="BU113" s="239">
        <v>-179461</v>
      </c>
      <c r="BV113" s="239">
        <v>-143568</v>
      </c>
      <c r="BW113" s="239">
        <v>-32303</v>
      </c>
      <c r="BX113" s="239">
        <v>-3589</v>
      </c>
      <c r="BY113" s="239">
        <v>-358921</v>
      </c>
      <c r="BZ113" s="239">
        <v>-179469</v>
      </c>
      <c r="CA113" s="239">
        <v>-143575</v>
      </c>
      <c r="CB113" s="239">
        <v>-32304</v>
      </c>
      <c r="CC113" s="239">
        <v>-3589</v>
      </c>
      <c r="CD113" s="239">
        <v>-358937</v>
      </c>
      <c r="CE113" s="239">
        <v>8</v>
      </c>
      <c r="CF113" s="239">
        <v>7</v>
      </c>
      <c r="CG113" s="239">
        <v>1</v>
      </c>
      <c r="CH113" s="239">
        <v>0</v>
      </c>
      <c r="CI113" s="239">
        <v>16</v>
      </c>
      <c r="CJ113" s="239">
        <v>7949276</v>
      </c>
      <c r="CK113" s="239">
        <v>6359421</v>
      </c>
      <c r="CL113" s="239">
        <v>1430870</v>
      </c>
      <c r="CM113" s="239">
        <v>158986</v>
      </c>
      <c r="CN113" s="239">
        <v>15898553</v>
      </c>
      <c r="CO113" s="239">
        <v>8427410</v>
      </c>
      <c r="CP113" s="239">
        <v>6741928</v>
      </c>
      <c r="CQ113" s="239">
        <v>1516934</v>
      </c>
      <c r="CR113" s="239">
        <v>168548</v>
      </c>
      <c r="CS113" s="239">
        <v>16854820</v>
      </c>
      <c r="CT113" s="239">
        <v>478134</v>
      </c>
      <c r="CU113" s="239">
        <v>382507</v>
      </c>
      <c r="CV113" s="239">
        <v>86064</v>
      </c>
      <c r="CW113" s="239">
        <v>9562</v>
      </c>
      <c r="CX113" s="239">
        <v>956267</v>
      </c>
      <c r="CY113" s="239">
        <v>478142</v>
      </c>
      <c r="CZ113" s="239">
        <v>382514</v>
      </c>
      <c r="DA113" s="239">
        <v>86065</v>
      </c>
      <c r="DB113" s="239">
        <v>9562</v>
      </c>
      <c r="DC113" s="239">
        <v>956283</v>
      </c>
      <c r="DD113" s="641">
        <v>0.5</v>
      </c>
      <c r="DE113" s="641">
        <v>0.4</v>
      </c>
      <c r="DF113" s="641">
        <v>0.09</v>
      </c>
      <c r="DG113" s="641">
        <v>0.01</v>
      </c>
      <c r="DH113" s="641">
        <v>1</v>
      </c>
      <c r="DI113" s="214" t="s">
        <v>1190</v>
      </c>
    </row>
    <row r="114" spans="1:113" s="214" customFormat="1" x14ac:dyDescent="0.2">
      <c r="B114" s="609" t="s">
        <v>310</v>
      </c>
      <c r="C114" s="609" t="s">
        <v>309</v>
      </c>
      <c r="D114" s="239">
        <v>11951909</v>
      </c>
      <c r="E114" s="239">
        <v>9561528</v>
      </c>
      <c r="F114" s="239">
        <v>2151344</v>
      </c>
      <c r="G114" s="239">
        <v>239038</v>
      </c>
      <c r="H114" s="239">
        <v>23903819</v>
      </c>
      <c r="I114" s="239">
        <v>0</v>
      </c>
      <c r="J114" s="239">
        <v>0</v>
      </c>
      <c r="K114" s="239">
        <v>11951909</v>
      </c>
      <c r="L114" s="239">
        <v>96778</v>
      </c>
      <c r="M114" s="239">
        <v>96778</v>
      </c>
      <c r="N114" s="239">
        <v>0</v>
      </c>
      <c r="O114" s="239">
        <v>0</v>
      </c>
      <c r="P114" s="239">
        <v>0</v>
      </c>
      <c r="Q114" s="239">
        <v>0</v>
      </c>
      <c r="R114" s="239">
        <v>0</v>
      </c>
      <c r="S114" s="239">
        <v>0</v>
      </c>
      <c r="T114" s="239">
        <v>0</v>
      </c>
      <c r="U114" s="239">
        <v>0</v>
      </c>
      <c r="V114" s="239">
        <v>0</v>
      </c>
      <c r="W114" s="239">
        <v>597114</v>
      </c>
      <c r="X114" s="239">
        <v>477691</v>
      </c>
      <c r="Y114" s="239">
        <v>107480</v>
      </c>
      <c r="Z114" s="239">
        <v>11942</v>
      </c>
      <c r="AA114" s="239">
        <v>1194227</v>
      </c>
      <c r="AB114" s="239">
        <v>-8799</v>
      </c>
      <c r="AC114" s="239">
        <v>-7039</v>
      </c>
      <c r="AD114" s="239">
        <v>-1584</v>
      </c>
      <c r="AE114" s="239">
        <v>-176</v>
      </c>
      <c r="AF114" s="239">
        <v>-17598</v>
      </c>
      <c r="AG114" s="239">
        <v>-579904</v>
      </c>
      <c r="AH114" s="239">
        <v>-463924.6</v>
      </c>
      <c r="AI114" s="239">
        <v>-104384</v>
      </c>
      <c r="AJ114" s="239">
        <v>-11597</v>
      </c>
      <c r="AK114" s="239">
        <v>-1159810</v>
      </c>
      <c r="AL114" s="239">
        <v>115651</v>
      </c>
      <c r="AM114" s="239">
        <v>92521</v>
      </c>
      <c r="AN114" s="239">
        <v>20817</v>
      </c>
      <c r="AO114" s="239">
        <v>2313</v>
      </c>
      <c r="AP114" s="239">
        <v>231302</v>
      </c>
      <c r="AQ114" s="239">
        <v>-64466</v>
      </c>
      <c r="AR114" s="239">
        <v>-51572</v>
      </c>
      <c r="AS114" s="239">
        <v>-11604</v>
      </c>
      <c r="AT114" s="239">
        <v>-1289</v>
      </c>
      <c r="AU114" s="239">
        <v>-128931</v>
      </c>
      <c r="AV114" s="239">
        <v>-528719</v>
      </c>
      <c r="AW114" s="239">
        <v>-422975.6</v>
      </c>
      <c r="AX114" s="239">
        <v>-95171</v>
      </c>
      <c r="AY114" s="239">
        <v>-10573</v>
      </c>
      <c r="AZ114" s="239">
        <v>-1057439</v>
      </c>
      <c r="BA114" s="239">
        <v>-2017000</v>
      </c>
      <c r="BB114" s="239">
        <v>-1613600</v>
      </c>
      <c r="BC114" s="239">
        <v>-363060</v>
      </c>
      <c r="BD114" s="239">
        <v>-40340</v>
      </c>
      <c r="BE114" s="239">
        <v>-4034000</v>
      </c>
      <c r="BF114" s="239">
        <v>0</v>
      </c>
      <c r="BG114" s="239">
        <v>0</v>
      </c>
      <c r="BH114" s="239">
        <v>0</v>
      </c>
      <c r="BI114" s="239">
        <v>0</v>
      </c>
      <c r="BJ114" s="239">
        <v>0</v>
      </c>
      <c r="BK114" s="239">
        <v>-300000</v>
      </c>
      <c r="BL114" s="239">
        <v>-240000</v>
      </c>
      <c r="BM114" s="239">
        <v>-54000</v>
      </c>
      <c r="BN114" s="239">
        <v>-6000</v>
      </c>
      <c r="BO114" s="239">
        <v>-600000</v>
      </c>
      <c r="BP114" s="239">
        <v>-2317000</v>
      </c>
      <c r="BQ114" s="239">
        <v>-1853600</v>
      </c>
      <c r="BR114" s="239">
        <v>-417060</v>
      </c>
      <c r="BS114" s="239">
        <v>-46340</v>
      </c>
      <c r="BT114" s="239">
        <v>-4634000</v>
      </c>
      <c r="BU114" s="239">
        <v>-365002</v>
      </c>
      <c r="BV114" s="239">
        <v>-292001</v>
      </c>
      <c r="BW114" s="239">
        <v>-65700</v>
      </c>
      <c r="BX114" s="239">
        <v>-7300</v>
      </c>
      <c r="BY114" s="239">
        <v>-730003</v>
      </c>
      <c r="BZ114" s="239">
        <v>-438522</v>
      </c>
      <c r="CA114" s="239">
        <v>-350818</v>
      </c>
      <c r="CB114" s="239">
        <v>-78934</v>
      </c>
      <c r="CC114" s="239">
        <v>-8770</v>
      </c>
      <c r="CD114" s="239">
        <v>-877044</v>
      </c>
      <c r="CE114" s="239">
        <v>73520</v>
      </c>
      <c r="CF114" s="239">
        <v>58817</v>
      </c>
      <c r="CG114" s="239">
        <v>13234</v>
      </c>
      <c r="CH114" s="239">
        <v>1470</v>
      </c>
      <c r="CI114" s="239">
        <v>147041</v>
      </c>
      <c r="CJ114" s="239">
        <v>12221081</v>
      </c>
      <c r="CK114" s="239">
        <v>9776864</v>
      </c>
      <c r="CL114" s="239">
        <v>2199794</v>
      </c>
      <c r="CM114" s="239">
        <v>244422</v>
      </c>
      <c r="CN114" s="239">
        <v>24442161</v>
      </c>
      <c r="CO114" s="239">
        <v>11951909</v>
      </c>
      <c r="CP114" s="239">
        <v>9561528</v>
      </c>
      <c r="CQ114" s="239">
        <v>2151344</v>
      </c>
      <c r="CR114" s="239">
        <v>239038</v>
      </c>
      <c r="CS114" s="239">
        <v>23903819</v>
      </c>
      <c r="CT114" s="239">
        <v>-269172</v>
      </c>
      <c r="CU114" s="239">
        <v>-215336</v>
      </c>
      <c r="CV114" s="239">
        <v>-48450</v>
      </c>
      <c r="CW114" s="239">
        <v>-5384</v>
      </c>
      <c r="CX114" s="239">
        <v>-538342</v>
      </c>
      <c r="CY114" s="239">
        <v>-195652</v>
      </c>
      <c r="CZ114" s="239">
        <v>-156519</v>
      </c>
      <c r="DA114" s="239">
        <v>-35216</v>
      </c>
      <c r="DB114" s="239">
        <v>-3914</v>
      </c>
      <c r="DC114" s="239">
        <v>-391301</v>
      </c>
      <c r="DD114" s="641">
        <v>0.5</v>
      </c>
      <c r="DE114" s="641">
        <v>0.4</v>
      </c>
      <c r="DF114" s="641">
        <v>0.09</v>
      </c>
      <c r="DG114" s="641">
        <v>0.01</v>
      </c>
      <c r="DH114" s="641">
        <v>1</v>
      </c>
      <c r="DI114" s="214" t="s">
        <v>1190</v>
      </c>
    </row>
    <row r="115" spans="1:113" s="214" customFormat="1" x14ac:dyDescent="0.2">
      <c r="A115" s="215" t="s">
        <v>1211</v>
      </c>
      <c r="B115" s="609" t="s">
        <v>312</v>
      </c>
      <c r="C115" s="609" t="s">
        <v>311</v>
      </c>
      <c r="D115" s="239">
        <v>16530332</v>
      </c>
      <c r="E115" s="239">
        <v>13224266</v>
      </c>
      <c r="F115" s="239">
        <v>3306066</v>
      </c>
      <c r="G115" s="239">
        <v>0</v>
      </c>
      <c r="H115" s="239">
        <v>33060664</v>
      </c>
      <c r="I115" s="239">
        <v>586224.5805785124</v>
      </c>
      <c r="J115" s="239">
        <v>586224.5805785124</v>
      </c>
      <c r="K115" s="239">
        <v>15944107.419421488</v>
      </c>
      <c r="L115" s="239">
        <v>184873</v>
      </c>
      <c r="M115" s="239">
        <v>184873</v>
      </c>
      <c r="N115" s="239">
        <v>206776</v>
      </c>
      <c r="O115" s="239">
        <v>206776</v>
      </c>
      <c r="P115" s="239">
        <v>55664</v>
      </c>
      <c r="Q115" s="239">
        <v>0</v>
      </c>
      <c r="R115" s="239">
        <v>55664</v>
      </c>
      <c r="S115" s="239">
        <v>586224.5805785124</v>
      </c>
      <c r="T115" s="239">
        <v>0</v>
      </c>
      <c r="U115" s="239">
        <v>0</v>
      </c>
      <c r="V115" s="239">
        <v>586224.5805785124</v>
      </c>
      <c r="W115" s="239">
        <v>819294</v>
      </c>
      <c r="X115" s="239">
        <v>655436</v>
      </c>
      <c r="Y115" s="239">
        <v>163859</v>
      </c>
      <c r="Z115" s="239">
        <v>0</v>
      </c>
      <c r="AA115" s="239">
        <v>1638589</v>
      </c>
      <c r="AB115" s="239">
        <v>-475139</v>
      </c>
      <c r="AC115" s="239">
        <v>-380111</v>
      </c>
      <c r="AD115" s="239">
        <v>-95028</v>
      </c>
      <c r="AE115" s="239">
        <v>0</v>
      </c>
      <c r="AF115" s="239">
        <v>-950278</v>
      </c>
      <c r="AG115" s="239">
        <v>-26909.679999999993</v>
      </c>
      <c r="AH115" s="239">
        <v>-21527</v>
      </c>
      <c r="AI115" s="239">
        <v>-5381</v>
      </c>
      <c r="AJ115" s="239">
        <v>0</v>
      </c>
      <c r="AK115" s="239">
        <v>-53817.679999999993</v>
      </c>
      <c r="AL115" s="239">
        <v>48733</v>
      </c>
      <c r="AM115" s="239">
        <v>38986</v>
      </c>
      <c r="AN115" s="239">
        <v>9747</v>
      </c>
      <c r="AO115" s="239">
        <v>0</v>
      </c>
      <c r="AP115" s="239">
        <v>97466</v>
      </c>
      <c r="AQ115" s="239">
        <v>-38891</v>
      </c>
      <c r="AR115" s="239">
        <v>-31112</v>
      </c>
      <c r="AS115" s="239">
        <v>-7778</v>
      </c>
      <c r="AT115" s="239">
        <v>0</v>
      </c>
      <c r="AU115" s="239">
        <v>-77781</v>
      </c>
      <c r="AV115" s="239">
        <v>-17067.679999999993</v>
      </c>
      <c r="AW115" s="239">
        <v>-13653</v>
      </c>
      <c r="AX115" s="239">
        <v>-3412</v>
      </c>
      <c r="AY115" s="239">
        <v>0</v>
      </c>
      <c r="AZ115" s="239">
        <v>-34132.679999999993</v>
      </c>
      <c r="BA115" s="239">
        <v>-6422524</v>
      </c>
      <c r="BB115" s="239">
        <v>-5138018</v>
      </c>
      <c r="BC115" s="239">
        <v>-1284504</v>
      </c>
      <c r="BD115" s="239">
        <v>0</v>
      </c>
      <c r="BE115" s="239">
        <v>-12845046</v>
      </c>
      <c r="BF115" s="239">
        <v>629252</v>
      </c>
      <c r="BG115" s="239">
        <v>503402</v>
      </c>
      <c r="BH115" s="239">
        <v>125850</v>
      </c>
      <c r="BI115" s="239">
        <v>0</v>
      </c>
      <c r="BJ115" s="239">
        <v>1258504</v>
      </c>
      <c r="BK115" s="239">
        <v>764497</v>
      </c>
      <c r="BL115" s="239">
        <v>611597</v>
      </c>
      <c r="BM115" s="239">
        <v>152899</v>
      </c>
      <c r="BN115" s="239">
        <v>0</v>
      </c>
      <c r="BO115" s="239">
        <v>1528993</v>
      </c>
      <c r="BP115" s="239">
        <v>-5028775</v>
      </c>
      <c r="BQ115" s="239">
        <v>-4023019</v>
      </c>
      <c r="BR115" s="239">
        <v>-1005755</v>
      </c>
      <c r="BS115" s="239">
        <v>0</v>
      </c>
      <c r="BT115" s="239">
        <v>-10057549</v>
      </c>
      <c r="BU115" s="239">
        <v>-731166</v>
      </c>
      <c r="BV115" s="239">
        <v>-584932</v>
      </c>
      <c r="BW115" s="239">
        <v>-146233</v>
      </c>
      <c r="BX115" s="239">
        <v>0</v>
      </c>
      <c r="BY115" s="239">
        <v>-1462331</v>
      </c>
      <c r="BZ115" s="239">
        <v>-338204</v>
      </c>
      <c r="CA115" s="239">
        <v>-270563</v>
      </c>
      <c r="CB115" s="239">
        <v>-67641</v>
      </c>
      <c r="CC115" s="239">
        <v>0</v>
      </c>
      <c r="CD115" s="239">
        <v>-676408</v>
      </c>
      <c r="CE115" s="239">
        <v>-392962</v>
      </c>
      <c r="CF115" s="239">
        <v>-314369</v>
      </c>
      <c r="CG115" s="239">
        <v>-78592</v>
      </c>
      <c r="CH115" s="239">
        <v>0</v>
      </c>
      <c r="CI115" s="239">
        <v>-785923</v>
      </c>
      <c r="CJ115" s="239">
        <v>15574314</v>
      </c>
      <c r="CK115" s="239">
        <v>12459451</v>
      </c>
      <c r="CL115" s="239">
        <v>3114863</v>
      </c>
      <c r="CM115" s="239">
        <v>0</v>
      </c>
      <c r="CN115" s="239">
        <v>31148628</v>
      </c>
      <c r="CO115" s="239">
        <v>16530332</v>
      </c>
      <c r="CP115" s="239">
        <v>13224266</v>
      </c>
      <c r="CQ115" s="239">
        <v>3306066</v>
      </c>
      <c r="CR115" s="239">
        <v>0</v>
      </c>
      <c r="CS115" s="239">
        <v>33060664</v>
      </c>
      <c r="CT115" s="239">
        <v>956018</v>
      </c>
      <c r="CU115" s="239">
        <v>764815</v>
      </c>
      <c r="CV115" s="239">
        <v>191203</v>
      </c>
      <c r="CW115" s="239">
        <v>0</v>
      </c>
      <c r="CX115" s="239">
        <v>1912036</v>
      </c>
      <c r="CY115" s="239">
        <v>563056</v>
      </c>
      <c r="CZ115" s="239">
        <v>450446</v>
      </c>
      <c r="DA115" s="239">
        <v>112611</v>
      </c>
      <c r="DB115" s="239">
        <v>0</v>
      </c>
      <c r="DC115" s="239">
        <v>1126113</v>
      </c>
      <c r="DD115" s="641">
        <v>0.5</v>
      </c>
      <c r="DE115" s="641">
        <v>0.4</v>
      </c>
      <c r="DF115" s="641">
        <v>0.1</v>
      </c>
      <c r="DG115" s="641">
        <v>0</v>
      </c>
      <c r="DH115" s="641">
        <v>1</v>
      </c>
      <c r="DI115" s="214" t="s">
        <v>1190</v>
      </c>
    </row>
    <row r="116" spans="1:113" s="214" customFormat="1" x14ac:dyDescent="0.2">
      <c r="B116" s="609" t="s">
        <v>314</v>
      </c>
      <c r="C116" s="609" t="s">
        <v>313</v>
      </c>
      <c r="D116" s="239">
        <v>39714576</v>
      </c>
      <c r="E116" s="239">
        <v>23828746</v>
      </c>
      <c r="F116" s="239">
        <v>15885830</v>
      </c>
      <c r="G116" s="239">
        <v>0</v>
      </c>
      <c r="H116" s="239">
        <v>79429152</v>
      </c>
      <c r="I116" s="239">
        <v>0</v>
      </c>
      <c r="J116" s="239">
        <v>0</v>
      </c>
      <c r="K116" s="239">
        <v>39714576</v>
      </c>
      <c r="L116" s="239">
        <v>276508</v>
      </c>
      <c r="M116" s="239">
        <v>276508</v>
      </c>
      <c r="N116" s="239">
        <v>0</v>
      </c>
      <c r="O116" s="239">
        <v>0</v>
      </c>
      <c r="P116" s="239">
        <v>0</v>
      </c>
      <c r="Q116" s="239">
        <v>0</v>
      </c>
      <c r="R116" s="239">
        <v>0</v>
      </c>
      <c r="S116" s="239">
        <v>0</v>
      </c>
      <c r="T116" s="239">
        <v>0</v>
      </c>
      <c r="U116" s="239">
        <v>0</v>
      </c>
      <c r="V116" s="239">
        <v>0</v>
      </c>
      <c r="W116" s="239">
        <v>1937759</v>
      </c>
      <c r="X116" s="239">
        <v>1162656</v>
      </c>
      <c r="Y116" s="239">
        <v>775104</v>
      </c>
      <c r="Z116" s="239">
        <v>0</v>
      </c>
      <c r="AA116" s="239">
        <v>3875519</v>
      </c>
      <c r="AB116" s="239">
        <v>-1427554</v>
      </c>
      <c r="AC116" s="239">
        <v>-856532</v>
      </c>
      <c r="AD116" s="239">
        <v>-571021</v>
      </c>
      <c r="AE116" s="239">
        <v>0</v>
      </c>
      <c r="AF116" s="239">
        <v>-2855107</v>
      </c>
      <c r="AG116" s="239">
        <v>-924785</v>
      </c>
      <c r="AH116" s="239">
        <v>-554872</v>
      </c>
      <c r="AI116" s="239">
        <v>-369913</v>
      </c>
      <c r="AJ116" s="239">
        <v>0</v>
      </c>
      <c r="AK116" s="239">
        <v>-1849570</v>
      </c>
      <c r="AL116" s="239">
        <v>289951</v>
      </c>
      <c r="AM116" s="239">
        <v>173970</v>
      </c>
      <c r="AN116" s="239">
        <v>115980</v>
      </c>
      <c r="AO116" s="239">
        <v>0</v>
      </c>
      <c r="AP116" s="239">
        <v>579901</v>
      </c>
      <c r="AQ116" s="239">
        <v>-465041</v>
      </c>
      <c r="AR116" s="239">
        <v>-279025</v>
      </c>
      <c r="AS116" s="239">
        <v>-186016</v>
      </c>
      <c r="AT116" s="239">
        <v>0</v>
      </c>
      <c r="AU116" s="239">
        <v>-930082</v>
      </c>
      <c r="AV116" s="239">
        <v>-1099875</v>
      </c>
      <c r="AW116" s="239">
        <v>-659927</v>
      </c>
      <c r="AX116" s="239">
        <v>-439949</v>
      </c>
      <c r="AY116" s="239">
        <v>0</v>
      </c>
      <c r="AZ116" s="239">
        <v>-2199751</v>
      </c>
      <c r="BA116" s="239">
        <v>-3786776</v>
      </c>
      <c r="BB116" s="239">
        <v>-2272066</v>
      </c>
      <c r="BC116" s="239">
        <v>-1514711</v>
      </c>
      <c r="BD116" s="239">
        <v>0</v>
      </c>
      <c r="BE116" s="239">
        <v>-7573553</v>
      </c>
      <c r="BF116" s="239">
        <v>450506</v>
      </c>
      <c r="BG116" s="239">
        <v>270303</v>
      </c>
      <c r="BH116" s="239">
        <v>180202</v>
      </c>
      <c r="BI116" s="239">
        <v>0</v>
      </c>
      <c r="BJ116" s="239">
        <v>901011</v>
      </c>
      <c r="BK116" s="239">
        <v>-1487371</v>
      </c>
      <c r="BL116" s="239">
        <v>-892422</v>
      </c>
      <c r="BM116" s="239">
        <v>-594948</v>
      </c>
      <c r="BN116" s="239">
        <v>0</v>
      </c>
      <c r="BO116" s="239">
        <v>-2974741</v>
      </c>
      <c r="BP116" s="239">
        <v>-4823641</v>
      </c>
      <c r="BQ116" s="239">
        <v>-2894185</v>
      </c>
      <c r="BR116" s="239">
        <v>-1929457</v>
      </c>
      <c r="BS116" s="239">
        <v>0</v>
      </c>
      <c r="BT116" s="239">
        <v>-9647283</v>
      </c>
      <c r="BU116" s="239">
        <v>-1597869</v>
      </c>
      <c r="BV116" s="239">
        <v>-958722</v>
      </c>
      <c r="BW116" s="239">
        <v>-639148</v>
      </c>
      <c r="BX116" s="239">
        <v>0</v>
      </c>
      <c r="BY116" s="239">
        <v>-3195739</v>
      </c>
      <c r="BZ116" s="239">
        <v>-1634500</v>
      </c>
      <c r="CA116" s="239">
        <v>-980700</v>
      </c>
      <c r="CB116" s="239">
        <v>-653800</v>
      </c>
      <c r="CC116" s="239">
        <v>0</v>
      </c>
      <c r="CD116" s="239">
        <v>-3269000</v>
      </c>
      <c r="CE116" s="239">
        <v>36631</v>
      </c>
      <c r="CF116" s="239">
        <v>21978</v>
      </c>
      <c r="CG116" s="239">
        <v>14652</v>
      </c>
      <c r="CH116" s="239">
        <v>0</v>
      </c>
      <c r="CI116" s="239">
        <v>73261</v>
      </c>
      <c r="CJ116" s="239">
        <v>34446026</v>
      </c>
      <c r="CK116" s="239">
        <v>20667616</v>
      </c>
      <c r="CL116" s="239">
        <v>13778410</v>
      </c>
      <c r="CM116" s="239">
        <v>0</v>
      </c>
      <c r="CN116" s="239">
        <v>68892052</v>
      </c>
      <c r="CO116" s="239">
        <v>39714576</v>
      </c>
      <c r="CP116" s="239">
        <v>23828746</v>
      </c>
      <c r="CQ116" s="239">
        <v>15885830</v>
      </c>
      <c r="CR116" s="239">
        <v>0</v>
      </c>
      <c r="CS116" s="239">
        <v>79429152</v>
      </c>
      <c r="CT116" s="239">
        <v>5268550</v>
      </c>
      <c r="CU116" s="239">
        <v>3161130</v>
      </c>
      <c r="CV116" s="239">
        <v>2107420</v>
      </c>
      <c r="CW116" s="239">
        <v>0</v>
      </c>
      <c r="CX116" s="239">
        <v>10537100</v>
      </c>
      <c r="CY116" s="239">
        <v>5305181</v>
      </c>
      <c r="CZ116" s="239">
        <v>3183108</v>
      </c>
      <c r="DA116" s="239">
        <v>2122072</v>
      </c>
      <c r="DB116" s="239">
        <v>0</v>
      </c>
      <c r="DC116" s="239">
        <v>10610361</v>
      </c>
      <c r="DD116" s="641">
        <v>0.5</v>
      </c>
      <c r="DE116" s="641">
        <v>0.3</v>
      </c>
      <c r="DF116" s="641">
        <v>0.2</v>
      </c>
      <c r="DG116" s="641">
        <v>0</v>
      </c>
      <c r="DH116" s="641">
        <v>1</v>
      </c>
      <c r="DI116" s="214" t="s">
        <v>1193</v>
      </c>
    </row>
    <row r="117" spans="1:113" s="214" customFormat="1" x14ac:dyDescent="0.2">
      <c r="B117" s="609" t="s">
        <v>316</v>
      </c>
      <c r="C117" s="609" t="s">
        <v>315</v>
      </c>
      <c r="D117" s="239">
        <v>43216703</v>
      </c>
      <c r="E117" s="239">
        <v>34573363</v>
      </c>
      <c r="F117" s="239">
        <v>8643341</v>
      </c>
      <c r="G117" s="239">
        <v>0</v>
      </c>
      <c r="H117" s="239">
        <v>86433407</v>
      </c>
      <c r="I117" s="239">
        <v>0</v>
      </c>
      <c r="J117" s="239">
        <v>0</v>
      </c>
      <c r="K117" s="239">
        <v>43216703</v>
      </c>
      <c r="L117" s="239">
        <v>232751</v>
      </c>
      <c r="M117" s="239">
        <v>232751</v>
      </c>
      <c r="N117" s="239">
        <v>0</v>
      </c>
      <c r="O117" s="239">
        <v>0</v>
      </c>
      <c r="P117" s="239">
        <v>0</v>
      </c>
      <c r="Q117" s="239">
        <v>0</v>
      </c>
      <c r="R117" s="239">
        <v>0</v>
      </c>
      <c r="S117" s="239">
        <v>0</v>
      </c>
      <c r="T117" s="239">
        <v>0</v>
      </c>
      <c r="U117" s="239">
        <v>0</v>
      </c>
      <c r="V117" s="239">
        <v>0</v>
      </c>
      <c r="W117" s="239">
        <v>80274</v>
      </c>
      <c r="X117" s="239">
        <v>64220</v>
      </c>
      <c r="Y117" s="239">
        <v>16055</v>
      </c>
      <c r="Z117" s="239">
        <v>0</v>
      </c>
      <c r="AA117" s="239">
        <v>160549</v>
      </c>
      <c r="AB117" s="239">
        <v>-1093630</v>
      </c>
      <c r="AC117" s="239">
        <v>-874904</v>
      </c>
      <c r="AD117" s="239">
        <v>-218726</v>
      </c>
      <c r="AE117" s="239">
        <v>0</v>
      </c>
      <c r="AF117" s="239">
        <v>-2187260</v>
      </c>
      <c r="AG117" s="239">
        <v>-361870</v>
      </c>
      <c r="AH117" s="239">
        <v>-289496</v>
      </c>
      <c r="AI117" s="239">
        <v>-72374</v>
      </c>
      <c r="AJ117" s="239">
        <v>0</v>
      </c>
      <c r="AK117" s="239">
        <v>-723740</v>
      </c>
      <c r="AL117" s="239">
        <v>0</v>
      </c>
      <c r="AM117" s="239">
        <v>0</v>
      </c>
      <c r="AN117" s="239">
        <v>0</v>
      </c>
      <c r="AO117" s="239">
        <v>0</v>
      </c>
      <c r="AP117" s="239">
        <v>0</v>
      </c>
      <c r="AQ117" s="239">
        <v>-88130</v>
      </c>
      <c r="AR117" s="239">
        <v>-70504</v>
      </c>
      <c r="AS117" s="239">
        <v>-17626</v>
      </c>
      <c r="AT117" s="239">
        <v>0</v>
      </c>
      <c r="AU117" s="239">
        <v>-176260</v>
      </c>
      <c r="AV117" s="239">
        <v>-450000</v>
      </c>
      <c r="AW117" s="239">
        <v>-360000</v>
      </c>
      <c r="AX117" s="239">
        <v>-90000</v>
      </c>
      <c r="AY117" s="239">
        <v>0</v>
      </c>
      <c r="AZ117" s="239">
        <v>-900000</v>
      </c>
      <c r="BA117" s="239">
        <v>-6852943</v>
      </c>
      <c r="BB117" s="239">
        <v>-5482354</v>
      </c>
      <c r="BC117" s="239">
        <v>-1370589</v>
      </c>
      <c r="BD117" s="239">
        <v>0</v>
      </c>
      <c r="BE117" s="239">
        <v>-13705886</v>
      </c>
      <c r="BF117" s="239">
        <v>1360302</v>
      </c>
      <c r="BG117" s="239">
        <v>1088242</v>
      </c>
      <c r="BH117" s="239">
        <v>272060</v>
      </c>
      <c r="BI117" s="239">
        <v>0</v>
      </c>
      <c r="BJ117" s="239">
        <v>2720604</v>
      </c>
      <c r="BK117" s="239">
        <v>1400000</v>
      </c>
      <c r="BL117" s="239">
        <v>1120000</v>
      </c>
      <c r="BM117" s="239">
        <v>280000</v>
      </c>
      <c r="BN117" s="239">
        <v>0</v>
      </c>
      <c r="BO117" s="239">
        <v>2800000</v>
      </c>
      <c r="BP117" s="239">
        <v>-4092641</v>
      </c>
      <c r="BQ117" s="239">
        <v>-3274112</v>
      </c>
      <c r="BR117" s="239">
        <v>-818529</v>
      </c>
      <c r="BS117" s="239">
        <v>0</v>
      </c>
      <c r="BT117" s="239">
        <v>-8185282</v>
      </c>
      <c r="BU117" s="239">
        <v>-5097229</v>
      </c>
      <c r="BV117" s="239">
        <v>-4077783</v>
      </c>
      <c r="BW117" s="239">
        <v>-1019446</v>
      </c>
      <c r="BX117" s="239">
        <v>0</v>
      </c>
      <c r="BY117" s="239">
        <v>-10194458</v>
      </c>
      <c r="BZ117" s="239">
        <v>-1890980</v>
      </c>
      <c r="CA117" s="239">
        <v>-1512784</v>
      </c>
      <c r="CB117" s="239">
        <v>-378196</v>
      </c>
      <c r="CC117" s="239">
        <v>0</v>
      </c>
      <c r="CD117" s="239">
        <v>-3781960</v>
      </c>
      <c r="CE117" s="239">
        <v>-3206249</v>
      </c>
      <c r="CF117" s="239">
        <v>-2564999</v>
      </c>
      <c r="CG117" s="239">
        <v>-641250</v>
      </c>
      <c r="CH117" s="239">
        <v>0</v>
      </c>
      <c r="CI117" s="239">
        <v>-6412498</v>
      </c>
      <c r="CJ117" s="239">
        <v>41399832</v>
      </c>
      <c r="CK117" s="239">
        <v>33119866</v>
      </c>
      <c r="CL117" s="239">
        <v>8279967</v>
      </c>
      <c r="CM117" s="239">
        <v>0</v>
      </c>
      <c r="CN117" s="239">
        <v>82799665</v>
      </c>
      <c r="CO117" s="239">
        <v>43216703</v>
      </c>
      <c r="CP117" s="239">
        <v>34573363</v>
      </c>
      <c r="CQ117" s="239">
        <v>8643341</v>
      </c>
      <c r="CR117" s="239">
        <v>0</v>
      </c>
      <c r="CS117" s="239">
        <v>86433407</v>
      </c>
      <c r="CT117" s="239">
        <v>1816871</v>
      </c>
      <c r="CU117" s="239">
        <v>1453497</v>
      </c>
      <c r="CV117" s="239">
        <v>363374</v>
      </c>
      <c r="CW117" s="239">
        <v>0</v>
      </c>
      <c r="CX117" s="239">
        <v>3633742</v>
      </c>
      <c r="CY117" s="239">
        <v>-1389378</v>
      </c>
      <c r="CZ117" s="239">
        <v>-1111502</v>
      </c>
      <c r="DA117" s="239">
        <v>-277876</v>
      </c>
      <c r="DB117" s="239">
        <v>0</v>
      </c>
      <c r="DC117" s="239">
        <v>-2778756</v>
      </c>
      <c r="DD117" s="641">
        <v>0.5</v>
      </c>
      <c r="DE117" s="641">
        <v>0.4</v>
      </c>
      <c r="DF117" s="641">
        <v>0.1</v>
      </c>
      <c r="DG117" s="641">
        <v>0</v>
      </c>
      <c r="DH117" s="641">
        <v>1</v>
      </c>
      <c r="DI117" s="214" t="s">
        <v>1190</v>
      </c>
    </row>
    <row r="118" spans="1:113" s="214" customFormat="1" x14ac:dyDescent="0.2">
      <c r="B118" s="609" t="s">
        <v>318</v>
      </c>
      <c r="C118" s="609" t="s">
        <v>317</v>
      </c>
      <c r="D118" s="239">
        <v>45949596</v>
      </c>
      <c r="E118" s="239">
        <v>27569757</v>
      </c>
      <c r="F118" s="239">
        <v>18379838</v>
      </c>
      <c r="G118" s="239">
        <v>0</v>
      </c>
      <c r="H118" s="239">
        <v>91899191</v>
      </c>
      <c r="I118" s="239">
        <v>0</v>
      </c>
      <c r="J118" s="239">
        <v>0</v>
      </c>
      <c r="K118" s="239">
        <v>45949596</v>
      </c>
      <c r="L118" s="239">
        <v>499664</v>
      </c>
      <c r="M118" s="239">
        <v>499664</v>
      </c>
      <c r="N118" s="239">
        <v>0</v>
      </c>
      <c r="O118" s="239">
        <v>0</v>
      </c>
      <c r="P118" s="239">
        <v>0</v>
      </c>
      <c r="Q118" s="239">
        <v>0</v>
      </c>
      <c r="R118" s="239">
        <v>0</v>
      </c>
      <c r="S118" s="239">
        <v>0</v>
      </c>
      <c r="T118" s="239">
        <v>0</v>
      </c>
      <c r="U118" s="239">
        <v>0</v>
      </c>
      <c r="V118" s="239">
        <v>0</v>
      </c>
      <c r="W118" s="239">
        <v>12374496</v>
      </c>
      <c r="X118" s="239">
        <v>7424698</v>
      </c>
      <c r="Y118" s="239">
        <v>4949799</v>
      </c>
      <c r="Z118" s="239">
        <v>0</v>
      </c>
      <c r="AA118" s="239">
        <v>24748993</v>
      </c>
      <c r="AB118" s="239">
        <v>-5419699</v>
      </c>
      <c r="AC118" s="239">
        <v>-3251819</v>
      </c>
      <c r="AD118" s="239">
        <v>-2167879</v>
      </c>
      <c r="AE118" s="239">
        <v>0</v>
      </c>
      <c r="AF118" s="239">
        <v>-10839397</v>
      </c>
      <c r="AG118" s="239">
        <v>-7048545</v>
      </c>
      <c r="AH118" s="239">
        <v>-4229127</v>
      </c>
      <c r="AI118" s="239">
        <v>-2819418</v>
      </c>
      <c r="AJ118" s="239">
        <v>0</v>
      </c>
      <c r="AK118" s="239">
        <v>-14097090</v>
      </c>
      <c r="AL118" s="239">
        <v>0</v>
      </c>
      <c r="AM118" s="239">
        <v>0</v>
      </c>
      <c r="AN118" s="239">
        <v>0</v>
      </c>
      <c r="AO118" s="239">
        <v>0</v>
      </c>
      <c r="AP118" s="239">
        <v>0</v>
      </c>
      <c r="AQ118" s="239">
        <v>-1634886</v>
      </c>
      <c r="AR118" s="239">
        <v>-980932</v>
      </c>
      <c r="AS118" s="239">
        <v>-653955</v>
      </c>
      <c r="AT118" s="239">
        <v>0</v>
      </c>
      <c r="AU118" s="239">
        <v>-3269773</v>
      </c>
      <c r="AV118" s="239">
        <v>-8683431</v>
      </c>
      <c r="AW118" s="239">
        <v>-5210059</v>
      </c>
      <c r="AX118" s="239">
        <v>-3473373</v>
      </c>
      <c r="AY118" s="239">
        <v>0</v>
      </c>
      <c r="AZ118" s="239">
        <v>-17366863</v>
      </c>
      <c r="BA118" s="239">
        <v>-4944603</v>
      </c>
      <c r="BB118" s="239">
        <v>-2966764</v>
      </c>
      <c r="BC118" s="239">
        <v>-1977842</v>
      </c>
      <c r="BD118" s="239">
        <v>0</v>
      </c>
      <c r="BE118" s="239">
        <v>-9889209</v>
      </c>
      <c r="BF118" s="239">
        <v>1847502</v>
      </c>
      <c r="BG118" s="239">
        <v>1108501</v>
      </c>
      <c r="BH118" s="239">
        <v>739001</v>
      </c>
      <c r="BI118" s="239">
        <v>0</v>
      </c>
      <c r="BJ118" s="239">
        <v>3695004</v>
      </c>
      <c r="BK118" s="239">
        <v>-1780135</v>
      </c>
      <c r="BL118" s="239">
        <v>-1068081</v>
      </c>
      <c r="BM118" s="239">
        <v>-712054</v>
      </c>
      <c r="BN118" s="239">
        <v>0</v>
      </c>
      <c r="BO118" s="239">
        <v>-3560270</v>
      </c>
      <c r="BP118" s="239">
        <v>-4877236</v>
      </c>
      <c r="BQ118" s="239">
        <v>-2926344</v>
      </c>
      <c r="BR118" s="239">
        <v>-1950895</v>
      </c>
      <c r="BS118" s="239">
        <v>0</v>
      </c>
      <c r="BT118" s="239">
        <v>-9754475</v>
      </c>
      <c r="BU118" s="239">
        <v>-7909971</v>
      </c>
      <c r="BV118" s="239">
        <v>-4745983</v>
      </c>
      <c r="BW118" s="239">
        <v>-3163988</v>
      </c>
      <c r="BX118" s="239">
        <v>0</v>
      </c>
      <c r="BY118" s="239">
        <v>-15819942</v>
      </c>
      <c r="BZ118" s="239">
        <v>-5413550</v>
      </c>
      <c r="CA118" s="239">
        <v>-3248130</v>
      </c>
      <c r="CB118" s="239">
        <v>-2165420</v>
      </c>
      <c r="CC118" s="239">
        <v>0</v>
      </c>
      <c r="CD118" s="239">
        <v>-10827100</v>
      </c>
      <c r="CE118" s="239">
        <v>-2496421</v>
      </c>
      <c r="CF118" s="239">
        <v>-1497853</v>
      </c>
      <c r="CG118" s="239">
        <v>-998568</v>
      </c>
      <c r="CH118" s="239">
        <v>0</v>
      </c>
      <c r="CI118" s="239">
        <v>-4992842</v>
      </c>
      <c r="CJ118" s="239">
        <v>46078009</v>
      </c>
      <c r="CK118" s="239">
        <v>27646805</v>
      </c>
      <c r="CL118" s="239">
        <v>18431203</v>
      </c>
      <c r="CM118" s="239">
        <v>0</v>
      </c>
      <c r="CN118" s="239">
        <v>92156017</v>
      </c>
      <c r="CO118" s="239">
        <v>45949596</v>
      </c>
      <c r="CP118" s="239">
        <v>27569757</v>
      </c>
      <c r="CQ118" s="239">
        <v>18379838</v>
      </c>
      <c r="CR118" s="239">
        <v>0</v>
      </c>
      <c r="CS118" s="239">
        <v>91899191</v>
      </c>
      <c r="CT118" s="239">
        <v>-128413</v>
      </c>
      <c r="CU118" s="239">
        <v>-77048</v>
      </c>
      <c r="CV118" s="239">
        <v>-51365</v>
      </c>
      <c r="CW118" s="239">
        <v>0</v>
      </c>
      <c r="CX118" s="239">
        <v>-256826</v>
      </c>
      <c r="CY118" s="239">
        <v>-2624834</v>
      </c>
      <c r="CZ118" s="239">
        <v>-1574901</v>
      </c>
      <c r="DA118" s="239">
        <v>-1049933</v>
      </c>
      <c r="DB118" s="239">
        <v>0</v>
      </c>
      <c r="DC118" s="239">
        <v>-5249668</v>
      </c>
      <c r="DD118" s="641">
        <v>0.5</v>
      </c>
      <c r="DE118" s="641">
        <v>0.3</v>
      </c>
      <c r="DF118" s="641">
        <v>0.2</v>
      </c>
      <c r="DG118" s="641">
        <v>0</v>
      </c>
      <c r="DH118" s="641">
        <v>1</v>
      </c>
      <c r="DI118" s="214" t="s">
        <v>1193</v>
      </c>
    </row>
    <row r="119" spans="1:113" s="214" customFormat="1" x14ac:dyDescent="0.2">
      <c r="B119" s="609" t="s">
        <v>320</v>
      </c>
      <c r="C119" s="609" t="s">
        <v>319</v>
      </c>
      <c r="D119" s="239">
        <v>29901712</v>
      </c>
      <c r="E119" s="239">
        <v>29303677</v>
      </c>
      <c r="F119" s="239">
        <v>0</v>
      </c>
      <c r="G119" s="239">
        <v>598034</v>
      </c>
      <c r="H119" s="239">
        <v>59803423</v>
      </c>
      <c r="I119" s="239">
        <v>352981.82747933886</v>
      </c>
      <c r="J119" s="239">
        <v>352981.82747933886</v>
      </c>
      <c r="K119" s="239">
        <v>29548730.17252066</v>
      </c>
      <c r="L119" s="239">
        <v>165255</v>
      </c>
      <c r="M119" s="239">
        <v>165255</v>
      </c>
      <c r="N119" s="239">
        <v>0</v>
      </c>
      <c r="O119" s="239">
        <v>0</v>
      </c>
      <c r="P119" s="239">
        <v>0</v>
      </c>
      <c r="Q119" s="239">
        <v>0</v>
      </c>
      <c r="R119" s="239">
        <v>0</v>
      </c>
      <c r="S119" s="239">
        <v>352641.68824380171</v>
      </c>
      <c r="T119" s="239">
        <v>0</v>
      </c>
      <c r="U119" s="239">
        <v>340.13923553719013</v>
      </c>
      <c r="V119" s="239">
        <v>352981.82747933886</v>
      </c>
      <c r="W119" s="239">
        <v>2061558</v>
      </c>
      <c r="X119" s="239">
        <v>2020327</v>
      </c>
      <c r="Y119" s="239">
        <v>0</v>
      </c>
      <c r="Z119" s="239">
        <v>41231</v>
      </c>
      <c r="AA119" s="239">
        <v>4123116</v>
      </c>
      <c r="AB119" s="239">
        <v>-190091</v>
      </c>
      <c r="AC119" s="239">
        <v>-186290</v>
      </c>
      <c r="AD119" s="239">
        <v>0</v>
      </c>
      <c r="AE119" s="239">
        <v>-3802</v>
      </c>
      <c r="AF119" s="239">
        <v>-380183</v>
      </c>
      <c r="AG119" s="239">
        <v>-1393332</v>
      </c>
      <c r="AH119" s="239">
        <v>-1365463</v>
      </c>
      <c r="AI119" s="239">
        <v>0</v>
      </c>
      <c r="AJ119" s="239">
        <v>-27866</v>
      </c>
      <c r="AK119" s="239">
        <v>-2786661</v>
      </c>
      <c r="AL119" s="239">
        <v>373007</v>
      </c>
      <c r="AM119" s="239">
        <v>365547</v>
      </c>
      <c r="AN119" s="239">
        <v>0</v>
      </c>
      <c r="AO119" s="239">
        <v>7460</v>
      </c>
      <c r="AP119" s="239">
        <v>746014</v>
      </c>
      <c r="AQ119" s="239">
        <v>-373880</v>
      </c>
      <c r="AR119" s="239">
        <v>-366403</v>
      </c>
      <c r="AS119" s="239">
        <v>0</v>
      </c>
      <c r="AT119" s="239">
        <v>-7478</v>
      </c>
      <c r="AU119" s="239">
        <v>-747761</v>
      </c>
      <c r="AV119" s="239">
        <v>-1394205</v>
      </c>
      <c r="AW119" s="239">
        <v>-1366319</v>
      </c>
      <c r="AX119" s="239">
        <v>0</v>
      </c>
      <c r="AY119" s="239">
        <v>-27884</v>
      </c>
      <c r="AZ119" s="239">
        <v>-2788408</v>
      </c>
      <c r="BA119" s="239">
        <v>-5101560</v>
      </c>
      <c r="BB119" s="239">
        <v>-4999529</v>
      </c>
      <c r="BC119" s="239">
        <v>0</v>
      </c>
      <c r="BD119" s="239">
        <v>-102031</v>
      </c>
      <c r="BE119" s="239">
        <v>-10203120</v>
      </c>
      <c r="BF119" s="239">
        <v>0</v>
      </c>
      <c r="BG119" s="239">
        <v>0</v>
      </c>
      <c r="BH119" s="239">
        <v>0</v>
      </c>
      <c r="BI119" s="239">
        <v>0</v>
      </c>
      <c r="BJ119" s="239">
        <v>0</v>
      </c>
      <c r="BK119" s="239">
        <v>1086768</v>
      </c>
      <c r="BL119" s="239">
        <v>1065033</v>
      </c>
      <c r="BM119" s="239">
        <v>0</v>
      </c>
      <c r="BN119" s="239">
        <v>21735</v>
      </c>
      <c r="BO119" s="239">
        <v>2173536</v>
      </c>
      <c r="BP119" s="239">
        <v>-4014792</v>
      </c>
      <c r="BQ119" s="239">
        <v>-3934496</v>
      </c>
      <c r="BR119" s="239">
        <v>0</v>
      </c>
      <c r="BS119" s="239">
        <v>-80296</v>
      </c>
      <c r="BT119" s="239">
        <v>-8029584</v>
      </c>
      <c r="BU119" s="239">
        <v>246965</v>
      </c>
      <c r="BV119" s="239">
        <v>242025</v>
      </c>
      <c r="BW119" s="239">
        <v>0</v>
      </c>
      <c r="BX119" s="239">
        <v>4939</v>
      </c>
      <c r="BY119" s="239">
        <v>493929</v>
      </c>
      <c r="BZ119" s="239">
        <v>0</v>
      </c>
      <c r="CA119" s="239">
        <v>0</v>
      </c>
      <c r="CB119" s="239">
        <v>0</v>
      </c>
      <c r="CC119" s="239">
        <v>0</v>
      </c>
      <c r="CD119" s="239">
        <v>0</v>
      </c>
      <c r="CE119" s="239">
        <v>246965</v>
      </c>
      <c r="CF119" s="239">
        <v>242025</v>
      </c>
      <c r="CG119" s="239">
        <v>0</v>
      </c>
      <c r="CH119" s="239">
        <v>4939</v>
      </c>
      <c r="CI119" s="239">
        <v>493929</v>
      </c>
      <c r="CJ119" s="239">
        <v>26205369</v>
      </c>
      <c r="CK119" s="239">
        <v>25681261</v>
      </c>
      <c r="CL119" s="239">
        <v>0</v>
      </c>
      <c r="CM119" s="239">
        <v>524107</v>
      </c>
      <c r="CN119" s="239">
        <v>52410737</v>
      </c>
      <c r="CO119" s="239">
        <v>29901712</v>
      </c>
      <c r="CP119" s="239">
        <v>29303677</v>
      </c>
      <c r="CQ119" s="239">
        <v>0</v>
      </c>
      <c r="CR119" s="239">
        <v>598034</v>
      </c>
      <c r="CS119" s="239">
        <v>59803423</v>
      </c>
      <c r="CT119" s="239">
        <v>3696343</v>
      </c>
      <c r="CU119" s="239">
        <v>3622416</v>
      </c>
      <c r="CV119" s="239">
        <v>0</v>
      </c>
      <c r="CW119" s="239">
        <v>73927</v>
      </c>
      <c r="CX119" s="239">
        <v>7392686</v>
      </c>
      <c r="CY119" s="239">
        <v>3943308</v>
      </c>
      <c r="CZ119" s="239">
        <v>3864441</v>
      </c>
      <c r="DA119" s="239">
        <v>0</v>
      </c>
      <c r="DB119" s="239">
        <v>78866</v>
      </c>
      <c r="DC119" s="239">
        <v>7886615</v>
      </c>
      <c r="DD119" s="641">
        <v>0.5</v>
      </c>
      <c r="DE119" s="641">
        <v>0.49</v>
      </c>
      <c r="DF119" s="641">
        <v>0</v>
      </c>
      <c r="DG119" s="641">
        <v>0.01</v>
      </c>
      <c r="DH119" s="641">
        <v>1</v>
      </c>
      <c r="DI119" s="214" t="s">
        <v>747</v>
      </c>
    </row>
    <row r="120" spans="1:113" s="214" customFormat="1" x14ac:dyDescent="0.2">
      <c r="B120" s="609" t="s">
        <v>322</v>
      </c>
      <c r="C120" s="609" t="s">
        <v>321</v>
      </c>
      <c r="D120" s="239">
        <v>13620231</v>
      </c>
      <c r="E120" s="239">
        <v>10896185</v>
      </c>
      <c r="F120" s="239">
        <v>2451642</v>
      </c>
      <c r="G120" s="239">
        <v>272405</v>
      </c>
      <c r="H120" s="239">
        <v>27240463</v>
      </c>
      <c r="I120" s="239">
        <v>0</v>
      </c>
      <c r="J120" s="239">
        <v>0</v>
      </c>
      <c r="K120" s="239">
        <v>13620231</v>
      </c>
      <c r="L120" s="239">
        <v>156084</v>
      </c>
      <c r="M120" s="239">
        <v>156084</v>
      </c>
      <c r="N120" s="239">
        <v>0</v>
      </c>
      <c r="O120" s="239">
        <v>0</v>
      </c>
      <c r="P120" s="239">
        <v>0</v>
      </c>
      <c r="Q120" s="239">
        <v>0</v>
      </c>
      <c r="R120" s="239">
        <v>0</v>
      </c>
      <c r="S120" s="239">
        <v>0</v>
      </c>
      <c r="T120" s="239">
        <v>0</v>
      </c>
      <c r="U120" s="239">
        <v>0</v>
      </c>
      <c r="V120" s="239">
        <v>0</v>
      </c>
      <c r="W120" s="239">
        <v>335965</v>
      </c>
      <c r="X120" s="239">
        <v>268772</v>
      </c>
      <c r="Y120" s="239">
        <v>60474</v>
      </c>
      <c r="Z120" s="239">
        <v>6719</v>
      </c>
      <c r="AA120" s="239">
        <v>671930</v>
      </c>
      <c r="AB120" s="239">
        <v>-312871</v>
      </c>
      <c r="AC120" s="239">
        <v>-250297</v>
      </c>
      <c r="AD120" s="239">
        <v>-56317</v>
      </c>
      <c r="AE120" s="239">
        <v>-6257</v>
      </c>
      <c r="AF120" s="239">
        <v>-625742</v>
      </c>
      <c r="AG120" s="239">
        <v>-102996</v>
      </c>
      <c r="AH120" s="239">
        <v>-82396</v>
      </c>
      <c r="AI120" s="239">
        <v>-18541</v>
      </c>
      <c r="AJ120" s="239">
        <v>-2060</v>
      </c>
      <c r="AK120" s="239">
        <v>-205993</v>
      </c>
      <c r="AL120" s="239">
        <v>66808</v>
      </c>
      <c r="AM120" s="239">
        <v>53446</v>
      </c>
      <c r="AN120" s="239">
        <v>12025</v>
      </c>
      <c r="AO120" s="239">
        <v>1336</v>
      </c>
      <c r="AP120" s="239">
        <v>133615</v>
      </c>
      <c r="AQ120" s="239">
        <v>-80799</v>
      </c>
      <c r="AR120" s="239">
        <v>-64640</v>
      </c>
      <c r="AS120" s="239">
        <v>-14544</v>
      </c>
      <c r="AT120" s="239">
        <v>-1616</v>
      </c>
      <c r="AU120" s="239">
        <v>-161599</v>
      </c>
      <c r="AV120" s="239">
        <v>-116987</v>
      </c>
      <c r="AW120" s="239">
        <v>-93590</v>
      </c>
      <c r="AX120" s="239">
        <v>-21060</v>
      </c>
      <c r="AY120" s="239">
        <v>-2340</v>
      </c>
      <c r="AZ120" s="239">
        <v>-233977</v>
      </c>
      <c r="BA120" s="239">
        <v>-885224</v>
      </c>
      <c r="BB120" s="239">
        <v>-708179</v>
      </c>
      <c r="BC120" s="239">
        <v>-159339</v>
      </c>
      <c r="BD120" s="239">
        <v>-17704</v>
      </c>
      <c r="BE120" s="239">
        <v>-1770446</v>
      </c>
      <c r="BF120" s="239">
        <v>596084</v>
      </c>
      <c r="BG120" s="239">
        <v>476868</v>
      </c>
      <c r="BH120" s="239">
        <v>107295</v>
      </c>
      <c r="BI120" s="239">
        <v>11922</v>
      </c>
      <c r="BJ120" s="239">
        <v>1192169</v>
      </c>
      <c r="BK120" s="239">
        <v>-441117</v>
      </c>
      <c r="BL120" s="239">
        <v>-352894</v>
      </c>
      <c r="BM120" s="239">
        <v>-79401</v>
      </c>
      <c r="BN120" s="239">
        <v>-8822</v>
      </c>
      <c r="BO120" s="239">
        <v>-882234</v>
      </c>
      <c r="BP120" s="239">
        <v>-730257</v>
      </c>
      <c r="BQ120" s="239">
        <v>-584205</v>
      </c>
      <c r="BR120" s="239">
        <v>-131445</v>
      </c>
      <c r="BS120" s="239">
        <v>-14604</v>
      </c>
      <c r="BT120" s="239">
        <v>-1460511</v>
      </c>
      <c r="BU120" s="239">
        <v>-87112</v>
      </c>
      <c r="BV120" s="239">
        <v>-69690</v>
      </c>
      <c r="BW120" s="239">
        <v>-15680</v>
      </c>
      <c r="BX120" s="239">
        <v>-1742</v>
      </c>
      <c r="BY120" s="239">
        <v>-174224</v>
      </c>
      <c r="BZ120" s="239">
        <v>-107472</v>
      </c>
      <c r="CA120" s="239">
        <v>-85978</v>
      </c>
      <c r="CB120" s="239">
        <v>-19345</v>
      </c>
      <c r="CC120" s="239">
        <v>-2149</v>
      </c>
      <c r="CD120" s="239">
        <v>-214944</v>
      </c>
      <c r="CE120" s="239">
        <v>20360</v>
      </c>
      <c r="CF120" s="239">
        <v>16288</v>
      </c>
      <c r="CG120" s="239">
        <v>3665</v>
      </c>
      <c r="CH120" s="239">
        <v>407</v>
      </c>
      <c r="CI120" s="239">
        <v>40720</v>
      </c>
      <c r="CJ120" s="239">
        <v>13722879</v>
      </c>
      <c r="CK120" s="239">
        <v>10978303</v>
      </c>
      <c r="CL120" s="239">
        <v>2470118</v>
      </c>
      <c r="CM120" s="239">
        <v>274458</v>
      </c>
      <c r="CN120" s="239">
        <v>27445758</v>
      </c>
      <c r="CO120" s="239">
        <v>13620231</v>
      </c>
      <c r="CP120" s="239">
        <v>10896185</v>
      </c>
      <c r="CQ120" s="239">
        <v>2451642</v>
      </c>
      <c r="CR120" s="239">
        <v>272405</v>
      </c>
      <c r="CS120" s="239">
        <v>27240463</v>
      </c>
      <c r="CT120" s="239">
        <v>-102648</v>
      </c>
      <c r="CU120" s="239">
        <v>-82118</v>
      </c>
      <c r="CV120" s="239">
        <v>-18476</v>
      </c>
      <c r="CW120" s="239">
        <v>-2053</v>
      </c>
      <c r="CX120" s="239">
        <v>-205295</v>
      </c>
      <c r="CY120" s="239">
        <v>-82288</v>
      </c>
      <c r="CZ120" s="239">
        <v>-65830</v>
      </c>
      <c r="DA120" s="239">
        <v>-14811</v>
      </c>
      <c r="DB120" s="239">
        <v>-1646</v>
      </c>
      <c r="DC120" s="239">
        <v>-164575</v>
      </c>
      <c r="DD120" s="641">
        <v>0.5</v>
      </c>
      <c r="DE120" s="641">
        <v>0.4</v>
      </c>
      <c r="DF120" s="641">
        <v>0.09</v>
      </c>
      <c r="DG120" s="641">
        <v>0.01</v>
      </c>
      <c r="DH120" s="641">
        <v>1</v>
      </c>
      <c r="DI120" s="214" t="s">
        <v>1190</v>
      </c>
    </row>
    <row r="121" spans="1:113" s="214" customFormat="1" x14ac:dyDescent="0.2">
      <c r="B121" s="609" t="s">
        <v>324</v>
      </c>
      <c r="C121" s="609" t="s">
        <v>323</v>
      </c>
      <c r="D121" s="239">
        <v>98500534</v>
      </c>
      <c r="E121" s="239">
        <v>59100320</v>
      </c>
      <c r="F121" s="239">
        <v>39400213</v>
      </c>
      <c r="G121" s="239">
        <v>0</v>
      </c>
      <c r="H121" s="239">
        <v>197001067</v>
      </c>
      <c r="I121" s="239">
        <v>0</v>
      </c>
      <c r="J121" s="239">
        <v>0</v>
      </c>
      <c r="K121" s="239">
        <v>98500534</v>
      </c>
      <c r="L121" s="239">
        <v>556007</v>
      </c>
      <c r="M121" s="239">
        <v>556007</v>
      </c>
      <c r="N121" s="239">
        <v>0</v>
      </c>
      <c r="O121" s="239">
        <v>0</v>
      </c>
      <c r="P121" s="239">
        <v>0</v>
      </c>
      <c r="Q121" s="239">
        <v>0</v>
      </c>
      <c r="R121" s="239">
        <v>0</v>
      </c>
      <c r="S121" s="239">
        <v>0</v>
      </c>
      <c r="T121" s="239">
        <v>0</v>
      </c>
      <c r="U121" s="239">
        <v>0</v>
      </c>
      <c r="V121" s="239">
        <v>0</v>
      </c>
      <c r="W121" s="239">
        <v>10134359.840000268</v>
      </c>
      <c r="X121" s="239">
        <v>6080616</v>
      </c>
      <c r="Y121" s="239">
        <v>4053744</v>
      </c>
      <c r="Z121" s="239">
        <v>0</v>
      </c>
      <c r="AA121" s="239">
        <v>20268719.840000268</v>
      </c>
      <c r="AB121" s="239">
        <v>-9113254.3000000045</v>
      </c>
      <c r="AC121" s="239">
        <v>-5467952</v>
      </c>
      <c r="AD121" s="239">
        <v>-3645301</v>
      </c>
      <c r="AE121" s="239">
        <v>0</v>
      </c>
      <c r="AF121" s="239">
        <v>-18226507.300000004</v>
      </c>
      <c r="AG121" s="239">
        <v>-8850540.4000000004</v>
      </c>
      <c r="AH121" s="239">
        <v>-5310326</v>
      </c>
      <c r="AI121" s="239">
        <v>-3540217</v>
      </c>
      <c r="AJ121" s="239">
        <v>0</v>
      </c>
      <c r="AK121" s="239">
        <v>-17701083</v>
      </c>
      <c r="AL121" s="239">
        <v>1124526</v>
      </c>
      <c r="AM121" s="239">
        <v>674715</v>
      </c>
      <c r="AN121" s="239">
        <v>449810</v>
      </c>
      <c r="AO121" s="239">
        <v>0</v>
      </c>
      <c r="AP121" s="239">
        <v>2249051</v>
      </c>
      <c r="AQ121" s="239">
        <v>-250960</v>
      </c>
      <c r="AR121" s="239">
        <v>-150576</v>
      </c>
      <c r="AS121" s="239">
        <v>-100384</v>
      </c>
      <c r="AT121" s="239">
        <v>0</v>
      </c>
      <c r="AU121" s="239">
        <v>-501920</v>
      </c>
      <c r="AV121" s="239">
        <v>-7976974.4000000004</v>
      </c>
      <c r="AW121" s="239">
        <v>-4786187</v>
      </c>
      <c r="AX121" s="239">
        <v>-3190791</v>
      </c>
      <c r="AY121" s="239">
        <v>0</v>
      </c>
      <c r="AZ121" s="239">
        <v>-15953952</v>
      </c>
      <c r="BA121" s="239">
        <v>-16907882</v>
      </c>
      <c r="BB121" s="239">
        <v>-10144730</v>
      </c>
      <c r="BC121" s="239">
        <v>-6763155</v>
      </c>
      <c r="BD121" s="239">
        <v>0</v>
      </c>
      <c r="BE121" s="239">
        <v>-33815767</v>
      </c>
      <c r="BF121" s="239">
        <v>8224997</v>
      </c>
      <c r="BG121" s="239">
        <v>4934998</v>
      </c>
      <c r="BH121" s="239">
        <v>3289999</v>
      </c>
      <c r="BI121" s="239">
        <v>0</v>
      </c>
      <c r="BJ121" s="239">
        <v>16449994</v>
      </c>
      <c r="BK121" s="239">
        <v>819892</v>
      </c>
      <c r="BL121" s="239">
        <v>491936</v>
      </c>
      <c r="BM121" s="239">
        <v>327957</v>
      </c>
      <c r="BN121" s="239">
        <v>0</v>
      </c>
      <c r="BO121" s="239">
        <v>1639785</v>
      </c>
      <c r="BP121" s="239">
        <v>-7862993</v>
      </c>
      <c r="BQ121" s="239">
        <v>-4717796</v>
      </c>
      <c r="BR121" s="239">
        <v>-3145199</v>
      </c>
      <c r="BS121" s="239">
        <v>0</v>
      </c>
      <c r="BT121" s="239">
        <v>-15725988</v>
      </c>
      <c r="BU121" s="239">
        <v>7378527</v>
      </c>
      <c r="BV121" s="239">
        <v>4427116</v>
      </c>
      <c r="BW121" s="239">
        <v>2951411</v>
      </c>
      <c r="BX121" s="239">
        <v>0</v>
      </c>
      <c r="BY121" s="239">
        <v>14757054</v>
      </c>
      <c r="BZ121" s="239">
        <v>4833471</v>
      </c>
      <c r="CA121" s="239">
        <v>2900082</v>
      </c>
      <c r="CB121" s="239">
        <v>1933388</v>
      </c>
      <c r="CC121" s="239">
        <v>0</v>
      </c>
      <c r="CD121" s="239">
        <v>9666941</v>
      </c>
      <c r="CE121" s="239">
        <v>2545056</v>
      </c>
      <c r="CF121" s="239">
        <v>1527034</v>
      </c>
      <c r="CG121" s="239">
        <v>1018023</v>
      </c>
      <c r="CH121" s="239">
        <v>0</v>
      </c>
      <c r="CI121" s="239">
        <v>5090113</v>
      </c>
      <c r="CJ121" s="239">
        <v>93426396</v>
      </c>
      <c r="CK121" s="239">
        <v>56055837</v>
      </c>
      <c r="CL121" s="239">
        <v>37370558</v>
      </c>
      <c r="CM121" s="239">
        <v>0</v>
      </c>
      <c r="CN121" s="239">
        <v>186852791</v>
      </c>
      <c r="CO121" s="239">
        <v>98500534</v>
      </c>
      <c r="CP121" s="239">
        <v>59100320</v>
      </c>
      <c r="CQ121" s="239">
        <v>39400213</v>
      </c>
      <c r="CR121" s="239">
        <v>0</v>
      </c>
      <c r="CS121" s="239">
        <v>197001067</v>
      </c>
      <c r="CT121" s="239">
        <v>5074138</v>
      </c>
      <c r="CU121" s="239">
        <v>3044483</v>
      </c>
      <c r="CV121" s="239">
        <v>2029655</v>
      </c>
      <c r="CW121" s="239">
        <v>0</v>
      </c>
      <c r="CX121" s="239">
        <v>10148276</v>
      </c>
      <c r="CY121" s="239">
        <v>7619194</v>
      </c>
      <c r="CZ121" s="239">
        <v>4571517</v>
      </c>
      <c r="DA121" s="239">
        <v>3047678</v>
      </c>
      <c r="DB121" s="239">
        <v>0</v>
      </c>
      <c r="DC121" s="239">
        <v>15238389</v>
      </c>
      <c r="DD121" s="641">
        <v>0.5</v>
      </c>
      <c r="DE121" s="641">
        <v>0.3</v>
      </c>
      <c r="DF121" s="641">
        <v>0.2</v>
      </c>
      <c r="DG121" s="641">
        <v>0</v>
      </c>
      <c r="DH121" s="641">
        <v>1</v>
      </c>
      <c r="DI121" s="214" t="s">
        <v>1193</v>
      </c>
    </row>
    <row r="122" spans="1:113" s="214" customFormat="1" x14ac:dyDescent="0.2">
      <c r="B122" s="609" t="s">
        <v>326</v>
      </c>
      <c r="C122" s="609" t="s">
        <v>325</v>
      </c>
      <c r="D122" s="239">
        <v>20099060</v>
      </c>
      <c r="E122" s="239">
        <v>16079248</v>
      </c>
      <c r="F122" s="239">
        <v>3617831</v>
      </c>
      <c r="G122" s="239">
        <v>401981</v>
      </c>
      <c r="H122" s="239">
        <v>40198120</v>
      </c>
      <c r="I122" s="239">
        <v>0</v>
      </c>
      <c r="J122" s="239">
        <v>0</v>
      </c>
      <c r="K122" s="239">
        <v>20099060</v>
      </c>
      <c r="L122" s="239">
        <v>126674</v>
      </c>
      <c r="M122" s="239">
        <v>126674</v>
      </c>
      <c r="N122" s="239">
        <v>0</v>
      </c>
      <c r="O122" s="239">
        <v>0</v>
      </c>
      <c r="P122" s="239">
        <v>21190</v>
      </c>
      <c r="Q122" s="239">
        <v>0</v>
      </c>
      <c r="R122" s="239">
        <v>21190</v>
      </c>
      <c r="S122" s="239">
        <v>0</v>
      </c>
      <c r="T122" s="239">
        <v>0</v>
      </c>
      <c r="U122" s="239">
        <v>0</v>
      </c>
      <c r="V122" s="239">
        <v>0</v>
      </c>
      <c r="W122" s="239">
        <v>145547</v>
      </c>
      <c r="X122" s="239">
        <v>116437</v>
      </c>
      <c r="Y122" s="239">
        <v>26198</v>
      </c>
      <c r="Z122" s="239">
        <v>2911</v>
      </c>
      <c r="AA122" s="239">
        <v>291093</v>
      </c>
      <c r="AB122" s="239">
        <v>-255165</v>
      </c>
      <c r="AC122" s="239">
        <v>-204132</v>
      </c>
      <c r="AD122" s="239">
        <v>-45930</v>
      </c>
      <c r="AE122" s="239">
        <v>-5103</v>
      </c>
      <c r="AF122" s="239">
        <v>-510330</v>
      </c>
      <c r="AG122" s="239">
        <v>-18094</v>
      </c>
      <c r="AH122" s="239">
        <v>-14474</v>
      </c>
      <c r="AI122" s="239">
        <v>-3257</v>
      </c>
      <c r="AJ122" s="239">
        <v>-362</v>
      </c>
      <c r="AK122" s="239">
        <v>-36187</v>
      </c>
      <c r="AL122" s="239">
        <v>32452</v>
      </c>
      <c r="AM122" s="239">
        <v>25961</v>
      </c>
      <c r="AN122" s="239">
        <v>5841</v>
      </c>
      <c r="AO122" s="239">
        <v>649</v>
      </c>
      <c r="AP122" s="239">
        <v>64903</v>
      </c>
      <c r="AQ122" s="239">
        <v>-32856</v>
      </c>
      <c r="AR122" s="239">
        <v>-26284</v>
      </c>
      <c r="AS122" s="239">
        <v>-5914</v>
      </c>
      <c r="AT122" s="239">
        <v>-657</v>
      </c>
      <c r="AU122" s="239">
        <v>-65711</v>
      </c>
      <c r="AV122" s="239">
        <v>-18498</v>
      </c>
      <c r="AW122" s="239">
        <v>-14797</v>
      </c>
      <c r="AX122" s="239">
        <v>-3330</v>
      </c>
      <c r="AY122" s="239">
        <v>-370</v>
      </c>
      <c r="AZ122" s="239">
        <v>-36995</v>
      </c>
      <c r="BA122" s="239">
        <v>-2862222</v>
      </c>
      <c r="BB122" s="239">
        <v>-2289779</v>
      </c>
      <c r="BC122" s="239">
        <v>-515201</v>
      </c>
      <c r="BD122" s="239">
        <v>-57244</v>
      </c>
      <c r="BE122" s="239">
        <v>-5724446</v>
      </c>
      <c r="BF122" s="239">
        <v>179764</v>
      </c>
      <c r="BG122" s="239">
        <v>143812</v>
      </c>
      <c r="BH122" s="239">
        <v>32358</v>
      </c>
      <c r="BI122" s="239">
        <v>3595</v>
      </c>
      <c r="BJ122" s="239">
        <v>359529</v>
      </c>
      <c r="BK122" s="239">
        <v>124959</v>
      </c>
      <c r="BL122" s="239">
        <v>99966</v>
      </c>
      <c r="BM122" s="239">
        <v>22492</v>
      </c>
      <c r="BN122" s="239">
        <v>2499</v>
      </c>
      <c r="BO122" s="239">
        <v>249916</v>
      </c>
      <c r="BP122" s="239">
        <v>-2557499</v>
      </c>
      <c r="BQ122" s="239">
        <v>-2046001</v>
      </c>
      <c r="BR122" s="239">
        <v>-460351</v>
      </c>
      <c r="BS122" s="239">
        <v>-51150</v>
      </c>
      <c r="BT122" s="239">
        <v>-5115001</v>
      </c>
      <c r="BU122" s="239">
        <v>-2013323</v>
      </c>
      <c r="BV122" s="239">
        <v>-1610658</v>
      </c>
      <c r="BW122" s="239">
        <v>-362398</v>
      </c>
      <c r="BX122" s="239">
        <v>-40266</v>
      </c>
      <c r="BY122" s="239">
        <v>-4026645</v>
      </c>
      <c r="BZ122" s="239">
        <v>-1165693</v>
      </c>
      <c r="CA122" s="239">
        <v>-932554</v>
      </c>
      <c r="CB122" s="239">
        <v>-209825</v>
      </c>
      <c r="CC122" s="239">
        <v>-23314</v>
      </c>
      <c r="CD122" s="239">
        <v>-2331386</v>
      </c>
      <c r="CE122" s="239">
        <v>-847630</v>
      </c>
      <c r="CF122" s="239">
        <v>-678104</v>
      </c>
      <c r="CG122" s="239">
        <v>-152573</v>
      </c>
      <c r="CH122" s="239">
        <v>-16952</v>
      </c>
      <c r="CI122" s="239">
        <v>-1695259</v>
      </c>
      <c r="CJ122" s="239">
        <v>18823666</v>
      </c>
      <c r="CK122" s="239">
        <v>15058932</v>
      </c>
      <c r="CL122" s="239">
        <v>3388260</v>
      </c>
      <c r="CM122" s="239">
        <v>376473</v>
      </c>
      <c r="CN122" s="239">
        <v>37647331</v>
      </c>
      <c r="CO122" s="239">
        <v>20099060</v>
      </c>
      <c r="CP122" s="239">
        <v>16079248</v>
      </c>
      <c r="CQ122" s="239">
        <v>3617831</v>
      </c>
      <c r="CR122" s="239">
        <v>401981</v>
      </c>
      <c r="CS122" s="239">
        <v>40198120</v>
      </c>
      <c r="CT122" s="239">
        <v>1275394</v>
      </c>
      <c r="CU122" s="239">
        <v>1020316</v>
      </c>
      <c r="CV122" s="239">
        <v>229571</v>
      </c>
      <c r="CW122" s="239">
        <v>25508</v>
      </c>
      <c r="CX122" s="239">
        <v>2550789</v>
      </c>
      <c r="CY122" s="239">
        <v>427764</v>
      </c>
      <c r="CZ122" s="239">
        <v>342212</v>
      </c>
      <c r="DA122" s="239">
        <v>76998</v>
      </c>
      <c r="DB122" s="239">
        <v>8556</v>
      </c>
      <c r="DC122" s="239">
        <v>855530</v>
      </c>
      <c r="DD122" s="641">
        <v>0.5</v>
      </c>
      <c r="DE122" s="641">
        <v>0.4</v>
      </c>
      <c r="DF122" s="641">
        <v>0.09</v>
      </c>
      <c r="DG122" s="641">
        <v>0.01</v>
      </c>
      <c r="DH122" s="641">
        <v>1</v>
      </c>
      <c r="DI122" s="214" t="s">
        <v>1190</v>
      </c>
    </row>
    <row r="123" spans="1:113" s="214" customFormat="1" x14ac:dyDescent="0.2">
      <c r="B123" s="609" t="s">
        <v>328</v>
      </c>
      <c r="C123" s="609" t="s">
        <v>327</v>
      </c>
      <c r="D123" s="239">
        <v>34086678</v>
      </c>
      <c r="E123" s="239">
        <v>20452007</v>
      </c>
      <c r="F123" s="239">
        <v>13634671</v>
      </c>
      <c r="G123" s="239">
        <v>0</v>
      </c>
      <c r="H123" s="239">
        <v>68173356</v>
      </c>
      <c r="I123" s="239">
        <v>0</v>
      </c>
      <c r="J123" s="239">
        <v>0</v>
      </c>
      <c r="K123" s="239">
        <v>34086678</v>
      </c>
      <c r="L123" s="239">
        <v>305922</v>
      </c>
      <c r="M123" s="239">
        <v>305922</v>
      </c>
      <c r="N123" s="239">
        <v>0</v>
      </c>
      <c r="O123" s="239">
        <v>0</v>
      </c>
      <c r="P123" s="239">
        <v>0</v>
      </c>
      <c r="Q123" s="239">
        <v>0</v>
      </c>
      <c r="R123" s="239">
        <v>0</v>
      </c>
      <c r="S123" s="239">
        <v>0</v>
      </c>
      <c r="T123" s="239">
        <v>0</v>
      </c>
      <c r="U123" s="239">
        <v>0</v>
      </c>
      <c r="V123" s="239">
        <v>0</v>
      </c>
      <c r="W123" s="239">
        <v>4300656</v>
      </c>
      <c r="X123" s="239">
        <v>2580394</v>
      </c>
      <c r="Y123" s="239">
        <v>1720262</v>
      </c>
      <c r="Z123" s="239">
        <v>0</v>
      </c>
      <c r="AA123" s="239">
        <v>8601312</v>
      </c>
      <c r="AB123" s="239">
        <v>-4497486</v>
      </c>
      <c r="AC123" s="239">
        <v>-2698492</v>
      </c>
      <c r="AD123" s="239">
        <v>-1798995</v>
      </c>
      <c r="AE123" s="239">
        <v>0</v>
      </c>
      <c r="AF123" s="239">
        <v>-8994973</v>
      </c>
      <c r="AG123" s="239">
        <v>-2565593.37</v>
      </c>
      <c r="AH123" s="239">
        <v>-1539357</v>
      </c>
      <c r="AI123" s="239">
        <v>-1026237</v>
      </c>
      <c r="AJ123" s="239">
        <v>0</v>
      </c>
      <c r="AK123" s="239">
        <v>-5131187.37</v>
      </c>
      <c r="AL123" s="239">
        <v>752385</v>
      </c>
      <c r="AM123" s="239">
        <v>451431</v>
      </c>
      <c r="AN123" s="239">
        <v>300954</v>
      </c>
      <c r="AO123" s="239">
        <v>0</v>
      </c>
      <c r="AP123" s="239">
        <v>1504770</v>
      </c>
      <c r="AQ123" s="239">
        <v>-671014</v>
      </c>
      <c r="AR123" s="239">
        <v>-402608</v>
      </c>
      <c r="AS123" s="239">
        <v>-268406</v>
      </c>
      <c r="AT123" s="239">
        <v>0</v>
      </c>
      <c r="AU123" s="239">
        <v>-1342028</v>
      </c>
      <c r="AV123" s="239">
        <v>-2484222.37</v>
      </c>
      <c r="AW123" s="239">
        <v>-1490534</v>
      </c>
      <c r="AX123" s="239">
        <v>-993689</v>
      </c>
      <c r="AY123" s="239">
        <v>0</v>
      </c>
      <c r="AZ123" s="239">
        <v>-4968445.37</v>
      </c>
      <c r="BA123" s="239">
        <v>-6691956</v>
      </c>
      <c r="BB123" s="239">
        <v>-4015171</v>
      </c>
      <c r="BC123" s="239">
        <v>-2676782</v>
      </c>
      <c r="BD123" s="239">
        <v>0</v>
      </c>
      <c r="BE123" s="239">
        <v>-13383909</v>
      </c>
      <c r="BF123" s="239">
        <v>715000</v>
      </c>
      <c r="BG123" s="239">
        <v>429000</v>
      </c>
      <c r="BH123" s="239">
        <v>286000</v>
      </c>
      <c r="BI123" s="239">
        <v>0</v>
      </c>
      <c r="BJ123" s="239">
        <v>1430000</v>
      </c>
      <c r="BK123" s="239">
        <v>1223493</v>
      </c>
      <c r="BL123" s="239">
        <v>734096</v>
      </c>
      <c r="BM123" s="239">
        <v>489397</v>
      </c>
      <c r="BN123" s="239">
        <v>0</v>
      </c>
      <c r="BO123" s="239">
        <v>2446986</v>
      </c>
      <c r="BP123" s="239">
        <v>-4753463</v>
      </c>
      <c r="BQ123" s="239">
        <v>-2852075</v>
      </c>
      <c r="BR123" s="239">
        <v>-1901385</v>
      </c>
      <c r="BS123" s="239">
        <v>0</v>
      </c>
      <c r="BT123" s="239">
        <v>-9506923</v>
      </c>
      <c r="BU123" s="239">
        <v>-5063884.07</v>
      </c>
      <c r="BV123" s="239">
        <v>-3038331</v>
      </c>
      <c r="BW123" s="239">
        <v>-2025554</v>
      </c>
      <c r="BX123" s="239">
        <v>0</v>
      </c>
      <c r="BY123" s="239">
        <v>-10127769.07</v>
      </c>
      <c r="BZ123" s="239">
        <v>-4649040</v>
      </c>
      <c r="CA123" s="239">
        <v>-2789424</v>
      </c>
      <c r="CB123" s="239">
        <v>-1859616</v>
      </c>
      <c r="CC123" s="239">
        <v>0</v>
      </c>
      <c r="CD123" s="239">
        <v>-9298080</v>
      </c>
      <c r="CE123" s="239">
        <v>-414844.0700000003</v>
      </c>
      <c r="CF123" s="239">
        <v>-248907</v>
      </c>
      <c r="CG123" s="239">
        <v>-165938</v>
      </c>
      <c r="CH123" s="239">
        <v>0</v>
      </c>
      <c r="CI123" s="239">
        <v>-829689.0700000003</v>
      </c>
      <c r="CJ123" s="239">
        <v>33061095</v>
      </c>
      <c r="CK123" s="239">
        <v>19836657</v>
      </c>
      <c r="CL123" s="239">
        <v>13224438</v>
      </c>
      <c r="CM123" s="239">
        <v>0</v>
      </c>
      <c r="CN123" s="239">
        <v>66122190</v>
      </c>
      <c r="CO123" s="239">
        <v>34086678</v>
      </c>
      <c r="CP123" s="239">
        <v>20452007</v>
      </c>
      <c r="CQ123" s="239">
        <v>13634671</v>
      </c>
      <c r="CR123" s="239">
        <v>0</v>
      </c>
      <c r="CS123" s="239">
        <v>68173356</v>
      </c>
      <c r="CT123" s="239">
        <v>1025583</v>
      </c>
      <c r="CU123" s="239">
        <v>615350</v>
      </c>
      <c r="CV123" s="239">
        <v>410233</v>
      </c>
      <c r="CW123" s="239">
        <v>0</v>
      </c>
      <c r="CX123" s="239">
        <v>2051166</v>
      </c>
      <c r="CY123" s="239">
        <v>610738.9299999997</v>
      </c>
      <c r="CZ123" s="239">
        <v>366443</v>
      </c>
      <c r="DA123" s="239">
        <v>244295</v>
      </c>
      <c r="DB123" s="239">
        <v>0</v>
      </c>
      <c r="DC123" s="239">
        <v>1221476.9299999997</v>
      </c>
      <c r="DD123" s="641">
        <v>0.5</v>
      </c>
      <c r="DE123" s="641">
        <v>0.3</v>
      </c>
      <c r="DF123" s="641">
        <v>0.2</v>
      </c>
      <c r="DG123" s="641">
        <v>0</v>
      </c>
      <c r="DH123" s="641">
        <v>1</v>
      </c>
      <c r="DI123" s="214" t="s">
        <v>1191</v>
      </c>
    </row>
    <row r="124" spans="1:113" s="214" customFormat="1" x14ac:dyDescent="0.2">
      <c r="B124" s="609" t="s">
        <v>330</v>
      </c>
      <c r="C124" s="609" t="s">
        <v>329</v>
      </c>
      <c r="D124" s="239">
        <v>23763916</v>
      </c>
      <c r="E124" s="239">
        <v>19011132</v>
      </c>
      <c r="F124" s="239">
        <v>4277505</v>
      </c>
      <c r="G124" s="239">
        <v>475278</v>
      </c>
      <c r="H124" s="239">
        <v>47527831</v>
      </c>
      <c r="I124" s="239">
        <v>0</v>
      </c>
      <c r="J124" s="239">
        <v>0</v>
      </c>
      <c r="K124" s="239">
        <v>23763916</v>
      </c>
      <c r="L124" s="239">
        <v>121903</v>
      </c>
      <c r="M124" s="239">
        <v>121903</v>
      </c>
      <c r="N124" s="239">
        <v>0</v>
      </c>
      <c r="O124" s="239">
        <v>0</v>
      </c>
      <c r="P124" s="239">
        <v>0</v>
      </c>
      <c r="Q124" s="239">
        <v>0</v>
      </c>
      <c r="R124" s="239">
        <v>0</v>
      </c>
      <c r="S124" s="239">
        <v>0</v>
      </c>
      <c r="T124" s="239">
        <v>0</v>
      </c>
      <c r="U124" s="239">
        <v>0</v>
      </c>
      <c r="V124" s="239">
        <v>0</v>
      </c>
      <c r="W124" s="239">
        <v>1239236</v>
      </c>
      <c r="X124" s="239">
        <v>991389</v>
      </c>
      <c r="Y124" s="239">
        <v>223062</v>
      </c>
      <c r="Z124" s="239">
        <v>24785</v>
      </c>
      <c r="AA124" s="239">
        <v>2478472</v>
      </c>
      <c r="AB124" s="239">
        <v>-1152020</v>
      </c>
      <c r="AC124" s="239">
        <v>-921616</v>
      </c>
      <c r="AD124" s="239">
        <v>-207364</v>
      </c>
      <c r="AE124" s="239">
        <v>-23040</v>
      </c>
      <c r="AF124" s="239">
        <v>-2304040</v>
      </c>
      <c r="AG124" s="239">
        <v>-673499</v>
      </c>
      <c r="AH124" s="239">
        <v>-538800</v>
      </c>
      <c r="AI124" s="239">
        <v>-121231</v>
      </c>
      <c r="AJ124" s="239">
        <v>-13470</v>
      </c>
      <c r="AK124" s="239">
        <v>-1347000</v>
      </c>
      <c r="AL124" s="239">
        <v>116908</v>
      </c>
      <c r="AM124" s="239">
        <v>93527</v>
      </c>
      <c r="AN124" s="239">
        <v>21044</v>
      </c>
      <c r="AO124" s="239">
        <v>2338</v>
      </c>
      <c r="AP124" s="239">
        <v>233817</v>
      </c>
      <c r="AQ124" s="239">
        <v>-189908</v>
      </c>
      <c r="AR124" s="239">
        <v>-151927</v>
      </c>
      <c r="AS124" s="239">
        <v>-34184</v>
      </c>
      <c r="AT124" s="239">
        <v>-3798</v>
      </c>
      <c r="AU124" s="239">
        <v>-379817</v>
      </c>
      <c r="AV124" s="239">
        <v>-746499</v>
      </c>
      <c r="AW124" s="239">
        <v>-597200</v>
      </c>
      <c r="AX124" s="239">
        <v>-134371</v>
      </c>
      <c r="AY124" s="239">
        <v>-14930</v>
      </c>
      <c r="AZ124" s="239">
        <v>-1493000</v>
      </c>
      <c r="BA124" s="239">
        <v>-2597585</v>
      </c>
      <c r="BB124" s="239">
        <v>-2078069</v>
      </c>
      <c r="BC124" s="239">
        <v>-467565</v>
      </c>
      <c r="BD124" s="239">
        <v>-51951</v>
      </c>
      <c r="BE124" s="239">
        <v>-5195170</v>
      </c>
      <c r="BF124" s="239">
        <v>616930</v>
      </c>
      <c r="BG124" s="239">
        <v>493545</v>
      </c>
      <c r="BH124" s="239">
        <v>111048</v>
      </c>
      <c r="BI124" s="239">
        <v>12339</v>
      </c>
      <c r="BJ124" s="239">
        <v>1233862</v>
      </c>
      <c r="BK124" s="239">
        <v>662176</v>
      </c>
      <c r="BL124" s="239">
        <v>529742</v>
      </c>
      <c r="BM124" s="239">
        <v>119192</v>
      </c>
      <c r="BN124" s="239">
        <v>13244</v>
      </c>
      <c r="BO124" s="239">
        <v>1324354</v>
      </c>
      <c r="BP124" s="239">
        <v>-1318479</v>
      </c>
      <c r="BQ124" s="239">
        <v>-1054782</v>
      </c>
      <c r="BR124" s="239">
        <v>-237325</v>
      </c>
      <c r="BS124" s="239">
        <v>-26368</v>
      </c>
      <c r="BT124" s="239">
        <v>-2636954</v>
      </c>
      <c r="BU124" s="239">
        <v>992433</v>
      </c>
      <c r="BV124" s="239">
        <v>793947</v>
      </c>
      <c r="BW124" s="239">
        <v>178638</v>
      </c>
      <c r="BX124" s="239">
        <v>19849</v>
      </c>
      <c r="BY124" s="239">
        <v>1984867</v>
      </c>
      <c r="BZ124" s="239">
        <v>1325227</v>
      </c>
      <c r="CA124" s="239">
        <v>1060182</v>
      </c>
      <c r="CB124" s="239">
        <v>238541</v>
      </c>
      <c r="CC124" s="239">
        <v>26505</v>
      </c>
      <c r="CD124" s="239">
        <v>2650455</v>
      </c>
      <c r="CE124" s="239">
        <v>-332794</v>
      </c>
      <c r="CF124" s="239">
        <v>-266235</v>
      </c>
      <c r="CG124" s="239">
        <v>-59903</v>
      </c>
      <c r="CH124" s="239">
        <v>-6656</v>
      </c>
      <c r="CI124" s="239">
        <v>-665588</v>
      </c>
      <c r="CJ124" s="239">
        <v>23930991</v>
      </c>
      <c r="CK124" s="239">
        <v>19144793</v>
      </c>
      <c r="CL124" s="239">
        <v>4307578</v>
      </c>
      <c r="CM124" s="239">
        <v>478620</v>
      </c>
      <c r="CN124" s="239">
        <v>47861982</v>
      </c>
      <c r="CO124" s="239">
        <v>23763916</v>
      </c>
      <c r="CP124" s="239">
        <v>19011132</v>
      </c>
      <c r="CQ124" s="239">
        <v>4277505</v>
      </c>
      <c r="CR124" s="239">
        <v>475278</v>
      </c>
      <c r="CS124" s="239">
        <v>47527831</v>
      </c>
      <c r="CT124" s="239">
        <v>-167075</v>
      </c>
      <c r="CU124" s="239">
        <v>-133661</v>
      </c>
      <c r="CV124" s="239">
        <v>-30073</v>
      </c>
      <c r="CW124" s="239">
        <v>-3342</v>
      </c>
      <c r="CX124" s="239">
        <v>-334151</v>
      </c>
      <c r="CY124" s="239">
        <v>-499869</v>
      </c>
      <c r="CZ124" s="239">
        <v>-399896</v>
      </c>
      <c r="DA124" s="239">
        <v>-89976</v>
      </c>
      <c r="DB124" s="239">
        <v>-9998</v>
      </c>
      <c r="DC124" s="239">
        <v>-999739</v>
      </c>
      <c r="DD124" s="641">
        <v>0.5</v>
      </c>
      <c r="DE124" s="641">
        <v>0.4</v>
      </c>
      <c r="DF124" s="641">
        <v>0.09</v>
      </c>
      <c r="DG124" s="641">
        <v>0.01</v>
      </c>
      <c r="DH124" s="641">
        <v>1</v>
      </c>
      <c r="DI124" s="214" t="s">
        <v>1190</v>
      </c>
    </row>
    <row r="125" spans="1:113" s="214" customFormat="1" x14ac:dyDescent="0.2">
      <c r="B125" s="609" t="s">
        <v>332</v>
      </c>
      <c r="C125" s="609" t="s">
        <v>331</v>
      </c>
      <c r="D125" s="239">
        <v>31287575</v>
      </c>
      <c r="E125" s="239">
        <v>25030060</v>
      </c>
      <c r="F125" s="239">
        <v>5631764</v>
      </c>
      <c r="G125" s="239">
        <v>625752</v>
      </c>
      <c r="H125" s="239">
        <v>62575151</v>
      </c>
      <c r="I125" s="239">
        <v>0</v>
      </c>
      <c r="J125" s="239">
        <v>0</v>
      </c>
      <c r="K125" s="239">
        <v>31287575</v>
      </c>
      <c r="L125" s="239">
        <v>287378</v>
      </c>
      <c r="M125" s="239">
        <v>287378</v>
      </c>
      <c r="N125" s="239">
        <v>0</v>
      </c>
      <c r="O125" s="239">
        <v>0</v>
      </c>
      <c r="P125" s="239">
        <v>0</v>
      </c>
      <c r="Q125" s="239">
        <v>0</v>
      </c>
      <c r="R125" s="239">
        <v>0</v>
      </c>
      <c r="S125" s="239">
        <v>0</v>
      </c>
      <c r="T125" s="239">
        <v>0</v>
      </c>
      <c r="U125" s="239">
        <v>0</v>
      </c>
      <c r="V125" s="239">
        <v>0</v>
      </c>
      <c r="W125" s="239">
        <v>922238</v>
      </c>
      <c r="X125" s="239">
        <v>737790</v>
      </c>
      <c r="Y125" s="239">
        <v>166003</v>
      </c>
      <c r="Z125" s="239">
        <v>18445</v>
      </c>
      <c r="AA125" s="239">
        <v>1844476</v>
      </c>
      <c r="AB125" s="239">
        <v>-906189</v>
      </c>
      <c r="AC125" s="239">
        <v>-724952</v>
      </c>
      <c r="AD125" s="239">
        <v>-163114</v>
      </c>
      <c r="AE125" s="239">
        <v>-18124</v>
      </c>
      <c r="AF125" s="239">
        <v>-1812379</v>
      </c>
      <c r="AG125" s="239">
        <v>-612827</v>
      </c>
      <c r="AH125" s="239">
        <v>-490263</v>
      </c>
      <c r="AI125" s="239">
        <v>-110309</v>
      </c>
      <c r="AJ125" s="239">
        <v>-12256</v>
      </c>
      <c r="AK125" s="239">
        <v>-1225655</v>
      </c>
      <c r="AL125" s="239">
        <v>227061</v>
      </c>
      <c r="AM125" s="239">
        <v>181649</v>
      </c>
      <c r="AN125" s="239">
        <v>40871</v>
      </c>
      <c r="AO125" s="239">
        <v>4541</v>
      </c>
      <c r="AP125" s="239">
        <v>454122</v>
      </c>
      <c r="AQ125" s="239">
        <v>-136735</v>
      </c>
      <c r="AR125" s="239">
        <v>-109388</v>
      </c>
      <c r="AS125" s="239">
        <v>-24612</v>
      </c>
      <c r="AT125" s="239">
        <v>-2735</v>
      </c>
      <c r="AU125" s="239">
        <v>-273470</v>
      </c>
      <c r="AV125" s="239">
        <v>-522501</v>
      </c>
      <c r="AW125" s="239">
        <v>-418002</v>
      </c>
      <c r="AX125" s="239">
        <v>-94050</v>
      </c>
      <c r="AY125" s="239">
        <v>-10450</v>
      </c>
      <c r="AZ125" s="239">
        <v>-1045003</v>
      </c>
      <c r="BA125" s="239">
        <v>-2199556</v>
      </c>
      <c r="BB125" s="239">
        <v>-1759645</v>
      </c>
      <c r="BC125" s="239">
        <v>-395919</v>
      </c>
      <c r="BD125" s="239">
        <v>-43990</v>
      </c>
      <c r="BE125" s="239">
        <v>-4399110</v>
      </c>
      <c r="BF125" s="239">
        <v>1007922</v>
      </c>
      <c r="BG125" s="239">
        <v>806338</v>
      </c>
      <c r="BH125" s="239">
        <v>181426</v>
      </c>
      <c r="BI125" s="239">
        <v>20158</v>
      </c>
      <c r="BJ125" s="239">
        <v>2015844</v>
      </c>
      <c r="BK125" s="239">
        <v>-325431</v>
      </c>
      <c r="BL125" s="239">
        <v>-260344</v>
      </c>
      <c r="BM125" s="239">
        <v>-58577</v>
      </c>
      <c r="BN125" s="239">
        <v>-6509</v>
      </c>
      <c r="BO125" s="239">
        <v>-650861</v>
      </c>
      <c r="BP125" s="239">
        <v>-1517065</v>
      </c>
      <c r="BQ125" s="239">
        <v>-1213651</v>
      </c>
      <c r="BR125" s="239">
        <v>-273070</v>
      </c>
      <c r="BS125" s="239">
        <v>-30341</v>
      </c>
      <c r="BT125" s="239">
        <v>-3034127</v>
      </c>
      <c r="BU125" s="239">
        <v>-761842</v>
      </c>
      <c r="BV125" s="239">
        <v>-609474</v>
      </c>
      <c r="BW125" s="239">
        <v>-137132</v>
      </c>
      <c r="BX125" s="239">
        <v>-15237</v>
      </c>
      <c r="BY125" s="239">
        <v>-1523685</v>
      </c>
      <c r="BZ125" s="239">
        <v>-741500</v>
      </c>
      <c r="CA125" s="239">
        <v>-593200</v>
      </c>
      <c r="CB125" s="239">
        <v>-133470</v>
      </c>
      <c r="CC125" s="239">
        <v>-14830</v>
      </c>
      <c r="CD125" s="239">
        <v>-1483000</v>
      </c>
      <c r="CE125" s="239">
        <v>-20342</v>
      </c>
      <c r="CF125" s="239">
        <v>-16274</v>
      </c>
      <c r="CG125" s="239">
        <v>-3662</v>
      </c>
      <c r="CH125" s="239">
        <v>-407</v>
      </c>
      <c r="CI125" s="239">
        <v>-40685</v>
      </c>
      <c r="CJ125" s="239">
        <v>30939464</v>
      </c>
      <c r="CK125" s="239">
        <v>24751572</v>
      </c>
      <c r="CL125" s="239">
        <v>5569104</v>
      </c>
      <c r="CM125" s="239">
        <v>618789</v>
      </c>
      <c r="CN125" s="239">
        <v>61878929</v>
      </c>
      <c r="CO125" s="239">
        <v>31287575</v>
      </c>
      <c r="CP125" s="239">
        <v>25030060</v>
      </c>
      <c r="CQ125" s="239">
        <v>5631764</v>
      </c>
      <c r="CR125" s="239">
        <v>625752</v>
      </c>
      <c r="CS125" s="239">
        <v>62575151</v>
      </c>
      <c r="CT125" s="239">
        <v>348111</v>
      </c>
      <c r="CU125" s="239">
        <v>278488</v>
      </c>
      <c r="CV125" s="239">
        <v>62660</v>
      </c>
      <c r="CW125" s="239">
        <v>6963</v>
      </c>
      <c r="CX125" s="239">
        <v>696222</v>
      </c>
      <c r="CY125" s="239">
        <v>327769</v>
      </c>
      <c r="CZ125" s="239">
        <v>262214</v>
      </c>
      <c r="DA125" s="239">
        <v>58998</v>
      </c>
      <c r="DB125" s="239">
        <v>6556</v>
      </c>
      <c r="DC125" s="239">
        <v>655537</v>
      </c>
      <c r="DD125" s="641">
        <v>0.5</v>
      </c>
      <c r="DE125" s="641">
        <v>0.4</v>
      </c>
      <c r="DF125" s="641">
        <v>0.09</v>
      </c>
      <c r="DG125" s="641">
        <v>0.01</v>
      </c>
      <c r="DH125" s="641">
        <v>1</v>
      </c>
      <c r="DI125" s="214" t="s">
        <v>1190</v>
      </c>
    </row>
    <row r="126" spans="1:113" s="214" customFormat="1" x14ac:dyDescent="0.2">
      <c r="B126" s="609" t="s">
        <v>334</v>
      </c>
      <c r="C126" s="609" t="s">
        <v>333</v>
      </c>
      <c r="D126" s="239">
        <v>22839965</v>
      </c>
      <c r="E126" s="239">
        <v>13703979</v>
      </c>
      <c r="F126" s="239">
        <v>9135986</v>
      </c>
      <c r="G126" s="239">
        <v>0</v>
      </c>
      <c r="H126" s="239">
        <v>45679930</v>
      </c>
      <c r="I126" s="239">
        <v>0</v>
      </c>
      <c r="J126" s="239">
        <v>0</v>
      </c>
      <c r="K126" s="239">
        <v>22839965</v>
      </c>
      <c r="L126" s="239">
        <v>248795</v>
      </c>
      <c r="M126" s="239">
        <v>248795</v>
      </c>
      <c r="N126" s="239">
        <v>0</v>
      </c>
      <c r="O126" s="239">
        <v>0</v>
      </c>
      <c r="P126" s="239">
        <v>0</v>
      </c>
      <c r="Q126" s="239">
        <v>0</v>
      </c>
      <c r="R126" s="239">
        <v>0</v>
      </c>
      <c r="S126" s="239">
        <v>0</v>
      </c>
      <c r="T126" s="239">
        <v>0</v>
      </c>
      <c r="U126" s="239">
        <v>0</v>
      </c>
      <c r="V126" s="239">
        <v>0</v>
      </c>
      <c r="W126" s="239">
        <v>1293032</v>
      </c>
      <c r="X126" s="239">
        <v>775820</v>
      </c>
      <c r="Y126" s="239">
        <v>517213</v>
      </c>
      <c r="Z126" s="239">
        <v>0</v>
      </c>
      <c r="AA126" s="239">
        <v>2586065</v>
      </c>
      <c r="AB126" s="239">
        <v>-176541</v>
      </c>
      <c r="AC126" s="239">
        <v>-105925</v>
      </c>
      <c r="AD126" s="239">
        <v>-70617</v>
      </c>
      <c r="AE126" s="239">
        <v>0</v>
      </c>
      <c r="AF126" s="239">
        <v>-353083</v>
      </c>
      <c r="AG126" s="239">
        <v>-1351318</v>
      </c>
      <c r="AH126" s="239">
        <v>-810793</v>
      </c>
      <c r="AI126" s="239">
        <v>-540527</v>
      </c>
      <c r="AJ126" s="239">
        <v>0</v>
      </c>
      <c r="AK126" s="239">
        <v>-2702638</v>
      </c>
      <c r="AL126" s="239">
        <v>658849</v>
      </c>
      <c r="AM126" s="239">
        <v>395309</v>
      </c>
      <c r="AN126" s="239">
        <v>263540</v>
      </c>
      <c r="AO126" s="239">
        <v>0</v>
      </c>
      <c r="AP126" s="239">
        <v>1317698</v>
      </c>
      <c r="AQ126" s="239">
        <v>-195916</v>
      </c>
      <c r="AR126" s="239">
        <v>-117550</v>
      </c>
      <c r="AS126" s="239">
        <v>-78366</v>
      </c>
      <c r="AT126" s="239">
        <v>0</v>
      </c>
      <c r="AU126" s="239">
        <v>-391832</v>
      </c>
      <c r="AV126" s="239">
        <v>-888385</v>
      </c>
      <c r="AW126" s="239">
        <v>-533034</v>
      </c>
      <c r="AX126" s="239">
        <v>-355353</v>
      </c>
      <c r="AY126" s="239">
        <v>0</v>
      </c>
      <c r="AZ126" s="239">
        <v>-1776772</v>
      </c>
      <c r="BA126" s="239">
        <v>-700000</v>
      </c>
      <c r="BB126" s="239">
        <v>-420000</v>
      </c>
      <c r="BC126" s="239">
        <v>-280000</v>
      </c>
      <c r="BD126" s="239">
        <v>0</v>
      </c>
      <c r="BE126" s="239">
        <v>-1400000</v>
      </c>
      <c r="BF126" s="239">
        <v>1959500</v>
      </c>
      <c r="BG126" s="239">
        <v>1175700</v>
      </c>
      <c r="BH126" s="239">
        <v>783800</v>
      </c>
      <c r="BI126" s="239">
        <v>0</v>
      </c>
      <c r="BJ126" s="239">
        <v>3919000</v>
      </c>
      <c r="BK126" s="239">
        <v>-4359500</v>
      </c>
      <c r="BL126" s="239">
        <v>-2615700</v>
      </c>
      <c r="BM126" s="239">
        <v>-1743800</v>
      </c>
      <c r="BN126" s="239">
        <v>0</v>
      </c>
      <c r="BO126" s="239">
        <v>-8719000</v>
      </c>
      <c r="BP126" s="239">
        <v>-3100000</v>
      </c>
      <c r="BQ126" s="239">
        <v>-1860000</v>
      </c>
      <c r="BR126" s="239">
        <v>-1240000</v>
      </c>
      <c r="BS126" s="239">
        <v>0</v>
      </c>
      <c r="BT126" s="239">
        <v>-6200000</v>
      </c>
      <c r="BU126" s="239">
        <v>559560</v>
      </c>
      <c r="BV126" s="239">
        <v>335736</v>
      </c>
      <c r="BW126" s="239">
        <v>223824</v>
      </c>
      <c r="BX126" s="239">
        <v>0</v>
      </c>
      <c r="BY126" s="239">
        <v>1119120</v>
      </c>
      <c r="BZ126" s="239">
        <v>-1008078</v>
      </c>
      <c r="CA126" s="239">
        <v>-604847</v>
      </c>
      <c r="CB126" s="239">
        <v>-403231</v>
      </c>
      <c r="CC126" s="239">
        <v>0</v>
      </c>
      <c r="CD126" s="239">
        <v>-2016156</v>
      </c>
      <c r="CE126" s="239">
        <v>1567638</v>
      </c>
      <c r="CF126" s="239">
        <v>940583</v>
      </c>
      <c r="CG126" s="239">
        <v>627055</v>
      </c>
      <c r="CH126" s="239">
        <v>0</v>
      </c>
      <c r="CI126" s="239">
        <v>3135276</v>
      </c>
      <c r="CJ126" s="239">
        <v>21981461</v>
      </c>
      <c r="CK126" s="239">
        <v>13188877</v>
      </c>
      <c r="CL126" s="239">
        <v>8792585</v>
      </c>
      <c r="CM126" s="239">
        <v>0</v>
      </c>
      <c r="CN126" s="239">
        <v>43962923</v>
      </c>
      <c r="CO126" s="239">
        <v>22839965</v>
      </c>
      <c r="CP126" s="239">
        <v>13703979</v>
      </c>
      <c r="CQ126" s="239">
        <v>9135986</v>
      </c>
      <c r="CR126" s="239">
        <v>0</v>
      </c>
      <c r="CS126" s="239">
        <v>45679930</v>
      </c>
      <c r="CT126" s="239">
        <v>858504</v>
      </c>
      <c r="CU126" s="239">
        <v>515102</v>
      </c>
      <c r="CV126" s="239">
        <v>343401</v>
      </c>
      <c r="CW126" s="239">
        <v>0</v>
      </c>
      <c r="CX126" s="239">
        <v>1717007</v>
      </c>
      <c r="CY126" s="239">
        <v>2426142</v>
      </c>
      <c r="CZ126" s="239">
        <v>1455685</v>
      </c>
      <c r="DA126" s="239">
        <v>970456</v>
      </c>
      <c r="DB126" s="239">
        <v>0</v>
      </c>
      <c r="DC126" s="239">
        <v>4852283</v>
      </c>
      <c r="DD126" s="641">
        <v>0.5</v>
      </c>
      <c r="DE126" s="641">
        <v>0.3</v>
      </c>
      <c r="DF126" s="641">
        <v>0.2</v>
      </c>
      <c r="DG126" s="641">
        <v>0</v>
      </c>
      <c r="DH126" s="641">
        <v>1</v>
      </c>
      <c r="DI126" s="214" t="s">
        <v>1191</v>
      </c>
    </row>
    <row r="127" spans="1:113" s="214" customFormat="1" x14ac:dyDescent="0.2">
      <c r="B127" s="609" t="s">
        <v>336</v>
      </c>
      <c r="C127" s="609" t="s">
        <v>335</v>
      </c>
      <c r="D127" s="239">
        <v>14302056</v>
      </c>
      <c r="E127" s="239">
        <v>11441645</v>
      </c>
      <c r="F127" s="239">
        <v>2574370</v>
      </c>
      <c r="G127" s="239">
        <v>286041</v>
      </c>
      <c r="H127" s="239">
        <v>28604112</v>
      </c>
      <c r="I127" s="239">
        <v>0</v>
      </c>
      <c r="J127" s="239">
        <v>0</v>
      </c>
      <c r="K127" s="239">
        <v>14302056</v>
      </c>
      <c r="L127" s="239">
        <v>98299</v>
      </c>
      <c r="M127" s="239">
        <v>98299</v>
      </c>
      <c r="N127" s="239">
        <v>0</v>
      </c>
      <c r="O127" s="239">
        <v>0</v>
      </c>
      <c r="P127" s="239">
        <v>0</v>
      </c>
      <c r="Q127" s="239">
        <v>0</v>
      </c>
      <c r="R127" s="239">
        <v>0</v>
      </c>
      <c r="S127" s="239">
        <v>0</v>
      </c>
      <c r="T127" s="239">
        <v>0</v>
      </c>
      <c r="U127" s="239">
        <v>0</v>
      </c>
      <c r="V127" s="239">
        <v>0</v>
      </c>
      <c r="W127" s="239">
        <v>751162</v>
      </c>
      <c r="X127" s="239">
        <v>600930</v>
      </c>
      <c r="Y127" s="239">
        <v>135209</v>
      </c>
      <c r="Z127" s="239">
        <v>15023</v>
      </c>
      <c r="AA127" s="239">
        <v>1502324</v>
      </c>
      <c r="AB127" s="239">
        <v>-411472</v>
      </c>
      <c r="AC127" s="239">
        <v>-329178</v>
      </c>
      <c r="AD127" s="239">
        <v>-74065</v>
      </c>
      <c r="AE127" s="239">
        <v>-8229</v>
      </c>
      <c r="AF127" s="239">
        <v>-822944</v>
      </c>
      <c r="AG127" s="239">
        <v>-336637</v>
      </c>
      <c r="AH127" s="239">
        <v>-269309</v>
      </c>
      <c r="AI127" s="239">
        <v>-60595</v>
      </c>
      <c r="AJ127" s="239">
        <v>-6732</v>
      </c>
      <c r="AK127" s="239">
        <v>-673273</v>
      </c>
      <c r="AL127" s="239">
        <v>154387</v>
      </c>
      <c r="AM127" s="239">
        <v>123510</v>
      </c>
      <c r="AN127" s="239">
        <v>27790</v>
      </c>
      <c r="AO127" s="239">
        <v>3088</v>
      </c>
      <c r="AP127" s="239">
        <v>308775</v>
      </c>
      <c r="AQ127" s="239">
        <v>-53470</v>
      </c>
      <c r="AR127" s="239">
        <v>-42775</v>
      </c>
      <c r="AS127" s="239">
        <v>-9624</v>
      </c>
      <c r="AT127" s="239">
        <v>-1069</v>
      </c>
      <c r="AU127" s="239">
        <v>-106938</v>
      </c>
      <c r="AV127" s="239">
        <v>-235720</v>
      </c>
      <c r="AW127" s="239">
        <v>-188574</v>
      </c>
      <c r="AX127" s="239">
        <v>-42429</v>
      </c>
      <c r="AY127" s="239">
        <v>-4713</v>
      </c>
      <c r="AZ127" s="239">
        <v>-471436</v>
      </c>
      <c r="BA127" s="239">
        <v>-1102604.3</v>
      </c>
      <c r="BB127" s="239">
        <v>-882087</v>
      </c>
      <c r="BC127" s="239">
        <v>-198470</v>
      </c>
      <c r="BD127" s="239">
        <v>-22054</v>
      </c>
      <c r="BE127" s="239">
        <v>-2205215.2999999998</v>
      </c>
      <c r="BF127" s="239">
        <v>872793</v>
      </c>
      <c r="BG127" s="239">
        <v>698235</v>
      </c>
      <c r="BH127" s="239">
        <v>157103</v>
      </c>
      <c r="BI127" s="239">
        <v>17456</v>
      </c>
      <c r="BJ127" s="239">
        <v>1745587</v>
      </c>
      <c r="BK127" s="239">
        <v>-809731</v>
      </c>
      <c r="BL127" s="239">
        <v>-647786</v>
      </c>
      <c r="BM127" s="239">
        <v>-145752</v>
      </c>
      <c r="BN127" s="239">
        <v>-16195</v>
      </c>
      <c r="BO127" s="239">
        <v>-1619464</v>
      </c>
      <c r="BP127" s="239">
        <v>-1039542.3</v>
      </c>
      <c r="BQ127" s="239">
        <v>-831638</v>
      </c>
      <c r="BR127" s="239">
        <v>-187119</v>
      </c>
      <c r="BS127" s="239">
        <v>-20793</v>
      </c>
      <c r="BT127" s="239">
        <v>-2079092.2999999998</v>
      </c>
      <c r="BU127" s="239">
        <v>-1752809</v>
      </c>
      <c r="BV127" s="239">
        <v>-1402246</v>
      </c>
      <c r="BW127" s="239">
        <v>-315505</v>
      </c>
      <c r="BX127" s="239">
        <v>-35056</v>
      </c>
      <c r="BY127" s="239">
        <v>-3505616</v>
      </c>
      <c r="BZ127" s="239">
        <v>-348042</v>
      </c>
      <c r="CA127" s="239">
        <v>-278434</v>
      </c>
      <c r="CB127" s="239">
        <v>-62648</v>
      </c>
      <c r="CC127" s="239">
        <v>-6961</v>
      </c>
      <c r="CD127" s="239">
        <v>-696085</v>
      </c>
      <c r="CE127" s="239">
        <v>-1404767</v>
      </c>
      <c r="CF127" s="239">
        <v>-1123812</v>
      </c>
      <c r="CG127" s="239">
        <v>-252857</v>
      </c>
      <c r="CH127" s="239">
        <v>-28095</v>
      </c>
      <c r="CI127" s="239">
        <v>-2809531</v>
      </c>
      <c r="CJ127" s="239">
        <v>14890914</v>
      </c>
      <c r="CK127" s="239">
        <v>11912730</v>
      </c>
      <c r="CL127" s="239">
        <v>2680364</v>
      </c>
      <c r="CM127" s="239">
        <v>297818</v>
      </c>
      <c r="CN127" s="239">
        <v>29781826</v>
      </c>
      <c r="CO127" s="239">
        <v>14302056</v>
      </c>
      <c r="CP127" s="239">
        <v>11441645</v>
      </c>
      <c r="CQ127" s="239">
        <v>2574370</v>
      </c>
      <c r="CR127" s="239">
        <v>286041</v>
      </c>
      <c r="CS127" s="239">
        <v>28604112</v>
      </c>
      <c r="CT127" s="239">
        <v>-588858</v>
      </c>
      <c r="CU127" s="239">
        <v>-471085</v>
      </c>
      <c r="CV127" s="239">
        <v>-105994</v>
      </c>
      <c r="CW127" s="239">
        <v>-11777</v>
      </c>
      <c r="CX127" s="239">
        <v>-1177714</v>
      </c>
      <c r="CY127" s="239">
        <v>-1993625</v>
      </c>
      <c r="CZ127" s="239">
        <v>-1594897</v>
      </c>
      <c r="DA127" s="239">
        <v>-358851</v>
      </c>
      <c r="DB127" s="239">
        <v>-39872</v>
      </c>
      <c r="DC127" s="239">
        <v>-3987245</v>
      </c>
      <c r="DD127" s="641">
        <v>0.5</v>
      </c>
      <c r="DE127" s="641">
        <v>0.4</v>
      </c>
      <c r="DF127" s="641">
        <v>0.09</v>
      </c>
      <c r="DG127" s="641">
        <v>0.01</v>
      </c>
      <c r="DH127" s="641">
        <v>1</v>
      </c>
      <c r="DI127" s="214" t="s">
        <v>1190</v>
      </c>
    </row>
    <row r="128" spans="1:113" s="214" customFormat="1" x14ac:dyDescent="0.2">
      <c r="B128" s="609" t="s">
        <v>338</v>
      </c>
      <c r="C128" s="609" t="s">
        <v>337</v>
      </c>
      <c r="D128" s="239">
        <v>17211810</v>
      </c>
      <c r="E128" s="239">
        <v>16867573</v>
      </c>
      <c r="F128" s="239">
        <v>0</v>
      </c>
      <c r="G128" s="239">
        <v>344236</v>
      </c>
      <c r="H128" s="239">
        <v>34423619</v>
      </c>
      <c r="I128" s="239">
        <v>131354.67355371901</v>
      </c>
      <c r="J128" s="239">
        <v>131354.67355371901</v>
      </c>
      <c r="K128" s="239">
        <v>17080455.32644628</v>
      </c>
      <c r="L128" s="239">
        <v>118845</v>
      </c>
      <c r="M128" s="239">
        <v>118845</v>
      </c>
      <c r="N128" s="239">
        <v>0</v>
      </c>
      <c r="O128" s="239">
        <v>0</v>
      </c>
      <c r="P128" s="239">
        <v>0</v>
      </c>
      <c r="Q128" s="239">
        <v>0</v>
      </c>
      <c r="R128" s="239">
        <v>0</v>
      </c>
      <c r="S128" s="239">
        <v>131354.67355371901</v>
      </c>
      <c r="T128" s="239">
        <v>0</v>
      </c>
      <c r="U128" s="239">
        <v>0</v>
      </c>
      <c r="V128" s="239">
        <v>131354.67355371901</v>
      </c>
      <c r="W128" s="239">
        <v>955835</v>
      </c>
      <c r="X128" s="239">
        <v>936719</v>
      </c>
      <c r="Y128" s="239">
        <v>0</v>
      </c>
      <c r="Z128" s="239">
        <v>19117</v>
      </c>
      <c r="AA128" s="239">
        <v>1911671</v>
      </c>
      <c r="AB128" s="239">
        <v>-735642</v>
      </c>
      <c r="AC128" s="239">
        <v>-720930</v>
      </c>
      <c r="AD128" s="239">
        <v>0</v>
      </c>
      <c r="AE128" s="239">
        <v>-14713</v>
      </c>
      <c r="AF128" s="239">
        <v>-1471285</v>
      </c>
      <c r="AG128" s="239">
        <v>-562583</v>
      </c>
      <c r="AH128" s="239">
        <v>-551332</v>
      </c>
      <c r="AI128" s="239">
        <v>0</v>
      </c>
      <c r="AJ128" s="239">
        <v>-11252</v>
      </c>
      <c r="AK128" s="239">
        <v>-1125167</v>
      </c>
      <c r="AL128" s="239">
        <v>275802</v>
      </c>
      <c r="AM128" s="239">
        <v>270286</v>
      </c>
      <c r="AN128" s="239">
        <v>0</v>
      </c>
      <c r="AO128" s="239">
        <v>5516</v>
      </c>
      <c r="AP128" s="239">
        <v>551604</v>
      </c>
      <c r="AQ128" s="239">
        <v>-189955</v>
      </c>
      <c r="AR128" s="239">
        <v>-186155</v>
      </c>
      <c r="AS128" s="239">
        <v>0</v>
      </c>
      <c r="AT128" s="239">
        <v>-3799</v>
      </c>
      <c r="AU128" s="239">
        <v>-379909</v>
      </c>
      <c r="AV128" s="239">
        <v>-476736</v>
      </c>
      <c r="AW128" s="239">
        <v>-467201</v>
      </c>
      <c r="AX128" s="239">
        <v>0</v>
      </c>
      <c r="AY128" s="239">
        <v>-9535</v>
      </c>
      <c r="AZ128" s="239">
        <v>-953472</v>
      </c>
      <c r="BA128" s="239">
        <v>-2371789</v>
      </c>
      <c r="BB128" s="239">
        <v>-2324356</v>
      </c>
      <c r="BC128" s="239">
        <v>0</v>
      </c>
      <c r="BD128" s="239">
        <v>-47436</v>
      </c>
      <c r="BE128" s="239">
        <v>-4743581</v>
      </c>
      <c r="BF128" s="239">
        <v>968560</v>
      </c>
      <c r="BG128" s="239">
        <v>949189</v>
      </c>
      <c r="BH128" s="239">
        <v>0</v>
      </c>
      <c r="BI128" s="239">
        <v>19371</v>
      </c>
      <c r="BJ128" s="239">
        <v>1937120</v>
      </c>
      <c r="BK128" s="239">
        <v>332922</v>
      </c>
      <c r="BL128" s="239">
        <v>326264</v>
      </c>
      <c r="BM128" s="239">
        <v>0</v>
      </c>
      <c r="BN128" s="239">
        <v>6658</v>
      </c>
      <c r="BO128" s="239">
        <v>665844</v>
      </c>
      <c r="BP128" s="239">
        <v>-1070307</v>
      </c>
      <c r="BQ128" s="239">
        <v>-1048903</v>
      </c>
      <c r="BR128" s="239">
        <v>0</v>
      </c>
      <c r="BS128" s="239">
        <v>-21407</v>
      </c>
      <c r="BT128" s="239">
        <v>-2140617</v>
      </c>
      <c r="BU128" s="239">
        <v>-23229376</v>
      </c>
      <c r="BV128" s="239">
        <v>-22764788</v>
      </c>
      <c r="BW128" s="239">
        <v>0</v>
      </c>
      <c r="BX128" s="239">
        <v>-464588</v>
      </c>
      <c r="BY128" s="239">
        <v>-46458752</v>
      </c>
      <c r="BZ128" s="239">
        <v>-20919464</v>
      </c>
      <c r="CA128" s="239">
        <v>-20501075</v>
      </c>
      <c r="CB128" s="239">
        <v>0</v>
      </c>
      <c r="CC128" s="239">
        <v>-418389</v>
      </c>
      <c r="CD128" s="239">
        <v>-41838928</v>
      </c>
      <c r="CE128" s="239">
        <v>-2309912</v>
      </c>
      <c r="CF128" s="239">
        <v>-2263713</v>
      </c>
      <c r="CG128" s="239">
        <v>0</v>
      </c>
      <c r="CH128" s="239">
        <v>-46199</v>
      </c>
      <c r="CI128" s="239">
        <v>-4619824</v>
      </c>
      <c r="CJ128" s="239">
        <v>16197033</v>
      </c>
      <c r="CK128" s="239">
        <v>15873092</v>
      </c>
      <c r="CL128" s="239">
        <v>0</v>
      </c>
      <c r="CM128" s="239">
        <v>323941</v>
      </c>
      <c r="CN128" s="239">
        <v>32394066</v>
      </c>
      <c r="CO128" s="239">
        <v>17211810</v>
      </c>
      <c r="CP128" s="239">
        <v>16867573</v>
      </c>
      <c r="CQ128" s="239">
        <v>0</v>
      </c>
      <c r="CR128" s="239">
        <v>344236</v>
      </c>
      <c r="CS128" s="239">
        <v>34423619</v>
      </c>
      <c r="CT128" s="239">
        <v>1014777</v>
      </c>
      <c r="CU128" s="239">
        <v>994481</v>
      </c>
      <c r="CV128" s="239">
        <v>0</v>
      </c>
      <c r="CW128" s="239">
        <v>20295</v>
      </c>
      <c r="CX128" s="239">
        <v>2029553</v>
      </c>
      <c r="CY128" s="239">
        <v>-1295135</v>
      </c>
      <c r="CZ128" s="239">
        <v>-1269232</v>
      </c>
      <c r="DA128" s="239">
        <v>0</v>
      </c>
      <c r="DB128" s="239">
        <v>-25904</v>
      </c>
      <c r="DC128" s="239">
        <v>-2590271</v>
      </c>
      <c r="DD128" s="641">
        <v>0.5</v>
      </c>
      <c r="DE128" s="641">
        <v>0.49</v>
      </c>
      <c r="DF128" s="641">
        <v>0</v>
      </c>
      <c r="DG128" s="641">
        <v>0.01</v>
      </c>
      <c r="DH128" s="641">
        <v>1</v>
      </c>
      <c r="DI128" s="214" t="s">
        <v>747</v>
      </c>
    </row>
    <row r="129" spans="2:113" s="214" customFormat="1" x14ac:dyDescent="0.2">
      <c r="B129" s="609" t="s">
        <v>340</v>
      </c>
      <c r="C129" s="609" t="s">
        <v>339</v>
      </c>
      <c r="D129" s="239">
        <v>10422490</v>
      </c>
      <c r="E129" s="239">
        <v>8337992</v>
      </c>
      <c r="F129" s="239">
        <v>1876048</v>
      </c>
      <c r="G129" s="239">
        <v>208450</v>
      </c>
      <c r="H129" s="239">
        <v>20844980</v>
      </c>
      <c r="I129" s="239">
        <v>0</v>
      </c>
      <c r="J129" s="239">
        <v>0</v>
      </c>
      <c r="K129" s="239">
        <v>10422490</v>
      </c>
      <c r="L129" s="239">
        <v>133943</v>
      </c>
      <c r="M129" s="239">
        <v>133943</v>
      </c>
      <c r="N129" s="239">
        <v>0</v>
      </c>
      <c r="O129" s="239">
        <v>0</v>
      </c>
      <c r="P129" s="239">
        <v>0</v>
      </c>
      <c r="Q129" s="239">
        <v>0</v>
      </c>
      <c r="R129" s="239">
        <v>0</v>
      </c>
      <c r="S129" s="239">
        <v>0</v>
      </c>
      <c r="T129" s="239">
        <v>0</v>
      </c>
      <c r="U129" s="239">
        <v>0</v>
      </c>
      <c r="V129" s="239">
        <v>0</v>
      </c>
      <c r="W129" s="239">
        <v>557189</v>
      </c>
      <c r="X129" s="239">
        <v>445752</v>
      </c>
      <c r="Y129" s="239">
        <v>100294</v>
      </c>
      <c r="Z129" s="239">
        <v>11144</v>
      </c>
      <c r="AA129" s="239">
        <v>1114379</v>
      </c>
      <c r="AB129" s="239">
        <v>-342278</v>
      </c>
      <c r="AC129" s="239">
        <v>-273822</v>
      </c>
      <c r="AD129" s="239">
        <v>-61610</v>
      </c>
      <c r="AE129" s="239">
        <v>-6846</v>
      </c>
      <c r="AF129" s="239">
        <v>-684556</v>
      </c>
      <c r="AG129" s="239">
        <v>-415599</v>
      </c>
      <c r="AH129" s="239">
        <v>-332481</v>
      </c>
      <c r="AI129" s="239">
        <v>-74809</v>
      </c>
      <c r="AJ129" s="239">
        <v>-8311</v>
      </c>
      <c r="AK129" s="239">
        <v>-831200</v>
      </c>
      <c r="AL129" s="239">
        <v>155447</v>
      </c>
      <c r="AM129" s="239">
        <v>124358</v>
      </c>
      <c r="AN129" s="239">
        <v>27980</v>
      </c>
      <c r="AO129" s="239">
        <v>3109</v>
      </c>
      <c r="AP129" s="239">
        <v>310894</v>
      </c>
      <c r="AQ129" s="239">
        <v>-135081</v>
      </c>
      <c r="AR129" s="239">
        <v>-108066</v>
      </c>
      <c r="AS129" s="239">
        <v>-24315</v>
      </c>
      <c r="AT129" s="239">
        <v>-2702</v>
      </c>
      <c r="AU129" s="239">
        <v>-270164</v>
      </c>
      <c r="AV129" s="239">
        <v>-395233</v>
      </c>
      <c r="AW129" s="239">
        <v>-316189</v>
      </c>
      <c r="AX129" s="239">
        <v>-71144</v>
      </c>
      <c r="AY129" s="239">
        <v>-7904</v>
      </c>
      <c r="AZ129" s="239">
        <v>-790470</v>
      </c>
      <c r="BA129" s="239">
        <v>-1625001</v>
      </c>
      <c r="BB129" s="239">
        <v>-1299999</v>
      </c>
      <c r="BC129" s="239">
        <v>-292500</v>
      </c>
      <c r="BD129" s="239">
        <v>-32500</v>
      </c>
      <c r="BE129" s="239">
        <v>-3250000</v>
      </c>
      <c r="BF129" s="239">
        <v>763664</v>
      </c>
      <c r="BG129" s="239">
        <v>610931</v>
      </c>
      <c r="BH129" s="239">
        <v>137459</v>
      </c>
      <c r="BI129" s="239">
        <v>15273</v>
      </c>
      <c r="BJ129" s="239">
        <v>1527327</v>
      </c>
      <c r="BK129" s="239">
        <v>-576164</v>
      </c>
      <c r="BL129" s="239">
        <v>-460931</v>
      </c>
      <c r="BM129" s="239">
        <v>-103709</v>
      </c>
      <c r="BN129" s="239">
        <v>-11523</v>
      </c>
      <c r="BO129" s="239">
        <v>-1152327</v>
      </c>
      <c r="BP129" s="239">
        <v>-1437501</v>
      </c>
      <c r="BQ129" s="239">
        <v>-1149999</v>
      </c>
      <c r="BR129" s="239">
        <v>-258750</v>
      </c>
      <c r="BS129" s="239">
        <v>-28750</v>
      </c>
      <c r="BT129" s="239">
        <v>-2875000</v>
      </c>
      <c r="BU129" s="239">
        <v>-927894</v>
      </c>
      <c r="BV129" s="239">
        <v>-742315</v>
      </c>
      <c r="BW129" s="239">
        <v>-167021</v>
      </c>
      <c r="BX129" s="239">
        <v>-18558</v>
      </c>
      <c r="BY129" s="239">
        <v>-1855788</v>
      </c>
      <c r="BZ129" s="239">
        <v>-798325</v>
      </c>
      <c r="CA129" s="239">
        <v>-638660</v>
      </c>
      <c r="CB129" s="239">
        <v>-143698</v>
      </c>
      <c r="CC129" s="239">
        <v>-15966</v>
      </c>
      <c r="CD129" s="239">
        <v>-1596649</v>
      </c>
      <c r="CE129" s="239">
        <v>-129569</v>
      </c>
      <c r="CF129" s="239">
        <v>-103655</v>
      </c>
      <c r="CG129" s="239">
        <v>-23323</v>
      </c>
      <c r="CH129" s="239">
        <v>-2592</v>
      </c>
      <c r="CI129" s="239">
        <v>-259139</v>
      </c>
      <c r="CJ129" s="239">
        <v>10683396</v>
      </c>
      <c r="CK129" s="239">
        <v>8546717</v>
      </c>
      <c r="CL129" s="239">
        <v>1923011</v>
      </c>
      <c r="CM129" s="239">
        <v>213668</v>
      </c>
      <c r="CN129" s="239">
        <v>21366792</v>
      </c>
      <c r="CO129" s="239">
        <v>10422490</v>
      </c>
      <c r="CP129" s="239">
        <v>8337992</v>
      </c>
      <c r="CQ129" s="239">
        <v>1876048</v>
      </c>
      <c r="CR129" s="239">
        <v>208450</v>
      </c>
      <c r="CS129" s="239">
        <v>20844980</v>
      </c>
      <c r="CT129" s="239">
        <v>-260906</v>
      </c>
      <c r="CU129" s="239">
        <v>-208725</v>
      </c>
      <c r="CV129" s="239">
        <v>-46963</v>
      </c>
      <c r="CW129" s="239">
        <v>-5218</v>
      </c>
      <c r="CX129" s="239">
        <v>-521812</v>
      </c>
      <c r="CY129" s="239">
        <v>-390475</v>
      </c>
      <c r="CZ129" s="239">
        <v>-312380</v>
      </c>
      <c r="DA129" s="239">
        <v>-70286</v>
      </c>
      <c r="DB129" s="239">
        <v>-7810</v>
      </c>
      <c r="DC129" s="239">
        <v>-780951</v>
      </c>
      <c r="DD129" s="641">
        <v>0.5</v>
      </c>
      <c r="DE129" s="641">
        <v>0.4</v>
      </c>
      <c r="DF129" s="641">
        <v>0.09</v>
      </c>
      <c r="DG129" s="641">
        <v>0.01</v>
      </c>
      <c r="DH129" s="641">
        <v>1</v>
      </c>
      <c r="DI129" s="214" t="s">
        <v>1190</v>
      </c>
    </row>
    <row r="130" spans="2:113" s="214" customFormat="1" x14ac:dyDescent="0.2">
      <c r="B130" s="609" t="s">
        <v>342</v>
      </c>
      <c r="C130" s="609" t="s">
        <v>341</v>
      </c>
      <c r="D130" s="239">
        <v>16723684</v>
      </c>
      <c r="E130" s="239">
        <v>13378948</v>
      </c>
      <c r="F130" s="239">
        <v>3010263</v>
      </c>
      <c r="G130" s="239">
        <v>334474</v>
      </c>
      <c r="H130" s="239">
        <v>33447369</v>
      </c>
      <c r="I130" s="239">
        <v>0</v>
      </c>
      <c r="J130" s="239">
        <v>0</v>
      </c>
      <c r="K130" s="239">
        <v>16723684</v>
      </c>
      <c r="L130" s="239">
        <v>140006</v>
      </c>
      <c r="M130" s="239">
        <v>140006</v>
      </c>
      <c r="N130" s="239">
        <v>0</v>
      </c>
      <c r="O130" s="239">
        <v>0</v>
      </c>
      <c r="P130" s="239">
        <v>0</v>
      </c>
      <c r="Q130" s="239">
        <v>0</v>
      </c>
      <c r="R130" s="239">
        <v>0</v>
      </c>
      <c r="S130" s="239">
        <v>0</v>
      </c>
      <c r="T130" s="239">
        <v>0</v>
      </c>
      <c r="U130" s="239">
        <v>0</v>
      </c>
      <c r="V130" s="239">
        <v>0</v>
      </c>
      <c r="W130" s="239">
        <v>315784</v>
      </c>
      <c r="X130" s="239">
        <v>252628</v>
      </c>
      <c r="Y130" s="239">
        <v>56841</v>
      </c>
      <c r="Z130" s="239">
        <v>6316</v>
      </c>
      <c r="AA130" s="239">
        <v>631569</v>
      </c>
      <c r="AB130" s="239">
        <v>-402826</v>
      </c>
      <c r="AC130" s="239">
        <v>-322261</v>
      </c>
      <c r="AD130" s="239">
        <v>-72509</v>
      </c>
      <c r="AE130" s="239">
        <v>-8057</v>
      </c>
      <c r="AF130" s="239">
        <v>-805653</v>
      </c>
      <c r="AG130" s="239">
        <v>-90036</v>
      </c>
      <c r="AH130" s="239">
        <v>-72029</v>
      </c>
      <c r="AI130" s="239">
        <v>-16206</v>
      </c>
      <c r="AJ130" s="239">
        <v>-1801</v>
      </c>
      <c r="AK130" s="239">
        <v>-180072</v>
      </c>
      <c r="AL130" s="239">
        <v>67280</v>
      </c>
      <c r="AM130" s="239">
        <v>53825</v>
      </c>
      <c r="AN130" s="239">
        <v>12111</v>
      </c>
      <c r="AO130" s="239">
        <v>1346</v>
      </c>
      <c r="AP130" s="239">
        <v>134562</v>
      </c>
      <c r="AQ130" s="239">
        <v>-55500</v>
      </c>
      <c r="AR130" s="239">
        <v>-44400</v>
      </c>
      <c r="AS130" s="239">
        <v>-9990</v>
      </c>
      <c r="AT130" s="239">
        <v>-1110</v>
      </c>
      <c r="AU130" s="239">
        <v>-111000</v>
      </c>
      <c r="AV130" s="239">
        <v>-78256</v>
      </c>
      <c r="AW130" s="239">
        <v>-62604</v>
      </c>
      <c r="AX130" s="239">
        <v>-14085</v>
      </c>
      <c r="AY130" s="239">
        <v>-1565</v>
      </c>
      <c r="AZ130" s="239">
        <v>-156510</v>
      </c>
      <c r="BA130" s="239">
        <v>-581075</v>
      </c>
      <c r="BB130" s="239">
        <v>-464858</v>
      </c>
      <c r="BC130" s="239">
        <v>-104593</v>
      </c>
      <c r="BD130" s="239">
        <v>-11621</v>
      </c>
      <c r="BE130" s="239">
        <v>-1162147</v>
      </c>
      <c r="BF130" s="239">
        <v>250000</v>
      </c>
      <c r="BG130" s="239">
        <v>200000</v>
      </c>
      <c r="BH130" s="239">
        <v>45000</v>
      </c>
      <c r="BI130" s="239">
        <v>5000</v>
      </c>
      <c r="BJ130" s="239">
        <v>500000</v>
      </c>
      <c r="BK130" s="239">
        <v>-500000</v>
      </c>
      <c r="BL130" s="239">
        <v>-400000</v>
      </c>
      <c r="BM130" s="239">
        <v>-90000</v>
      </c>
      <c r="BN130" s="239">
        <v>-10000</v>
      </c>
      <c r="BO130" s="239">
        <v>-1000000</v>
      </c>
      <c r="BP130" s="239">
        <v>-831075</v>
      </c>
      <c r="BQ130" s="239">
        <v>-664858</v>
      </c>
      <c r="BR130" s="239">
        <v>-149593</v>
      </c>
      <c r="BS130" s="239">
        <v>-16621</v>
      </c>
      <c r="BT130" s="239">
        <v>-1662147</v>
      </c>
      <c r="BU130" s="239">
        <v>38207</v>
      </c>
      <c r="BV130" s="239">
        <v>30565</v>
      </c>
      <c r="BW130" s="239">
        <v>6877</v>
      </c>
      <c r="BX130" s="239">
        <v>764</v>
      </c>
      <c r="BY130" s="239">
        <v>76413</v>
      </c>
      <c r="BZ130" s="239">
        <v>209212</v>
      </c>
      <c r="CA130" s="239">
        <v>167369</v>
      </c>
      <c r="CB130" s="239">
        <v>37658</v>
      </c>
      <c r="CC130" s="239">
        <v>4184</v>
      </c>
      <c r="CD130" s="239">
        <v>418423</v>
      </c>
      <c r="CE130" s="239">
        <v>-171005</v>
      </c>
      <c r="CF130" s="239">
        <v>-136804</v>
      </c>
      <c r="CG130" s="239">
        <v>-30781</v>
      </c>
      <c r="CH130" s="239">
        <v>-3420</v>
      </c>
      <c r="CI130" s="239">
        <v>-342010</v>
      </c>
      <c r="CJ130" s="239">
        <v>17374526</v>
      </c>
      <c r="CK130" s="239">
        <v>13899621</v>
      </c>
      <c r="CL130" s="239">
        <v>3127415</v>
      </c>
      <c r="CM130" s="239">
        <v>347491</v>
      </c>
      <c r="CN130" s="239">
        <v>34749053</v>
      </c>
      <c r="CO130" s="239">
        <v>16723684</v>
      </c>
      <c r="CP130" s="239">
        <v>13378948</v>
      </c>
      <c r="CQ130" s="239">
        <v>3010263</v>
      </c>
      <c r="CR130" s="239">
        <v>334474</v>
      </c>
      <c r="CS130" s="239">
        <v>33447369</v>
      </c>
      <c r="CT130" s="239">
        <v>-650842</v>
      </c>
      <c r="CU130" s="239">
        <v>-520673</v>
      </c>
      <c r="CV130" s="239">
        <v>-117152</v>
      </c>
      <c r="CW130" s="239">
        <v>-13017</v>
      </c>
      <c r="CX130" s="239">
        <v>-1301684</v>
      </c>
      <c r="CY130" s="239">
        <v>-821847</v>
      </c>
      <c r="CZ130" s="239">
        <v>-657477</v>
      </c>
      <c r="DA130" s="239">
        <v>-147933</v>
      </c>
      <c r="DB130" s="239">
        <v>-16437</v>
      </c>
      <c r="DC130" s="239">
        <v>-1643694</v>
      </c>
      <c r="DD130" s="641">
        <v>0.5</v>
      </c>
      <c r="DE130" s="641">
        <v>0.4</v>
      </c>
      <c r="DF130" s="641">
        <v>0.09</v>
      </c>
      <c r="DG130" s="641">
        <v>0.01</v>
      </c>
      <c r="DH130" s="641">
        <v>1</v>
      </c>
      <c r="DI130" s="214" t="s">
        <v>1190</v>
      </c>
    </row>
    <row r="131" spans="2:113" s="214" customFormat="1" x14ac:dyDescent="0.2">
      <c r="B131" s="609" t="s">
        <v>344</v>
      </c>
      <c r="C131" s="609" t="s">
        <v>343</v>
      </c>
      <c r="D131" s="239">
        <v>37549562</v>
      </c>
      <c r="E131" s="239">
        <v>22529738</v>
      </c>
      <c r="F131" s="239">
        <v>15019825</v>
      </c>
      <c r="G131" s="239">
        <v>0</v>
      </c>
      <c r="H131" s="239">
        <v>75099125</v>
      </c>
      <c r="I131" s="239">
        <v>0</v>
      </c>
      <c r="J131" s="239">
        <v>0</v>
      </c>
      <c r="K131" s="239">
        <v>37549562</v>
      </c>
      <c r="L131" s="239">
        <v>270688</v>
      </c>
      <c r="M131" s="239">
        <v>270688</v>
      </c>
      <c r="N131" s="239">
        <v>0</v>
      </c>
      <c r="O131" s="239">
        <v>0</v>
      </c>
      <c r="P131" s="239">
        <v>0</v>
      </c>
      <c r="Q131" s="239">
        <v>0</v>
      </c>
      <c r="R131" s="239">
        <v>0</v>
      </c>
      <c r="S131" s="239">
        <v>0</v>
      </c>
      <c r="T131" s="239">
        <v>0</v>
      </c>
      <c r="U131" s="239">
        <v>0</v>
      </c>
      <c r="V131" s="239">
        <v>0</v>
      </c>
      <c r="W131" s="239">
        <v>1149964</v>
      </c>
      <c r="X131" s="239">
        <v>689979</v>
      </c>
      <c r="Y131" s="239">
        <v>459986</v>
      </c>
      <c r="Z131" s="239">
        <v>0</v>
      </c>
      <c r="AA131" s="239">
        <v>2299929</v>
      </c>
      <c r="AB131" s="239">
        <v>-1855939</v>
      </c>
      <c r="AC131" s="239">
        <v>-1113563</v>
      </c>
      <c r="AD131" s="239">
        <v>-742375</v>
      </c>
      <c r="AE131" s="239">
        <v>0</v>
      </c>
      <c r="AF131" s="239">
        <v>-3711877</v>
      </c>
      <c r="AG131" s="239">
        <v>-1116175.3999999999</v>
      </c>
      <c r="AH131" s="239">
        <v>-669702</v>
      </c>
      <c r="AI131" s="239">
        <v>-446469</v>
      </c>
      <c r="AJ131" s="239">
        <v>0</v>
      </c>
      <c r="AK131" s="239">
        <v>-2232346.4</v>
      </c>
      <c r="AL131" s="239">
        <v>374743</v>
      </c>
      <c r="AM131" s="239">
        <v>224846</v>
      </c>
      <c r="AN131" s="239">
        <v>149897</v>
      </c>
      <c r="AO131" s="239">
        <v>0</v>
      </c>
      <c r="AP131" s="239">
        <v>749486</v>
      </c>
      <c r="AQ131" s="239">
        <v>-248671</v>
      </c>
      <c r="AR131" s="239">
        <v>-149202</v>
      </c>
      <c r="AS131" s="239">
        <v>-99468</v>
      </c>
      <c r="AT131" s="239">
        <v>0</v>
      </c>
      <c r="AU131" s="239">
        <v>-497341</v>
      </c>
      <c r="AV131" s="239">
        <v>-990103.39999999991</v>
      </c>
      <c r="AW131" s="239">
        <v>-594058</v>
      </c>
      <c r="AX131" s="239">
        <v>-396040</v>
      </c>
      <c r="AY131" s="239">
        <v>0</v>
      </c>
      <c r="AZ131" s="239">
        <v>-1980201.4</v>
      </c>
      <c r="BA131" s="239">
        <v>-3781253.4</v>
      </c>
      <c r="BB131" s="239">
        <v>-2268752</v>
      </c>
      <c r="BC131" s="239">
        <v>-1512502</v>
      </c>
      <c r="BD131" s="239">
        <v>0</v>
      </c>
      <c r="BE131" s="239">
        <v>-7562507.4000000004</v>
      </c>
      <c r="BF131" s="239">
        <v>141719</v>
      </c>
      <c r="BG131" s="239">
        <v>85032</v>
      </c>
      <c r="BH131" s="239">
        <v>56688</v>
      </c>
      <c r="BI131" s="239">
        <v>0</v>
      </c>
      <c r="BJ131" s="239">
        <v>283439</v>
      </c>
      <c r="BK131" s="239">
        <v>266633</v>
      </c>
      <c r="BL131" s="239">
        <v>159980</v>
      </c>
      <c r="BM131" s="239">
        <v>106653</v>
      </c>
      <c r="BN131" s="239">
        <v>0</v>
      </c>
      <c r="BO131" s="239">
        <v>533266</v>
      </c>
      <c r="BP131" s="239">
        <v>-3372901.4</v>
      </c>
      <c r="BQ131" s="239">
        <v>-2023740</v>
      </c>
      <c r="BR131" s="239">
        <v>-1349161</v>
      </c>
      <c r="BS131" s="239">
        <v>0</v>
      </c>
      <c r="BT131" s="239">
        <v>-6745802.4000000004</v>
      </c>
      <c r="BU131" s="239">
        <v>-3361382.8299999982</v>
      </c>
      <c r="BV131" s="239">
        <v>-2016829</v>
      </c>
      <c r="BW131" s="239">
        <v>-1344553</v>
      </c>
      <c r="BX131" s="239">
        <v>0</v>
      </c>
      <c r="BY131" s="239">
        <v>-6722764.8299999982</v>
      </c>
      <c r="BZ131" s="239">
        <v>-3105766</v>
      </c>
      <c r="CA131" s="239">
        <v>-1863460</v>
      </c>
      <c r="CB131" s="239">
        <v>-1242306</v>
      </c>
      <c r="CC131" s="239">
        <v>0</v>
      </c>
      <c r="CD131" s="239">
        <v>-6211532</v>
      </c>
      <c r="CE131" s="239">
        <v>-255616.82999999821</v>
      </c>
      <c r="CF131" s="239">
        <v>-153369</v>
      </c>
      <c r="CG131" s="239">
        <v>-102247</v>
      </c>
      <c r="CH131" s="239">
        <v>0</v>
      </c>
      <c r="CI131" s="239">
        <v>-511232.82999999821</v>
      </c>
      <c r="CJ131" s="239">
        <v>37521841</v>
      </c>
      <c r="CK131" s="239">
        <v>22513105</v>
      </c>
      <c r="CL131" s="239">
        <v>15008737</v>
      </c>
      <c r="CM131" s="239">
        <v>0</v>
      </c>
      <c r="CN131" s="239">
        <v>75043683</v>
      </c>
      <c r="CO131" s="239">
        <v>37549562</v>
      </c>
      <c r="CP131" s="239">
        <v>22529738</v>
      </c>
      <c r="CQ131" s="239">
        <v>15019825</v>
      </c>
      <c r="CR131" s="239">
        <v>0</v>
      </c>
      <c r="CS131" s="239">
        <v>75099125</v>
      </c>
      <c r="CT131" s="239">
        <v>27721</v>
      </c>
      <c r="CU131" s="239">
        <v>16633</v>
      </c>
      <c r="CV131" s="239">
        <v>11088</v>
      </c>
      <c r="CW131" s="239">
        <v>0</v>
      </c>
      <c r="CX131" s="239">
        <v>55442</v>
      </c>
      <c r="CY131" s="239">
        <v>-227895.82999999821</v>
      </c>
      <c r="CZ131" s="239">
        <v>-136736</v>
      </c>
      <c r="DA131" s="239">
        <v>-91159</v>
      </c>
      <c r="DB131" s="239">
        <v>0</v>
      </c>
      <c r="DC131" s="239">
        <v>-455790.82999999821</v>
      </c>
      <c r="DD131" s="641">
        <v>0.5</v>
      </c>
      <c r="DE131" s="641">
        <v>0.3</v>
      </c>
      <c r="DF131" s="641">
        <v>0.2</v>
      </c>
      <c r="DG131" s="641">
        <v>0</v>
      </c>
      <c r="DH131" s="641">
        <v>1</v>
      </c>
      <c r="DI131" s="214" t="s">
        <v>1191</v>
      </c>
    </row>
    <row r="132" spans="2:113" s="214" customFormat="1" x14ac:dyDescent="0.2">
      <c r="B132" s="609" t="s">
        <v>346</v>
      </c>
      <c r="C132" s="609" t="s">
        <v>345</v>
      </c>
      <c r="D132" s="239">
        <v>23797015</v>
      </c>
      <c r="E132" s="239">
        <v>23321074</v>
      </c>
      <c r="F132" s="239">
        <v>0</v>
      </c>
      <c r="G132" s="239">
        <v>475940</v>
      </c>
      <c r="H132" s="239">
        <v>47594029</v>
      </c>
      <c r="I132" s="239">
        <v>314689.40702479339</v>
      </c>
      <c r="J132" s="239">
        <v>314689.40702479339</v>
      </c>
      <c r="K132" s="239">
        <v>23482325.592975207</v>
      </c>
      <c r="L132" s="239">
        <v>304935</v>
      </c>
      <c r="M132" s="239">
        <v>304935</v>
      </c>
      <c r="N132" s="239">
        <v>66063</v>
      </c>
      <c r="O132" s="239">
        <v>66063</v>
      </c>
      <c r="P132" s="239">
        <v>100340</v>
      </c>
      <c r="Q132" s="239">
        <v>0</v>
      </c>
      <c r="R132" s="239">
        <v>100340</v>
      </c>
      <c r="S132" s="239">
        <v>314689.40702479339</v>
      </c>
      <c r="T132" s="239">
        <v>0</v>
      </c>
      <c r="U132" s="239">
        <v>0</v>
      </c>
      <c r="V132" s="239">
        <v>314689.40702479339</v>
      </c>
      <c r="W132" s="239">
        <v>760784</v>
      </c>
      <c r="X132" s="239">
        <v>745568</v>
      </c>
      <c r="Y132" s="239">
        <v>0</v>
      </c>
      <c r="Z132" s="239">
        <v>15216</v>
      </c>
      <c r="AA132" s="239">
        <v>1521568</v>
      </c>
      <c r="AB132" s="239">
        <v>-558558</v>
      </c>
      <c r="AC132" s="239">
        <v>-547386</v>
      </c>
      <c r="AD132" s="239">
        <v>0</v>
      </c>
      <c r="AE132" s="239">
        <v>-11171</v>
      </c>
      <c r="AF132" s="239">
        <v>-1117115</v>
      </c>
      <c r="AG132" s="239">
        <v>-228180.41999999998</v>
      </c>
      <c r="AH132" s="239">
        <v>-223615</v>
      </c>
      <c r="AI132" s="239">
        <v>0</v>
      </c>
      <c r="AJ132" s="239">
        <v>-4563</v>
      </c>
      <c r="AK132" s="239">
        <v>-456358.42000000004</v>
      </c>
      <c r="AL132" s="239">
        <v>76535</v>
      </c>
      <c r="AM132" s="239">
        <v>75005</v>
      </c>
      <c r="AN132" s="239">
        <v>0</v>
      </c>
      <c r="AO132" s="239">
        <v>1531</v>
      </c>
      <c r="AP132" s="239">
        <v>153071</v>
      </c>
      <c r="AQ132" s="239">
        <v>-122798</v>
      </c>
      <c r="AR132" s="239">
        <v>-120343</v>
      </c>
      <c r="AS132" s="239">
        <v>0</v>
      </c>
      <c r="AT132" s="239">
        <v>-2456</v>
      </c>
      <c r="AU132" s="239">
        <v>-245597</v>
      </c>
      <c r="AV132" s="239">
        <v>-274443.42</v>
      </c>
      <c r="AW132" s="239">
        <v>-268953</v>
      </c>
      <c r="AX132" s="239">
        <v>0</v>
      </c>
      <c r="AY132" s="239">
        <v>-5488</v>
      </c>
      <c r="AZ132" s="239">
        <v>-548884.42000000004</v>
      </c>
      <c r="BA132" s="239">
        <v>-3245770</v>
      </c>
      <c r="BB132" s="239">
        <v>-3180856</v>
      </c>
      <c r="BC132" s="239">
        <v>0</v>
      </c>
      <c r="BD132" s="239">
        <v>-64916</v>
      </c>
      <c r="BE132" s="239">
        <v>-6491542</v>
      </c>
      <c r="BF132" s="239">
        <v>479634</v>
      </c>
      <c r="BG132" s="239">
        <v>470042</v>
      </c>
      <c r="BH132" s="239">
        <v>0</v>
      </c>
      <c r="BI132" s="239">
        <v>9593</v>
      </c>
      <c r="BJ132" s="239">
        <v>959269</v>
      </c>
      <c r="BK132" s="239">
        <v>-803428</v>
      </c>
      <c r="BL132" s="239">
        <v>-787360</v>
      </c>
      <c r="BM132" s="239">
        <v>0</v>
      </c>
      <c r="BN132" s="239">
        <v>-16069</v>
      </c>
      <c r="BO132" s="239">
        <v>-1606857</v>
      </c>
      <c r="BP132" s="239">
        <v>-3569564</v>
      </c>
      <c r="BQ132" s="239">
        <v>-3498174</v>
      </c>
      <c r="BR132" s="239">
        <v>0</v>
      </c>
      <c r="BS132" s="239">
        <v>-71392</v>
      </c>
      <c r="BT132" s="239">
        <v>-7139130</v>
      </c>
      <c r="BU132" s="239">
        <v>-2363185</v>
      </c>
      <c r="BV132" s="239">
        <v>-2315922</v>
      </c>
      <c r="BW132" s="239">
        <v>0</v>
      </c>
      <c r="BX132" s="239">
        <v>-47264</v>
      </c>
      <c r="BY132" s="239">
        <v>-4726371</v>
      </c>
      <c r="BZ132" s="239">
        <v>-2577369</v>
      </c>
      <c r="CA132" s="239">
        <v>-2525822</v>
      </c>
      <c r="CB132" s="239">
        <v>0</v>
      </c>
      <c r="CC132" s="239">
        <v>-51547</v>
      </c>
      <c r="CD132" s="239">
        <v>-5154738</v>
      </c>
      <c r="CE132" s="239">
        <v>214184</v>
      </c>
      <c r="CF132" s="239">
        <v>209900</v>
      </c>
      <c r="CG132" s="239">
        <v>0</v>
      </c>
      <c r="CH132" s="239">
        <v>4283</v>
      </c>
      <c r="CI132" s="239">
        <v>428367</v>
      </c>
      <c r="CJ132" s="239">
        <v>23834946</v>
      </c>
      <c r="CK132" s="239">
        <v>23358248</v>
      </c>
      <c r="CL132" s="239">
        <v>0</v>
      </c>
      <c r="CM132" s="239">
        <v>476699</v>
      </c>
      <c r="CN132" s="239">
        <v>47669893</v>
      </c>
      <c r="CO132" s="239">
        <v>23797015</v>
      </c>
      <c r="CP132" s="239">
        <v>23321074</v>
      </c>
      <c r="CQ132" s="239">
        <v>0</v>
      </c>
      <c r="CR132" s="239">
        <v>475940</v>
      </c>
      <c r="CS132" s="239">
        <v>47594029</v>
      </c>
      <c r="CT132" s="239">
        <v>-37931</v>
      </c>
      <c r="CU132" s="239">
        <v>-37174</v>
      </c>
      <c r="CV132" s="239">
        <v>0</v>
      </c>
      <c r="CW132" s="239">
        <v>-759</v>
      </c>
      <c r="CX132" s="239">
        <v>-75864</v>
      </c>
      <c r="CY132" s="239">
        <v>176253</v>
      </c>
      <c r="CZ132" s="239">
        <v>172726</v>
      </c>
      <c r="DA132" s="239">
        <v>0</v>
      </c>
      <c r="DB132" s="239">
        <v>3524</v>
      </c>
      <c r="DC132" s="239">
        <v>352503</v>
      </c>
      <c r="DD132" s="641">
        <v>0.5</v>
      </c>
      <c r="DE132" s="641">
        <v>0.49</v>
      </c>
      <c r="DF132" s="641">
        <v>0</v>
      </c>
      <c r="DG132" s="641">
        <v>0.01</v>
      </c>
      <c r="DH132" s="641">
        <v>1</v>
      </c>
      <c r="DI132" s="214" t="s">
        <v>747</v>
      </c>
    </row>
    <row r="133" spans="2:113" s="214" customFormat="1" x14ac:dyDescent="0.2">
      <c r="B133" s="609" t="s">
        <v>348</v>
      </c>
      <c r="C133" s="609" t="s">
        <v>347</v>
      </c>
      <c r="D133" s="239">
        <v>24662641</v>
      </c>
      <c r="E133" s="239">
        <v>19730113</v>
      </c>
      <c r="F133" s="239">
        <v>4932528</v>
      </c>
      <c r="G133" s="239">
        <v>0</v>
      </c>
      <c r="H133" s="239">
        <v>49325282</v>
      </c>
      <c r="I133" s="239">
        <v>0</v>
      </c>
      <c r="J133" s="239">
        <v>0</v>
      </c>
      <c r="K133" s="239">
        <v>24662641</v>
      </c>
      <c r="L133" s="239">
        <v>152119</v>
      </c>
      <c r="M133" s="239">
        <v>152119</v>
      </c>
      <c r="N133" s="239">
        <v>0</v>
      </c>
      <c r="O133" s="239">
        <v>0</v>
      </c>
      <c r="P133" s="239">
        <v>0</v>
      </c>
      <c r="Q133" s="239">
        <v>0</v>
      </c>
      <c r="R133" s="239">
        <v>0</v>
      </c>
      <c r="S133" s="239">
        <v>0</v>
      </c>
      <c r="T133" s="239">
        <v>0</v>
      </c>
      <c r="U133" s="239">
        <v>0</v>
      </c>
      <c r="V133" s="239">
        <v>0</v>
      </c>
      <c r="W133" s="239">
        <v>431668</v>
      </c>
      <c r="X133" s="239">
        <v>345334</v>
      </c>
      <c r="Y133" s="239">
        <v>86334</v>
      </c>
      <c r="Z133" s="239">
        <v>0</v>
      </c>
      <c r="AA133" s="239">
        <v>863336</v>
      </c>
      <c r="AB133" s="239">
        <v>-1195984</v>
      </c>
      <c r="AC133" s="239">
        <v>-956787</v>
      </c>
      <c r="AD133" s="239">
        <v>-239197</v>
      </c>
      <c r="AE133" s="239">
        <v>0</v>
      </c>
      <c r="AF133" s="239">
        <v>-2391968</v>
      </c>
      <c r="AG133" s="239">
        <v>-181175.35</v>
      </c>
      <c r="AH133" s="239">
        <v>-144940</v>
      </c>
      <c r="AI133" s="239">
        <v>-36235</v>
      </c>
      <c r="AJ133" s="239">
        <v>0</v>
      </c>
      <c r="AK133" s="239">
        <v>-362350.35</v>
      </c>
      <c r="AL133" s="239">
        <v>27046</v>
      </c>
      <c r="AM133" s="239">
        <v>21637</v>
      </c>
      <c r="AN133" s="239">
        <v>5409</v>
      </c>
      <c r="AO133" s="239">
        <v>0</v>
      </c>
      <c r="AP133" s="239">
        <v>54092</v>
      </c>
      <c r="AQ133" s="239">
        <v>14527</v>
      </c>
      <c r="AR133" s="239">
        <v>11622</v>
      </c>
      <c r="AS133" s="239">
        <v>2905</v>
      </c>
      <c r="AT133" s="239">
        <v>0</v>
      </c>
      <c r="AU133" s="239">
        <v>29054</v>
      </c>
      <c r="AV133" s="239">
        <v>-139602.35</v>
      </c>
      <c r="AW133" s="239">
        <v>-111681</v>
      </c>
      <c r="AX133" s="239">
        <v>-27921</v>
      </c>
      <c r="AY133" s="239">
        <v>0</v>
      </c>
      <c r="AZ133" s="239">
        <v>-279204.34999999998</v>
      </c>
      <c r="BA133" s="239">
        <v>-2918608</v>
      </c>
      <c r="BB133" s="239">
        <v>-2334886</v>
      </c>
      <c r="BC133" s="239">
        <v>-583720</v>
      </c>
      <c r="BD133" s="239">
        <v>0</v>
      </c>
      <c r="BE133" s="239">
        <v>-5837214</v>
      </c>
      <c r="BF133" s="239">
        <v>779927</v>
      </c>
      <c r="BG133" s="239">
        <v>623942</v>
      </c>
      <c r="BH133" s="239">
        <v>155986</v>
      </c>
      <c r="BI133" s="239">
        <v>0</v>
      </c>
      <c r="BJ133" s="239">
        <v>1559855</v>
      </c>
      <c r="BK133" s="239">
        <v>636761</v>
      </c>
      <c r="BL133" s="239">
        <v>509409</v>
      </c>
      <c r="BM133" s="239">
        <v>127352</v>
      </c>
      <c r="BN133" s="239">
        <v>0</v>
      </c>
      <c r="BO133" s="239">
        <v>1273522</v>
      </c>
      <c r="BP133" s="239">
        <v>-1501920</v>
      </c>
      <c r="BQ133" s="239">
        <v>-1201535</v>
      </c>
      <c r="BR133" s="239">
        <v>-300382</v>
      </c>
      <c r="BS133" s="239">
        <v>0</v>
      </c>
      <c r="BT133" s="239">
        <v>-3003837</v>
      </c>
      <c r="BU133" s="239">
        <v>-2658</v>
      </c>
      <c r="BV133" s="239">
        <v>-2127</v>
      </c>
      <c r="BW133" s="239">
        <v>-532</v>
      </c>
      <c r="BX133" s="239">
        <v>0</v>
      </c>
      <c r="BY133" s="239">
        <v>-5317</v>
      </c>
      <c r="BZ133" s="239">
        <v>98007</v>
      </c>
      <c r="CA133" s="239">
        <v>78406</v>
      </c>
      <c r="CB133" s="239">
        <v>19601</v>
      </c>
      <c r="CC133" s="239">
        <v>0</v>
      </c>
      <c r="CD133" s="239">
        <v>196014</v>
      </c>
      <c r="CE133" s="239">
        <v>-100665</v>
      </c>
      <c r="CF133" s="239">
        <v>-80533</v>
      </c>
      <c r="CG133" s="239">
        <v>-20133</v>
      </c>
      <c r="CH133" s="239">
        <v>0</v>
      </c>
      <c r="CI133" s="239">
        <v>-201331</v>
      </c>
      <c r="CJ133" s="239">
        <v>23551999</v>
      </c>
      <c r="CK133" s="239">
        <v>18841600</v>
      </c>
      <c r="CL133" s="239">
        <v>4710400</v>
      </c>
      <c r="CM133" s="239">
        <v>0</v>
      </c>
      <c r="CN133" s="239">
        <v>47103999</v>
      </c>
      <c r="CO133" s="239">
        <v>24662641</v>
      </c>
      <c r="CP133" s="239">
        <v>19730113</v>
      </c>
      <c r="CQ133" s="239">
        <v>4932528</v>
      </c>
      <c r="CR133" s="239">
        <v>0</v>
      </c>
      <c r="CS133" s="239">
        <v>49325282</v>
      </c>
      <c r="CT133" s="239">
        <v>1110642</v>
      </c>
      <c r="CU133" s="239">
        <v>888513</v>
      </c>
      <c r="CV133" s="239">
        <v>222128</v>
      </c>
      <c r="CW133" s="239">
        <v>0</v>
      </c>
      <c r="CX133" s="239">
        <v>2221283</v>
      </c>
      <c r="CY133" s="239">
        <v>1009977</v>
      </c>
      <c r="CZ133" s="239">
        <v>807980</v>
      </c>
      <c r="DA133" s="239">
        <v>201995</v>
      </c>
      <c r="DB133" s="239">
        <v>0</v>
      </c>
      <c r="DC133" s="239">
        <v>2019952</v>
      </c>
      <c r="DD133" s="641">
        <v>0.5</v>
      </c>
      <c r="DE133" s="641">
        <v>0.4</v>
      </c>
      <c r="DF133" s="641">
        <v>0.1</v>
      </c>
      <c r="DG133" s="641">
        <v>0</v>
      </c>
      <c r="DH133" s="641">
        <v>1</v>
      </c>
      <c r="DI133" s="214" t="s">
        <v>1190</v>
      </c>
    </row>
    <row r="134" spans="2:113" s="214" customFormat="1" x14ac:dyDescent="0.2">
      <c r="B134" s="609" t="s">
        <v>350</v>
      </c>
      <c r="C134" s="609" t="s">
        <v>349</v>
      </c>
      <c r="D134" s="239">
        <v>12386908</v>
      </c>
      <c r="E134" s="239">
        <v>9909526</v>
      </c>
      <c r="F134" s="239">
        <v>2229643</v>
      </c>
      <c r="G134" s="239">
        <v>247738</v>
      </c>
      <c r="H134" s="239">
        <v>24773815</v>
      </c>
      <c r="I134" s="239">
        <v>0</v>
      </c>
      <c r="J134" s="239">
        <v>0</v>
      </c>
      <c r="K134" s="239">
        <v>12386908</v>
      </c>
      <c r="L134" s="239">
        <v>135432</v>
      </c>
      <c r="M134" s="239">
        <v>135432</v>
      </c>
      <c r="N134" s="239">
        <v>0</v>
      </c>
      <c r="O134" s="239">
        <v>0</v>
      </c>
      <c r="P134" s="239">
        <v>0</v>
      </c>
      <c r="Q134" s="239">
        <v>0</v>
      </c>
      <c r="R134" s="239">
        <v>0</v>
      </c>
      <c r="S134" s="239">
        <v>0</v>
      </c>
      <c r="T134" s="239">
        <v>0</v>
      </c>
      <c r="U134" s="239">
        <v>0</v>
      </c>
      <c r="V134" s="239">
        <v>0</v>
      </c>
      <c r="W134" s="239">
        <v>570475</v>
      </c>
      <c r="X134" s="239">
        <v>456380</v>
      </c>
      <c r="Y134" s="239">
        <v>102685</v>
      </c>
      <c r="Z134" s="239">
        <v>11409</v>
      </c>
      <c r="AA134" s="239">
        <v>1140949</v>
      </c>
      <c r="AB134" s="239">
        <v>-244859</v>
      </c>
      <c r="AC134" s="239">
        <v>-195887</v>
      </c>
      <c r="AD134" s="239">
        <v>-44075</v>
      </c>
      <c r="AE134" s="239">
        <v>-4897</v>
      </c>
      <c r="AF134" s="239">
        <v>-489718</v>
      </c>
      <c r="AG134" s="239">
        <v>-323757</v>
      </c>
      <c r="AH134" s="239">
        <v>-259007</v>
      </c>
      <c r="AI134" s="239">
        <v>-58277</v>
      </c>
      <c r="AJ134" s="239">
        <v>-6476</v>
      </c>
      <c r="AK134" s="239">
        <v>-647517</v>
      </c>
      <c r="AL134" s="239">
        <v>3806</v>
      </c>
      <c r="AM134" s="239">
        <v>3044</v>
      </c>
      <c r="AN134" s="239">
        <v>685</v>
      </c>
      <c r="AO134" s="239">
        <v>76</v>
      </c>
      <c r="AP134" s="239">
        <v>7611</v>
      </c>
      <c r="AQ134" s="239">
        <v>-40904</v>
      </c>
      <c r="AR134" s="239">
        <v>-32724</v>
      </c>
      <c r="AS134" s="239">
        <v>-7363</v>
      </c>
      <c r="AT134" s="239">
        <v>-818</v>
      </c>
      <c r="AU134" s="239">
        <v>-81809</v>
      </c>
      <c r="AV134" s="239">
        <v>-360855</v>
      </c>
      <c r="AW134" s="239">
        <v>-288687</v>
      </c>
      <c r="AX134" s="239">
        <v>-64955</v>
      </c>
      <c r="AY134" s="239">
        <v>-7218</v>
      </c>
      <c r="AZ134" s="239">
        <v>-721715</v>
      </c>
      <c r="BA134" s="239">
        <v>-678355</v>
      </c>
      <c r="BB134" s="239">
        <v>-542684</v>
      </c>
      <c r="BC134" s="239">
        <v>-122104</v>
      </c>
      <c r="BD134" s="239">
        <v>-13568</v>
      </c>
      <c r="BE134" s="239">
        <v>-1356711</v>
      </c>
      <c r="BF134" s="239">
        <v>84641</v>
      </c>
      <c r="BG134" s="239">
        <v>67712</v>
      </c>
      <c r="BH134" s="239">
        <v>15235</v>
      </c>
      <c r="BI134" s="239">
        <v>1693</v>
      </c>
      <c r="BJ134" s="239">
        <v>169281</v>
      </c>
      <c r="BK134" s="239">
        <v>-32481</v>
      </c>
      <c r="BL134" s="239">
        <v>-25985</v>
      </c>
      <c r="BM134" s="239">
        <v>-5847</v>
      </c>
      <c r="BN134" s="239">
        <v>-650</v>
      </c>
      <c r="BO134" s="239">
        <v>-64963</v>
      </c>
      <c r="BP134" s="239">
        <v>-626195</v>
      </c>
      <c r="BQ134" s="239">
        <v>-500957</v>
      </c>
      <c r="BR134" s="239">
        <v>-112716</v>
      </c>
      <c r="BS134" s="239">
        <v>-12525</v>
      </c>
      <c r="BT134" s="239">
        <v>-1252393</v>
      </c>
      <c r="BU134" s="239">
        <v>-875153</v>
      </c>
      <c r="BV134" s="239">
        <v>-700122</v>
      </c>
      <c r="BW134" s="239">
        <v>-157527</v>
      </c>
      <c r="BX134" s="239">
        <v>-17503</v>
      </c>
      <c r="BY134" s="239">
        <v>-1750305</v>
      </c>
      <c r="BZ134" s="239">
        <v>-733469</v>
      </c>
      <c r="CA134" s="239">
        <v>-586775</v>
      </c>
      <c r="CB134" s="239">
        <v>-132024</v>
      </c>
      <c r="CC134" s="239">
        <v>-14669</v>
      </c>
      <c r="CD134" s="239">
        <v>-1466937</v>
      </c>
      <c r="CE134" s="239">
        <v>-141684</v>
      </c>
      <c r="CF134" s="239">
        <v>-113347</v>
      </c>
      <c r="CG134" s="239">
        <v>-25503</v>
      </c>
      <c r="CH134" s="239">
        <v>-2834</v>
      </c>
      <c r="CI134" s="239">
        <v>-283368</v>
      </c>
      <c r="CJ134" s="239">
        <v>12179243</v>
      </c>
      <c r="CK134" s="239">
        <v>9743394</v>
      </c>
      <c r="CL134" s="239">
        <v>2192264</v>
      </c>
      <c r="CM134" s="239">
        <v>243585</v>
      </c>
      <c r="CN134" s="239">
        <v>24358486</v>
      </c>
      <c r="CO134" s="239">
        <v>12386908</v>
      </c>
      <c r="CP134" s="239">
        <v>9909526</v>
      </c>
      <c r="CQ134" s="239">
        <v>2229643</v>
      </c>
      <c r="CR134" s="239">
        <v>247738</v>
      </c>
      <c r="CS134" s="239">
        <v>24773815</v>
      </c>
      <c r="CT134" s="239">
        <v>207665</v>
      </c>
      <c r="CU134" s="239">
        <v>166132</v>
      </c>
      <c r="CV134" s="239">
        <v>37379</v>
      </c>
      <c r="CW134" s="239">
        <v>4153</v>
      </c>
      <c r="CX134" s="239">
        <v>415329</v>
      </c>
      <c r="CY134" s="239">
        <v>65981</v>
      </c>
      <c r="CZ134" s="239">
        <v>52785</v>
      </c>
      <c r="DA134" s="239">
        <v>11876</v>
      </c>
      <c r="DB134" s="239">
        <v>1319</v>
      </c>
      <c r="DC134" s="239">
        <v>131961</v>
      </c>
      <c r="DD134" s="641">
        <v>0.5</v>
      </c>
      <c r="DE134" s="641">
        <v>0.4</v>
      </c>
      <c r="DF134" s="641">
        <v>0.09</v>
      </c>
      <c r="DG134" s="641">
        <v>0.01</v>
      </c>
      <c r="DH134" s="641">
        <v>1</v>
      </c>
      <c r="DI134" s="214" t="s">
        <v>1190</v>
      </c>
    </row>
    <row r="135" spans="2:113" s="214" customFormat="1" x14ac:dyDescent="0.2">
      <c r="B135" s="609" t="s">
        <v>352</v>
      </c>
      <c r="C135" s="609" t="s">
        <v>351</v>
      </c>
      <c r="D135" s="239">
        <v>187596296</v>
      </c>
      <c r="E135" s="239">
        <v>112557778</v>
      </c>
      <c r="F135" s="239">
        <v>75038519</v>
      </c>
      <c r="G135" s="239">
        <v>0</v>
      </c>
      <c r="H135" s="239">
        <v>375192593</v>
      </c>
      <c r="I135" s="239">
        <v>0</v>
      </c>
      <c r="J135" s="239">
        <v>0</v>
      </c>
      <c r="K135" s="239">
        <v>187596296</v>
      </c>
      <c r="L135" s="239">
        <v>597680</v>
      </c>
      <c r="M135" s="239">
        <v>597680</v>
      </c>
      <c r="N135" s="239">
        <v>0</v>
      </c>
      <c r="O135" s="239">
        <v>0</v>
      </c>
      <c r="P135" s="239">
        <v>0</v>
      </c>
      <c r="Q135" s="239">
        <v>0</v>
      </c>
      <c r="R135" s="239">
        <v>0</v>
      </c>
      <c r="S135" s="239">
        <v>0</v>
      </c>
      <c r="T135" s="239">
        <v>0</v>
      </c>
      <c r="U135" s="239">
        <v>0</v>
      </c>
      <c r="V135" s="239">
        <v>0</v>
      </c>
      <c r="W135" s="239">
        <v>6096119</v>
      </c>
      <c r="X135" s="239">
        <v>3657671</v>
      </c>
      <c r="Y135" s="239">
        <v>2438448</v>
      </c>
      <c r="Z135" s="239">
        <v>0</v>
      </c>
      <c r="AA135" s="239">
        <v>12192238</v>
      </c>
      <c r="AB135" s="239">
        <v>-11294302</v>
      </c>
      <c r="AC135" s="239">
        <v>-6776581</v>
      </c>
      <c r="AD135" s="239">
        <v>-4517721</v>
      </c>
      <c r="AE135" s="239">
        <v>0</v>
      </c>
      <c r="AF135" s="239">
        <v>-22588604</v>
      </c>
      <c r="AG135" s="239">
        <v>-1719956</v>
      </c>
      <c r="AH135" s="239">
        <v>-1031973</v>
      </c>
      <c r="AI135" s="239">
        <v>-687982</v>
      </c>
      <c r="AJ135" s="239">
        <v>0</v>
      </c>
      <c r="AK135" s="239">
        <v>-3439911</v>
      </c>
      <c r="AL135" s="239">
        <v>598186</v>
      </c>
      <c r="AM135" s="239">
        <v>358911</v>
      </c>
      <c r="AN135" s="239">
        <v>239274</v>
      </c>
      <c r="AO135" s="239">
        <v>0</v>
      </c>
      <c r="AP135" s="239">
        <v>1196371</v>
      </c>
      <c r="AQ135" s="239">
        <v>441673</v>
      </c>
      <c r="AR135" s="239">
        <v>265004</v>
      </c>
      <c r="AS135" s="239">
        <v>176669</v>
      </c>
      <c r="AT135" s="239">
        <v>0</v>
      </c>
      <c r="AU135" s="239">
        <v>883346</v>
      </c>
      <c r="AV135" s="239">
        <v>-680097</v>
      </c>
      <c r="AW135" s="239">
        <v>-408058</v>
      </c>
      <c r="AX135" s="239">
        <v>-272039</v>
      </c>
      <c r="AY135" s="239">
        <v>0</v>
      </c>
      <c r="AZ135" s="239">
        <v>-1360194</v>
      </c>
      <c r="BA135" s="239">
        <v>-2250133</v>
      </c>
      <c r="BB135" s="239">
        <v>-1350080</v>
      </c>
      <c r="BC135" s="239">
        <v>-900054</v>
      </c>
      <c r="BD135" s="239">
        <v>0</v>
      </c>
      <c r="BE135" s="239">
        <v>-4500267</v>
      </c>
      <c r="BF135" s="239">
        <v>1233709</v>
      </c>
      <c r="BG135" s="239">
        <v>740225</v>
      </c>
      <c r="BH135" s="239">
        <v>493483</v>
      </c>
      <c r="BI135" s="239">
        <v>0</v>
      </c>
      <c r="BJ135" s="239">
        <v>2467417</v>
      </c>
      <c r="BK135" s="239">
        <v>-1307546</v>
      </c>
      <c r="BL135" s="239">
        <v>-784527</v>
      </c>
      <c r="BM135" s="239">
        <v>-523018</v>
      </c>
      <c r="BN135" s="239">
        <v>0</v>
      </c>
      <c r="BO135" s="239">
        <v>-2615091</v>
      </c>
      <c r="BP135" s="239">
        <v>-2323970</v>
      </c>
      <c r="BQ135" s="239">
        <v>-1394382</v>
      </c>
      <c r="BR135" s="239">
        <v>-929589</v>
      </c>
      <c r="BS135" s="239">
        <v>0</v>
      </c>
      <c r="BT135" s="239">
        <v>-4647941</v>
      </c>
      <c r="BU135" s="239">
        <v>-3136896</v>
      </c>
      <c r="BV135" s="239">
        <v>-1882138</v>
      </c>
      <c r="BW135" s="239">
        <v>-1254758</v>
      </c>
      <c r="BX135" s="239">
        <v>0</v>
      </c>
      <c r="BY135" s="239">
        <v>-6273792</v>
      </c>
      <c r="BZ135" s="239">
        <v>-3750000</v>
      </c>
      <c r="CA135" s="239">
        <v>-2250000</v>
      </c>
      <c r="CB135" s="239">
        <v>-1500000</v>
      </c>
      <c r="CC135" s="239">
        <v>0</v>
      </c>
      <c r="CD135" s="239">
        <v>-7500000</v>
      </c>
      <c r="CE135" s="239">
        <v>613104</v>
      </c>
      <c r="CF135" s="239">
        <v>367862</v>
      </c>
      <c r="CG135" s="239">
        <v>245242</v>
      </c>
      <c r="CH135" s="239">
        <v>0</v>
      </c>
      <c r="CI135" s="239">
        <v>1226208</v>
      </c>
      <c r="CJ135" s="239">
        <v>187345303</v>
      </c>
      <c r="CK135" s="239">
        <v>112407182</v>
      </c>
      <c r="CL135" s="239">
        <v>74938121</v>
      </c>
      <c r="CM135" s="239">
        <v>0</v>
      </c>
      <c r="CN135" s="239">
        <v>374690606</v>
      </c>
      <c r="CO135" s="239">
        <v>187596296</v>
      </c>
      <c r="CP135" s="239">
        <v>112557778</v>
      </c>
      <c r="CQ135" s="239">
        <v>75038519</v>
      </c>
      <c r="CR135" s="239">
        <v>0</v>
      </c>
      <c r="CS135" s="239">
        <v>375192593</v>
      </c>
      <c r="CT135" s="239">
        <v>250993</v>
      </c>
      <c r="CU135" s="239">
        <v>150596</v>
      </c>
      <c r="CV135" s="239">
        <v>100398</v>
      </c>
      <c r="CW135" s="239">
        <v>0</v>
      </c>
      <c r="CX135" s="239">
        <v>501987</v>
      </c>
      <c r="CY135" s="239">
        <v>864097</v>
      </c>
      <c r="CZ135" s="239">
        <v>518458</v>
      </c>
      <c r="DA135" s="239">
        <v>345640</v>
      </c>
      <c r="DB135" s="239">
        <v>0</v>
      </c>
      <c r="DC135" s="239">
        <v>1728195</v>
      </c>
      <c r="DD135" s="641">
        <v>0.5</v>
      </c>
      <c r="DE135" s="641">
        <v>0.3</v>
      </c>
      <c r="DF135" s="641">
        <v>0.2</v>
      </c>
      <c r="DG135" s="641">
        <v>0</v>
      </c>
      <c r="DH135" s="641">
        <v>1</v>
      </c>
      <c r="DI135" s="214" t="s">
        <v>1191</v>
      </c>
    </row>
    <row r="136" spans="2:113" s="214" customFormat="1" x14ac:dyDescent="0.2">
      <c r="B136" s="609" t="s">
        <v>354</v>
      </c>
      <c r="C136" s="609" t="s">
        <v>353</v>
      </c>
      <c r="D136" s="239">
        <v>15917084</v>
      </c>
      <c r="E136" s="239">
        <v>12733668</v>
      </c>
      <c r="F136" s="239">
        <v>2865075</v>
      </c>
      <c r="G136" s="239">
        <v>318342</v>
      </c>
      <c r="H136" s="239">
        <v>31834169</v>
      </c>
      <c r="I136" s="239">
        <v>385952.37603305787</v>
      </c>
      <c r="J136" s="239">
        <v>385952.37603305787</v>
      </c>
      <c r="K136" s="239">
        <v>15531131.623966942</v>
      </c>
      <c r="L136" s="239">
        <v>124755</v>
      </c>
      <c r="M136" s="239">
        <v>124755</v>
      </c>
      <c r="N136" s="239">
        <v>27560</v>
      </c>
      <c r="O136" s="239">
        <v>27560</v>
      </c>
      <c r="P136" s="239">
        <v>119068</v>
      </c>
      <c r="Q136" s="239">
        <v>0</v>
      </c>
      <c r="R136" s="239">
        <v>119068</v>
      </c>
      <c r="S136" s="239">
        <v>385952.37603305787</v>
      </c>
      <c r="T136" s="239">
        <v>0</v>
      </c>
      <c r="U136" s="239">
        <v>0</v>
      </c>
      <c r="V136" s="239">
        <v>385952.37603305787</v>
      </c>
      <c r="W136" s="239">
        <v>151976</v>
      </c>
      <c r="X136" s="239">
        <v>121582</v>
      </c>
      <c r="Y136" s="239">
        <v>27356</v>
      </c>
      <c r="Z136" s="239">
        <v>3040</v>
      </c>
      <c r="AA136" s="239">
        <v>303954</v>
      </c>
      <c r="AB136" s="239">
        <v>-111538</v>
      </c>
      <c r="AC136" s="239">
        <v>-89231</v>
      </c>
      <c r="AD136" s="239">
        <v>-20077</v>
      </c>
      <c r="AE136" s="239">
        <v>-2231</v>
      </c>
      <c r="AF136" s="239">
        <v>-223077</v>
      </c>
      <c r="AG136" s="239">
        <v>-31899</v>
      </c>
      <c r="AH136" s="239">
        <v>-25520</v>
      </c>
      <c r="AI136" s="239">
        <v>-5742</v>
      </c>
      <c r="AJ136" s="239">
        <v>-638</v>
      </c>
      <c r="AK136" s="239">
        <v>-63799</v>
      </c>
      <c r="AL136" s="239">
        <v>92136</v>
      </c>
      <c r="AM136" s="239">
        <v>73709</v>
      </c>
      <c r="AN136" s="239">
        <v>16585</v>
      </c>
      <c r="AO136" s="239">
        <v>1843</v>
      </c>
      <c r="AP136" s="239">
        <v>184273</v>
      </c>
      <c r="AQ136" s="239">
        <v>-159003</v>
      </c>
      <c r="AR136" s="239">
        <v>-127203</v>
      </c>
      <c r="AS136" s="239">
        <v>-28621</v>
      </c>
      <c r="AT136" s="239">
        <v>-3180</v>
      </c>
      <c r="AU136" s="239">
        <v>-318007</v>
      </c>
      <c r="AV136" s="239">
        <v>-98766</v>
      </c>
      <c r="AW136" s="239">
        <v>-79014</v>
      </c>
      <c r="AX136" s="239">
        <v>-17778</v>
      </c>
      <c r="AY136" s="239">
        <v>-1975</v>
      </c>
      <c r="AZ136" s="239">
        <v>-197533</v>
      </c>
      <c r="BA136" s="239">
        <v>-660722</v>
      </c>
      <c r="BB136" s="239">
        <v>-528578</v>
      </c>
      <c r="BC136" s="239">
        <v>-118931</v>
      </c>
      <c r="BD136" s="239">
        <v>-13214</v>
      </c>
      <c r="BE136" s="239">
        <v>-1321445</v>
      </c>
      <c r="BF136" s="239">
        <v>162286</v>
      </c>
      <c r="BG136" s="239">
        <v>129829</v>
      </c>
      <c r="BH136" s="239">
        <v>29211</v>
      </c>
      <c r="BI136" s="239">
        <v>3246</v>
      </c>
      <c r="BJ136" s="239">
        <v>324572</v>
      </c>
      <c r="BK136" s="239">
        <v>-661924</v>
      </c>
      <c r="BL136" s="239">
        <v>-529539</v>
      </c>
      <c r="BM136" s="239">
        <v>-119146</v>
      </c>
      <c r="BN136" s="239">
        <v>-13238</v>
      </c>
      <c r="BO136" s="239">
        <v>-1323847</v>
      </c>
      <c r="BP136" s="239">
        <v>-1160360</v>
      </c>
      <c r="BQ136" s="239">
        <v>-928288</v>
      </c>
      <c r="BR136" s="239">
        <v>-208866</v>
      </c>
      <c r="BS136" s="239">
        <v>-23206</v>
      </c>
      <c r="BT136" s="239">
        <v>-2320720</v>
      </c>
      <c r="BU136" s="239">
        <v>-488812</v>
      </c>
      <c r="BV136" s="239">
        <v>-391049</v>
      </c>
      <c r="BW136" s="239">
        <v>-87986</v>
      </c>
      <c r="BX136" s="239">
        <v>-9776</v>
      </c>
      <c r="BY136" s="239">
        <v>-977623</v>
      </c>
      <c r="BZ136" s="239">
        <v>-682816</v>
      </c>
      <c r="CA136" s="239">
        <v>-546253</v>
      </c>
      <c r="CB136" s="239">
        <v>-122907</v>
      </c>
      <c r="CC136" s="239">
        <v>-13656</v>
      </c>
      <c r="CD136" s="239">
        <v>-1365632</v>
      </c>
      <c r="CE136" s="239">
        <v>194004</v>
      </c>
      <c r="CF136" s="239">
        <v>155204</v>
      </c>
      <c r="CG136" s="239">
        <v>34921</v>
      </c>
      <c r="CH136" s="239">
        <v>3880</v>
      </c>
      <c r="CI136" s="239">
        <v>388009</v>
      </c>
      <c r="CJ136" s="239">
        <v>16642349</v>
      </c>
      <c r="CK136" s="239">
        <v>13313880</v>
      </c>
      <c r="CL136" s="239">
        <v>2995623</v>
      </c>
      <c r="CM136" s="239">
        <v>332847</v>
      </c>
      <c r="CN136" s="239">
        <v>33284699</v>
      </c>
      <c r="CO136" s="239">
        <v>15917084</v>
      </c>
      <c r="CP136" s="239">
        <v>12733668</v>
      </c>
      <c r="CQ136" s="239">
        <v>2865075</v>
      </c>
      <c r="CR136" s="239">
        <v>318342</v>
      </c>
      <c r="CS136" s="239">
        <v>31834169</v>
      </c>
      <c r="CT136" s="239">
        <v>-725265</v>
      </c>
      <c r="CU136" s="239">
        <v>-580212</v>
      </c>
      <c r="CV136" s="239">
        <v>-130548</v>
      </c>
      <c r="CW136" s="239">
        <v>-14505</v>
      </c>
      <c r="CX136" s="239">
        <v>-1450530</v>
      </c>
      <c r="CY136" s="239">
        <v>-531261</v>
      </c>
      <c r="CZ136" s="239">
        <v>-425008</v>
      </c>
      <c r="DA136" s="239">
        <v>-95627</v>
      </c>
      <c r="DB136" s="239">
        <v>-10625</v>
      </c>
      <c r="DC136" s="239">
        <v>-1062521</v>
      </c>
      <c r="DD136" s="641">
        <v>0.5</v>
      </c>
      <c r="DE136" s="641">
        <v>0.4</v>
      </c>
      <c r="DF136" s="641">
        <v>0.09</v>
      </c>
      <c r="DG136" s="641">
        <v>0.01</v>
      </c>
      <c r="DH136" s="641">
        <v>1</v>
      </c>
      <c r="DI136" s="214" t="s">
        <v>1190</v>
      </c>
    </row>
    <row r="137" spans="2:113" s="214" customFormat="1" x14ac:dyDescent="0.2">
      <c r="B137" s="609" t="s">
        <v>356</v>
      </c>
      <c r="C137" s="609" t="s">
        <v>355</v>
      </c>
      <c r="D137" s="239">
        <v>20626639</v>
      </c>
      <c r="E137" s="239">
        <v>16501311</v>
      </c>
      <c r="F137" s="239">
        <v>4125328</v>
      </c>
      <c r="G137" s="239">
        <v>0</v>
      </c>
      <c r="H137" s="239">
        <v>41253278</v>
      </c>
      <c r="I137" s="239">
        <v>0</v>
      </c>
      <c r="J137" s="239">
        <v>0</v>
      </c>
      <c r="K137" s="239">
        <v>20626639</v>
      </c>
      <c r="L137" s="239">
        <v>178742</v>
      </c>
      <c r="M137" s="239">
        <v>178742</v>
      </c>
      <c r="N137" s="239">
        <v>0</v>
      </c>
      <c r="O137" s="239">
        <v>0</v>
      </c>
      <c r="P137" s="239">
        <v>0</v>
      </c>
      <c r="Q137" s="239">
        <v>0</v>
      </c>
      <c r="R137" s="239">
        <v>0</v>
      </c>
      <c r="S137" s="239">
        <v>0</v>
      </c>
      <c r="T137" s="239">
        <v>0</v>
      </c>
      <c r="U137" s="239">
        <v>0</v>
      </c>
      <c r="V137" s="239">
        <v>0</v>
      </c>
      <c r="W137" s="239">
        <v>1406108</v>
      </c>
      <c r="X137" s="239">
        <v>1124887</v>
      </c>
      <c r="Y137" s="239">
        <v>281222</v>
      </c>
      <c r="Z137" s="239">
        <v>0</v>
      </c>
      <c r="AA137" s="239">
        <v>2812217</v>
      </c>
      <c r="AB137" s="239">
        <v>-1028487</v>
      </c>
      <c r="AC137" s="239">
        <v>-822790</v>
      </c>
      <c r="AD137" s="239">
        <v>-205698</v>
      </c>
      <c r="AE137" s="239">
        <v>0</v>
      </c>
      <c r="AF137" s="239">
        <v>-2056975</v>
      </c>
      <c r="AG137" s="239">
        <v>-702296</v>
      </c>
      <c r="AH137" s="239">
        <v>-561835</v>
      </c>
      <c r="AI137" s="239">
        <v>-140459</v>
      </c>
      <c r="AJ137" s="239">
        <v>0</v>
      </c>
      <c r="AK137" s="239">
        <v>-1404590</v>
      </c>
      <c r="AL137" s="239">
        <v>154428</v>
      </c>
      <c r="AM137" s="239">
        <v>123542</v>
      </c>
      <c r="AN137" s="239">
        <v>30886</v>
      </c>
      <c r="AO137" s="239">
        <v>0</v>
      </c>
      <c r="AP137" s="239">
        <v>308856</v>
      </c>
      <c r="AQ137" s="239">
        <v>-224068</v>
      </c>
      <c r="AR137" s="239">
        <v>-179255</v>
      </c>
      <c r="AS137" s="239">
        <v>-44814</v>
      </c>
      <c r="AT137" s="239">
        <v>0</v>
      </c>
      <c r="AU137" s="239">
        <v>-448137</v>
      </c>
      <c r="AV137" s="239">
        <v>-771936</v>
      </c>
      <c r="AW137" s="239">
        <v>-617548</v>
      </c>
      <c r="AX137" s="239">
        <v>-154387</v>
      </c>
      <c r="AY137" s="239">
        <v>0</v>
      </c>
      <c r="AZ137" s="239">
        <v>-1543871</v>
      </c>
      <c r="BA137" s="239">
        <v>-2578679</v>
      </c>
      <c r="BB137" s="239">
        <v>-2062943</v>
      </c>
      <c r="BC137" s="239">
        <v>-515735</v>
      </c>
      <c r="BD137" s="239">
        <v>0</v>
      </c>
      <c r="BE137" s="239">
        <v>-5157357</v>
      </c>
      <c r="BF137" s="239">
        <v>759459</v>
      </c>
      <c r="BG137" s="239">
        <v>607568</v>
      </c>
      <c r="BH137" s="239">
        <v>151892</v>
      </c>
      <c r="BI137" s="239">
        <v>0</v>
      </c>
      <c r="BJ137" s="239">
        <v>1518919</v>
      </c>
      <c r="BK137" s="239">
        <v>-841266</v>
      </c>
      <c r="BL137" s="239">
        <v>-673012</v>
      </c>
      <c r="BM137" s="239">
        <v>-168253</v>
      </c>
      <c r="BN137" s="239">
        <v>0</v>
      </c>
      <c r="BO137" s="239">
        <v>-1682531</v>
      </c>
      <c r="BP137" s="239">
        <v>-2660486</v>
      </c>
      <c r="BQ137" s="239">
        <v>-2128387</v>
      </c>
      <c r="BR137" s="239">
        <v>-532096</v>
      </c>
      <c r="BS137" s="239">
        <v>0</v>
      </c>
      <c r="BT137" s="239">
        <v>-5320969</v>
      </c>
      <c r="BU137" s="239">
        <v>-677924</v>
      </c>
      <c r="BV137" s="239">
        <v>-542340</v>
      </c>
      <c r="BW137" s="239">
        <v>-135585</v>
      </c>
      <c r="BX137" s="239">
        <v>0</v>
      </c>
      <c r="BY137" s="239">
        <v>-1355849</v>
      </c>
      <c r="BZ137" s="239">
        <v>-800000</v>
      </c>
      <c r="CA137" s="239">
        <v>-640000</v>
      </c>
      <c r="CB137" s="239">
        <v>-160000</v>
      </c>
      <c r="CC137" s="239">
        <v>0</v>
      </c>
      <c r="CD137" s="239">
        <v>-1600000</v>
      </c>
      <c r="CE137" s="239">
        <v>122076</v>
      </c>
      <c r="CF137" s="239">
        <v>97660</v>
      </c>
      <c r="CG137" s="239">
        <v>24415</v>
      </c>
      <c r="CH137" s="239">
        <v>0</v>
      </c>
      <c r="CI137" s="239">
        <v>244151</v>
      </c>
      <c r="CJ137" s="239">
        <v>20703850</v>
      </c>
      <c r="CK137" s="239">
        <v>16563080</v>
      </c>
      <c r="CL137" s="239">
        <v>4140770</v>
      </c>
      <c r="CM137" s="239">
        <v>0</v>
      </c>
      <c r="CN137" s="239">
        <v>41407700</v>
      </c>
      <c r="CO137" s="239">
        <v>20626639</v>
      </c>
      <c r="CP137" s="239">
        <v>16501311</v>
      </c>
      <c r="CQ137" s="239">
        <v>4125328</v>
      </c>
      <c r="CR137" s="239">
        <v>0</v>
      </c>
      <c r="CS137" s="239">
        <v>41253278</v>
      </c>
      <c r="CT137" s="239">
        <v>-77211</v>
      </c>
      <c r="CU137" s="239">
        <v>-61769</v>
      </c>
      <c r="CV137" s="239">
        <v>-15442</v>
      </c>
      <c r="CW137" s="239">
        <v>0</v>
      </c>
      <c r="CX137" s="239">
        <v>-154422</v>
      </c>
      <c r="CY137" s="239">
        <v>44865</v>
      </c>
      <c r="CZ137" s="239">
        <v>35891</v>
      </c>
      <c r="DA137" s="239">
        <v>8973</v>
      </c>
      <c r="DB137" s="239">
        <v>0</v>
      </c>
      <c r="DC137" s="239">
        <v>89729</v>
      </c>
      <c r="DD137" s="641">
        <v>0.5</v>
      </c>
      <c r="DE137" s="641">
        <v>0.4</v>
      </c>
      <c r="DF137" s="641">
        <v>0.1</v>
      </c>
      <c r="DG137" s="641">
        <v>0</v>
      </c>
      <c r="DH137" s="641">
        <v>1</v>
      </c>
      <c r="DI137" s="214" t="s">
        <v>1190</v>
      </c>
    </row>
    <row r="138" spans="2:113" s="214" customFormat="1" x14ac:dyDescent="0.2">
      <c r="B138" s="609" t="s">
        <v>358</v>
      </c>
      <c r="C138" s="609" t="s">
        <v>357</v>
      </c>
      <c r="D138" s="239">
        <v>74947247</v>
      </c>
      <c r="E138" s="239">
        <v>44968348</v>
      </c>
      <c r="F138" s="239">
        <v>29978899</v>
      </c>
      <c r="G138" s="239">
        <v>0</v>
      </c>
      <c r="H138" s="239">
        <v>149894494</v>
      </c>
      <c r="I138" s="239">
        <v>0</v>
      </c>
      <c r="J138" s="239">
        <v>0</v>
      </c>
      <c r="K138" s="239">
        <v>74947247</v>
      </c>
      <c r="L138" s="239">
        <v>399618</v>
      </c>
      <c r="M138" s="239">
        <v>399618</v>
      </c>
      <c r="N138" s="239">
        <v>0</v>
      </c>
      <c r="O138" s="239">
        <v>0</v>
      </c>
      <c r="P138" s="239">
        <v>0</v>
      </c>
      <c r="Q138" s="239">
        <v>0</v>
      </c>
      <c r="R138" s="239">
        <v>0</v>
      </c>
      <c r="S138" s="239">
        <v>0</v>
      </c>
      <c r="T138" s="239">
        <v>0</v>
      </c>
      <c r="U138" s="239">
        <v>0</v>
      </c>
      <c r="V138" s="239">
        <v>0</v>
      </c>
      <c r="W138" s="239">
        <v>4730949</v>
      </c>
      <c r="X138" s="239">
        <v>2838569</v>
      </c>
      <c r="Y138" s="239">
        <v>1892379</v>
      </c>
      <c r="Z138" s="239">
        <v>0</v>
      </c>
      <c r="AA138" s="239">
        <v>9461897</v>
      </c>
      <c r="AB138" s="239">
        <v>-6371221</v>
      </c>
      <c r="AC138" s="239">
        <v>-3822733</v>
      </c>
      <c r="AD138" s="239">
        <v>-2548488</v>
      </c>
      <c r="AE138" s="239">
        <v>0</v>
      </c>
      <c r="AF138" s="239">
        <v>-12742442</v>
      </c>
      <c r="AG138" s="239">
        <v>389922</v>
      </c>
      <c r="AH138" s="239">
        <v>233954</v>
      </c>
      <c r="AI138" s="239">
        <v>155969</v>
      </c>
      <c r="AJ138" s="239">
        <v>0</v>
      </c>
      <c r="AK138" s="239">
        <v>779845</v>
      </c>
      <c r="AL138" s="239">
        <v>1158876</v>
      </c>
      <c r="AM138" s="239">
        <v>695326</v>
      </c>
      <c r="AN138" s="239">
        <v>463550</v>
      </c>
      <c r="AO138" s="239">
        <v>0</v>
      </c>
      <c r="AP138" s="239">
        <v>2317752</v>
      </c>
      <c r="AQ138" s="239">
        <v>-3298799</v>
      </c>
      <c r="AR138" s="239">
        <v>-1979279</v>
      </c>
      <c r="AS138" s="239">
        <v>-1319519</v>
      </c>
      <c r="AT138" s="239">
        <v>0</v>
      </c>
      <c r="AU138" s="239">
        <v>-6597597</v>
      </c>
      <c r="AV138" s="239">
        <v>-1750001</v>
      </c>
      <c r="AW138" s="239">
        <v>-1049999</v>
      </c>
      <c r="AX138" s="239">
        <v>-700000</v>
      </c>
      <c r="AY138" s="239">
        <v>0</v>
      </c>
      <c r="AZ138" s="239">
        <v>-3500000</v>
      </c>
      <c r="BA138" s="239">
        <v>-12000000</v>
      </c>
      <c r="BB138" s="239">
        <v>-7200000</v>
      </c>
      <c r="BC138" s="239">
        <v>-4800000</v>
      </c>
      <c r="BD138" s="239">
        <v>0</v>
      </c>
      <c r="BE138" s="239">
        <v>-24000000</v>
      </c>
      <c r="BF138" s="239">
        <v>1500000</v>
      </c>
      <c r="BG138" s="239">
        <v>900000</v>
      </c>
      <c r="BH138" s="239">
        <v>600000</v>
      </c>
      <c r="BI138" s="239">
        <v>0</v>
      </c>
      <c r="BJ138" s="239">
        <v>3000000</v>
      </c>
      <c r="BK138" s="239">
        <v>-3950000</v>
      </c>
      <c r="BL138" s="239">
        <v>-2370000</v>
      </c>
      <c r="BM138" s="239">
        <v>-1580000</v>
      </c>
      <c r="BN138" s="239">
        <v>0</v>
      </c>
      <c r="BO138" s="239">
        <v>-7900000</v>
      </c>
      <c r="BP138" s="239">
        <v>-14450000</v>
      </c>
      <c r="BQ138" s="239">
        <v>-8670000</v>
      </c>
      <c r="BR138" s="239">
        <v>-5780000</v>
      </c>
      <c r="BS138" s="239">
        <v>0</v>
      </c>
      <c r="BT138" s="239">
        <v>-28900000</v>
      </c>
      <c r="BU138" s="239">
        <v>-5453883</v>
      </c>
      <c r="BV138" s="239">
        <v>-3272330</v>
      </c>
      <c r="BW138" s="239">
        <v>-2181553</v>
      </c>
      <c r="BX138" s="239">
        <v>0</v>
      </c>
      <c r="BY138" s="239">
        <v>-10907766</v>
      </c>
      <c r="BZ138" s="239">
        <v>-5270914</v>
      </c>
      <c r="CA138" s="239">
        <v>-3162549</v>
      </c>
      <c r="CB138" s="239">
        <v>-2108366</v>
      </c>
      <c r="CC138" s="239">
        <v>0</v>
      </c>
      <c r="CD138" s="239">
        <v>-10541829</v>
      </c>
      <c r="CE138" s="239">
        <v>-182969</v>
      </c>
      <c r="CF138" s="239">
        <v>-109781</v>
      </c>
      <c r="CG138" s="239">
        <v>-73187</v>
      </c>
      <c r="CH138" s="239">
        <v>0</v>
      </c>
      <c r="CI138" s="239">
        <v>-365937</v>
      </c>
      <c r="CJ138" s="239">
        <v>80651755</v>
      </c>
      <c r="CK138" s="239">
        <v>48391053</v>
      </c>
      <c r="CL138" s="239">
        <v>32260702</v>
      </c>
      <c r="CM138" s="239">
        <v>0</v>
      </c>
      <c r="CN138" s="239">
        <v>161303510</v>
      </c>
      <c r="CO138" s="239">
        <v>74947247</v>
      </c>
      <c r="CP138" s="239">
        <v>44968348</v>
      </c>
      <c r="CQ138" s="239">
        <v>29978899</v>
      </c>
      <c r="CR138" s="239">
        <v>0</v>
      </c>
      <c r="CS138" s="239">
        <v>149894494</v>
      </c>
      <c r="CT138" s="239">
        <v>-5704508</v>
      </c>
      <c r="CU138" s="239">
        <v>-3422705</v>
      </c>
      <c r="CV138" s="239">
        <v>-2281803</v>
      </c>
      <c r="CW138" s="239">
        <v>0</v>
      </c>
      <c r="CX138" s="239">
        <v>-11409016</v>
      </c>
      <c r="CY138" s="239">
        <v>-5887477</v>
      </c>
      <c r="CZ138" s="239">
        <v>-3532486</v>
      </c>
      <c r="DA138" s="239">
        <v>-2354990</v>
      </c>
      <c r="DB138" s="239">
        <v>0</v>
      </c>
      <c r="DC138" s="239">
        <v>-11774953</v>
      </c>
      <c r="DD138" s="641">
        <v>0.5</v>
      </c>
      <c r="DE138" s="641">
        <v>0.3</v>
      </c>
      <c r="DF138" s="641">
        <v>0.2</v>
      </c>
      <c r="DG138" s="641">
        <v>0</v>
      </c>
      <c r="DH138" s="641">
        <v>1</v>
      </c>
      <c r="DI138" s="214" t="s">
        <v>1191</v>
      </c>
    </row>
    <row r="139" spans="2:113" s="214" customFormat="1" x14ac:dyDescent="0.2">
      <c r="B139" s="609" t="s">
        <v>360</v>
      </c>
      <c r="C139" s="609" t="s">
        <v>359</v>
      </c>
      <c r="D139" s="239">
        <v>30607610</v>
      </c>
      <c r="E139" s="239">
        <v>24486088</v>
      </c>
      <c r="F139" s="239">
        <v>5509370</v>
      </c>
      <c r="G139" s="239">
        <v>612152</v>
      </c>
      <c r="H139" s="239">
        <v>61215220</v>
      </c>
      <c r="I139" s="239">
        <v>207843.14049586776</v>
      </c>
      <c r="J139" s="239">
        <v>207843.14049586776</v>
      </c>
      <c r="K139" s="239">
        <v>30399766.859504133</v>
      </c>
      <c r="L139" s="239">
        <v>222458</v>
      </c>
      <c r="M139" s="239">
        <v>222458</v>
      </c>
      <c r="N139" s="239">
        <v>0</v>
      </c>
      <c r="O139" s="239">
        <v>0</v>
      </c>
      <c r="P139" s="239">
        <v>874156</v>
      </c>
      <c r="Q139" s="239">
        <v>0</v>
      </c>
      <c r="R139" s="239">
        <v>874156</v>
      </c>
      <c r="S139" s="239">
        <v>207843.14049586776</v>
      </c>
      <c r="T139" s="239">
        <v>0</v>
      </c>
      <c r="U139" s="239">
        <v>0</v>
      </c>
      <c r="V139" s="239">
        <v>207843.14049586776</v>
      </c>
      <c r="W139" s="239">
        <v>143434</v>
      </c>
      <c r="X139" s="239">
        <v>114747</v>
      </c>
      <c r="Y139" s="239">
        <v>25818</v>
      </c>
      <c r="Z139" s="239">
        <v>2869</v>
      </c>
      <c r="AA139" s="239">
        <v>286868</v>
      </c>
      <c r="AB139" s="239">
        <v>-68882</v>
      </c>
      <c r="AC139" s="239">
        <v>-55106</v>
      </c>
      <c r="AD139" s="239">
        <v>-12399</v>
      </c>
      <c r="AE139" s="239">
        <v>-1378</v>
      </c>
      <c r="AF139" s="239">
        <v>-137765</v>
      </c>
      <c r="AG139" s="239">
        <v>129200</v>
      </c>
      <c r="AH139" s="239">
        <v>103360</v>
      </c>
      <c r="AI139" s="239">
        <v>23256</v>
      </c>
      <c r="AJ139" s="239">
        <v>2584</v>
      </c>
      <c r="AK139" s="239">
        <v>258400</v>
      </c>
      <c r="AL139" s="239">
        <v>94574</v>
      </c>
      <c r="AM139" s="239">
        <v>75659</v>
      </c>
      <c r="AN139" s="239">
        <v>17023</v>
      </c>
      <c r="AO139" s="239">
        <v>1891</v>
      </c>
      <c r="AP139" s="239">
        <v>189147</v>
      </c>
      <c r="AQ139" s="239">
        <v>87774</v>
      </c>
      <c r="AR139" s="239">
        <v>70219</v>
      </c>
      <c r="AS139" s="239">
        <v>15799</v>
      </c>
      <c r="AT139" s="239">
        <v>1755</v>
      </c>
      <c r="AU139" s="239">
        <v>175547</v>
      </c>
      <c r="AV139" s="239">
        <v>311548</v>
      </c>
      <c r="AW139" s="239">
        <v>249238</v>
      </c>
      <c r="AX139" s="239">
        <v>56078</v>
      </c>
      <c r="AY139" s="239">
        <v>6230</v>
      </c>
      <c r="AZ139" s="239">
        <v>623094</v>
      </c>
      <c r="BA139" s="239">
        <v>-2697051</v>
      </c>
      <c r="BB139" s="239">
        <v>-2157642</v>
      </c>
      <c r="BC139" s="239">
        <v>-485470</v>
      </c>
      <c r="BD139" s="239">
        <v>-53941</v>
      </c>
      <c r="BE139" s="239">
        <v>-5394104</v>
      </c>
      <c r="BF139" s="239">
        <v>1675390</v>
      </c>
      <c r="BG139" s="239">
        <v>1340312</v>
      </c>
      <c r="BH139" s="239">
        <v>301570</v>
      </c>
      <c r="BI139" s="239">
        <v>33508</v>
      </c>
      <c r="BJ139" s="239">
        <v>3350780</v>
      </c>
      <c r="BK139" s="239">
        <v>-581874</v>
      </c>
      <c r="BL139" s="239">
        <v>-465498</v>
      </c>
      <c r="BM139" s="239">
        <v>-104737</v>
      </c>
      <c r="BN139" s="239">
        <v>-11637</v>
      </c>
      <c r="BO139" s="239">
        <v>-1163746</v>
      </c>
      <c r="BP139" s="239">
        <v>-1603535</v>
      </c>
      <c r="BQ139" s="239">
        <v>-1282828</v>
      </c>
      <c r="BR139" s="239">
        <v>-288637</v>
      </c>
      <c r="BS139" s="239">
        <v>-32070</v>
      </c>
      <c r="BT139" s="239">
        <v>-3207070</v>
      </c>
      <c r="BU139" s="239">
        <v>-3354101</v>
      </c>
      <c r="BV139" s="239">
        <v>-2683280</v>
      </c>
      <c r="BW139" s="239">
        <v>-603738</v>
      </c>
      <c r="BX139" s="239">
        <v>-67082</v>
      </c>
      <c r="BY139" s="239">
        <v>-6708201</v>
      </c>
      <c r="BZ139" s="239">
        <v>-4524031</v>
      </c>
      <c r="CA139" s="239">
        <v>-3619224</v>
      </c>
      <c r="CB139" s="239">
        <v>-814325</v>
      </c>
      <c r="CC139" s="239">
        <v>-90481</v>
      </c>
      <c r="CD139" s="239">
        <v>-9048061</v>
      </c>
      <c r="CE139" s="239">
        <v>1169930</v>
      </c>
      <c r="CF139" s="239">
        <v>935944</v>
      </c>
      <c r="CG139" s="239">
        <v>210587</v>
      </c>
      <c r="CH139" s="239">
        <v>23399</v>
      </c>
      <c r="CI139" s="239">
        <v>2339860</v>
      </c>
      <c r="CJ139" s="239">
        <v>30216051</v>
      </c>
      <c r="CK139" s="239">
        <v>24172841</v>
      </c>
      <c r="CL139" s="239">
        <v>5438889</v>
      </c>
      <c r="CM139" s="239">
        <v>604321</v>
      </c>
      <c r="CN139" s="239">
        <v>60432102</v>
      </c>
      <c r="CO139" s="239">
        <v>30607610</v>
      </c>
      <c r="CP139" s="239">
        <v>24486088</v>
      </c>
      <c r="CQ139" s="239">
        <v>5509370</v>
      </c>
      <c r="CR139" s="239">
        <v>612152</v>
      </c>
      <c r="CS139" s="239">
        <v>61215220</v>
      </c>
      <c r="CT139" s="239">
        <v>391559</v>
      </c>
      <c r="CU139" s="239">
        <v>313247</v>
      </c>
      <c r="CV139" s="239">
        <v>70481</v>
      </c>
      <c r="CW139" s="239">
        <v>7831</v>
      </c>
      <c r="CX139" s="239">
        <v>783118</v>
      </c>
      <c r="CY139" s="239">
        <v>1561489</v>
      </c>
      <c r="CZ139" s="239">
        <v>1249191</v>
      </c>
      <c r="DA139" s="239">
        <v>281068</v>
      </c>
      <c r="DB139" s="239">
        <v>31230</v>
      </c>
      <c r="DC139" s="239">
        <v>3122978</v>
      </c>
      <c r="DD139" s="641">
        <v>0.5</v>
      </c>
      <c r="DE139" s="641">
        <v>0.4</v>
      </c>
      <c r="DF139" s="641">
        <v>0.09</v>
      </c>
      <c r="DG139" s="641">
        <v>0.01</v>
      </c>
      <c r="DH139" s="641">
        <v>1</v>
      </c>
      <c r="DI139" s="214" t="s">
        <v>1190</v>
      </c>
    </row>
    <row r="140" spans="2:113" s="214" customFormat="1" x14ac:dyDescent="0.2">
      <c r="B140" s="609" t="s">
        <v>362</v>
      </c>
      <c r="C140" s="609" t="s">
        <v>361</v>
      </c>
      <c r="D140" s="239">
        <v>10548307</v>
      </c>
      <c r="E140" s="239">
        <v>8438646</v>
      </c>
      <c r="F140" s="239">
        <v>1898695</v>
      </c>
      <c r="G140" s="239">
        <v>210966</v>
      </c>
      <c r="H140" s="239">
        <v>21096614</v>
      </c>
      <c r="I140" s="239">
        <v>0</v>
      </c>
      <c r="J140" s="239">
        <v>0</v>
      </c>
      <c r="K140" s="239">
        <v>10548307</v>
      </c>
      <c r="L140" s="239">
        <v>130406</v>
      </c>
      <c r="M140" s="239">
        <v>130406</v>
      </c>
      <c r="N140" s="239">
        <v>0</v>
      </c>
      <c r="O140" s="239">
        <v>0</v>
      </c>
      <c r="P140" s="239">
        <v>0</v>
      </c>
      <c r="Q140" s="239">
        <v>0</v>
      </c>
      <c r="R140" s="239">
        <v>0</v>
      </c>
      <c r="S140" s="239">
        <v>0</v>
      </c>
      <c r="T140" s="239">
        <v>0</v>
      </c>
      <c r="U140" s="239">
        <v>0</v>
      </c>
      <c r="V140" s="239">
        <v>0</v>
      </c>
      <c r="W140" s="239">
        <v>2173545</v>
      </c>
      <c r="X140" s="239">
        <v>1738836</v>
      </c>
      <c r="Y140" s="239">
        <v>391238</v>
      </c>
      <c r="Z140" s="239">
        <v>43471</v>
      </c>
      <c r="AA140" s="239">
        <v>4347090</v>
      </c>
      <c r="AB140" s="239">
        <v>-538581</v>
      </c>
      <c r="AC140" s="239">
        <v>-430864</v>
      </c>
      <c r="AD140" s="239">
        <v>-96944</v>
      </c>
      <c r="AE140" s="239">
        <v>-10772</v>
      </c>
      <c r="AF140" s="239">
        <v>-1077161</v>
      </c>
      <c r="AG140" s="239">
        <v>-1261592</v>
      </c>
      <c r="AH140" s="239">
        <v>-1009272</v>
      </c>
      <c r="AI140" s="239">
        <v>-227086</v>
      </c>
      <c r="AJ140" s="239">
        <v>-25232</v>
      </c>
      <c r="AK140" s="239">
        <v>-2523182</v>
      </c>
      <c r="AL140" s="239">
        <v>439697</v>
      </c>
      <c r="AM140" s="239">
        <v>351758</v>
      </c>
      <c r="AN140" s="239">
        <v>79146</v>
      </c>
      <c r="AO140" s="239">
        <v>8794</v>
      </c>
      <c r="AP140" s="239">
        <v>879395</v>
      </c>
      <c r="AQ140" s="239">
        <v>-703180</v>
      </c>
      <c r="AR140" s="239">
        <v>-562545</v>
      </c>
      <c r="AS140" s="239">
        <v>-126573</v>
      </c>
      <c r="AT140" s="239">
        <v>-14064</v>
      </c>
      <c r="AU140" s="239">
        <v>-1406362</v>
      </c>
      <c r="AV140" s="239">
        <v>-1525075</v>
      </c>
      <c r="AW140" s="239">
        <v>-1220059</v>
      </c>
      <c r="AX140" s="239">
        <v>-274513</v>
      </c>
      <c r="AY140" s="239">
        <v>-30502</v>
      </c>
      <c r="AZ140" s="239">
        <v>-3050149</v>
      </c>
      <c r="BA140" s="239">
        <v>-1402673.2</v>
      </c>
      <c r="BB140" s="239">
        <v>-1122138</v>
      </c>
      <c r="BC140" s="239">
        <v>-252481</v>
      </c>
      <c r="BD140" s="239">
        <v>-28054</v>
      </c>
      <c r="BE140" s="239">
        <v>-2805346.2</v>
      </c>
      <c r="BF140" s="239">
        <v>128980</v>
      </c>
      <c r="BG140" s="239">
        <v>103184</v>
      </c>
      <c r="BH140" s="239">
        <v>23216</v>
      </c>
      <c r="BI140" s="239">
        <v>2580</v>
      </c>
      <c r="BJ140" s="239">
        <v>257960</v>
      </c>
      <c r="BK140" s="239">
        <v>-520053</v>
      </c>
      <c r="BL140" s="239">
        <v>-416043</v>
      </c>
      <c r="BM140" s="239">
        <v>-93610</v>
      </c>
      <c r="BN140" s="239">
        <v>-10401</v>
      </c>
      <c r="BO140" s="239">
        <v>-1040107</v>
      </c>
      <c r="BP140" s="239">
        <v>-1793746.2</v>
      </c>
      <c r="BQ140" s="239">
        <v>-1434997</v>
      </c>
      <c r="BR140" s="239">
        <v>-322875</v>
      </c>
      <c r="BS140" s="239">
        <v>-35875</v>
      </c>
      <c r="BT140" s="239">
        <v>-3587493.2</v>
      </c>
      <c r="BU140" s="239">
        <v>-86114</v>
      </c>
      <c r="BV140" s="239">
        <v>-68890</v>
      </c>
      <c r="BW140" s="239">
        <v>-15500</v>
      </c>
      <c r="BX140" s="239">
        <v>-1722</v>
      </c>
      <c r="BY140" s="239">
        <v>-172226</v>
      </c>
      <c r="BZ140" s="239">
        <v>-55352</v>
      </c>
      <c r="CA140" s="239">
        <v>-44282</v>
      </c>
      <c r="CB140" s="239">
        <v>-9963</v>
      </c>
      <c r="CC140" s="239">
        <v>-1107</v>
      </c>
      <c r="CD140" s="239">
        <v>-110704</v>
      </c>
      <c r="CE140" s="239">
        <v>-30762</v>
      </c>
      <c r="CF140" s="239">
        <v>-24608</v>
      </c>
      <c r="CG140" s="239">
        <v>-5537</v>
      </c>
      <c r="CH140" s="239">
        <v>-615</v>
      </c>
      <c r="CI140" s="239">
        <v>-61522</v>
      </c>
      <c r="CJ140" s="239">
        <v>9785264</v>
      </c>
      <c r="CK140" s="239">
        <v>7828210</v>
      </c>
      <c r="CL140" s="239">
        <v>1761347</v>
      </c>
      <c r="CM140" s="239">
        <v>195705</v>
      </c>
      <c r="CN140" s="239">
        <v>19570526</v>
      </c>
      <c r="CO140" s="239">
        <v>10548307</v>
      </c>
      <c r="CP140" s="239">
        <v>8438646</v>
      </c>
      <c r="CQ140" s="239">
        <v>1898695</v>
      </c>
      <c r="CR140" s="239">
        <v>210966</v>
      </c>
      <c r="CS140" s="239">
        <v>21096614</v>
      </c>
      <c r="CT140" s="239">
        <v>763043</v>
      </c>
      <c r="CU140" s="239">
        <v>610436</v>
      </c>
      <c r="CV140" s="239">
        <v>137348</v>
      </c>
      <c r="CW140" s="239">
        <v>15261</v>
      </c>
      <c r="CX140" s="239">
        <v>1526088</v>
      </c>
      <c r="CY140" s="239">
        <v>732281</v>
      </c>
      <c r="CZ140" s="239">
        <v>585828</v>
      </c>
      <c r="DA140" s="239">
        <v>131811</v>
      </c>
      <c r="DB140" s="239">
        <v>14646</v>
      </c>
      <c r="DC140" s="239">
        <v>1464566</v>
      </c>
      <c r="DD140" s="641">
        <v>0.5</v>
      </c>
      <c r="DE140" s="641">
        <v>0.4</v>
      </c>
      <c r="DF140" s="641">
        <v>0.09</v>
      </c>
      <c r="DG140" s="641">
        <v>0.01</v>
      </c>
      <c r="DH140" s="641">
        <v>1</v>
      </c>
      <c r="DI140" s="214" t="s">
        <v>1190</v>
      </c>
    </row>
    <row r="141" spans="2:113" s="214" customFormat="1" x14ac:dyDescent="0.2">
      <c r="B141" s="609" t="s">
        <v>364</v>
      </c>
      <c r="C141" s="609" t="s">
        <v>363</v>
      </c>
      <c r="D141" s="239">
        <v>28634847</v>
      </c>
      <c r="E141" s="239">
        <v>22907878</v>
      </c>
      <c r="F141" s="239">
        <v>5726969</v>
      </c>
      <c r="G141" s="239">
        <v>0</v>
      </c>
      <c r="H141" s="239">
        <v>57269694</v>
      </c>
      <c r="I141" s="239">
        <v>0</v>
      </c>
      <c r="J141" s="239">
        <v>0</v>
      </c>
      <c r="K141" s="239">
        <v>28634847</v>
      </c>
      <c r="L141" s="239">
        <v>193418</v>
      </c>
      <c r="M141" s="239">
        <v>193418</v>
      </c>
      <c r="N141" s="239">
        <v>0</v>
      </c>
      <c r="O141" s="239">
        <v>0</v>
      </c>
      <c r="P141" s="239">
        <v>0</v>
      </c>
      <c r="Q141" s="239">
        <v>0</v>
      </c>
      <c r="R141" s="239">
        <v>0</v>
      </c>
      <c r="S141" s="239">
        <v>0</v>
      </c>
      <c r="T141" s="239">
        <v>0</v>
      </c>
      <c r="U141" s="239">
        <v>0</v>
      </c>
      <c r="V141" s="239">
        <v>0</v>
      </c>
      <c r="W141" s="239">
        <v>737898</v>
      </c>
      <c r="X141" s="239">
        <v>590319</v>
      </c>
      <c r="Y141" s="239">
        <v>147580</v>
      </c>
      <c r="Z141" s="239">
        <v>0</v>
      </c>
      <c r="AA141" s="239">
        <v>1475797</v>
      </c>
      <c r="AB141" s="239">
        <v>-119183</v>
      </c>
      <c r="AC141" s="239">
        <v>-95346</v>
      </c>
      <c r="AD141" s="239">
        <v>-23837</v>
      </c>
      <c r="AE141" s="239">
        <v>0</v>
      </c>
      <c r="AF141" s="239">
        <v>-238366</v>
      </c>
      <c r="AG141" s="239">
        <v>-348308</v>
      </c>
      <c r="AH141" s="239">
        <v>-278647</v>
      </c>
      <c r="AI141" s="239">
        <v>-69663</v>
      </c>
      <c r="AJ141" s="239">
        <v>0</v>
      </c>
      <c r="AK141" s="239">
        <v>-696618</v>
      </c>
      <c r="AL141" s="239">
        <v>192912</v>
      </c>
      <c r="AM141" s="239">
        <v>154330</v>
      </c>
      <c r="AN141" s="239">
        <v>38583</v>
      </c>
      <c r="AO141" s="239">
        <v>0</v>
      </c>
      <c r="AP141" s="239">
        <v>385825</v>
      </c>
      <c r="AQ141" s="239">
        <v>-235704</v>
      </c>
      <c r="AR141" s="239">
        <v>-188563</v>
      </c>
      <c r="AS141" s="239">
        <v>-47141</v>
      </c>
      <c r="AT141" s="239">
        <v>0</v>
      </c>
      <c r="AU141" s="239">
        <v>-471408</v>
      </c>
      <c r="AV141" s="239">
        <v>-391100</v>
      </c>
      <c r="AW141" s="239">
        <v>-312880</v>
      </c>
      <c r="AX141" s="239">
        <v>-78221</v>
      </c>
      <c r="AY141" s="239">
        <v>0</v>
      </c>
      <c r="AZ141" s="239">
        <v>-782201</v>
      </c>
      <c r="BA141" s="239">
        <v>-2007325</v>
      </c>
      <c r="BB141" s="239">
        <v>-1605860</v>
      </c>
      <c r="BC141" s="239">
        <v>-401466</v>
      </c>
      <c r="BD141" s="239">
        <v>0</v>
      </c>
      <c r="BE141" s="239">
        <v>-4014651</v>
      </c>
      <c r="BF141" s="239">
        <v>523407</v>
      </c>
      <c r="BG141" s="239">
        <v>418726</v>
      </c>
      <c r="BH141" s="239">
        <v>104681</v>
      </c>
      <c r="BI141" s="239">
        <v>0</v>
      </c>
      <c r="BJ141" s="239">
        <v>1046814</v>
      </c>
      <c r="BK141" s="239">
        <v>308696</v>
      </c>
      <c r="BL141" s="239">
        <v>246957</v>
      </c>
      <c r="BM141" s="239">
        <v>61739</v>
      </c>
      <c r="BN141" s="239">
        <v>0</v>
      </c>
      <c r="BO141" s="239">
        <v>617392</v>
      </c>
      <c r="BP141" s="239">
        <v>-1175222</v>
      </c>
      <c r="BQ141" s="239">
        <v>-940177</v>
      </c>
      <c r="BR141" s="239">
        <v>-235046</v>
      </c>
      <c r="BS141" s="239">
        <v>0</v>
      </c>
      <c r="BT141" s="239">
        <v>-2350445</v>
      </c>
      <c r="BU141" s="239">
        <v>-1691542</v>
      </c>
      <c r="BV141" s="239">
        <v>-1353234</v>
      </c>
      <c r="BW141" s="239">
        <v>-338308</v>
      </c>
      <c r="BX141" s="239">
        <v>0</v>
      </c>
      <c r="BY141" s="239">
        <v>-3383084</v>
      </c>
      <c r="BZ141" s="239">
        <v>-603852</v>
      </c>
      <c r="CA141" s="239">
        <v>-483082</v>
      </c>
      <c r="CB141" s="239">
        <v>-120771</v>
      </c>
      <c r="CC141" s="239">
        <v>0</v>
      </c>
      <c r="CD141" s="239">
        <v>-1207705</v>
      </c>
      <c r="CE141" s="239">
        <v>-1087690</v>
      </c>
      <c r="CF141" s="239">
        <v>-870152</v>
      </c>
      <c r="CG141" s="239">
        <v>-217537</v>
      </c>
      <c r="CH141" s="239">
        <v>0</v>
      </c>
      <c r="CI141" s="239">
        <v>-2175379</v>
      </c>
      <c r="CJ141" s="239">
        <v>28818444</v>
      </c>
      <c r="CK141" s="239">
        <v>23054756</v>
      </c>
      <c r="CL141" s="239">
        <v>5763689</v>
      </c>
      <c r="CM141" s="239">
        <v>0</v>
      </c>
      <c r="CN141" s="239">
        <v>57636889</v>
      </c>
      <c r="CO141" s="239">
        <v>28634847</v>
      </c>
      <c r="CP141" s="239">
        <v>22907878</v>
      </c>
      <c r="CQ141" s="239">
        <v>5726969</v>
      </c>
      <c r="CR141" s="239">
        <v>0</v>
      </c>
      <c r="CS141" s="239">
        <v>57269694</v>
      </c>
      <c r="CT141" s="239">
        <v>-183597</v>
      </c>
      <c r="CU141" s="239">
        <v>-146878</v>
      </c>
      <c r="CV141" s="239">
        <v>-36720</v>
      </c>
      <c r="CW141" s="239">
        <v>0</v>
      </c>
      <c r="CX141" s="239">
        <v>-367195</v>
      </c>
      <c r="CY141" s="239">
        <v>-1271287</v>
      </c>
      <c r="CZ141" s="239">
        <v>-1017030</v>
      </c>
      <c r="DA141" s="239">
        <v>-254257</v>
      </c>
      <c r="DB141" s="239">
        <v>0</v>
      </c>
      <c r="DC141" s="239">
        <v>-2542574</v>
      </c>
      <c r="DD141" s="641">
        <v>0.5</v>
      </c>
      <c r="DE141" s="641">
        <v>0.4</v>
      </c>
      <c r="DF141" s="641">
        <v>0.1</v>
      </c>
      <c r="DG141" s="641">
        <v>0</v>
      </c>
      <c r="DH141" s="641">
        <v>1</v>
      </c>
      <c r="DI141" s="214" t="s">
        <v>1190</v>
      </c>
    </row>
    <row r="142" spans="2:113" s="214" customFormat="1" x14ac:dyDescent="0.2">
      <c r="B142" s="609" t="s">
        <v>366</v>
      </c>
      <c r="C142" s="609" t="s">
        <v>365</v>
      </c>
      <c r="D142" s="239">
        <v>17354948</v>
      </c>
      <c r="E142" s="239">
        <v>17354948</v>
      </c>
      <c r="F142" s="239">
        <v>0</v>
      </c>
      <c r="G142" s="239">
        <v>0</v>
      </c>
      <c r="H142" s="239">
        <v>34709896</v>
      </c>
      <c r="I142" s="239">
        <v>0</v>
      </c>
      <c r="J142" s="239">
        <v>0</v>
      </c>
      <c r="K142" s="239">
        <v>17354948</v>
      </c>
      <c r="L142" s="239">
        <v>257322</v>
      </c>
      <c r="M142" s="239">
        <v>257322</v>
      </c>
      <c r="N142" s="239">
        <v>0</v>
      </c>
      <c r="O142" s="239">
        <v>0</v>
      </c>
      <c r="P142" s="239">
        <v>289194</v>
      </c>
      <c r="Q142" s="239">
        <v>0</v>
      </c>
      <c r="R142" s="239">
        <v>289194</v>
      </c>
      <c r="S142" s="239">
        <v>0</v>
      </c>
      <c r="T142" s="239">
        <v>0</v>
      </c>
      <c r="U142" s="239">
        <v>0</v>
      </c>
      <c r="V142" s="239">
        <v>0</v>
      </c>
      <c r="W142" s="239">
        <v>546907</v>
      </c>
      <c r="X142" s="239">
        <v>546907</v>
      </c>
      <c r="Y142" s="239">
        <v>0</v>
      </c>
      <c r="Z142" s="239">
        <v>0</v>
      </c>
      <c r="AA142" s="239">
        <v>1093814</v>
      </c>
      <c r="AB142" s="239">
        <v>-209708</v>
      </c>
      <c r="AC142" s="239">
        <v>-209709</v>
      </c>
      <c r="AD142" s="239">
        <v>0</v>
      </c>
      <c r="AE142" s="239">
        <v>0</v>
      </c>
      <c r="AF142" s="239">
        <v>-419417</v>
      </c>
      <c r="AG142" s="239">
        <v>-234401</v>
      </c>
      <c r="AH142" s="239">
        <v>-234401</v>
      </c>
      <c r="AI142" s="239">
        <v>0</v>
      </c>
      <c r="AJ142" s="239">
        <v>0</v>
      </c>
      <c r="AK142" s="239">
        <v>-468802</v>
      </c>
      <c r="AL142" s="239">
        <v>206725</v>
      </c>
      <c r="AM142" s="239">
        <v>206726</v>
      </c>
      <c r="AN142" s="239">
        <v>0</v>
      </c>
      <c r="AO142" s="239">
        <v>0</v>
      </c>
      <c r="AP142" s="239">
        <v>413451</v>
      </c>
      <c r="AQ142" s="239">
        <v>-195890</v>
      </c>
      <c r="AR142" s="239">
        <v>-195891</v>
      </c>
      <c r="AS142" s="239">
        <v>0</v>
      </c>
      <c r="AT142" s="239">
        <v>0</v>
      </c>
      <c r="AU142" s="239">
        <v>-391781</v>
      </c>
      <c r="AV142" s="239">
        <v>-223566</v>
      </c>
      <c r="AW142" s="239">
        <v>-223566</v>
      </c>
      <c r="AX142" s="239">
        <v>0</v>
      </c>
      <c r="AY142" s="239">
        <v>0</v>
      </c>
      <c r="AZ142" s="239">
        <v>-447132</v>
      </c>
      <c r="BA142" s="239">
        <v>-2199033</v>
      </c>
      <c r="BB142" s="239">
        <v>-2199035</v>
      </c>
      <c r="BC142" s="239">
        <v>0</v>
      </c>
      <c r="BD142" s="239">
        <v>0</v>
      </c>
      <c r="BE142" s="239">
        <v>-4398068</v>
      </c>
      <c r="BF142" s="239">
        <v>513867</v>
      </c>
      <c r="BG142" s="239">
        <v>513867</v>
      </c>
      <c r="BH142" s="239">
        <v>0</v>
      </c>
      <c r="BI142" s="239">
        <v>0</v>
      </c>
      <c r="BJ142" s="239">
        <v>1027734</v>
      </c>
      <c r="BK142" s="239">
        <v>-375427</v>
      </c>
      <c r="BL142" s="239">
        <v>-375427</v>
      </c>
      <c r="BM142" s="239">
        <v>0</v>
      </c>
      <c r="BN142" s="239">
        <v>0</v>
      </c>
      <c r="BO142" s="239">
        <v>-750854</v>
      </c>
      <c r="BP142" s="239">
        <v>-2060593</v>
      </c>
      <c r="BQ142" s="239">
        <v>-2060595</v>
      </c>
      <c r="BR142" s="239">
        <v>0</v>
      </c>
      <c r="BS142" s="239">
        <v>0</v>
      </c>
      <c r="BT142" s="239">
        <v>-4121188</v>
      </c>
      <c r="BU142" s="239">
        <v>-2292530</v>
      </c>
      <c r="BV142" s="239">
        <v>-2292530</v>
      </c>
      <c r="BW142" s="239">
        <v>0</v>
      </c>
      <c r="BX142" s="239">
        <v>0</v>
      </c>
      <c r="BY142" s="239">
        <v>-4585060</v>
      </c>
      <c r="BZ142" s="239">
        <v>-2032850</v>
      </c>
      <c r="CA142" s="239">
        <v>-2032850</v>
      </c>
      <c r="CB142" s="239">
        <v>0</v>
      </c>
      <c r="CC142" s="239">
        <v>0</v>
      </c>
      <c r="CD142" s="239">
        <v>-4065700</v>
      </c>
      <c r="CE142" s="239">
        <v>-259680</v>
      </c>
      <c r="CF142" s="239">
        <v>-259680</v>
      </c>
      <c r="CG142" s="239">
        <v>0</v>
      </c>
      <c r="CH142" s="239">
        <v>0</v>
      </c>
      <c r="CI142" s="239">
        <v>-519360</v>
      </c>
      <c r="CJ142" s="239">
        <v>17815778</v>
      </c>
      <c r="CK142" s="239">
        <v>17815778</v>
      </c>
      <c r="CL142" s="239">
        <v>0</v>
      </c>
      <c r="CM142" s="239">
        <v>0</v>
      </c>
      <c r="CN142" s="239">
        <v>35631556</v>
      </c>
      <c r="CO142" s="239">
        <v>17354948</v>
      </c>
      <c r="CP142" s="239">
        <v>17354948</v>
      </c>
      <c r="CQ142" s="239">
        <v>0</v>
      </c>
      <c r="CR142" s="239">
        <v>0</v>
      </c>
      <c r="CS142" s="239">
        <v>34709896</v>
      </c>
      <c r="CT142" s="239">
        <v>-460830</v>
      </c>
      <c r="CU142" s="239">
        <v>-460830</v>
      </c>
      <c r="CV142" s="239">
        <v>0</v>
      </c>
      <c r="CW142" s="239">
        <v>0</v>
      </c>
      <c r="CX142" s="239">
        <v>-921660</v>
      </c>
      <c r="CY142" s="239">
        <v>-720510</v>
      </c>
      <c r="CZ142" s="239">
        <v>-720510</v>
      </c>
      <c r="DA142" s="239">
        <v>0</v>
      </c>
      <c r="DB142" s="239">
        <v>0</v>
      </c>
      <c r="DC142" s="239">
        <v>-1441020</v>
      </c>
      <c r="DD142" s="641">
        <v>0.5</v>
      </c>
      <c r="DE142" s="641">
        <v>0.5</v>
      </c>
      <c r="DF142" s="641">
        <v>0</v>
      </c>
      <c r="DG142" s="641">
        <v>0</v>
      </c>
      <c r="DH142" s="641">
        <v>1</v>
      </c>
      <c r="DI142" s="214" t="s">
        <v>747</v>
      </c>
    </row>
    <row r="143" spans="2:113" s="214" customFormat="1" x14ac:dyDescent="0.2">
      <c r="B143" s="609" t="s">
        <v>368</v>
      </c>
      <c r="C143" s="609" t="s">
        <v>367</v>
      </c>
      <c r="D143" s="239">
        <v>719656</v>
      </c>
      <c r="E143" s="239">
        <v>719656</v>
      </c>
      <c r="F143" s="239">
        <v>0</v>
      </c>
      <c r="G143" s="239">
        <v>0</v>
      </c>
      <c r="H143" s="239">
        <v>1439312</v>
      </c>
      <c r="I143" s="239">
        <v>0</v>
      </c>
      <c r="J143" s="239">
        <v>0</v>
      </c>
      <c r="K143" s="239">
        <v>719656</v>
      </c>
      <c r="L143" s="239">
        <v>24540</v>
      </c>
      <c r="M143" s="239">
        <v>24540</v>
      </c>
      <c r="N143" s="239">
        <v>0</v>
      </c>
      <c r="O143" s="239">
        <v>0</v>
      </c>
      <c r="P143" s="239">
        <v>0</v>
      </c>
      <c r="Q143" s="239">
        <v>0</v>
      </c>
      <c r="R143" s="239">
        <v>0</v>
      </c>
      <c r="S143" s="239">
        <v>0</v>
      </c>
      <c r="T143" s="239">
        <v>0</v>
      </c>
      <c r="U143" s="239">
        <v>0</v>
      </c>
      <c r="V143" s="239">
        <v>0</v>
      </c>
      <c r="W143" s="239">
        <v>31362</v>
      </c>
      <c r="X143" s="239">
        <v>31363</v>
      </c>
      <c r="Y143" s="239">
        <v>0</v>
      </c>
      <c r="Z143" s="239">
        <v>0</v>
      </c>
      <c r="AA143" s="239">
        <v>62725</v>
      </c>
      <c r="AB143" s="239">
        <v>-14606</v>
      </c>
      <c r="AC143" s="239">
        <v>-14607</v>
      </c>
      <c r="AD143" s="239">
        <v>0</v>
      </c>
      <c r="AE143" s="239">
        <v>0</v>
      </c>
      <c r="AF143" s="239">
        <v>-29213</v>
      </c>
      <c r="AG143" s="239">
        <v>-11066</v>
      </c>
      <c r="AH143" s="239">
        <v>-11066</v>
      </c>
      <c r="AI143" s="239">
        <v>0</v>
      </c>
      <c r="AJ143" s="239">
        <v>0</v>
      </c>
      <c r="AK143" s="239">
        <v>-22132</v>
      </c>
      <c r="AL143" s="239">
        <v>0</v>
      </c>
      <c r="AM143" s="239">
        <v>0</v>
      </c>
      <c r="AN143" s="239">
        <v>0</v>
      </c>
      <c r="AO143" s="239">
        <v>0</v>
      </c>
      <c r="AP143" s="239">
        <v>0</v>
      </c>
      <c r="AQ143" s="239">
        <v>-12960</v>
      </c>
      <c r="AR143" s="239">
        <v>-12960</v>
      </c>
      <c r="AS143" s="239">
        <v>0</v>
      </c>
      <c r="AT143" s="239">
        <v>0</v>
      </c>
      <c r="AU143" s="239">
        <v>-25920</v>
      </c>
      <c r="AV143" s="239">
        <v>-24026</v>
      </c>
      <c r="AW143" s="239">
        <v>-24026</v>
      </c>
      <c r="AX143" s="239">
        <v>0</v>
      </c>
      <c r="AY143" s="239">
        <v>0</v>
      </c>
      <c r="AZ143" s="239">
        <v>-48052</v>
      </c>
      <c r="BA143" s="239">
        <v>-55102</v>
      </c>
      <c r="BB143" s="239">
        <v>-55103</v>
      </c>
      <c r="BC143" s="239">
        <v>0</v>
      </c>
      <c r="BD143" s="239">
        <v>0</v>
      </c>
      <c r="BE143" s="239">
        <v>-110205</v>
      </c>
      <c r="BF143" s="239">
        <v>0</v>
      </c>
      <c r="BG143" s="239">
        <v>0</v>
      </c>
      <c r="BH143" s="239">
        <v>0</v>
      </c>
      <c r="BI143" s="239">
        <v>0</v>
      </c>
      <c r="BJ143" s="239">
        <v>0</v>
      </c>
      <c r="BK143" s="239">
        <v>-1637</v>
      </c>
      <c r="BL143" s="239">
        <v>-1637</v>
      </c>
      <c r="BM143" s="239">
        <v>0</v>
      </c>
      <c r="BN143" s="239">
        <v>0</v>
      </c>
      <c r="BO143" s="239">
        <v>-3274</v>
      </c>
      <c r="BP143" s="239">
        <v>-56739</v>
      </c>
      <c r="BQ143" s="239">
        <v>-56740</v>
      </c>
      <c r="BR143" s="239">
        <v>0</v>
      </c>
      <c r="BS143" s="239">
        <v>0</v>
      </c>
      <c r="BT143" s="239">
        <v>-113479</v>
      </c>
      <c r="BU143" s="239">
        <v>-198489</v>
      </c>
      <c r="BV143" s="239">
        <v>-198490</v>
      </c>
      <c r="BW143" s="239">
        <v>0</v>
      </c>
      <c r="BX143" s="239">
        <v>0</v>
      </c>
      <c r="BY143" s="239">
        <v>-396979</v>
      </c>
      <c r="BZ143" s="239">
        <v>-26560</v>
      </c>
      <c r="CA143" s="239">
        <v>-26561</v>
      </c>
      <c r="CB143" s="239">
        <v>0</v>
      </c>
      <c r="CC143" s="239">
        <v>0</v>
      </c>
      <c r="CD143" s="239">
        <v>-53121</v>
      </c>
      <c r="CE143" s="239">
        <v>-171929</v>
      </c>
      <c r="CF143" s="239">
        <v>-171929</v>
      </c>
      <c r="CG143" s="239">
        <v>0</v>
      </c>
      <c r="CH143" s="239">
        <v>0</v>
      </c>
      <c r="CI143" s="239">
        <v>-343858</v>
      </c>
      <c r="CJ143" s="239">
        <v>839420</v>
      </c>
      <c r="CK143" s="239">
        <v>839421</v>
      </c>
      <c r="CL143" s="239">
        <v>0</v>
      </c>
      <c r="CM143" s="239">
        <v>0</v>
      </c>
      <c r="CN143" s="239">
        <v>1678841</v>
      </c>
      <c r="CO143" s="239">
        <v>719656</v>
      </c>
      <c r="CP143" s="239">
        <v>719656</v>
      </c>
      <c r="CQ143" s="239">
        <v>0</v>
      </c>
      <c r="CR143" s="239">
        <v>0</v>
      </c>
      <c r="CS143" s="239">
        <v>1439312</v>
      </c>
      <c r="CT143" s="239">
        <v>-119764</v>
      </c>
      <c r="CU143" s="239">
        <v>-119765</v>
      </c>
      <c r="CV143" s="239">
        <v>0</v>
      </c>
      <c r="CW143" s="239">
        <v>0</v>
      </c>
      <c r="CX143" s="239">
        <v>-239529</v>
      </c>
      <c r="CY143" s="239">
        <v>-291693</v>
      </c>
      <c r="CZ143" s="239">
        <v>-291694</v>
      </c>
      <c r="DA143" s="239">
        <v>0</v>
      </c>
      <c r="DB143" s="239">
        <v>0</v>
      </c>
      <c r="DC143" s="239">
        <v>-583387</v>
      </c>
      <c r="DD143" s="641">
        <v>0.5</v>
      </c>
      <c r="DE143" s="641">
        <v>0.5</v>
      </c>
      <c r="DF143" s="641">
        <v>0</v>
      </c>
      <c r="DG143" s="641">
        <v>0</v>
      </c>
      <c r="DH143" s="641">
        <v>1</v>
      </c>
      <c r="DI143" s="214" t="s">
        <v>747</v>
      </c>
    </row>
    <row r="144" spans="2:113" s="214" customFormat="1" x14ac:dyDescent="0.2">
      <c r="B144" s="609" t="s">
        <v>370</v>
      </c>
      <c r="C144" s="609" t="s">
        <v>369</v>
      </c>
      <c r="D144" s="239">
        <v>99449922</v>
      </c>
      <c r="E144" s="239">
        <v>59669953</v>
      </c>
      <c r="F144" s="239">
        <v>39779969</v>
      </c>
      <c r="G144" s="239">
        <v>0</v>
      </c>
      <c r="H144" s="239">
        <v>198899844</v>
      </c>
      <c r="I144" s="239">
        <v>0</v>
      </c>
      <c r="J144" s="239">
        <v>0</v>
      </c>
      <c r="K144" s="239">
        <v>99449922</v>
      </c>
      <c r="L144" s="239">
        <v>644084</v>
      </c>
      <c r="M144" s="239">
        <v>644084</v>
      </c>
      <c r="N144" s="239">
        <v>0</v>
      </c>
      <c r="O144" s="239">
        <v>0</v>
      </c>
      <c r="P144" s="239">
        <v>62040</v>
      </c>
      <c r="Q144" s="239">
        <v>0</v>
      </c>
      <c r="R144" s="239">
        <v>62040</v>
      </c>
      <c r="S144" s="239">
        <v>0</v>
      </c>
      <c r="T144" s="239">
        <v>0</v>
      </c>
      <c r="U144" s="239">
        <v>0</v>
      </c>
      <c r="V144" s="239">
        <v>0</v>
      </c>
      <c r="W144" s="239">
        <v>9439734</v>
      </c>
      <c r="X144" s="239">
        <v>5663840</v>
      </c>
      <c r="Y144" s="239">
        <v>3775894</v>
      </c>
      <c r="Z144" s="239">
        <v>0</v>
      </c>
      <c r="AA144" s="239">
        <v>18879468</v>
      </c>
      <c r="AB144" s="239">
        <v>-6866204</v>
      </c>
      <c r="AC144" s="239">
        <v>-4119722</v>
      </c>
      <c r="AD144" s="239">
        <v>-2746481</v>
      </c>
      <c r="AE144" s="239">
        <v>0</v>
      </c>
      <c r="AF144" s="239">
        <v>-13732407</v>
      </c>
      <c r="AG144" s="239">
        <v>-7648760.5999999996</v>
      </c>
      <c r="AH144" s="239">
        <v>-4589254</v>
      </c>
      <c r="AI144" s="239">
        <v>-3059503</v>
      </c>
      <c r="AJ144" s="239">
        <v>0</v>
      </c>
      <c r="AK144" s="239">
        <v>-15297517</v>
      </c>
      <c r="AL144" s="239">
        <v>1009152</v>
      </c>
      <c r="AM144" s="239">
        <v>605492</v>
      </c>
      <c r="AN144" s="239">
        <v>403661</v>
      </c>
      <c r="AO144" s="239">
        <v>0</v>
      </c>
      <c r="AP144" s="239">
        <v>2018305</v>
      </c>
      <c r="AQ144" s="239">
        <v>-1293511</v>
      </c>
      <c r="AR144" s="239">
        <v>-776106</v>
      </c>
      <c r="AS144" s="239">
        <v>-517404</v>
      </c>
      <c r="AT144" s="239">
        <v>0</v>
      </c>
      <c r="AU144" s="239">
        <v>-2587021</v>
      </c>
      <c r="AV144" s="239">
        <v>-7933119.5999999996</v>
      </c>
      <c r="AW144" s="239">
        <v>-4759868</v>
      </c>
      <c r="AX144" s="239">
        <v>-3173246</v>
      </c>
      <c r="AY144" s="239">
        <v>0</v>
      </c>
      <c r="AZ144" s="239">
        <v>-15866233</v>
      </c>
      <c r="BA144" s="239">
        <v>-7627509</v>
      </c>
      <c r="BB144" s="239">
        <v>-4576505</v>
      </c>
      <c r="BC144" s="239">
        <v>-3051002</v>
      </c>
      <c r="BD144" s="239">
        <v>0</v>
      </c>
      <c r="BE144" s="239">
        <v>-15255016</v>
      </c>
      <c r="BF144" s="239">
        <v>3403829</v>
      </c>
      <c r="BG144" s="239">
        <v>2042297</v>
      </c>
      <c r="BH144" s="239">
        <v>1361532</v>
      </c>
      <c r="BI144" s="239">
        <v>0</v>
      </c>
      <c r="BJ144" s="239">
        <v>6807658</v>
      </c>
      <c r="BK144" s="239">
        <v>-5698109</v>
      </c>
      <c r="BL144" s="239">
        <v>-3418866</v>
      </c>
      <c r="BM144" s="239">
        <v>-2279244</v>
      </c>
      <c r="BN144" s="239">
        <v>0</v>
      </c>
      <c r="BO144" s="239">
        <v>-11396219</v>
      </c>
      <c r="BP144" s="239">
        <v>-9921789</v>
      </c>
      <c r="BQ144" s="239">
        <v>-5953074</v>
      </c>
      <c r="BR144" s="239">
        <v>-3968714</v>
      </c>
      <c r="BS144" s="239">
        <v>0</v>
      </c>
      <c r="BT144" s="239">
        <v>-19843577</v>
      </c>
      <c r="BU144" s="239">
        <v>-3748</v>
      </c>
      <c r="BV144" s="239">
        <v>-2249</v>
      </c>
      <c r="BW144" s="239">
        <v>-1499</v>
      </c>
      <c r="BX144" s="239">
        <v>0</v>
      </c>
      <c r="BY144" s="239">
        <v>-7496</v>
      </c>
      <c r="BZ144" s="239">
        <v>0</v>
      </c>
      <c r="CA144" s="239">
        <v>0</v>
      </c>
      <c r="CB144" s="239">
        <v>0</v>
      </c>
      <c r="CC144" s="239">
        <v>0</v>
      </c>
      <c r="CD144" s="239">
        <v>0</v>
      </c>
      <c r="CE144" s="239">
        <v>-3748</v>
      </c>
      <c r="CF144" s="239">
        <v>-2249</v>
      </c>
      <c r="CG144" s="239">
        <v>-1499</v>
      </c>
      <c r="CH144" s="239">
        <v>0</v>
      </c>
      <c r="CI144" s="239">
        <v>-7496</v>
      </c>
      <c r="CJ144" s="239">
        <v>96267002</v>
      </c>
      <c r="CK144" s="239">
        <v>57760202</v>
      </c>
      <c r="CL144" s="239">
        <v>38506801</v>
      </c>
      <c r="CM144" s="239">
        <v>0</v>
      </c>
      <c r="CN144" s="239">
        <v>192534005</v>
      </c>
      <c r="CO144" s="239">
        <v>99449922</v>
      </c>
      <c r="CP144" s="239">
        <v>59669953</v>
      </c>
      <c r="CQ144" s="239">
        <v>39779969</v>
      </c>
      <c r="CR144" s="239">
        <v>0</v>
      </c>
      <c r="CS144" s="239">
        <v>198899844</v>
      </c>
      <c r="CT144" s="239">
        <v>3182920</v>
      </c>
      <c r="CU144" s="239">
        <v>1909751</v>
      </c>
      <c r="CV144" s="239">
        <v>1273168</v>
      </c>
      <c r="CW144" s="239">
        <v>0</v>
      </c>
      <c r="CX144" s="239">
        <v>6365839</v>
      </c>
      <c r="CY144" s="239">
        <v>3179172</v>
      </c>
      <c r="CZ144" s="239">
        <v>1907502</v>
      </c>
      <c r="DA144" s="239">
        <v>1271669</v>
      </c>
      <c r="DB144" s="239">
        <v>0</v>
      </c>
      <c r="DC144" s="239">
        <v>6358343</v>
      </c>
      <c r="DD144" s="641">
        <v>0.5</v>
      </c>
      <c r="DE144" s="641">
        <v>0.3</v>
      </c>
      <c r="DF144" s="641">
        <v>0.2</v>
      </c>
      <c r="DG144" s="641">
        <v>0</v>
      </c>
      <c r="DH144" s="641">
        <v>1</v>
      </c>
      <c r="DI144" s="214" t="s">
        <v>1193</v>
      </c>
    </row>
    <row r="145" spans="2:113" s="214" customFormat="1" x14ac:dyDescent="0.2">
      <c r="B145" s="609" t="s">
        <v>372</v>
      </c>
      <c r="C145" s="609" t="s">
        <v>371</v>
      </c>
      <c r="D145" s="239">
        <v>140104223</v>
      </c>
      <c r="E145" s="239">
        <v>84062534</v>
      </c>
      <c r="F145" s="239">
        <v>56041689</v>
      </c>
      <c r="G145" s="239">
        <v>0</v>
      </c>
      <c r="H145" s="239">
        <v>280208446</v>
      </c>
      <c r="I145" s="239">
        <v>0</v>
      </c>
      <c r="J145" s="239">
        <v>0</v>
      </c>
      <c r="K145" s="239">
        <v>140104223</v>
      </c>
      <c r="L145" s="239">
        <v>606852</v>
      </c>
      <c r="M145" s="239">
        <v>606852</v>
      </c>
      <c r="N145" s="239">
        <v>0</v>
      </c>
      <c r="O145" s="239">
        <v>0</v>
      </c>
      <c r="P145" s="239">
        <v>0</v>
      </c>
      <c r="Q145" s="239">
        <v>0</v>
      </c>
      <c r="R145" s="239">
        <v>0</v>
      </c>
      <c r="S145" s="239">
        <v>0</v>
      </c>
      <c r="T145" s="239">
        <v>0</v>
      </c>
      <c r="U145" s="239">
        <v>0</v>
      </c>
      <c r="V145" s="239">
        <v>0</v>
      </c>
      <c r="W145" s="239">
        <v>4263778</v>
      </c>
      <c r="X145" s="239">
        <v>2558267</v>
      </c>
      <c r="Y145" s="239">
        <v>1705511</v>
      </c>
      <c r="Z145" s="239">
        <v>0</v>
      </c>
      <c r="AA145" s="239">
        <v>8527556</v>
      </c>
      <c r="AB145" s="239">
        <v>-3843876</v>
      </c>
      <c r="AC145" s="239">
        <v>-2306325</v>
      </c>
      <c r="AD145" s="239">
        <v>-1537550</v>
      </c>
      <c r="AE145" s="239">
        <v>0</v>
      </c>
      <c r="AF145" s="239">
        <v>-7687751</v>
      </c>
      <c r="AG145" s="239">
        <v>-1454051</v>
      </c>
      <c r="AH145" s="239">
        <v>-872431</v>
      </c>
      <c r="AI145" s="239">
        <v>-581621</v>
      </c>
      <c r="AJ145" s="239">
        <v>0</v>
      </c>
      <c r="AK145" s="239">
        <v>-2908103</v>
      </c>
      <c r="AL145" s="239">
        <v>986438</v>
      </c>
      <c r="AM145" s="239">
        <v>591863</v>
      </c>
      <c r="AN145" s="239">
        <v>394575</v>
      </c>
      <c r="AO145" s="239">
        <v>0</v>
      </c>
      <c r="AP145" s="239">
        <v>1972876</v>
      </c>
      <c r="AQ145" s="239">
        <v>-1213216</v>
      </c>
      <c r="AR145" s="239">
        <v>-727930</v>
      </c>
      <c r="AS145" s="239">
        <v>-485286</v>
      </c>
      <c r="AT145" s="239">
        <v>0</v>
      </c>
      <c r="AU145" s="239">
        <v>-2426432</v>
      </c>
      <c r="AV145" s="239">
        <v>-1680829</v>
      </c>
      <c r="AW145" s="239">
        <v>-1008498</v>
      </c>
      <c r="AX145" s="239">
        <v>-672332</v>
      </c>
      <c r="AY145" s="239">
        <v>0</v>
      </c>
      <c r="AZ145" s="239">
        <v>-3361659</v>
      </c>
      <c r="BA145" s="239">
        <v>-11258644.199999999</v>
      </c>
      <c r="BB145" s="239">
        <v>-6755187</v>
      </c>
      <c r="BC145" s="239">
        <v>-4503457</v>
      </c>
      <c r="BD145" s="239">
        <v>0</v>
      </c>
      <c r="BE145" s="239">
        <v>-22517288</v>
      </c>
      <c r="BF145" s="239">
        <v>4124484</v>
      </c>
      <c r="BG145" s="239">
        <v>2474690</v>
      </c>
      <c r="BH145" s="239">
        <v>1649794</v>
      </c>
      <c r="BI145" s="239">
        <v>0</v>
      </c>
      <c r="BJ145" s="239">
        <v>8248968</v>
      </c>
      <c r="BK145" s="239">
        <v>-4922421</v>
      </c>
      <c r="BL145" s="239">
        <v>-2953452</v>
      </c>
      <c r="BM145" s="239">
        <v>-1968968</v>
      </c>
      <c r="BN145" s="239">
        <v>0</v>
      </c>
      <c r="BO145" s="239">
        <v>-9844841</v>
      </c>
      <c r="BP145" s="239">
        <v>-12056581.199999999</v>
      </c>
      <c r="BQ145" s="239">
        <v>-7233949</v>
      </c>
      <c r="BR145" s="239">
        <v>-4822631</v>
      </c>
      <c r="BS145" s="239">
        <v>0</v>
      </c>
      <c r="BT145" s="239">
        <v>-24113161</v>
      </c>
      <c r="BU145" s="239">
        <v>-3688846</v>
      </c>
      <c r="BV145" s="239">
        <v>-2213308</v>
      </c>
      <c r="BW145" s="239">
        <v>-1475539</v>
      </c>
      <c r="BX145" s="239">
        <v>0</v>
      </c>
      <c r="BY145" s="239">
        <v>-7377693</v>
      </c>
      <c r="BZ145" s="239">
        <v>0</v>
      </c>
      <c r="CA145" s="239">
        <v>0</v>
      </c>
      <c r="CB145" s="239">
        <v>0</v>
      </c>
      <c r="CC145" s="239">
        <v>0</v>
      </c>
      <c r="CD145" s="239">
        <v>0</v>
      </c>
      <c r="CE145" s="239">
        <v>-3688846</v>
      </c>
      <c r="CF145" s="239">
        <v>-2213308</v>
      </c>
      <c r="CG145" s="239">
        <v>-1475539</v>
      </c>
      <c r="CH145" s="239">
        <v>0</v>
      </c>
      <c r="CI145" s="239">
        <v>-7377693</v>
      </c>
      <c r="CJ145" s="239">
        <v>136998559</v>
      </c>
      <c r="CK145" s="239">
        <v>82199136</v>
      </c>
      <c r="CL145" s="239">
        <v>54799424</v>
      </c>
      <c r="CM145" s="239">
        <v>0</v>
      </c>
      <c r="CN145" s="239">
        <v>273997119</v>
      </c>
      <c r="CO145" s="239">
        <v>140104223</v>
      </c>
      <c r="CP145" s="239">
        <v>84062534</v>
      </c>
      <c r="CQ145" s="239">
        <v>56041689</v>
      </c>
      <c r="CR145" s="239">
        <v>0</v>
      </c>
      <c r="CS145" s="239">
        <v>280208446</v>
      </c>
      <c r="CT145" s="239">
        <v>3105664</v>
      </c>
      <c r="CU145" s="239">
        <v>1863398</v>
      </c>
      <c r="CV145" s="239">
        <v>1242265</v>
      </c>
      <c r="CW145" s="239">
        <v>0</v>
      </c>
      <c r="CX145" s="239">
        <v>6211327</v>
      </c>
      <c r="CY145" s="239">
        <v>-583182</v>
      </c>
      <c r="CZ145" s="239">
        <v>-349910</v>
      </c>
      <c r="DA145" s="239">
        <v>-233274</v>
      </c>
      <c r="DB145" s="239">
        <v>0</v>
      </c>
      <c r="DC145" s="239">
        <v>-1166366</v>
      </c>
      <c r="DD145" s="641">
        <v>0.5</v>
      </c>
      <c r="DE145" s="641">
        <v>0.3</v>
      </c>
      <c r="DF145" s="641">
        <v>0.2</v>
      </c>
      <c r="DG145" s="641">
        <v>0</v>
      </c>
      <c r="DH145" s="641">
        <v>1</v>
      </c>
      <c r="DI145" s="214" t="s">
        <v>1193</v>
      </c>
    </row>
    <row r="146" spans="2:113" s="214" customFormat="1" x14ac:dyDescent="0.2">
      <c r="B146" s="609" t="s">
        <v>374</v>
      </c>
      <c r="C146" s="609" t="s">
        <v>373</v>
      </c>
      <c r="D146" s="239">
        <v>15240924</v>
      </c>
      <c r="E146" s="239">
        <v>12192740</v>
      </c>
      <c r="F146" s="239">
        <v>3048185</v>
      </c>
      <c r="G146" s="239">
        <v>0</v>
      </c>
      <c r="H146" s="239">
        <v>30481849</v>
      </c>
      <c r="I146" s="239">
        <v>0</v>
      </c>
      <c r="J146" s="239">
        <v>0</v>
      </c>
      <c r="K146" s="239">
        <v>15240924</v>
      </c>
      <c r="L146" s="239">
        <v>112507</v>
      </c>
      <c r="M146" s="239">
        <v>112507</v>
      </c>
      <c r="N146" s="239">
        <v>0</v>
      </c>
      <c r="O146" s="239">
        <v>0</v>
      </c>
      <c r="P146" s="239">
        <v>296709</v>
      </c>
      <c r="Q146" s="239">
        <v>0</v>
      </c>
      <c r="R146" s="239">
        <v>296709</v>
      </c>
      <c r="S146" s="239">
        <v>0</v>
      </c>
      <c r="T146" s="239">
        <v>0</v>
      </c>
      <c r="U146" s="239">
        <v>0</v>
      </c>
      <c r="V146" s="239">
        <v>0</v>
      </c>
      <c r="W146" s="239">
        <v>184213</v>
      </c>
      <c r="X146" s="239">
        <v>147371</v>
      </c>
      <c r="Y146" s="239">
        <v>36843</v>
      </c>
      <c r="Z146" s="239">
        <v>0</v>
      </c>
      <c r="AA146" s="239">
        <v>368427</v>
      </c>
      <c r="AB146" s="239">
        <v>-424913</v>
      </c>
      <c r="AC146" s="239">
        <v>-339931</v>
      </c>
      <c r="AD146" s="239">
        <v>-84983</v>
      </c>
      <c r="AE146" s="239">
        <v>0</v>
      </c>
      <c r="AF146" s="239">
        <v>-849827</v>
      </c>
      <c r="AG146" s="239">
        <v>-67130</v>
      </c>
      <c r="AH146" s="239">
        <v>-53702</v>
      </c>
      <c r="AI146" s="239">
        <v>-13425</v>
      </c>
      <c r="AJ146" s="239">
        <v>0</v>
      </c>
      <c r="AK146" s="239">
        <v>-134257</v>
      </c>
      <c r="AL146" s="239">
        <v>44511</v>
      </c>
      <c r="AM146" s="239">
        <v>35609</v>
      </c>
      <c r="AN146" s="239">
        <v>8902</v>
      </c>
      <c r="AO146" s="239">
        <v>0</v>
      </c>
      <c r="AP146" s="239">
        <v>89022</v>
      </c>
      <c r="AQ146" s="239">
        <v>-29165</v>
      </c>
      <c r="AR146" s="239">
        <v>-23332</v>
      </c>
      <c r="AS146" s="239">
        <v>-5833</v>
      </c>
      <c r="AT146" s="239">
        <v>0</v>
      </c>
      <c r="AU146" s="239">
        <v>-58330</v>
      </c>
      <c r="AV146" s="239">
        <v>-51784</v>
      </c>
      <c r="AW146" s="239">
        <v>-41425</v>
      </c>
      <c r="AX146" s="239">
        <v>-10356</v>
      </c>
      <c r="AY146" s="239">
        <v>0</v>
      </c>
      <c r="AZ146" s="239">
        <v>-103565</v>
      </c>
      <c r="BA146" s="239">
        <v>-1525563</v>
      </c>
      <c r="BB146" s="239">
        <v>-1220450</v>
      </c>
      <c r="BC146" s="239">
        <v>-305112</v>
      </c>
      <c r="BD146" s="239">
        <v>0</v>
      </c>
      <c r="BE146" s="239">
        <v>-3051125</v>
      </c>
      <c r="BF146" s="239">
        <v>951089</v>
      </c>
      <c r="BG146" s="239">
        <v>760871</v>
      </c>
      <c r="BH146" s="239">
        <v>190218</v>
      </c>
      <c r="BI146" s="239">
        <v>0</v>
      </c>
      <c r="BJ146" s="239">
        <v>1902178</v>
      </c>
      <c r="BK146" s="239">
        <v>-1192547</v>
      </c>
      <c r="BL146" s="239">
        <v>-954037</v>
      </c>
      <c r="BM146" s="239">
        <v>-238509</v>
      </c>
      <c r="BN146" s="239">
        <v>0</v>
      </c>
      <c r="BO146" s="239">
        <v>-2385093</v>
      </c>
      <c r="BP146" s="239">
        <v>-1767021</v>
      </c>
      <c r="BQ146" s="239">
        <v>-1413616</v>
      </c>
      <c r="BR146" s="239">
        <v>-353403</v>
      </c>
      <c r="BS146" s="239">
        <v>0</v>
      </c>
      <c r="BT146" s="239">
        <v>-3534040</v>
      </c>
      <c r="BU146" s="239">
        <v>-971683</v>
      </c>
      <c r="BV146" s="239">
        <v>-777346</v>
      </c>
      <c r="BW146" s="239">
        <v>-194337</v>
      </c>
      <c r="BX146" s="239">
        <v>0</v>
      </c>
      <c r="BY146" s="239">
        <v>-1943366</v>
      </c>
      <c r="BZ146" s="239">
        <v>-647885</v>
      </c>
      <c r="CA146" s="239">
        <v>-518308</v>
      </c>
      <c r="CB146" s="239">
        <v>-129577</v>
      </c>
      <c r="CC146" s="239">
        <v>0</v>
      </c>
      <c r="CD146" s="239">
        <v>-1295770</v>
      </c>
      <c r="CE146" s="239">
        <v>-323798</v>
      </c>
      <c r="CF146" s="239">
        <v>-259038</v>
      </c>
      <c r="CG146" s="239">
        <v>-64760</v>
      </c>
      <c r="CH146" s="239">
        <v>0</v>
      </c>
      <c r="CI146" s="239">
        <v>-647596</v>
      </c>
      <c r="CJ146" s="239">
        <v>16358312</v>
      </c>
      <c r="CK146" s="239">
        <v>13086650</v>
      </c>
      <c r="CL146" s="239">
        <v>3271662</v>
      </c>
      <c r="CM146" s="239">
        <v>0</v>
      </c>
      <c r="CN146" s="239">
        <v>32716624</v>
      </c>
      <c r="CO146" s="239">
        <v>15240924</v>
      </c>
      <c r="CP146" s="239">
        <v>12192740</v>
      </c>
      <c r="CQ146" s="239">
        <v>3048185</v>
      </c>
      <c r="CR146" s="239">
        <v>0</v>
      </c>
      <c r="CS146" s="239">
        <v>30481849</v>
      </c>
      <c r="CT146" s="239">
        <v>-1117388</v>
      </c>
      <c r="CU146" s="239">
        <v>-893910</v>
      </c>
      <c r="CV146" s="239">
        <v>-223477</v>
      </c>
      <c r="CW146" s="239">
        <v>0</v>
      </c>
      <c r="CX146" s="239">
        <v>-2234775</v>
      </c>
      <c r="CY146" s="239">
        <v>-1441186</v>
      </c>
      <c r="CZ146" s="239">
        <v>-1152948</v>
      </c>
      <c r="DA146" s="239">
        <v>-288237</v>
      </c>
      <c r="DB146" s="239">
        <v>0</v>
      </c>
      <c r="DC146" s="239">
        <v>-2882371</v>
      </c>
      <c r="DD146" s="641">
        <v>0.5</v>
      </c>
      <c r="DE146" s="641">
        <v>0.4</v>
      </c>
      <c r="DF146" s="641">
        <v>0.1</v>
      </c>
      <c r="DG146" s="641">
        <v>0</v>
      </c>
      <c r="DH146" s="641">
        <v>1</v>
      </c>
      <c r="DI146" s="214" t="s">
        <v>1190</v>
      </c>
    </row>
    <row r="147" spans="2:113" s="214" customFormat="1" x14ac:dyDescent="0.2">
      <c r="B147" s="609" t="s">
        <v>376</v>
      </c>
      <c r="C147" s="609" t="s">
        <v>375</v>
      </c>
      <c r="D147" s="239">
        <v>23063685</v>
      </c>
      <c r="E147" s="239">
        <v>18450948</v>
      </c>
      <c r="F147" s="239">
        <v>4612737</v>
      </c>
      <c r="G147" s="239">
        <v>0</v>
      </c>
      <c r="H147" s="239">
        <v>46127370</v>
      </c>
      <c r="I147" s="239">
        <v>72547.27892561983</v>
      </c>
      <c r="J147" s="239">
        <v>72547.27892561983</v>
      </c>
      <c r="K147" s="239">
        <v>22991137.72107438</v>
      </c>
      <c r="L147" s="239">
        <v>220920</v>
      </c>
      <c r="M147" s="239">
        <v>220920</v>
      </c>
      <c r="N147" s="239">
        <v>0</v>
      </c>
      <c r="O147" s="239">
        <v>0</v>
      </c>
      <c r="P147" s="239">
        <v>1170715</v>
      </c>
      <c r="Q147" s="239">
        <v>0</v>
      </c>
      <c r="R147" s="239">
        <v>1170715</v>
      </c>
      <c r="S147" s="239">
        <v>72547.27892561983</v>
      </c>
      <c r="T147" s="239">
        <v>0</v>
      </c>
      <c r="U147" s="239">
        <v>0</v>
      </c>
      <c r="V147" s="239">
        <v>72547.27892561983</v>
      </c>
      <c r="W147" s="239">
        <v>519575</v>
      </c>
      <c r="X147" s="239">
        <v>415660</v>
      </c>
      <c r="Y147" s="239">
        <v>103915</v>
      </c>
      <c r="Z147" s="239">
        <v>0</v>
      </c>
      <c r="AA147" s="239">
        <v>1039150</v>
      </c>
      <c r="AB147" s="239">
        <v>-230540</v>
      </c>
      <c r="AC147" s="239">
        <v>-184432</v>
      </c>
      <c r="AD147" s="239">
        <v>-46108</v>
      </c>
      <c r="AE147" s="239">
        <v>0</v>
      </c>
      <c r="AF147" s="239">
        <v>-461080</v>
      </c>
      <c r="AG147" s="239">
        <v>-212625</v>
      </c>
      <c r="AH147" s="239">
        <v>-170099</v>
      </c>
      <c r="AI147" s="239">
        <v>-42526</v>
      </c>
      <c r="AJ147" s="239">
        <v>0</v>
      </c>
      <c r="AK147" s="239">
        <v>-425250</v>
      </c>
      <c r="AL147" s="239">
        <v>111842</v>
      </c>
      <c r="AM147" s="239">
        <v>89474</v>
      </c>
      <c r="AN147" s="239">
        <v>22369</v>
      </c>
      <c r="AO147" s="239">
        <v>0</v>
      </c>
      <c r="AP147" s="239">
        <v>223685</v>
      </c>
      <c r="AQ147" s="239">
        <v>-155326</v>
      </c>
      <c r="AR147" s="239">
        <v>-124260</v>
      </c>
      <c r="AS147" s="239">
        <v>-31065</v>
      </c>
      <c r="AT147" s="239">
        <v>0</v>
      </c>
      <c r="AU147" s="239">
        <v>-310651</v>
      </c>
      <c r="AV147" s="239">
        <v>-256109</v>
      </c>
      <c r="AW147" s="239">
        <v>-204885</v>
      </c>
      <c r="AX147" s="239">
        <v>-51222</v>
      </c>
      <c r="AY147" s="239">
        <v>0</v>
      </c>
      <c r="AZ147" s="239">
        <v>-512216</v>
      </c>
      <c r="BA147" s="239">
        <v>-3541746.5999999996</v>
      </c>
      <c r="BB147" s="239">
        <v>-2833397</v>
      </c>
      <c r="BC147" s="239">
        <v>-708349</v>
      </c>
      <c r="BD147" s="239">
        <v>0</v>
      </c>
      <c r="BE147" s="239">
        <v>-7083492.5999999996</v>
      </c>
      <c r="BF147" s="239">
        <v>211912</v>
      </c>
      <c r="BG147" s="239">
        <v>169529</v>
      </c>
      <c r="BH147" s="239">
        <v>42382</v>
      </c>
      <c r="BI147" s="239">
        <v>0</v>
      </c>
      <c r="BJ147" s="239">
        <v>423823</v>
      </c>
      <c r="BK147" s="239">
        <v>1234514</v>
      </c>
      <c r="BL147" s="239">
        <v>987612</v>
      </c>
      <c r="BM147" s="239">
        <v>246903</v>
      </c>
      <c r="BN147" s="239">
        <v>0</v>
      </c>
      <c r="BO147" s="239">
        <v>2469029</v>
      </c>
      <c r="BP147" s="239">
        <v>-2095320.5999999996</v>
      </c>
      <c r="BQ147" s="239">
        <v>-1676256</v>
      </c>
      <c r="BR147" s="239">
        <v>-419064</v>
      </c>
      <c r="BS147" s="239">
        <v>0</v>
      </c>
      <c r="BT147" s="239">
        <v>-4190640.5999999996</v>
      </c>
      <c r="BU147" s="239">
        <v>-1320094</v>
      </c>
      <c r="BV147" s="239">
        <v>-1056075</v>
      </c>
      <c r="BW147" s="239">
        <v>-264019</v>
      </c>
      <c r="BX147" s="239">
        <v>0</v>
      </c>
      <c r="BY147" s="239">
        <v>-2640188</v>
      </c>
      <c r="BZ147" s="239">
        <v>-1040001</v>
      </c>
      <c r="CA147" s="239">
        <v>-832000</v>
      </c>
      <c r="CB147" s="239">
        <v>-208000</v>
      </c>
      <c r="CC147" s="239">
        <v>0</v>
      </c>
      <c r="CD147" s="239">
        <v>-2080001</v>
      </c>
      <c r="CE147" s="239">
        <v>-280093</v>
      </c>
      <c r="CF147" s="239">
        <v>-224075</v>
      </c>
      <c r="CG147" s="239">
        <v>-56019</v>
      </c>
      <c r="CH147" s="239">
        <v>0</v>
      </c>
      <c r="CI147" s="239">
        <v>-560187</v>
      </c>
      <c r="CJ147" s="239">
        <v>21495832</v>
      </c>
      <c r="CK147" s="239">
        <v>17196666</v>
      </c>
      <c r="CL147" s="239">
        <v>4299167</v>
      </c>
      <c r="CM147" s="239">
        <v>0</v>
      </c>
      <c r="CN147" s="239">
        <v>42991665</v>
      </c>
      <c r="CO147" s="239">
        <v>23063685</v>
      </c>
      <c r="CP147" s="239">
        <v>18450948</v>
      </c>
      <c r="CQ147" s="239">
        <v>4612737</v>
      </c>
      <c r="CR147" s="239">
        <v>0</v>
      </c>
      <c r="CS147" s="239">
        <v>46127370</v>
      </c>
      <c r="CT147" s="239">
        <v>1567853</v>
      </c>
      <c r="CU147" s="239">
        <v>1254282</v>
      </c>
      <c r="CV147" s="239">
        <v>313570</v>
      </c>
      <c r="CW147" s="239">
        <v>0</v>
      </c>
      <c r="CX147" s="239">
        <v>3135705</v>
      </c>
      <c r="CY147" s="239">
        <v>1287760</v>
      </c>
      <c r="CZ147" s="239">
        <v>1030207</v>
      </c>
      <c r="DA147" s="239">
        <v>257551</v>
      </c>
      <c r="DB147" s="239">
        <v>0</v>
      </c>
      <c r="DC147" s="239">
        <v>2575518</v>
      </c>
      <c r="DD147" s="641">
        <v>0.5</v>
      </c>
      <c r="DE147" s="641">
        <v>0.4</v>
      </c>
      <c r="DF147" s="641">
        <v>0.1</v>
      </c>
      <c r="DG147" s="641">
        <v>0</v>
      </c>
      <c r="DH147" s="641">
        <v>1</v>
      </c>
      <c r="DI147" s="214" t="s">
        <v>1190</v>
      </c>
    </row>
    <row r="148" spans="2:113" s="214" customFormat="1" x14ac:dyDescent="0.2">
      <c r="B148" s="609" t="s">
        <v>378</v>
      </c>
      <c r="C148" s="609" t="s">
        <v>377</v>
      </c>
      <c r="D148" s="239">
        <v>42397393</v>
      </c>
      <c r="E148" s="239">
        <v>41549446</v>
      </c>
      <c r="F148" s="239">
        <v>0</v>
      </c>
      <c r="G148" s="239">
        <v>847948</v>
      </c>
      <c r="H148" s="239">
        <v>84794787</v>
      </c>
      <c r="I148" s="239">
        <v>100070.6694214876</v>
      </c>
      <c r="J148" s="239">
        <v>100070.6694214876</v>
      </c>
      <c r="K148" s="239">
        <v>42297322.330578513</v>
      </c>
      <c r="L148" s="239">
        <v>371663</v>
      </c>
      <c r="M148" s="239">
        <v>371663</v>
      </c>
      <c r="N148" s="239">
        <v>13514</v>
      </c>
      <c r="O148" s="239">
        <v>13514</v>
      </c>
      <c r="P148" s="239">
        <v>0</v>
      </c>
      <c r="Q148" s="239">
        <v>0</v>
      </c>
      <c r="R148" s="239">
        <v>0</v>
      </c>
      <c r="S148" s="239">
        <v>100070.6694214876</v>
      </c>
      <c r="T148" s="239">
        <v>0</v>
      </c>
      <c r="U148" s="239">
        <v>0</v>
      </c>
      <c r="V148" s="239">
        <v>100070.6694214876</v>
      </c>
      <c r="W148" s="239">
        <v>2415536</v>
      </c>
      <c r="X148" s="239">
        <v>2367225</v>
      </c>
      <c r="Y148" s="239">
        <v>0</v>
      </c>
      <c r="Z148" s="239">
        <v>48311</v>
      </c>
      <c r="AA148" s="239">
        <v>4831072</v>
      </c>
      <c r="AB148" s="239">
        <v>-250144</v>
      </c>
      <c r="AC148" s="239">
        <v>-245142</v>
      </c>
      <c r="AD148" s="239">
        <v>0</v>
      </c>
      <c r="AE148" s="239">
        <v>-5003</v>
      </c>
      <c r="AF148" s="239">
        <v>-500289</v>
      </c>
      <c r="AG148" s="239">
        <v>-666398</v>
      </c>
      <c r="AH148" s="239">
        <v>-653070</v>
      </c>
      <c r="AI148" s="239">
        <v>0</v>
      </c>
      <c r="AJ148" s="239">
        <v>-13327</v>
      </c>
      <c r="AK148" s="239">
        <v>-1332795</v>
      </c>
      <c r="AL148" s="239">
        <v>625866</v>
      </c>
      <c r="AM148" s="239">
        <v>613348</v>
      </c>
      <c r="AN148" s="239">
        <v>0</v>
      </c>
      <c r="AO148" s="239">
        <v>12517</v>
      </c>
      <c r="AP148" s="239">
        <v>1251731</v>
      </c>
      <c r="AQ148" s="239">
        <v>-584468</v>
      </c>
      <c r="AR148" s="239">
        <v>-572779</v>
      </c>
      <c r="AS148" s="239">
        <v>0</v>
      </c>
      <c r="AT148" s="239">
        <v>-11689</v>
      </c>
      <c r="AU148" s="239">
        <v>-1168936</v>
      </c>
      <c r="AV148" s="239">
        <v>-625000</v>
      </c>
      <c r="AW148" s="239">
        <v>-612501</v>
      </c>
      <c r="AX148" s="239">
        <v>0</v>
      </c>
      <c r="AY148" s="239">
        <v>-12499</v>
      </c>
      <c r="AZ148" s="239">
        <v>-1250000</v>
      </c>
      <c r="BA148" s="239">
        <v>-2581500</v>
      </c>
      <c r="BB148" s="239">
        <v>-2529870</v>
      </c>
      <c r="BC148" s="239">
        <v>0</v>
      </c>
      <c r="BD148" s="239">
        <v>-51630</v>
      </c>
      <c r="BE148" s="239">
        <v>-5163000</v>
      </c>
      <c r="BF148" s="239">
        <v>4560876</v>
      </c>
      <c r="BG148" s="239">
        <v>4469659</v>
      </c>
      <c r="BH148" s="239">
        <v>0</v>
      </c>
      <c r="BI148" s="239">
        <v>91218</v>
      </c>
      <c r="BJ148" s="239">
        <v>9121753</v>
      </c>
      <c r="BK148" s="239">
        <v>-2864376</v>
      </c>
      <c r="BL148" s="239">
        <v>-2807089</v>
      </c>
      <c r="BM148" s="239">
        <v>0</v>
      </c>
      <c r="BN148" s="239">
        <v>-57288</v>
      </c>
      <c r="BO148" s="239">
        <v>-5728753</v>
      </c>
      <c r="BP148" s="239">
        <v>-885000</v>
      </c>
      <c r="BQ148" s="239">
        <v>-867300</v>
      </c>
      <c r="BR148" s="239">
        <v>0</v>
      </c>
      <c r="BS148" s="239">
        <v>-17700</v>
      </c>
      <c r="BT148" s="239">
        <v>-1770000</v>
      </c>
      <c r="BU148" s="239">
        <v>-3870063</v>
      </c>
      <c r="BV148" s="239">
        <v>-3792661</v>
      </c>
      <c r="BW148" s="239">
        <v>0</v>
      </c>
      <c r="BX148" s="239">
        <v>-77401</v>
      </c>
      <c r="BY148" s="239">
        <v>-7740125</v>
      </c>
      <c r="BZ148" s="239">
        <v>33760</v>
      </c>
      <c r="CA148" s="239">
        <v>33085</v>
      </c>
      <c r="CB148" s="239">
        <v>0</v>
      </c>
      <c r="CC148" s="239">
        <v>675</v>
      </c>
      <c r="CD148" s="239">
        <v>67520</v>
      </c>
      <c r="CE148" s="239">
        <v>-3903823</v>
      </c>
      <c r="CF148" s="239">
        <v>-3825746</v>
      </c>
      <c r="CG148" s="239">
        <v>0</v>
      </c>
      <c r="CH148" s="239">
        <v>-78076</v>
      </c>
      <c r="CI148" s="239">
        <v>-7807645</v>
      </c>
      <c r="CJ148" s="239">
        <v>47773890</v>
      </c>
      <c r="CK148" s="239">
        <v>46818412</v>
      </c>
      <c r="CL148" s="239">
        <v>0</v>
      </c>
      <c r="CM148" s="239">
        <v>955478</v>
      </c>
      <c r="CN148" s="239">
        <v>95547780</v>
      </c>
      <c r="CO148" s="239">
        <v>42397393</v>
      </c>
      <c r="CP148" s="239">
        <v>41549446</v>
      </c>
      <c r="CQ148" s="239">
        <v>0</v>
      </c>
      <c r="CR148" s="239">
        <v>847948</v>
      </c>
      <c r="CS148" s="239">
        <v>84794787</v>
      </c>
      <c r="CT148" s="239">
        <v>-5376497</v>
      </c>
      <c r="CU148" s="239">
        <v>-5268966</v>
      </c>
      <c r="CV148" s="239">
        <v>0</v>
      </c>
      <c r="CW148" s="239">
        <v>-107530</v>
      </c>
      <c r="CX148" s="239">
        <v>-10752993</v>
      </c>
      <c r="CY148" s="239">
        <v>-9280320</v>
      </c>
      <c r="CZ148" s="239">
        <v>-9094712</v>
      </c>
      <c r="DA148" s="239">
        <v>0</v>
      </c>
      <c r="DB148" s="239">
        <v>-185606</v>
      </c>
      <c r="DC148" s="239">
        <v>-18560638</v>
      </c>
      <c r="DD148" s="641">
        <v>0.5</v>
      </c>
      <c r="DE148" s="641">
        <v>0.49</v>
      </c>
      <c r="DF148" s="641">
        <v>0</v>
      </c>
      <c r="DG148" s="641">
        <v>0.01</v>
      </c>
      <c r="DH148" s="641">
        <v>1</v>
      </c>
      <c r="DI148" s="214" t="s">
        <v>747</v>
      </c>
    </row>
    <row r="149" spans="2:113" s="214" customFormat="1" x14ac:dyDescent="0.2">
      <c r="B149" s="609" t="s">
        <v>380</v>
      </c>
      <c r="C149" s="609" t="s">
        <v>379</v>
      </c>
      <c r="D149" s="239">
        <v>41379510</v>
      </c>
      <c r="E149" s="239">
        <v>24827706</v>
      </c>
      <c r="F149" s="239">
        <v>16551804</v>
      </c>
      <c r="G149" s="239">
        <v>0</v>
      </c>
      <c r="H149" s="239">
        <v>82759020</v>
      </c>
      <c r="I149" s="239">
        <v>0</v>
      </c>
      <c r="J149" s="239">
        <v>0</v>
      </c>
      <c r="K149" s="239">
        <v>41379510</v>
      </c>
      <c r="L149" s="239">
        <v>251900</v>
      </c>
      <c r="M149" s="239">
        <v>251900</v>
      </c>
      <c r="N149" s="239">
        <v>0</v>
      </c>
      <c r="O149" s="239">
        <v>0</v>
      </c>
      <c r="P149" s="239">
        <v>0</v>
      </c>
      <c r="Q149" s="239">
        <v>0</v>
      </c>
      <c r="R149" s="239">
        <v>0</v>
      </c>
      <c r="S149" s="239">
        <v>0</v>
      </c>
      <c r="T149" s="239">
        <v>0</v>
      </c>
      <c r="U149" s="239">
        <v>0</v>
      </c>
      <c r="V149" s="239">
        <v>0</v>
      </c>
      <c r="W149" s="239">
        <v>2615199</v>
      </c>
      <c r="X149" s="239">
        <v>1569119</v>
      </c>
      <c r="Y149" s="239">
        <v>1046079</v>
      </c>
      <c r="Z149" s="239">
        <v>0</v>
      </c>
      <c r="AA149" s="239">
        <v>5230397</v>
      </c>
      <c r="AB149" s="239">
        <v>-553186</v>
      </c>
      <c r="AC149" s="239">
        <v>-331912</v>
      </c>
      <c r="AD149" s="239">
        <v>-221275</v>
      </c>
      <c r="AE149" s="239">
        <v>0</v>
      </c>
      <c r="AF149" s="239">
        <v>-1106373</v>
      </c>
      <c r="AG149" s="239">
        <v>-1937543.5</v>
      </c>
      <c r="AH149" s="239">
        <v>-1162527.8999999999</v>
      </c>
      <c r="AI149" s="239">
        <v>-775016.6</v>
      </c>
      <c r="AJ149" s="239">
        <v>0</v>
      </c>
      <c r="AK149" s="239">
        <v>-3875088</v>
      </c>
      <c r="AL149" s="239">
        <v>12761</v>
      </c>
      <c r="AM149" s="239">
        <v>7656</v>
      </c>
      <c r="AN149" s="239">
        <v>5104</v>
      </c>
      <c r="AO149" s="239">
        <v>0</v>
      </c>
      <c r="AP149" s="239">
        <v>25521</v>
      </c>
      <c r="AQ149" s="239">
        <v>-886786</v>
      </c>
      <c r="AR149" s="239">
        <v>-532072</v>
      </c>
      <c r="AS149" s="239">
        <v>-354715</v>
      </c>
      <c r="AT149" s="239">
        <v>0</v>
      </c>
      <c r="AU149" s="239">
        <v>-1773573</v>
      </c>
      <c r="AV149" s="239">
        <v>-2811568.5</v>
      </c>
      <c r="AW149" s="239">
        <v>-1686943.9</v>
      </c>
      <c r="AX149" s="239">
        <v>-1124627.6000000001</v>
      </c>
      <c r="AY149" s="239">
        <v>0</v>
      </c>
      <c r="AZ149" s="239">
        <v>-5623140</v>
      </c>
      <c r="BA149" s="239">
        <v>-3359578</v>
      </c>
      <c r="BB149" s="239">
        <v>-2015746</v>
      </c>
      <c r="BC149" s="239">
        <v>-1343831</v>
      </c>
      <c r="BD149" s="239">
        <v>0</v>
      </c>
      <c r="BE149" s="239">
        <v>-6719155</v>
      </c>
      <c r="BF149" s="239">
        <v>1460399</v>
      </c>
      <c r="BG149" s="239">
        <v>876240</v>
      </c>
      <c r="BH149" s="239">
        <v>584160</v>
      </c>
      <c r="BI149" s="239">
        <v>0</v>
      </c>
      <c r="BJ149" s="239">
        <v>2920799</v>
      </c>
      <c r="BK149" s="239">
        <v>-1092276</v>
      </c>
      <c r="BL149" s="239">
        <v>-655366</v>
      </c>
      <c r="BM149" s="239">
        <v>-436910</v>
      </c>
      <c r="BN149" s="239">
        <v>0</v>
      </c>
      <c r="BO149" s="239">
        <v>-2184552</v>
      </c>
      <c r="BP149" s="239">
        <v>-2991455</v>
      </c>
      <c r="BQ149" s="239">
        <v>-1794872</v>
      </c>
      <c r="BR149" s="239">
        <v>-1196581</v>
      </c>
      <c r="BS149" s="239">
        <v>0</v>
      </c>
      <c r="BT149" s="239">
        <v>-5982908</v>
      </c>
      <c r="BU149" s="239">
        <v>-3997831</v>
      </c>
      <c r="BV149" s="239">
        <v>-2398698</v>
      </c>
      <c r="BW149" s="239">
        <v>-1599132</v>
      </c>
      <c r="BX149" s="239">
        <v>0</v>
      </c>
      <c r="BY149" s="239">
        <v>-7995661</v>
      </c>
      <c r="BZ149" s="239">
        <v>-2811314</v>
      </c>
      <c r="CA149" s="239">
        <v>-1686788</v>
      </c>
      <c r="CB149" s="239">
        <v>-1124525</v>
      </c>
      <c r="CC149" s="239">
        <v>0</v>
      </c>
      <c r="CD149" s="239">
        <v>-5622627</v>
      </c>
      <c r="CE149" s="239">
        <v>-1186517</v>
      </c>
      <c r="CF149" s="239">
        <v>-711910</v>
      </c>
      <c r="CG149" s="239">
        <v>-474607</v>
      </c>
      <c r="CH149" s="239">
        <v>0</v>
      </c>
      <c r="CI149" s="239">
        <v>-2373034</v>
      </c>
      <c r="CJ149" s="239">
        <v>41618115</v>
      </c>
      <c r="CK149" s="239">
        <v>24970869</v>
      </c>
      <c r="CL149" s="239">
        <v>16647246</v>
      </c>
      <c r="CM149" s="239">
        <v>0</v>
      </c>
      <c r="CN149" s="239">
        <v>83236230</v>
      </c>
      <c r="CO149" s="239">
        <v>41379510</v>
      </c>
      <c r="CP149" s="239">
        <v>24827706</v>
      </c>
      <c r="CQ149" s="239">
        <v>16551804</v>
      </c>
      <c r="CR149" s="239">
        <v>0</v>
      </c>
      <c r="CS149" s="239">
        <v>82759020</v>
      </c>
      <c r="CT149" s="239">
        <v>-238605</v>
      </c>
      <c r="CU149" s="239">
        <v>-143163</v>
      </c>
      <c r="CV149" s="239">
        <v>-95442</v>
      </c>
      <c r="CW149" s="239">
        <v>0</v>
      </c>
      <c r="CX149" s="239">
        <v>-477210</v>
      </c>
      <c r="CY149" s="239">
        <v>-1425122</v>
      </c>
      <c r="CZ149" s="239">
        <v>-855073</v>
      </c>
      <c r="DA149" s="239">
        <v>-570049</v>
      </c>
      <c r="DB149" s="239">
        <v>0</v>
      </c>
      <c r="DC149" s="239">
        <v>-2850244</v>
      </c>
      <c r="DD149" s="641">
        <v>0.5</v>
      </c>
      <c r="DE149" s="641">
        <v>0.3</v>
      </c>
      <c r="DF149" s="641">
        <v>0.2</v>
      </c>
      <c r="DG149" s="641">
        <v>0</v>
      </c>
      <c r="DH149" s="641">
        <v>1</v>
      </c>
      <c r="DI149" s="214" t="s">
        <v>1191</v>
      </c>
    </row>
    <row r="150" spans="2:113" s="214" customFormat="1" x14ac:dyDescent="0.2">
      <c r="B150" s="609" t="s">
        <v>382</v>
      </c>
      <c r="C150" s="609" t="s">
        <v>381</v>
      </c>
      <c r="D150" s="239">
        <v>51988065</v>
      </c>
      <c r="E150" s="239">
        <v>50948303</v>
      </c>
      <c r="F150" s="239">
        <v>0</v>
      </c>
      <c r="G150" s="239">
        <v>1039761</v>
      </c>
      <c r="H150" s="239">
        <v>103976129</v>
      </c>
      <c r="I150" s="239">
        <v>0</v>
      </c>
      <c r="J150" s="239">
        <v>0</v>
      </c>
      <c r="K150" s="239">
        <v>51988065</v>
      </c>
      <c r="L150" s="239">
        <v>612897</v>
      </c>
      <c r="M150" s="239">
        <v>612897</v>
      </c>
      <c r="N150" s="239">
        <v>0</v>
      </c>
      <c r="O150" s="239">
        <v>0</v>
      </c>
      <c r="P150" s="239">
        <v>0</v>
      </c>
      <c r="Q150" s="239">
        <v>0</v>
      </c>
      <c r="R150" s="239">
        <v>0</v>
      </c>
      <c r="S150" s="239">
        <v>0</v>
      </c>
      <c r="T150" s="239">
        <v>0</v>
      </c>
      <c r="U150" s="239">
        <v>0</v>
      </c>
      <c r="V150" s="239">
        <v>0</v>
      </c>
      <c r="W150" s="239">
        <v>2555842</v>
      </c>
      <c r="X150" s="239">
        <v>2504726</v>
      </c>
      <c r="Y150" s="239">
        <v>0</v>
      </c>
      <c r="Z150" s="239">
        <v>51117</v>
      </c>
      <c r="AA150" s="239">
        <v>5111685</v>
      </c>
      <c r="AB150" s="239">
        <v>-443238</v>
      </c>
      <c r="AC150" s="239">
        <v>-434373</v>
      </c>
      <c r="AD150" s="239">
        <v>0</v>
      </c>
      <c r="AE150" s="239">
        <v>-8865</v>
      </c>
      <c r="AF150" s="239">
        <v>-886476</v>
      </c>
      <c r="AG150" s="239">
        <v>-1360823</v>
      </c>
      <c r="AH150" s="239">
        <v>-1333606</v>
      </c>
      <c r="AI150" s="239">
        <v>0</v>
      </c>
      <c r="AJ150" s="239">
        <v>-27216</v>
      </c>
      <c r="AK150" s="239">
        <v>-2721645</v>
      </c>
      <c r="AL150" s="239">
        <v>678122</v>
      </c>
      <c r="AM150" s="239">
        <v>664559</v>
      </c>
      <c r="AN150" s="239">
        <v>0</v>
      </c>
      <c r="AO150" s="239">
        <v>13562</v>
      </c>
      <c r="AP150" s="239">
        <v>1356243</v>
      </c>
      <c r="AQ150" s="239">
        <v>-711807</v>
      </c>
      <c r="AR150" s="239">
        <v>-697571</v>
      </c>
      <c r="AS150" s="239">
        <v>0</v>
      </c>
      <c r="AT150" s="239">
        <v>-14236</v>
      </c>
      <c r="AU150" s="239">
        <v>-1423614</v>
      </c>
      <c r="AV150" s="239">
        <v>-1394508</v>
      </c>
      <c r="AW150" s="239">
        <v>-1366618</v>
      </c>
      <c r="AX150" s="239">
        <v>0</v>
      </c>
      <c r="AY150" s="239">
        <v>-27890</v>
      </c>
      <c r="AZ150" s="239">
        <v>-2789016</v>
      </c>
      <c r="BA150" s="239">
        <v>-4332306</v>
      </c>
      <c r="BB150" s="239">
        <v>-4245658</v>
      </c>
      <c r="BC150" s="239">
        <v>0</v>
      </c>
      <c r="BD150" s="239">
        <v>-86646</v>
      </c>
      <c r="BE150" s="239">
        <v>-8664610</v>
      </c>
      <c r="BF150" s="239">
        <v>0</v>
      </c>
      <c r="BG150" s="239">
        <v>0</v>
      </c>
      <c r="BH150" s="239">
        <v>0</v>
      </c>
      <c r="BI150" s="239">
        <v>0</v>
      </c>
      <c r="BJ150" s="239">
        <v>0</v>
      </c>
      <c r="BK150" s="239">
        <v>79551</v>
      </c>
      <c r="BL150" s="239">
        <v>77959</v>
      </c>
      <c r="BM150" s="239">
        <v>0</v>
      </c>
      <c r="BN150" s="239">
        <v>1591</v>
      </c>
      <c r="BO150" s="239">
        <v>159101</v>
      </c>
      <c r="BP150" s="239">
        <v>-4252755</v>
      </c>
      <c r="BQ150" s="239">
        <v>-4167699</v>
      </c>
      <c r="BR150" s="239">
        <v>0</v>
      </c>
      <c r="BS150" s="239">
        <v>-85055</v>
      </c>
      <c r="BT150" s="239">
        <v>-8505509</v>
      </c>
      <c r="BU150" s="239">
        <v>-5141277</v>
      </c>
      <c r="BV150" s="239">
        <v>-5038451</v>
      </c>
      <c r="BW150" s="239">
        <v>0</v>
      </c>
      <c r="BX150" s="239">
        <v>-102826</v>
      </c>
      <c r="BY150" s="239">
        <v>-10282554</v>
      </c>
      <c r="BZ150" s="239">
        <v>-4299696</v>
      </c>
      <c r="CA150" s="239">
        <v>-4213703</v>
      </c>
      <c r="CB150" s="239">
        <v>0</v>
      </c>
      <c r="CC150" s="239">
        <v>-85994</v>
      </c>
      <c r="CD150" s="239">
        <v>-8599393</v>
      </c>
      <c r="CE150" s="239">
        <v>-841581</v>
      </c>
      <c r="CF150" s="239">
        <v>-824748</v>
      </c>
      <c r="CG150" s="239">
        <v>0</v>
      </c>
      <c r="CH150" s="239">
        <v>-16832</v>
      </c>
      <c r="CI150" s="239">
        <v>-1683161</v>
      </c>
      <c r="CJ150" s="239">
        <v>52491071</v>
      </c>
      <c r="CK150" s="239">
        <v>51441249</v>
      </c>
      <c r="CL150" s="239">
        <v>0</v>
      </c>
      <c r="CM150" s="239">
        <v>1049821</v>
      </c>
      <c r="CN150" s="239">
        <v>104982141</v>
      </c>
      <c r="CO150" s="239">
        <v>51988065</v>
      </c>
      <c r="CP150" s="239">
        <v>50948303</v>
      </c>
      <c r="CQ150" s="239">
        <v>0</v>
      </c>
      <c r="CR150" s="239">
        <v>1039761</v>
      </c>
      <c r="CS150" s="239">
        <v>103976129</v>
      </c>
      <c r="CT150" s="239">
        <v>-503006</v>
      </c>
      <c r="CU150" s="239">
        <v>-492946</v>
      </c>
      <c r="CV150" s="239">
        <v>0</v>
      </c>
      <c r="CW150" s="239">
        <v>-10060</v>
      </c>
      <c r="CX150" s="239">
        <v>-1006012</v>
      </c>
      <c r="CY150" s="239">
        <v>-1344587</v>
      </c>
      <c r="CZ150" s="239">
        <v>-1317694</v>
      </c>
      <c r="DA150" s="239">
        <v>0</v>
      </c>
      <c r="DB150" s="239">
        <v>-26892</v>
      </c>
      <c r="DC150" s="239">
        <v>-2689173</v>
      </c>
      <c r="DD150" s="641">
        <v>0.5</v>
      </c>
      <c r="DE150" s="641">
        <v>0.49</v>
      </c>
      <c r="DF150" s="641">
        <v>0</v>
      </c>
      <c r="DG150" s="641">
        <v>0.01</v>
      </c>
      <c r="DH150" s="641">
        <v>1</v>
      </c>
      <c r="DI150" s="214" t="s">
        <v>1192</v>
      </c>
    </row>
    <row r="151" spans="2:113" s="214" customFormat="1" x14ac:dyDescent="0.2">
      <c r="B151" s="609" t="s">
        <v>384</v>
      </c>
      <c r="C151" s="609" t="s">
        <v>383</v>
      </c>
      <c r="D151" s="239">
        <v>21313407</v>
      </c>
      <c r="E151" s="239">
        <v>20887139</v>
      </c>
      <c r="F151" s="239">
        <v>0</v>
      </c>
      <c r="G151" s="239">
        <v>426268</v>
      </c>
      <c r="H151" s="239">
        <v>42626814</v>
      </c>
      <c r="I151" s="239">
        <v>0</v>
      </c>
      <c r="J151" s="239">
        <v>0</v>
      </c>
      <c r="K151" s="239">
        <v>21313407</v>
      </c>
      <c r="L151" s="239">
        <v>142849</v>
      </c>
      <c r="M151" s="239">
        <v>142849</v>
      </c>
      <c r="N151" s="239">
        <v>0</v>
      </c>
      <c r="O151" s="239">
        <v>0</v>
      </c>
      <c r="P151" s="239">
        <v>0</v>
      </c>
      <c r="Q151" s="239">
        <v>0</v>
      </c>
      <c r="R151" s="239">
        <v>0</v>
      </c>
      <c r="S151" s="239">
        <v>0</v>
      </c>
      <c r="T151" s="239">
        <v>0</v>
      </c>
      <c r="U151" s="239">
        <v>0</v>
      </c>
      <c r="V151" s="239">
        <v>0</v>
      </c>
      <c r="W151" s="239">
        <v>2151788</v>
      </c>
      <c r="X151" s="239">
        <v>2108753</v>
      </c>
      <c r="Y151" s="239">
        <v>0</v>
      </c>
      <c r="Z151" s="239">
        <v>43036</v>
      </c>
      <c r="AA151" s="239">
        <v>4303577</v>
      </c>
      <c r="AB151" s="239">
        <v>-634338</v>
      </c>
      <c r="AC151" s="239">
        <v>-621652</v>
      </c>
      <c r="AD151" s="239">
        <v>0</v>
      </c>
      <c r="AE151" s="239">
        <v>-12687</v>
      </c>
      <c r="AF151" s="239">
        <v>-1268677</v>
      </c>
      <c r="AG151" s="239">
        <v>-890545.26</v>
      </c>
      <c r="AH151" s="239">
        <v>-872735</v>
      </c>
      <c r="AI151" s="239">
        <v>0</v>
      </c>
      <c r="AJ151" s="239">
        <v>-17811</v>
      </c>
      <c r="AK151" s="239">
        <v>-1781091.26</v>
      </c>
      <c r="AL151" s="239">
        <v>8381</v>
      </c>
      <c r="AM151" s="239">
        <v>8214</v>
      </c>
      <c r="AN151" s="239">
        <v>0</v>
      </c>
      <c r="AO151" s="239">
        <v>168</v>
      </c>
      <c r="AP151" s="239">
        <v>16763</v>
      </c>
      <c r="AQ151" s="239">
        <v>0</v>
      </c>
      <c r="AR151" s="239">
        <v>0</v>
      </c>
      <c r="AS151" s="239">
        <v>0</v>
      </c>
      <c r="AT151" s="239">
        <v>0</v>
      </c>
      <c r="AU151" s="239">
        <v>0</v>
      </c>
      <c r="AV151" s="239">
        <v>-882164.26</v>
      </c>
      <c r="AW151" s="239">
        <v>-864521</v>
      </c>
      <c r="AX151" s="239">
        <v>0</v>
      </c>
      <c r="AY151" s="239">
        <v>-17643</v>
      </c>
      <c r="AZ151" s="239">
        <v>-1764328.26</v>
      </c>
      <c r="BA151" s="239">
        <v>-4396405.5</v>
      </c>
      <c r="BB151" s="239">
        <v>-4308477</v>
      </c>
      <c r="BC151" s="239">
        <v>0</v>
      </c>
      <c r="BD151" s="239">
        <v>-87927</v>
      </c>
      <c r="BE151" s="239">
        <v>-8792809</v>
      </c>
      <c r="BF151" s="239">
        <v>608164</v>
      </c>
      <c r="BG151" s="239">
        <v>596001</v>
      </c>
      <c r="BH151" s="239">
        <v>0</v>
      </c>
      <c r="BI151" s="239">
        <v>12163</v>
      </c>
      <c r="BJ151" s="239">
        <v>1216328</v>
      </c>
      <c r="BK151" s="239">
        <v>-976347</v>
      </c>
      <c r="BL151" s="239">
        <v>-956821</v>
      </c>
      <c r="BM151" s="239">
        <v>0</v>
      </c>
      <c r="BN151" s="239">
        <v>-19527</v>
      </c>
      <c r="BO151" s="239">
        <v>-1952695</v>
      </c>
      <c r="BP151" s="239">
        <v>-4764588.5</v>
      </c>
      <c r="BQ151" s="239">
        <v>-4669297</v>
      </c>
      <c r="BR151" s="239">
        <v>0</v>
      </c>
      <c r="BS151" s="239">
        <v>-95291</v>
      </c>
      <c r="BT151" s="239">
        <v>-9529176</v>
      </c>
      <c r="BU151" s="239">
        <v>571095</v>
      </c>
      <c r="BV151" s="239">
        <v>559674</v>
      </c>
      <c r="BW151" s="239">
        <v>0</v>
      </c>
      <c r="BX151" s="239">
        <v>11422</v>
      </c>
      <c r="BY151" s="239">
        <v>1142191</v>
      </c>
      <c r="BZ151" s="239">
        <v>-5342821</v>
      </c>
      <c r="CA151" s="239">
        <v>-5235964</v>
      </c>
      <c r="CB151" s="239">
        <v>0</v>
      </c>
      <c r="CC151" s="239">
        <v>-106856</v>
      </c>
      <c r="CD151" s="239">
        <v>-10685641</v>
      </c>
      <c r="CE151" s="239">
        <v>5913916</v>
      </c>
      <c r="CF151" s="239">
        <v>5795638</v>
      </c>
      <c r="CG151" s="239">
        <v>0</v>
      </c>
      <c r="CH151" s="239">
        <v>118278</v>
      </c>
      <c r="CI151" s="239">
        <v>11827832</v>
      </c>
      <c r="CJ151" s="239">
        <v>20634598</v>
      </c>
      <c r="CK151" s="239">
        <v>20221907</v>
      </c>
      <c r="CL151" s="239">
        <v>0</v>
      </c>
      <c r="CM151" s="239">
        <v>412692</v>
      </c>
      <c r="CN151" s="239">
        <v>41269197</v>
      </c>
      <c r="CO151" s="239">
        <v>21313407</v>
      </c>
      <c r="CP151" s="239">
        <v>20887139</v>
      </c>
      <c r="CQ151" s="239">
        <v>0</v>
      </c>
      <c r="CR151" s="239">
        <v>426268</v>
      </c>
      <c r="CS151" s="239">
        <v>42626814</v>
      </c>
      <c r="CT151" s="239">
        <v>678809</v>
      </c>
      <c r="CU151" s="239">
        <v>665232</v>
      </c>
      <c r="CV151" s="239">
        <v>0</v>
      </c>
      <c r="CW151" s="239">
        <v>13576</v>
      </c>
      <c r="CX151" s="239">
        <v>1357617</v>
      </c>
      <c r="CY151" s="239">
        <v>6592725</v>
      </c>
      <c r="CZ151" s="239">
        <v>6460870</v>
      </c>
      <c r="DA151" s="239">
        <v>0</v>
      </c>
      <c r="DB151" s="239">
        <v>131854</v>
      </c>
      <c r="DC151" s="239">
        <v>13185449</v>
      </c>
      <c r="DD151" s="641">
        <v>0.5</v>
      </c>
      <c r="DE151" s="641">
        <v>0.49</v>
      </c>
      <c r="DF151" s="641">
        <v>0</v>
      </c>
      <c r="DG151" s="641">
        <v>0.01</v>
      </c>
      <c r="DH151" s="641">
        <v>1</v>
      </c>
      <c r="DI151" s="214" t="s">
        <v>1192</v>
      </c>
    </row>
    <row r="152" spans="2:113" s="214" customFormat="1" x14ac:dyDescent="0.2">
      <c r="B152" s="609" t="s">
        <v>386</v>
      </c>
      <c r="C152" s="609" t="s">
        <v>385</v>
      </c>
      <c r="D152" s="239">
        <v>57691972</v>
      </c>
      <c r="E152" s="239">
        <v>34615183</v>
      </c>
      <c r="F152" s="239">
        <v>23076789</v>
      </c>
      <c r="G152" s="239">
        <v>0</v>
      </c>
      <c r="H152" s="239">
        <v>115383944</v>
      </c>
      <c r="I152" s="239">
        <v>0</v>
      </c>
      <c r="J152" s="239">
        <v>0</v>
      </c>
      <c r="K152" s="239">
        <v>57691972</v>
      </c>
      <c r="L152" s="239">
        <v>486528</v>
      </c>
      <c r="M152" s="239">
        <v>486528</v>
      </c>
      <c r="N152" s="239">
        <v>520546</v>
      </c>
      <c r="O152" s="239">
        <v>520546</v>
      </c>
      <c r="P152" s="239">
        <v>0</v>
      </c>
      <c r="Q152" s="239">
        <v>0</v>
      </c>
      <c r="R152" s="239">
        <v>0</v>
      </c>
      <c r="S152" s="239">
        <v>0</v>
      </c>
      <c r="T152" s="239">
        <v>0</v>
      </c>
      <c r="U152" s="239">
        <v>0</v>
      </c>
      <c r="V152" s="239">
        <v>0</v>
      </c>
      <c r="W152" s="239">
        <v>2150184</v>
      </c>
      <c r="X152" s="239">
        <v>1290110</v>
      </c>
      <c r="Y152" s="239">
        <v>860074</v>
      </c>
      <c r="Z152" s="239">
        <v>0</v>
      </c>
      <c r="AA152" s="239">
        <v>4300368</v>
      </c>
      <c r="AB152" s="239">
        <v>-4442296</v>
      </c>
      <c r="AC152" s="239">
        <v>-2665378</v>
      </c>
      <c r="AD152" s="239">
        <v>-1776918</v>
      </c>
      <c r="AE152" s="239">
        <v>0</v>
      </c>
      <c r="AF152" s="239">
        <v>-8884592</v>
      </c>
      <c r="AG152" s="239">
        <v>-1331085</v>
      </c>
      <c r="AH152" s="239">
        <v>-798651</v>
      </c>
      <c r="AI152" s="239">
        <v>-532433</v>
      </c>
      <c r="AJ152" s="239">
        <v>0</v>
      </c>
      <c r="AK152" s="239">
        <v>-2662169</v>
      </c>
      <c r="AL152" s="239">
        <v>593124</v>
      </c>
      <c r="AM152" s="239">
        <v>355874</v>
      </c>
      <c r="AN152" s="239">
        <v>237250</v>
      </c>
      <c r="AO152" s="239">
        <v>0</v>
      </c>
      <c r="AP152" s="239">
        <v>1186248</v>
      </c>
      <c r="AQ152" s="239">
        <v>-906627</v>
      </c>
      <c r="AR152" s="239">
        <v>-543976</v>
      </c>
      <c r="AS152" s="239">
        <v>-362651</v>
      </c>
      <c r="AT152" s="239">
        <v>0</v>
      </c>
      <c r="AU152" s="239">
        <v>-1813254</v>
      </c>
      <c r="AV152" s="239">
        <v>-1644588</v>
      </c>
      <c r="AW152" s="239">
        <v>-986753</v>
      </c>
      <c r="AX152" s="239">
        <v>-657834</v>
      </c>
      <c r="AY152" s="239">
        <v>0</v>
      </c>
      <c r="AZ152" s="239">
        <v>-3289175</v>
      </c>
      <c r="BA152" s="239">
        <v>-10855848</v>
      </c>
      <c r="BB152" s="239">
        <v>-6513508</v>
      </c>
      <c r="BC152" s="239">
        <v>-4342339</v>
      </c>
      <c r="BD152" s="239">
        <v>0</v>
      </c>
      <c r="BE152" s="239">
        <v>-21711695</v>
      </c>
      <c r="BF152" s="239">
        <v>4198557</v>
      </c>
      <c r="BG152" s="239">
        <v>2519134</v>
      </c>
      <c r="BH152" s="239">
        <v>1679423</v>
      </c>
      <c r="BI152" s="239">
        <v>0</v>
      </c>
      <c r="BJ152" s="239">
        <v>8397114</v>
      </c>
      <c r="BK152" s="239">
        <v>-4198557</v>
      </c>
      <c r="BL152" s="239">
        <v>-2519134</v>
      </c>
      <c r="BM152" s="239">
        <v>-1679423</v>
      </c>
      <c r="BN152" s="239">
        <v>0</v>
      </c>
      <c r="BO152" s="239">
        <v>-8397114</v>
      </c>
      <c r="BP152" s="239">
        <v>-10855848</v>
      </c>
      <c r="BQ152" s="239">
        <v>-6513508</v>
      </c>
      <c r="BR152" s="239">
        <v>-4342339</v>
      </c>
      <c r="BS152" s="239">
        <v>0</v>
      </c>
      <c r="BT152" s="239">
        <v>-21711695</v>
      </c>
      <c r="BU152" s="239">
        <v>-4326468</v>
      </c>
      <c r="BV152" s="239">
        <v>-2595881</v>
      </c>
      <c r="BW152" s="239">
        <v>-1730587</v>
      </c>
      <c r="BX152" s="239">
        <v>0</v>
      </c>
      <c r="BY152" s="239">
        <v>-8652936</v>
      </c>
      <c r="BZ152" s="239">
        <v>-6965311</v>
      </c>
      <c r="CA152" s="239">
        <v>-4179187</v>
      </c>
      <c r="CB152" s="239">
        <v>-2786125</v>
      </c>
      <c r="CC152" s="239">
        <v>0</v>
      </c>
      <c r="CD152" s="239">
        <v>-13930623</v>
      </c>
      <c r="CE152" s="239">
        <v>2638843</v>
      </c>
      <c r="CF152" s="239">
        <v>1583306</v>
      </c>
      <c r="CG152" s="239">
        <v>1055538</v>
      </c>
      <c r="CH152" s="239">
        <v>0</v>
      </c>
      <c r="CI152" s="239">
        <v>5277687</v>
      </c>
      <c r="CJ152" s="239">
        <v>61573626</v>
      </c>
      <c r="CK152" s="239">
        <v>36944176</v>
      </c>
      <c r="CL152" s="239">
        <v>24629450</v>
      </c>
      <c r="CM152" s="239">
        <v>0</v>
      </c>
      <c r="CN152" s="239">
        <v>123147252</v>
      </c>
      <c r="CO152" s="239">
        <v>57691972</v>
      </c>
      <c r="CP152" s="239">
        <v>34615183</v>
      </c>
      <c r="CQ152" s="239">
        <v>23076789</v>
      </c>
      <c r="CR152" s="239">
        <v>0</v>
      </c>
      <c r="CS152" s="239">
        <v>115383944</v>
      </c>
      <c r="CT152" s="239">
        <v>-3881654</v>
      </c>
      <c r="CU152" s="239">
        <v>-2328993</v>
      </c>
      <c r="CV152" s="239">
        <v>-1552661</v>
      </c>
      <c r="CW152" s="239">
        <v>0</v>
      </c>
      <c r="CX152" s="239">
        <v>-7763308</v>
      </c>
      <c r="CY152" s="239">
        <v>-1242811</v>
      </c>
      <c r="CZ152" s="239">
        <v>-745687</v>
      </c>
      <c r="DA152" s="239">
        <v>-497123</v>
      </c>
      <c r="DB152" s="239">
        <v>0</v>
      </c>
      <c r="DC152" s="239">
        <v>-2485621</v>
      </c>
      <c r="DD152" s="641">
        <v>0.5</v>
      </c>
      <c r="DE152" s="641">
        <v>0.3</v>
      </c>
      <c r="DF152" s="641">
        <v>0.2</v>
      </c>
      <c r="DG152" s="641">
        <v>0</v>
      </c>
      <c r="DH152" s="641">
        <v>1</v>
      </c>
      <c r="DI152" s="214" t="s">
        <v>1193</v>
      </c>
    </row>
    <row r="153" spans="2:113" s="214" customFormat="1" x14ac:dyDescent="0.2">
      <c r="B153" s="609" t="s">
        <v>388</v>
      </c>
      <c r="C153" s="609" t="s">
        <v>387</v>
      </c>
      <c r="D153" s="239">
        <v>42050576</v>
      </c>
      <c r="E153" s="239">
        <v>33640462</v>
      </c>
      <c r="F153" s="239">
        <v>7569104</v>
      </c>
      <c r="G153" s="239">
        <v>841012</v>
      </c>
      <c r="H153" s="239">
        <v>84101154</v>
      </c>
      <c r="I153" s="239">
        <v>0</v>
      </c>
      <c r="J153" s="239">
        <v>0</v>
      </c>
      <c r="K153" s="239">
        <v>42050576</v>
      </c>
      <c r="L153" s="239">
        <v>222663</v>
      </c>
      <c r="M153" s="239">
        <v>222663</v>
      </c>
      <c r="N153" s="239">
        <v>0</v>
      </c>
      <c r="O153" s="239">
        <v>0</v>
      </c>
      <c r="P153" s="239">
        <v>958456</v>
      </c>
      <c r="Q153" s="239">
        <v>0</v>
      </c>
      <c r="R153" s="239">
        <v>958456</v>
      </c>
      <c r="S153" s="239">
        <v>0</v>
      </c>
      <c r="T153" s="239">
        <v>0</v>
      </c>
      <c r="U153" s="239">
        <v>0</v>
      </c>
      <c r="V153" s="239">
        <v>0</v>
      </c>
      <c r="W153" s="239">
        <v>438796</v>
      </c>
      <c r="X153" s="239">
        <v>351037</v>
      </c>
      <c r="Y153" s="239">
        <v>78983</v>
      </c>
      <c r="Z153" s="239">
        <v>8776</v>
      </c>
      <c r="AA153" s="239">
        <v>877592</v>
      </c>
      <c r="AB153" s="239">
        <v>-246571</v>
      </c>
      <c r="AC153" s="239">
        <v>-197257</v>
      </c>
      <c r="AD153" s="239">
        <v>-44383</v>
      </c>
      <c r="AE153" s="239">
        <v>-4931</v>
      </c>
      <c r="AF153" s="239">
        <v>-493142</v>
      </c>
      <c r="AG153" s="239">
        <v>-230335</v>
      </c>
      <c r="AH153" s="239">
        <v>-184268</v>
      </c>
      <c r="AI153" s="239">
        <v>-41460</v>
      </c>
      <c r="AJ153" s="239">
        <v>-4607</v>
      </c>
      <c r="AK153" s="239">
        <v>-460670</v>
      </c>
      <c r="AL153" s="239">
        <v>0</v>
      </c>
      <c r="AM153" s="239">
        <v>0</v>
      </c>
      <c r="AN153" s="239">
        <v>0</v>
      </c>
      <c r="AO153" s="239">
        <v>0</v>
      </c>
      <c r="AP153" s="239">
        <v>0</v>
      </c>
      <c r="AQ153" s="239">
        <v>9021</v>
      </c>
      <c r="AR153" s="239">
        <v>7216</v>
      </c>
      <c r="AS153" s="239">
        <v>1624</v>
      </c>
      <c r="AT153" s="239">
        <v>180</v>
      </c>
      <c r="AU153" s="239">
        <v>18041</v>
      </c>
      <c r="AV153" s="239">
        <v>-221314</v>
      </c>
      <c r="AW153" s="239">
        <v>-177052</v>
      </c>
      <c r="AX153" s="239">
        <v>-39836</v>
      </c>
      <c r="AY153" s="239">
        <v>-4427</v>
      </c>
      <c r="AZ153" s="239">
        <v>-442629</v>
      </c>
      <c r="BA153" s="239">
        <v>-17477067</v>
      </c>
      <c r="BB153" s="239">
        <v>-13981652</v>
      </c>
      <c r="BC153" s="239">
        <v>-3145872</v>
      </c>
      <c r="BD153" s="239">
        <v>-349541</v>
      </c>
      <c r="BE153" s="239">
        <v>-34954132</v>
      </c>
      <c r="BF153" s="239">
        <v>3891629</v>
      </c>
      <c r="BG153" s="239">
        <v>3113303</v>
      </c>
      <c r="BH153" s="239">
        <v>700493</v>
      </c>
      <c r="BI153" s="239">
        <v>77833</v>
      </c>
      <c r="BJ153" s="239">
        <v>7783258</v>
      </c>
      <c r="BK153" s="239">
        <v>10997443</v>
      </c>
      <c r="BL153" s="239">
        <v>8797955</v>
      </c>
      <c r="BM153" s="239">
        <v>1979540</v>
      </c>
      <c r="BN153" s="239">
        <v>219949</v>
      </c>
      <c r="BO153" s="239">
        <v>21994887</v>
      </c>
      <c r="BP153" s="239">
        <v>-2587995</v>
      </c>
      <c r="BQ153" s="239">
        <v>-2070394</v>
      </c>
      <c r="BR153" s="239">
        <v>-465839</v>
      </c>
      <c r="BS153" s="239">
        <v>-51759</v>
      </c>
      <c r="BT153" s="239">
        <v>-5175987</v>
      </c>
      <c r="BU153" s="239">
        <v>-20017575</v>
      </c>
      <c r="BV153" s="239">
        <v>-16014060</v>
      </c>
      <c r="BW153" s="239">
        <v>-3603163</v>
      </c>
      <c r="BX153" s="239">
        <v>-400351</v>
      </c>
      <c r="BY153" s="239">
        <v>-40035149</v>
      </c>
      <c r="BZ153" s="239">
        <v>-7166547</v>
      </c>
      <c r="CA153" s="239">
        <v>-5733238</v>
      </c>
      <c r="CB153" s="239">
        <v>-1289979</v>
      </c>
      <c r="CC153" s="239">
        <v>-143331</v>
      </c>
      <c r="CD153" s="239">
        <v>-14333095</v>
      </c>
      <c r="CE153" s="239">
        <v>-12851028</v>
      </c>
      <c r="CF153" s="239">
        <v>-10280822</v>
      </c>
      <c r="CG153" s="239">
        <v>-2313184</v>
      </c>
      <c r="CH153" s="239">
        <v>-257020</v>
      </c>
      <c r="CI153" s="239">
        <v>-25702054</v>
      </c>
      <c r="CJ153" s="239">
        <v>30092139</v>
      </c>
      <c r="CK153" s="239">
        <v>24073711</v>
      </c>
      <c r="CL153" s="239">
        <v>5416585</v>
      </c>
      <c r="CM153" s="239">
        <v>601843</v>
      </c>
      <c r="CN153" s="239">
        <v>60184278</v>
      </c>
      <c r="CO153" s="239">
        <v>42050576</v>
      </c>
      <c r="CP153" s="239">
        <v>33640462</v>
      </c>
      <c r="CQ153" s="239">
        <v>7569104</v>
      </c>
      <c r="CR153" s="239">
        <v>841012</v>
      </c>
      <c r="CS153" s="239">
        <v>84101154</v>
      </c>
      <c r="CT153" s="239">
        <v>11958437</v>
      </c>
      <c r="CU153" s="239">
        <v>9566751</v>
      </c>
      <c r="CV153" s="239">
        <v>2152519</v>
      </c>
      <c r="CW153" s="239">
        <v>239169</v>
      </c>
      <c r="CX153" s="239">
        <v>23916876</v>
      </c>
      <c r="CY153" s="239">
        <v>-892591</v>
      </c>
      <c r="CZ153" s="239">
        <v>-714071</v>
      </c>
      <c r="DA153" s="239">
        <v>-160665</v>
      </c>
      <c r="DB153" s="239">
        <v>-17851</v>
      </c>
      <c r="DC153" s="239">
        <v>-1785178</v>
      </c>
      <c r="DD153" s="641">
        <v>0.5</v>
      </c>
      <c r="DE153" s="641">
        <v>0.4</v>
      </c>
      <c r="DF153" s="641">
        <v>0.09</v>
      </c>
      <c r="DG153" s="641">
        <v>0.01</v>
      </c>
      <c r="DH153" s="641">
        <v>1</v>
      </c>
      <c r="DI153" s="214" t="s">
        <v>1190</v>
      </c>
    </row>
    <row r="154" spans="2:113" s="214" customFormat="1" x14ac:dyDescent="0.2">
      <c r="B154" s="609" t="s">
        <v>390</v>
      </c>
      <c r="C154" s="609" t="s">
        <v>389</v>
      </c>
      <c r="D154" s="239">
        <v>182980123</v>
      </c>
      <c r="E154" s="239">
        <v>179320521</v>
      </c>
      <c r="F154" s="239">
        <v>0</v>
      </c>
      <c r="G154" s="239">
        <v>3659602</v>
      </c>
      <c r="H154" s="239">
        <v>365960246</v>
      </c>
      <c r="I154" s="239">
        <v>584666.36570247938</v>
      </c>
      <c r="J154" s="239">
        <v>584666.36570247938</v>
      </c>
      <c r="K154" s="239">
        <v>182395456.63429752</v>
      </c>
      <c r="L154" s="239">
        <v>1231515</v>
      </c>
      <c r="M154" s="239">
        <v>1231515</v>
      </c>
      <c r="N154" s="239">
        <v>726336</v>
      </c>
      <c r="O154" s="239">
        <v>726336</v>
      </c>
      <c r="P154" s="239">
        <v>152118</v>
      </c>
      <c r="Q154" s="239">
        <v>0</v>
      </c>
      <c r="R154" s="239">
        <v>152118</v>
      </c>
      <c r="S154" s="239">
        <v>584666.36570247938</v>
      </c>
      <c r="T154" s="239">
        <v>0</v>
      </c>
      <c r="U154" s="239">
        <v>0</v>
      </c>
      <c r="V154" s="239">
        <v>584666.36570247938</v>
      </c>
      <c r="W154" s="239">
        <v>6467228</v>
      </c>
      <c r="X154" s="239">
        <v>6337884</v>
      </c>
      <c r="Y154" s="239">
        <v>0</v>
      </c>
      <c r="Z154" s="239">
        <v>129345</v>
      </c>
      <c r="AA154" s="239">
        <v>12934457</v>
      </c>
      <c r="AB154" s="239">
        <v>-4694689</v>
      </c>
      <c r="AC154" s="239">
        <v>-4600795</v>
      </c>
      <c r="AD154" s="239">
        <v>0</v>
      </c>
      <c r="AE154" s="239">
        <v>-93894</v>
      </c>
      <c r="AF154" s="239">
        <v>-9389378</v>
      </c>
      <c r="AG154" s="239">
        <v>-3672713</v>
      </c>
      <c r="AH154" s="239">
        <v>-3599259</v>
      </c>
      <c r="AI154" s="239">
        <v>0</v>
      </c>
      <c r="AJ154" s="239">
        <v>-73454</v>
      </c>
      <c r="AK154" s="239">
        <v>-7345426</v>
      </c>
      <c r="AL154" s="239">
        <v>2187995</v>
      </c>
      <c r="AM154" s="239">
        <v>2144236</v>
      </c>
      <c r="AN154" s="239">
        <v>0</v>
      </c>
      <c r="AO154" s="239">
        <v>43760</v>
      </c>
      <c r="AP154" s="239">
        <v>4375991</v>
      </c>
      <c r="AQ154" s="239">
        <v>-1803602</v>
      </c>
      <c r="AR154" s="239">
        <v>-1767529</v>
      </c>
      <c r="AS154" s="239">
        <v>0</v>
      </c>
      <c r="AT154" s="239">
        <v>-36072</v>
      </c>
      <c r="AU154" s="239">
        <v>-3607203</v>
      </c>
      <c r="AV154" s="239">
        <v>-3288320</v>
      </c>
      <c r="AW154" s="239">
        <v>-3222552</v>
      </c>
      <c r="AX154" s="239">
        <v>0</v>
      </c>
      <c r="AY154" s="239">
        <v>-65766</v>
      </c>
      <c r="AZ154" s="239">
        <v>-6576638</v>
      </c>
      <c r="BA154" s="239">
        <v>-11615420</v>
      </c>
      <c r="BB154" s="239">
        <v>-11383112</v>
      </c>
      <c r="BC154" s="239">
        <v>0</v>
      </c>
      <c r="BD154" s="239">
        <v>-232308</v>
      </c>
      <c r="BE154" s="239">
        <v>-23230840</v>
      </c>
      <c r="BF154" s="239">
        <v>7505213</v>
      </c>
      <c r="BG154" s="239">
        <v>7355109</v>
      </c>
      <c r="BH154" s="239">
        <v>0</v>
      </c>
      <c r="BI154" s="239">
        <v>150104</v>
      </c>
      <c r="BJ154" s="239">
        <v>15010426</v>
      </c>
      <c r="BK154" s="239">
        <v>-7368810</v>
      </c>
      <c r="BL154" s="239">
        <v>-7221434</v>
      </c>
      <c r="BM154" s="239">
        <v>0</v>
      </c>
      <c r="BN154" s="239">
        <v>-147376</v>
      </c>
      <c r="BO154" s="239">
        <v>-14737620</v>
      </c>
      <c r="BP154" s="239">
        <v>-11479017</v>
      </c>
      <c r="BQ154" s="239">
        <v>-11249437</v>
      </c>
      <c r="BR154" s="239">
        <v>0</v>
      </c>
      <c r="BS154" s="239">
        <v>-229580</v>
      </c>
      <c r="BT154" s="239">
        <v>-22958034</v>
      </c>
      <c r="BU154" s="239">
        <v>-36764296</v>
      </c>
      <c r="BV154" s="239">
        <v>-36029011</v>
      </c>
      <c r="BW154" s="239">
        <v>0</v>
      </c>
      <c r="BX154" s="239">
        <v>-735286</v>
      </c>
      <c r="BY154" s="239">
        <v>-73528593</v>
      </c>
      <c r="BZ154" s="239">
        <v>-23505169</v>
      </c>
      <c r="CA154" s="239">
        <v>-23035065</v>
      </c>
      <c r="CB154" s="239">
        <v>0</v>
      </c>
      <c r="CC154" s="239">
        <v>-470103</v>
      </c>
      <c r="CD154" s="239">
        <v>-47010337</v>
      </c>
      <c r="CE154" s="239">
        <v>-13259127</v>
      </c>
      <c r="CF154" s="239">
        <v>-12993946</v>
      </c>
      <c r="CG154" s="239">
        <v>0</v>
      </c>
      <c r="CH154" s="239">
        <v>-265183</v>
      </c>
      <c r="CI154" s="239">
        <v>-26518256</v>
      </c>
      <c r="CJ154" s="239">
        <v>196315992</v>
      </c>
      <c r="CK154" s="239">
        <v>192389672</v>
      </c>
      <c r="CL154" s="239">
        <v>0</v>
      </c>
      <c r="CM154" s="239">
        <v>3926320</v>
      </c>
      <c r="CN154" s="239">
        <v>392631984</v>
      </c>
      <c r="CO154" s="239">
        <v>182980123</v>
      </c>
      <c r="CP154" s="239">
        <v>179320521</v>
      </c>
      <c r="CQ154" s="239">
        <v>0</v>
      </c>
      <c r="CR154" s="239">
        <v>3659602</v>
      </c>
      <c r="CS154" s="239">
        <v>365960246</v>
      </c>
      <c r="CT154" s="239">
        <v>-13335869</v>
      </c>
      <c r="CU154" s="239">
        <v>-13069151</v>
      </c>
      <c r="CV154" s="239">
        <v>0</v>
      </c>
      <c r="CW154" s="239">
        <v>-266718</v>
      </c>
      <c r="CX154" s="239">
        <v>-26671738</v>
      </c>
      <c r="CY154" s="239">
        <v>-26594996</v>
      </c>
      <c r="CZ154" s="239">
        <v>-26063097</v>
      </c>
      <c r="DA154" s="239">
        <v>0</v>
      </c>
      <c r="DB154" s="239">
        <v>-531901</v>
      </c>
      <c r="DC154" s="239">
        <v>-53189994</v>
      </c>
      <c r="DD154" s="641">
        <v>0.5</v>
      </c>
      <c r="DE154" s="641">
        <v>0.49</v>
      </c>
      <c r="DF154" s="641">
        <v>0</v>
      </c>
      <c r="DG154" s="641">
        <v>0.01</v>
      </c>
      <c r="DH154" s="641">
        <v>1</v>
      </c>
      <c r="DI154" s="214" t="s">
        <v>1192</v>
      </c>
    </row>
    <row r="155" spans="2:113" s="214" customFormat="1" x14ac:dyDescent="0.2">
      <c r="B155" s="609" t="s">
        <v>392</v>
      </c>
      <c r="C155" s="609" t="s">
        <v>391</v>
      </c>
      <c r="D155" s="239">
        <v>52842463</v>
      </c>
      <c r="E155" s="239">
        <v>51785614</v>
      </c>
      <c r="F155" s="239">
        <v>0</v>
      </c>
      <c r="G155" s="239">
        <v>1056849</v>
      </c>
      <c r="H155" s="239">
        <v>105684926</v>
      </c>
      <c r="I155" s="239">
        <v>0</v>
      </c>
      <c r="J155" s="239">
        <v>0</v>
      </c>
      <c r="K155" s="239">
        <v>52842463</v>
      </c>
      <c r="L155" s="239">
        <v>491654</v>
      </c>
      <c r="M155" s="239">
        <v>491654</v>
      </c>
      <c r="N155" s="239">
        <v>0</v>
      </c>
      <c r="O155" s="239">
        <v>0</v>
      </c>
      <c r="P155" s="239">
        <v>0</v>
      </c>
      <c r="Q155" s="239">
        <v>0</v>
      </c>
      <c r="R155" s="239">
        <v>0</v>
      </c>
      <c r="S155" s="239">
        <v>0</v>
      </c>
      <c r="T155" s="239">
        <v>0</v>
      </c>
      <c r="U155" s="239">
        <v>0</v>
      </c>
      <c r="V155" s="239">
        <v>0</v>
      </c>
      <c r="W155" s="239">
        <v>4827815</v>
      </c>
      <c r="X155" s="239">
        <v>4731259</v>
      </c>
      <c r="Y155" s="239">
        <v>0</v>
      </c>
      <c r="Z155" s="239">
        <v>96556</v>
      </c>
      <c r="AA155" s="239">
        <v>9655630</v>
      </c>
      <c r="AB155" s="239">
        <v>-1191489</v>
      </c>
      <c r="AC155" s="239">
        <v>-1167659</v>
      </c>
      <c r="AD155" s="239">
        <v>0</v>
      </c>
      <c r="AE155" s="239">
        <v>-23830</v>
      </c>
      <c r="AF155" s="239">
        <v>-2382978</v>
      </c>
      <c r="AG155" s="239">
        <v>-1501542</v>
      </c>
      <c r="AH155" s="239">
        <v>-1471511</v>
      </c>
      <c r="AI155" s="239">
        <v>0</v>
      </c>
      <c r="AJ155" s="239">
        <v>-30030</v>
      </c>
      <c r="AK155" s="239">
        <v>-3003083</v>
      </c>
      <c r="AL155" s="239">
        <v>427845</v>
      </c>
      <c r="AM155" s="239">
        <v>419289</v>
      </c>
      <c r="AN155" s="239">
        <v>0</v>
      </c>
      <c r="AO155" s="239">
        <v>8557</v>
      </c>
      <c r="AP155" s="239">
        <v>855691</v>
      </c>
      <c r="AQ155" s="239">
        <v>-933337</v>
      </c>
      <c r="AR155" s="239">
        <v>-914670</v>
      </c>
      <c r="AS155" s="239">
        <v>0</v>
      </c>
      <c r="AT155" s="239">
        <v>-18667</v>
      </c>
      <c r="AU155" s="239">
        <v>-1866674</v>
      </c>
      <c r="AV155" s="239">
        <v>-2007034</v>
      </c>
      <c r="AW155" s="239">
        <v>-1966892</v>
      </c>
      <c r="AX155" s="239">
        <v>0</v>
      </c>
      <c r="AY155" s="239">
        <v>-40140</v>
      </c>
      <c r="AZ155" s="239">
        <v>-4014066</v>
      </c>
      <c r="BA155" s="239">
        <v>-4010681</v>
      </c>
      <c r="BB155" s="239">
        <v>-3930465</v>
      </c>
      <c r="BC155" s="239">
        <v>0</v>
      </c>
      <c r="BD155" s="239">
        <v>-80213</v>
      </c>
      <c r="BE155" s="239">
        <v>-8021359</v>
      </c>
      <c r="BF155" s="239">
        <v>1167332</v>
      </c>
      <c r="BG155" s="239">
        <v>1143985</v>
      </c>
      <c r="BH155" s="239">
        <v>0</v>
      </c>
      <c r="BI155" s="239">
        <v>23347</v>
      </c>
      <c r="BJ155" s="239">
        <v>2334664</v>
      </c>
      <c r="BK155" s="239">
        <v>291575</v>
      </c>
      <c r="BL155" s="239">
        <v>285743</v>
      </c>
      <c r="BM155" s="239">
        <v>0</v>
      </c>
      <c r="BN155" s="239">
        <v>5831</v>
      </c>
      <c r="BO155" s="239">
        <v>583149</v>
      </c>
      <c r="BP155" s="239">
        <v>-2551774</v>
      </c>
      <c r="BQ155" s="239">
        <v>-2500737</v>
      </c>
      <c r="BR155" s="239">
        <v>0</v>
      </c>
      <c r="BS155" s="239">
        <v>-51035</v>
      </c>
      <c r="BT155" s="239">
        <v>-5103546</v>
      </c>
      <c r="BU155" s="239">
        <v>-6236799</v>
      </c>
      <c r="BV155" s="239">
        <v>-6112063</v>
      </c>
      <c r="BW155" s="239">
        <v>0</v>
      </c>
      <c r="BX155" s="239">
        <v>-124736</v>
      </c>
      <c r="BY155" s="239">
        <v>-12473598</v>
      </c>
      <c r="BZ155" s="239">
        <v>-5299454</v>
      </c>
      <c r="CA155" s="239">
        <v>-5193464</v>
      </c>
      <c r="CB155" s="239">
        <v>0</v>
      </c>
      <c r="CC155" s="239">
        <v>-105989</v>
      </c>
      <c r="CD155" s="239">
        <v>-10598907</v>
      </c>
      <c r="CE155" s="239">
        <v>-937345</v>
      </c>
      <c r="CF155" s="239">
        <v>-918599</v>
      </c>
      <c r="CG155" s="239">
        <v>0</v>
      </c>
      <c r="CH155" s="239">
        <v>-18747</v>
      </c>
      <c r="CI155" s="239">
        <v>-1874691</v>
      </c>
      <c r="CJ155" s="239">
        <v>52100680</v>
      </c>
      <c r="CK155" s="239">
        <v>51058666</v>
      </c>
      <c r="CL155" s="239">
        <v>0</v>
      </c>
      <c r="CM155" s="239">
        <v>1042014</v>
      </c>
      <c r="CN155" s="239">
        <v>104201360</v>
      </c>
      <c r="CO155" s="239">
        <v>52842463</v>
      </c>
      <c r="CP155" s="239">
        <v>51785614</v>
      </c>
      <c r="CQ155" s="239">
        <v>0</v>
      </c>
      <c r="CR155" s="239">
        <v>1056849</v>
      </c>
      <c r="CS155" s="239">
        <v>105684926</v>
      </c>
      <c r="CT155" s="239">
        <v>741783</v>
      </c>
      <c r="CU155" s="239">
        <v>726948</v>
      </c>
      <c r="CV155" s="239">
        <v>0</v>
      </c>
      <c r="CW155" s="239">
        <v>14835</v>
      </c>
      <c r="CX155" s="239">
        <v>1483566</v>
      </c>
      <c r="CY155" s="239">
        <v>-195562</v>
      </c>
      <c r="CZ155" s="239">
        <v>-191651</v>
      </c>
      <c r="DA155" s="239">
        <v>0</v>
      </c>
      <c r="DB155" s="239">
        <v>-3912</v>
      </c>
      <c r="DC155" s="239">
        <v>-391125</v>
      </c>
      <c r="DD155" s="641">
        <v>0.5</v>
      </c>
      <c r="DE155" s="641">
        <v>0.49</v>
      </c>
      <c r="DF155" s="641">
        <v>0</v>
      </c>
      <c r="DG155" s="641">
        <v>0.01</v>
      </c>
      <c r="DH155" s="641">
        <v>1</v>
      </c>
      <c r="DI155" s="214" t="s">
        <v>747</v>
      </c>
    </row>
    <row r="156" spans="2:113" s="214" customFormat="1" x14ac:dyDescent="0.2">
      <c r="B156" s="609" t="s">
        <v>394</v>
      </c>
      <c r="C156" s="609" t="s">
        <v>393</v>
      </c>
      <c r="D156" s="239">
        <v>12323127</v>
      </c>
      <c r="E156" s="239">
        <v>9858502</v>
      </c>
      <c r="F156" s="239">
        <v>2218163</v>
      </c>
      <c r="G156" s="239">
        <v>246463</v>
      </c>
      <c r="H156" s="239">
        <v>24646255</v>
      </c>
      <c r="I156" s="239">
        <v>0</v>
      </c>
      <c r="J156" s="239">
        <v>0</v>
      </c>
      <c r="K156" s="239">
        <v>12323127</v>
      </c>
      <c r="L156" s="239">
        <v>131056</v>
      </c>
      <c r="M156" s="239">
        <v>131056</v>
      </c>
      <c r="N156" s="239">
        <v>0</v>
      </c>
      <c r="O156" s="239">
        <v>0</v>
      </c>
      <c r="P156" s="239">
        <v>0</v>
      </c>
      <c r="Q156" s="239">
        <v>0</v>
      </c>
      <c r="R156" s="239">
        <v>0</v>
      </c>
      <c r="S156" s="239">
        <v>0</v>
      </c>
      <c r="T156" s="239">
        <v>0</v>
      </c>
      <c r="U156" s="239">
        <v>0</v>
      </c>
      <c r="V156" s="239">
        <v>0</v>
      </c>
      <c r="W156" s="239">
        <v>567345</v>
      </c>
      <c r="X156" s="239">
        <v>453876</v>
      </c>
      <c r="Y156" s="239">
        <v>102122</v>
      </c>
      <c r="Z156" s="239">
        <v>11347</v>
      </c>
      <c r="AA156" s="239">
        <v>1134690</v>
      </c>
      <c r="AB156" s="239">
        <v>-335203</v>
      </c>
      <c r="AC156" s="239">
        <v>-268162</v>
      </c>
      <c r="AD156" s="239">
        <v>-60337</v>
      </c>
      <c r="AE156" s="239">
        <v>-6704</v>
      </c>
      <c r="AF156" s="239">
        <v>-670406</v>
      </c>
      <c r="AG156" s="239">
        <v>-94001</v>
      </c>
      <c r="AH156" s="239">
        <v>-75199</v>
      </c>
      <c r="AI156" s="239">
        <v>-16920</v>
      </c>
      <c r="AJ156" s="239">
        <v>-1880</v>
      </c>
      <c r="AK156" s="239">
        <v>-188000</v>
      </c>
      <c r="AL156" s="239">
        <v>33531</v>
      </c>
      <c r="AM156" s="239">
        <v>26826</v>
      </c>
      <c r="AN156" s="239">
        <v>6036</v>
      </c>
      <c r="AO156" s="239">
        <v>671</v>
      </c>
      <c r="AP156" s="239">
        <v>67064</v>
      </c>
      <c r="AQ156" s="239">
        <v>-92031</v>
      </c>
      <c r="AR156" s="239">
        <v>-73626</v>
      </c>
      <c r="AS156" s="239">
        <v>-16566</v>
      </c>
      <c r="AT156" s="239">
        <v>-1841</v>
      </c>
      <c r="AU156" s="239">
        <v>-184064</v>
      </c>
      <c r="AV156" s="239">
        <v>-152501</v>
      </c>
      <c r="AW156" s="239">
        <v>-121999</v>
      </c>
      <c r="AX156" s="239">
        <v>-27450</v>
      </c>
      <c r="AY156" s="239">
        <v>-3050</v>
      </c>
      <c r="AZ156" s="239">
        <v>-305000</v>
      </c>
      <c r="BA156" s="239">
        <v>-950000</v>
      </c>
      <c r="BB156" s="239">
        <v>-760000</v>
      </c>
      <c r="BC156" s="239">
        <v>-171000</v>
      </c>
      <c r="BD156" s="239">
        <v>-19000</v>
      </c>
      <c r="BE156" s="239">
        <v>-1900000</v>
      </c>
      <c r="BF156" s="239">
        <v>0</v>
      </c>
      <c r="BG156" s="239">
        <v>0</v>
      </c>
      <c r="BH156" s="239">
        <v>0</v>
      </c>
      <c r="BI156" s="239">
        <v>0</v>
      </c>
      <c r="BJ156" s="239">
        <v>0</v>
      </c>
      <c r="BK156" s="239">
        <v>50000</v>
      </c>
      <c r="BL156" s="239">
        <v>40000</v>
      </c>
      <c r="BM156" s="239">
        <v>9000</v>
      </c>
      <c r="BN156" s="239">
        <v>1000</v>
      </c>
      <c r="BO156" s="239">
        <v>100000</v>
      </c>
      <c r="BP156" s="239">
        <v>-900000</v>
      </c>
      <c r="BQ156" s="239">
        <v>-720000</v>
      </c>
      <c r="BR156" s="239">
        <v>-162000</v>
      </c>
      <c r="BS156" s="239">
        <v>-18000</v>
      </c>
      <c r="BT156" s="239">
        <v>-1800000</v>
      </c>
      <c r="BU156" s="239">
        <v>-1004538</v>
      </c>
      <c r="BV156" s="239">
        <v>-803630</v>
      </c>
      <c r="BW156" s="239">
        <v>-180817</v>
      </c>
      <c r="BX156" s="239">
        <v>-20091</v>
      </c>
      <c r="BY156" s="239">
        <v>-2009076</v>
      </c>
      <c r="BZ156" s="239">
        <v>-799703</v>
      </c>
      <c r="CA156" s="239">
        <v>-639762</v>
      </c>
      <c r="CB156" s="239">
        <v>-143946</v>
      </c>
      <c r="CC156" s="239">
        <v>-15994</v>
      </c>
      <c r="CD156" s="239">
        <v>-1599405</v>
      </c>
      <c r="CE156" s="239">
        <v>-204835</v>
      </c>
      <c r="CF156" s="239">
        <v>-163868</v>
      </c>
      <c r="CG156" s="239">
        <v>-36871</v>
      </c>
      <c r="CH156" s="239">
        <v>-4097</v>
      </c>
      <c r="CI156" s="239">
        <v>-409671</v>
      </c>
      <c r="CJ156" s="239">
        <v>12917103</v>
      </c>
      <c r="CK156" s="239">
        <v>10333682</v>
      </c>
      <c r="CL156" s="239">
        <v>2325079</v>
      </c>
      <c r="CM156" s="239">
        <v>258342</v>
      </c>
      <c r="CN156" s="239">
        <v>25834206</v>
      </c>
      <c r="CO156" s="239">
        <v>12323127</v>
      </c>
      <c r="CP156" s="239">
        <v>9858502</v>
      </c>
      <c r="CQ156" s="239">
        <v>2218163</v>
      </c>
      <c r="CR156" s="239">
        <v>246463</v>
      </c>
      <c r="CS156" s="239">
        <v>24646255</v>
      </c>
      <c r="CT156" s="239">
        <v>-593976</v>
      </c>
      <c r="CU156" s="239">
        <v>-475180</v>
      </c>
      <c r="CV156" s="239">
        <v>-106916</v>
      </c>
      <c r="CW156" s="239">
        <v>-11879</v>
      </c>
      <c r="CX156" s="239">
        <v>-1187951</v>
      </c>
      <c r="CY156" s="239">
        <v>-798811</v>
      </c>
      <c r="CZ156" s="239">
        <v>-639048</v>
      </c>
      <c r="DA156" s="239">
        <v>-143787</v>
      </c>
      <c r="DB156" s="239">
        <v>-15976</v>
      </c>
      <c r="DC156" s="239">
        <v>-1597622</v>
      </c>
      <c r="DD156" s="641">
        <v>0.5</v>
      </c>
      <c r="DE156" s="641">
        <v>0.4</v>
      </c>
      <c r="DF156" s="641">
        <v>0.09</v>
      </c>
      <c r="DG156" s="641">
        <v>0.01</v>
      </c>
      <c r="DH156" s="641">
        <v>1</v>
      </c>
      <c r="DI156" s="214" t="s">
        <v>1190</v>
      </c>
    </row>
    <row r="157" spans="2:113" s="214" customFormat="1" x14ac:dyDescent="0.2">
      <c r="B157" s="609" t="s">
        <v>396</v>
      </c>
      <c r="C157" s="609" t="s">
        <v>395</v>
      </c>
      <c r="D157" s="239">
        <v>26091936</v>
      </c>
      <c r="E157" s="239">
        <v>15655162</v>
      </c>
      <c r="F157" s="239">
        <v>10436774</v>
      </c>
      <c r="G157" s="239">
        <v>0</v>
      </c>
      <c r="H157" s="239">
        <v>52183872</v>
      </c>
      <c r="I157" s="239">
        <v>0</v>
      </c>
      <c r="J157" s="239">
        <v>0</v>
      </c>
      <c r="K157" s="239">
        <v>26091936</v>
      </c>
      <c r="L157" s="239">
        <v>303330</v>
      </c>
      <c r="M157" s="239">
        <v>303330</v>
      </c>
      <c r="N157" s="239">
        <v>0</v>
      </c>
      <c r="O157" s="239">
        <v>0</v>
      </c>
      <c r="P157" s="239">
        <v>0</v>
      </c>
      <c r="Q157" s="239">
        <v>0</v>
      </c>
      <c r="R157" s="239">
        <v>0</v>
      </c>
      <c r="S157" s="239">
        <v>0</v>
      </c>
      <c r="T157" s="239">
        <v>0</v>
      </c>
      <c r="U157" s="239">
        <v>0</v>
      </c>
      <c r="V157" s="239">
        <v>0</v>
      </c>
      <c r="W157" s="239">
        <v>1965514</v>
      </c>
      <c r="X157" s="239">
        <v>1179308</v>
      </c>
      <c r="Y157" s="239">
        <v>786205</v>
      </c>
      <c r="Z157" s="239">
        <v>0</v>
      </c>
      <c r="AA157" s="239">
        <v>3931027</v>
      </c>
      <c r="AB157" s="239">
        <v>-3615415</v>
      </c>
      <c r="AC157" s="239">
        <v>-2169249</v>
      </c>
      <c r="AD157" s="239">
        <v>-1446166</v>
      </c>
      <c r="AE157" s="239">
        <v>0</v>
      </c>
      <c r="AF157" s="239">
        <v>-7230830</v>
      </c>
      <c r="AG157" s="239">
        <v>-1574890.5</v>
      </c>
      <c r="AH157" s="239">
        <v>-944935</v>
      </c>
      <c r="AI157" s="239">
        <v>-629956</v>
      </c>
      <c r="AJ157" s="239">
        <v>0</v>
      </c>
      <c r="AK157" s="239">
        <v>-3149781.5</v>
      </c>
      <c r="AL157" s="239">
        <v>403387</v>
      </c>
      <c r="AM157" s="239">
        <v>242033</v>
      </c>
      <c r="AN157" s="239">
        <v>161355</v>
      </c>
      <c r="AO157" s="239">
        <v>0</v>
      </c>
      <c r="AP157" s="239">
        <v>806775</v>
      </c>
      <c r="AQ157" s="239">
        <v>2312</v>
      </c>
      <c r="AR157" s="239">
        <v>1387</v>
      </c>
      <c r="AS157" s="239">
        <v>925</v>
      </c>
      <c r="AT157" s="239">
        <v>0</v>
      </c>
      <c r="AU157" s="239">
        <v>4624</v>
      </c>
      <c r="AV157" s="239">
        <v>-1169191.5</v>
      </c>
      <c r="AW157" s="239">
        <v>-701515</v>
      </c>
      <c r="AX157" s="239">
        <v>-467676</v>
      </c>
      <c r="AY157" s="239">
        <v>0</v>
      </c>
      <c r="AZ157" s="239">
        <v>-2338382.5</v>
      </c>
      <c r="BA157" s="239">
        <v>-1294087</v>
      </c>
      <c r="BB157" s="239">
        <v>-776453</v>
      </c>
      <c r="BC157" s="239">
        <v>-517635</v>
      </c>
      <c r="BD157" s="239">
        <v>0</v>
      </c>
      <c r="BE157" s="239">
        <v>-2588175</v>
      </c>
      <c r="BF157" s="239">
        <v>1076454</v>
      </c>
      <c r="BG157" s="239">
        <v>645872</v>
      </c>
      <c r="BH157" s="239">
        <v>430581</v>
      </c>
      <c r="BI157" s="239">
        <v>0</v>
      </c>
      <c r="BJ157" s="239">
        <v>2152907</v>
      </c>
      <c r="BK157" s="239">
        <v>-1318812</v>
      </c>
      <c r="BL157" s="239">
        <v>-791288</v>
      </c>
      <c r="BM157" s="239">
        <v>-527525</v>
      </c>
      <c r="BN157" s="239">
        <v>0</v>
      </c>
      <c r="BO157" s="239">
        <v>-2637625</v>
      </c>
      <c r="BP157" s="239">
        <v>-1536445</v>
      </c>
      <c r="BQ157" s="239">
        <v>-921869</v>
      </c>
      <c r="BR157" s="239">
        <v>-614579</v>
      </c>
      <c r="BS157" s="239">
        <v>0</v>
      </c>
      <c r="BT157" s="239">
        <v>-3072893</v>
      </c>
      <c r="BU157" s="239">
        <v>-2938124</v>
      </c>
      <c r="BV157" s="239">
        <v>-1762874</v>
      </c>
      <c r="BW157" s="239">
        <v>-1175249</v>
      </c>
      <c r="BX157" s="239">
        <v>0</v>
      </c>
      <c r="BY157" s="239">
        <v>-5876247</v>
      </c>
      <c r="BZ157" s="239">
        <v>-2240318</v>
      </c>
      <c r="CA157" s="239">
        <v>-1344191</v>
      </c>
      <c r="CB157" s="239">
        <v>-896127</v>
      </c>
      <c r="CC157" s="239">
        <v>0</v>
      </c>
      <c r="CD157" s="239">
        <v>-4480636</v>
      </c>
      <c r="CE157" s="239">
        <v>-697806</v>
      </c>
      <c r="CF157" s="239">
        <v>-418683</v>
      </c>
      <c r="CG157" s="239">
        <v>-279122</v>
      </c>
      <c r="CH157" s="239">
        <v>0</v>
      </c>
      <c r="CI157" s="239">
        <v>-1395611</v>
      </c>
      <c r="CJ157" s="239">
        <v>28304129</v>
      </c>
      <c r="CK157" s="239">
        <v>16982478</v>
      </c>
      <c r="CL157" s="239">
        <v>11321652</v>
      </c>
      <c r="CM157" s="239">
        <v>0</v>
      </c>
      <c r="CN157" s="239">
        <v>56608259</v>
      </c>
      <c r="CO157" s="239">
        <v>26091936</v>
      </c>
      <c r="CP157" s="239">
        <v>15655162</v>
      </c>
      <c r="CQ157" s="239">
        <v>10436774</v>
      </c>
      <c r="CR157" s="239">
        <v>0</v>
      </c>
      <c r="CS157" s="239">
        <v>52183872</v>
      </c>
      <c r="CT157" s="239">
        <v>-2212193</v>
      </c>
      <c r="CU157" s="239">
        <v>-1327316</v>
      </c>
      <c r="CV157" s="239">
        <v>-884878</v>
      </c>
      <c r="CW157" s="239">
        <v>0</v>
      </c>
      <c r="CX157" s="239">
        <v>-4424387</v>
      </c>
      <c r="CY157" s="239">
        <v>-2909999</v>
      </c>
      <c r="CZ157" s="239">
        <v>-1745999</v>
      </c>
      <c r="DA157" s="239">
        <v>-1164000</v>
      </c>
      <c r="DB157" s="239">
        <v>0</v>
      </c>
      <c r="DC157" s="239">
        <v>-5819998</v>
      </c>
      <c r="DD157" s="641">
        <v>0.5</v>
      </c>
      <c r="DE157" s="641">
        <v>0.3</v>
      </c>
      <c r="DF157" s="641">
        <v>0.2</v>
      </c>
      <c r="DG157" s="641">
        <v>0</v>
      </c>
      <c r="DH157" s="641">
        <v>1</v>
      </c>
      <c r="DI157" s="214" t="s">
        <v>1193</v>
      </c>
    </row>
    <row r="158" spans="2:113" s="214" customFormat="1" x14ac:dyDescent="0.2">
      <c r="B158" s="609" t="s">
        <v>398</v>
      </c>
      <c r="C158" s="609" t="s">
        <v>397</v>
      </c>
      <c r="D158" s="239">
        <v>17631848</v>
      </c>
      <c r="E158" s="239">
        <v>14105479</v>
      </c>
      <c r="F158" s="239">
        <v>3173733</v>
      </c>
      <c r="G158" s="239">
        <v>352637</v>
      </c>
      <c r="H158" s="239">
        <v>35263697</v>
      </c>
      <c r="I158" s="239">
        <v>0</v>
      </c>
      <c r="J158" s="239">
        <v>0</v>
      </c>
      <c r="K158" s="239">
        <v>17631848</v>
      </c>
      <c r="L158" s="239">
        <v>123642</v>
      </c>
      <c r="M158" s="239">
        <v>123642</v>
      </c>
      <c r="N158" s="239">
        <v>0</v>
      </c>
      <c r="O158" s="239">
        <v>0</v>
      </c>
      <c r="P158" s="239">
        <v>0</v>
      </c>
      <c r="Q158" s="239">
        <v>0</v>
      </c>
      <c r="R158" s="239">
        <v>0</v>
      </c>
      <c r="S158" s="239">
        <v>0</v>
      </c>
      <c r="T158" s="239">
        <v>0</v>
      </c>
      <c r="U158" s="239">
        <v>0</v>
      </c>
      <c r="V158" s="239">
        <v>0</v>
      </c>
      <c r="W158" s="239">
        <v>604199</v>
      </c>
      <c r="X158" s="239">
        <v>483360</v>
      </c>
      <c r="Y158" s="239">
        <v>108756</v>
      </c>
      <c r="Z158" s="239">
        <v>12084</v>
      </c>
      <c r="AA158" s="239">
        <v>1208399</v>
      </c>
      <c r="AB158" s="239">
        <v>-550191</v>
      </c>
      <c r="AC158" s="239">
        <v>-440153</v>
      </c>
      <c r="AD158" s="239">
        <v>-99034</v>
      </c>
      <c r="AE158" s="239">
        <v>-11004</v>
      </c>
      <c r="AF158" s="239">
        <v>-1100382</v>
      </c>
      <c r="AG158" s="239">
        <v>-245668.6</v>
      </c>
      <c r="AH158" s="239">
        <v>-196534</v>
      </c>
      <c r="AI158" s="239">
        <v>-44220</v>
      </c>
      <c r="AJ158" s="239">
        <v>-4913</v>
      </c>
      <c r="AK158" s="239">
        <v>-491335.6</v>
      </c>
      <c r="AL158" s="239">
        <v>224025</v>
      </c>
      <c r="AM158" s="239">
        <v>179221</v>
      </c>
      <c r="AN158" s="239">
        <v>40325</v>
      </c>
      <c r="AO158" s="239">
        <v>4481</v>
      </c>
      <c r="AP158" s="239">
        <v>448052</v>
      </c>
      <c r="AQ158" s="239">
        <v>-152764</v>
      </c>
      <c r="AR158" s="239">
        <v>-122210</v>
      </c>
      <c r="AS158" s="239">
        <v>-27497</v>
      </c>
      <c r="AT158" s="239">
        <v>-3055</v>
      </c>
      <c r="AU158" s="239">
        <v>-305526</v>
      </c>
      <c r="AV158" s="239">
        <v>-174407.6</v>
      </c>
      <c r="AW158" s="239">
        <v>-139523</v>
      </c>
      <c r="AX158" s="239">
        <v>-31392</v>
      </c>
      <c r="AY158" s="239">
        <v>-3487</v>
      </c>
      <c r="AZ158" s="239">
        <v>-348809.6</v>
      </c>
      <c r="BA158" s="239">
        <v>-2060179</v>
      </c>
      <c r="BB158" s="239">
        <v>-1648144</v>
      </c>
      <c r="BC158" s="239">
        <v>-370833</v>
      </c>
      <c r="BD158" s="239">
        <v>-41204</v>
      </c>
      <c r="BE158" s="239">
        <v>-4120360</v>
      </c>
      <c r="BF158" s="239">
        <v>321259</v>
      </c>
      <c r="BG158" s="239">
        <v>257008</v>
      </c>
      <c r="BH158" s="239">
        <v>57827</v>
      </c>
      <c r="BI158" s="239">
        <v>6425</v>
      </c>
      <c r="BJ158" s="239">
        <v>642519</v>
      </c>
      <c r="BK158" s="239">
        <v>-211079</v>
      </c>
      <c r="BL158" s="239">
        <v>-168864</v>
      </c>
      <c r="BM158" s="239">
        <v>-37994</v>
      </c>
      <c r="BN158" s="239">
        <v>-4222</v>
      </c>
      <c r="BO158" s="239">
        <v>-422159</v>
      </c>
      <c r="BP158" s="239">
        <v>-1949999</v>
      </c>
      <c r="BQ158" s="239">
        <v>-1560000</v>
      </c>
      <c r="BR158" s="239">
        <v>-351000</v>
      </c>
      <c r="BS158" s="239">
        <v>-39001</v>
      </c>
      <c r="BT158" s="239">
        <v>-3900000</v>
      </c>
      <c r="BU158" s="239">
        <v>-128944</v>
      </c>
      <c r="BV158" s="239">
        <v>-103156</v>
      </c>
      <c r="BW158" s="239">
        <v>-23210</v>
      </c>
      <c r="BX158" s="239">
        <v>-2579</v>
      </c>
      <c r="BY158" s="239">
        <v>-257889</v>
      </c>
      <c r="BZ158" s="239">
        <v>-731803</v>
      </c>
      <c r="CA158" s="239">
        <v>-585443</v>
      </c>
      <c r="CB158" s="239">
        <v>-131725</v>
      </c>
      <c r="CC158" s="239">
        <v>-14636</v>
      </c>
      <c r="CD158" s="239">
        <v>-1463607</v>
      </c>
      <c r="CE158" s="239">
        <v>602859</v>
      </c>
      <c r="CF158" s="239">
        <v>482287</v>
      </c>
      <c r="CG158" s="239">
        <v>108515</v>
      </c>
      <c r="CH158" s="239">
        <v>12057</v>
      </c>
      <c r="CI158" s="239">
        <v>1205718</v>
      </c>
      <c r="CJ158" s="239">
        <v>16884146</v>
      </c>
      <c r="CK158" s="239">
        <v>13507317</v>
      </c>
      <c r="CL158" s="239">
        <v>3039146</v>
      </c>
      <c r="CM158" s="239">
        <v>337683</v>
      </c>
      <c r="CN158" s="239">
        <v>33768292</v>
      </c>
      <c r="CO158" s="239">
        <v>17631848</v>
      </c>
      <c r="CP158" s="239">
        <v>14105479</v>
      </c>
      <c r="CQ158" s="239">
        <v>3173733</v>
      </c>
      <c r="CR158" s="239">
        <v>352637</v>
      </c>
      <c r="CS158" s="239">
        <v>35263697</v>
      </c>
      <c r="CT158" s="239">
        <v>747702</v>
      </c>
      <c r="CU158" s="239">
        <v>598162</v>
      </c>
      <c r="CV158" s="239">
        <v>134587</v>
      </c>
      <c r="CW158" s="239">
        <v>14954</v>
      </c>
      <c r="CX158" s="239">
        <v>1495405</v>
      </c>
      <c r="CY158" s="239">
        <v>1350561</v>
      </c>
      <c r="CZ158" s="239">
        <v>1080449</v>
      </c>
      <c r="DA158" s="239">
        <v>243102</v>
      </c>
      <c r="DB158" s="239">
        <v>27011</v>
      </c>
      <c r="DC158" s="239">
        <v>2701123</v>
      </c>
      <c r="DD158" s="641">
        <v>0.5</v>
      </c>
      <c r="DE158" s="641">
        <v>0.4</v>
      </c>
      <c r="DF158" s="641">
        <v>0.09</v>
      </c>
      <c r="DG158" s="641">
        <v>0.01</v>
      </c>
      <c r="DH158" s="641">
        <v>1</v>
      </c>
      <c r="DI158" s="214" t="s">
        <v>1190</v>
      </c>
    </row>
    <row r="159" spans="2:113" s="214" customFormat="1" x14ac:dyDescent="0.2">
      <c r="B159" s="609" t="s">
        <v>400</v>
      </c>
      <c r="C159" s="609" t="s">
        <v>399</v>
      </c>
      <c r="D159" s="239">
        <v>20577858</v>
      </c>
      <c r="E159" s="239">
        <v>16462286</v>
      </c>
      <c r="F159" s="239">
        <v>4115572</v>
      </c>
      <c r="G159" s="239">
        <v>0</v>
      </c>
      <c r="H159" s="239">
        <v>41155716</v>
      </c>
      <c r="I159" s="239">
        <v>0</v>
      </c>
      <c r="J159" s="239">
        <v>0</v>
      </c>
      <c r="K159" s="239">
        <v>20577858</v>
      </c>
      <c r="L159" s="239">
        <v>148207</v>
      </c>
      <c r="M159" s="239">
        <v>148207</v>
      </c>
      <c r="N159" s="239">
        <v>0</v>
      </c>
      <c r="O159" s="239">
        <v>0</v>
      </c>
      <c r="P159" s="239">
        <v>0</v>
      </c>
      <c r="Q159" s="239">
        <v>0</v>
      </c>
      <c r="R159" s="239">
        <v>0</v>
      </c>
      <c r="S159" s="239">
        <v>0</v>
      </c>
      <c r="T159" s="239">
        <v>0</v>
      </c>
      <c r="U159" s="239">
        <v>0</v>
      </c>
      <c r="V159" s="239">
        <v>0</v>
      </c>
      <c r="W159" s="239">
        <v>505842</v>
      </c>
      <c r="X159" s="239">
        <v>404674</v>
      </c>
      <c r="Y159" s="239">
        <v>101168</v>
      </c>
      <c r="Z159" s="239">
        <v>0</v>
      </c>
      <c r="AA159" s="239">
        <v>1011684</v>
      </c>
      <c r="AB159" s="239">
        <v>-1014724</v>
      </c>
      <c r="AC159" s="239">
        <v>-811780</v>
      </c>
      <c r="AD159" s="239">
        <v>-202945</v>
      </c>
      <c r="AE159" s="239">
        <v>0</v>
      </c>
      <c r="AF159" s="239">
        <v>-2029449</v>
      </c>
      <c r="AG159" s="239">
        <v>-185231</v>
      </c>
      <c r="AH159" s="239">
        <v>-148185</v>
      </c>
      <c r="AI159" s="239">
        <v>-37047</v>
      </c>
      <c r="AJ159" s="239">
        <v>0</v>
      </c>
      <c r="AK159" s="239">
        <v>-370463</v>
      </c>
      <c r="AL159" s="239">
        <v>127711</v>
      </c>
      <c r="AM159" s="239">
        <v>102168</v>
      </c>
      <c r="AN159" s="239">
        <v>25542</v>
      </c>
      <c r="AO159" s="239">
        <v>0</v>
      </c>
      <c r="AP159" s="239">
        <v>255421</v>
      </c>
      <c r="AQ159" s="239">
        <v>-174978</v>
      </c>
      <c r="AR159" s="239">
        <v>-139983</v>
      </c>
      <c r="AS159" s="239">
        <v>-34996</v>
      </c>
      <c r="AT159" s="239">
        <v>0</v>
      </c>
      <c r="AU159" s="239">
        <v>-349957</v>
      </c>
      <c r="AV159" s="239">
        <v>-232498</v>
      </c>
      <c r="AW159" s="239">
        <v>-186000</v>
      </c>
      <c r="AX159" s="239">
        <v>-46501</v>
      </c>
      <c r="AY159" s="239">
        <v>0</v>
      </c>
      <c r="AZ159" s="239">
        <v>-464999</v>
      </c>
      <c r="BA159" s="239">
        <v>-3450268</v>
      </c>
      <c r="BB159" s="239">
        <v>-2760214</v>
      </c>
      <c r="BC159" s="239">
        <v>-690054</v>
      </c>
      <c r="BD159" s="239">
        <v>0</v>
      </c>
      <c r="BE159" s="239">
        <v>-6900536</v>
      </c>
      <c r="BF159" s="239">
        <v>273737</v>
      </c>
      <c r="BG159" s="239">
        <v>218990</v>
      </c>
      <c r="BH159" s="239">
        <v>54748</v>
      </c>
      <c r="BI159" s="239">
        <v>0</v>
      </c>
      <c r="BJ159" s="239">
        <v>547475</v>
      </c>
      <c r="BK159" s="239">
        <v>-965813</v>
      </c>
      <c r="BL159" s="239">
        <v>-772650</v>
      </c>
      <c r="BM159" s="239">
        <v>-193163</v>
      </c>
      <c r="BN159" s="239">
        <v>0</v>
      </c>
      <c r="BO159" s="239">
        <v>-1931626</v>
      </c>
      <c r="BP159" s="239">
        <v>-4142344</v>
      </c>
      <c r="BQ159" s="239">
        <v>-3313874</v>
      </c>
      <c r="BR159" s="239">
        <v>-828469</v>
      </c>
      <c r="BS159" s="239">
        <v>0</v>
      </c>
      <c r="BT159" s="239">
        <v>-8284687</v>
      </c>
      <c r="BU159" s="239">
        <v>-2341432</v>
      </c>
      <c r="BV159" s="239">
        <v>-1873145</v>
      </c>
      <c r="BW159" s="239">
        <v>-468286</v>
      </c>
      <c r="BX159" s="239">
        <v>0</v>
      </c>
      <c r="BY159" s="239">
        <v>-4682863</v>
      </c>
      <c r="BZ159" s="239">
        <v>-1733121</v>
      </c>
      <c r="CA159" s="239">
        <v>-1386496</v>
      </c>
      <c r="CB159" s="239">
        <v>-346624</v>
      </c>
      <c r="CC159" s="239">
        <v>0</v>
      </c>
      <c r="CD159" s="239">
        <v>-3466241</v>
      </c>
      <c r="CE159" s="239">
        <v>-608311</v>
      </c>
      <c r="CF159" s="239">
        <v>-486649</v>
      </c>
      <c r="CG159" s="239">
        <v>-121662</v>
      </c>
      <c r="CH159" s="239">
        <v>0</v>
      </c>
      <c r="CI159" s="239">
        <v>-1216622</v>
      </c>
      <c r="CJ159" s="239">
        <v>21605864</v>
      </c>
      <c r="CK159" s="239">
        <v>17284691</v>
      </c>
      <c r="CL159" s="239">
        <v>4321173</v>
      </c>
      <c r="CM159" s="239">
        <v>0</v>
      </c>
      <c r="CN159" s="239">
        <v>43211728</v>
      </c>
      <c r="CO159" s="239">
        <v>20577858</v>
      </c>
      <c r="CP159" s="239">
        <v>16462286</v>
      </c>
      <c r="CQ159" s="239">
        <v>4115572</v>
      </c>
      <c r="CR159" s="239">
        <v>0</v>
      </c>
      <c r="CS159" s="239">
        <v>41155716</v>
      </c>
      <c r="CT159" s="239">
        <v>-1028006</v>
      </c>
      <c r="CU159" s="239">
        <v>-822405</v>
      </c>
      <c r="CV159" s="239">
        <v>-205601</v>
      </c>
      <c r="CW159" s="239">
        <v>0</v>
      </c>
      <c r="CX159" s="239">
        <v>-2056012</v>
      </c>
      <c r="CY159" s="239">
        <v>-1636317</v>
      </c>
      <c r="CZ159" s="239">
        <v>-1309054</v>
      </c>
      <c r="DA159" s="239">
        <v>-327263</v>
      </c>
      <c r="DB159" s="239">
        <v>0</v>
      </c>
      <c r="DC159" s="239">
        <v>-3272634</v>
      </c>
      <c r="DD159" s="641">
        <v>0.5</v>
      </c>
      <c r="DE159" s="641">
        <v>0.4</v>
      </c>
      <c r="DF159" s="641">
        <v>0.1</v>
      </c>
      <c r="DG159" s="641">
        <v>0</v>
      </c>
      <c r="DH159" s="641">
        <v>1</v>
      </c>
      <c r="DI159" s="214" t="s">
        <v>1190</v>
      </c>
    </row>
    <row r="160" spans="2:113" s="214" customFormat="1" x14ac:dyDescent="0.2">
      <c r="B160" s="609" t="s">
        <v>402</v>
      </c>
      <c r="C160" s="609" t="s">
        <v>401</v>
      </c>
      <c r="D160" s="239">
        <v>88762968</v>
      </c>
      <c r="E160" s="239">
        <v>86987709</v>
      </c>
      <c r="F160" s="239">
        <v>0</v>
      </c>
      <c r="G160" s="239">
        <v>1775259</v>
      </c>
      <c r="H160" s="239">
        <v>177525936</v>
      </c>
      <c r="I160" s="239">
        <v>257366.17148760331</v>
      </c>
      <c r="J160" s="239">
        <v>257366.17148760331</v>
      </c>
      <c r="K160" s="239">
        <v>88505601.8285124</v>
      </c>
      <c r="L160" s="239">
        <v>779426</v>
      </c>
      <c r="M160" s="239">
        <v>779426</v>
      </c>
      <c r="N160" s="239">
        <v>0</v>
      </c>
      <c r="O160" s="239">
        <v>0</v>
      </c>
      <c r="P160" s="239">
        <v>0</v>
      </c>
      <c r="Q160" s="239">
        <v>0</v>
      </c>
      <c r="R160" s="239">
        <v>0</v>
      </c>
      <c r="S160" s="239">
        <v>257366.17148760331</v>
      </c>
      <c r="T160" s="239">
        <v>0</v>
      </c>
      <c r="U160" s="239">
        <v>0</v>
      </c>
      <c r="V160" s="239">
        <v>257366.17148760331</v>
      </c>
      <c r="W160" s="239">
        <v>24222930</v>
      </c>
      <c r="X160" s="239">
        <v>23738471</v>
      </c>
      <c r="Y160" s="239">
        <v>0</v>
      </c>
      <c r="Z160" s="239">
        <v>484459</v>
      </c>
      <c r="AA160" s="239">
        <v>48445860</v>
      </c>
      <c r="AB160" s="239">
        <v>-1163336</v>
      </c>
      <c r="AC160" s="239">
        <v>-1140069</v>
      </c>
      <c r="AD160" s="239">
        <v>0</v>
      </c>
      <c r="AE160" s="239">
        <v>-23267</v>
      </c>
      <c r="AF160" s="239">
        <v>-2326672</v>
      </c>
      <c r="AG160" s="239">
        <v>-28463733</v>
      </c>
      <c r="AH160" s="239">
        <v>-27863798</v>
      </c>
      <c r="AI160" s="239">
        <v>0</v>
      </c>
      <c r="AJ160" s="239">
        <v>-537362</v>
      </c>
      <c r="AK160" s="239">
        <v>-56864893</v>
      </c>
      <c r="AL160" s="239">
        <v>16399575</v>
      </c>
      <c r="AM160" s="239">
        <v>16071584</v>
      </c>
      <c r="AN160" s="239">
        <v>0</v>
      </c>
      <c r="AO160" s="239">
        <v>327992</v>
      </c>
      <c r="AP160" s="239">
        <v>32799151</v>
      </c>
      <c r="AQ160" s="239">
        <v>-8700227</v>
      </c>
      <c r="AR160" s="239">
        <v>-8526223</v>
      </c>
      <c r="AS160" s="239">
        <v>0</v>
      </c>
      <c r="AT160" s="239">
        <v>-174005</v>
      </c>
      <c r="AU160" s="239">
        <v>-17400455</v>
      </c>
      <c r="AV160" s="239">
        <v>-20764385</v>
      </c>
      <c r="AW160" s="239">
        <v>-20318437</v>
      </c>
      <c r="AX160" s="239">
        <v>0</v>
      </c>
      <c r="AY160" s="239">
        <v>-383375</v>
      </c>
      <c r="AZ160" s="239">
        <v>-41466197</v>
      </c>
      <c r="BA160" s="239">
        <v>-9441807</v>
      </c>
      <c r="BB160" s="239">
        <v>-9252970</v>
      </c>
      <c r="BC160" s="239">
        <v>0</v>
      </c>
      <c r="BD160" s="239">
        <v>-188837</v>
      </c>
      <c r="BE160" s="239">
        <v>-18883614</v>
      </c>
      <c r="BF160" s="239">
        <v>3960558</v>
      </c>
      <c r="BG160" s="239">
        <v>3881347</v>
      </c>
      <c r="BH160" s="239">
        <v>0</v>
      </c>
      <c r="BI160" s="239">
        <v>79211</v>
      </c>
      <c r="BJ160" s="239">
        <v>7921116</v>
      </c>
      <c r="BK160" s="239">
        <v>-5657225</v>
      </c>
      <c r="BL160" s="239">
        <v>-5544081</v>
      </c>
      <c r="BM160" s="239">
        <v>0</v>
      </c>
      <c r="BN160" s="239">
        <v>-113145</v>
      </c>
      <c r="BO160" s="239">
        <v>-11314451</v>
      </c>
      <c r="BP160" s="239">
        <v>-11138474</v>
      </c>
      <c r="BQ160" s="239">
        <v>-10915704</v>
      </c>
      <c r="BR160" s="239">
        <v>0</v>
      </c>
      <c r="BS160" s="239">
        <v>-222771</v>
      </c>
      <c r="BT160" s="239">
        <v>-22276949</v>
      </c>
      <c r="BU160" s="239">
        <v>-11371121</v>
      </c>
      <c r="BV160" s="239">
        <v>-11143698</v>
      </c>
      <c r="BW160" s="239">
        <v>0</v>
      </c>
      <c r="BX160" s="239">
        <v>-227422</v>
      </c>
      <c r="BY160" s="239">
        <v>-22742241</v>
      </c>
      <c r="BZ160" s="239">
        <v>-9212834</v>
      </c>
      <c r="CA160" s="239">
        <v>-9028577</v>
      </c>
      <c r="CB160" s="239">
        <v>0</v>
      </c>
      <c r="CC160" s="239">
        <v>-184257</v>
      </c>
      <c r="CD160" s="239">
        <v>-18425668</v>
      </c>
      <c r="CE160" s="239">
        <v>-2158287</v>
      </c>
      <c r="CF160" s="239">
        <v>-2115121</v>
      </c>
      <c r="CG160" s="239">
        <v>0</v>
      </c>
      <c r="CH160" s="239">
        <v>-43165</v>
      </c>
      <c r="CI160" s="239">
        <v>-4316573</v>
      </c>
      <c r="CJ160" s="239">
        <v>97201809</v>
      </c>
      <c r="CK160" s="239">
        <v>95257772</v>
      </c>
      <c r="CL160" s="239">
        <v>0</v>
      </c>
      <c r="CM160" s="239">
        <v>1944036</v>
      </c>
      <c r="CN160" s="239">
        <v>194403617</v>
      </c>
      <c r="CO160" s="239">
        <v>88762968</v>
      </c>
      <c r="CP160" s="239">
        <v>86987709</v>
      </c>
      <c r="CQ160" s="239">
        <v>0</v>
      </c>
      <c r="CR160" s="239">
        <v>1775259</v>
      </c>
      <c r="CS160" s="239">
        <v>177525936</v>
      </c>
      <c r="CT160" s="239">
        <v>-8438841</v>
      </c>
      <c r="CU160" s="239">
        <v>-8270063</v>
      </c>
      <c r="CV160" s="239">
        <v>0</v>
      </c>
      <c r="CW160" s="239">
        <v>-168777</v>
      </c>
      <c r="CX160" s="239">
        <v>-16877681</v>
      </c>
      <c r="CY160" s="239">
        <v>-10597128</v>
      </c>
      <c r="CZ160" s="239">
        <v>-10385184</v>
      </c>
      <c r="DA160" s="239">
        <v>0</v>
      </c>
      <c r="DB160" s="239">
        <v>-211942</v>
      </c>
      <c r="DC160" s="239">
        <v>-21194254</v>
      </c>
      <c r="DD160" s="641">
        <v>0.5</v>
      </c>
      <c r="DE160" s="641">
        <v>0.49</v>
      </c>
      <c r="DF160" s="641">
        <v>0</v>
      </c>
      <c r="DG160" s="641">
        <v>0.01</v>
      </c>
      <c r="DH160" s="641">
        <v>1</v>
      </c>
      <c r="DI160" s="214" t="s">
        <v>1192</v>
      </c>
    </row>
    <row r="161" spans="1:113" s="214" customFormat="1" x14ac:dyDescent="0.2">
      <c r="B161" s="609" t="s">
        <v>404</v>
      </c>
      <c r="C161" s="609" t="s">
        <v>403</v>
      </c>
      <c r="D161" s="239">
        <v>36555560</v>
      </c>
      <c r="E161" s="239">
        <v>35824449</v>
      </c>
      <c r="F161" s="239">
        <v>0</v>
      </c>
      <c r="G161" s="239">
        <v>731111</v>
      </c>
      <c r="H161" s="239">
        <v>73111120</v>
      </c>
      <c r="I161" s="239">
        <v>0</v>
      </c>
      <c r="J161" s="239">
        <v>0</v>
      </c>
      <c r="K161" s="239">
        <v>36555560</v>
      </c>
      <c r="L161" s="239">
        <v>255038</v>
      </c>
      <c r="M161" s="239">
        <v>255038</v>
      </c>
      <c r="N161" s="239">
        <v>0</v>
      </c>
      <c r="O161" s="239">
        <v>0</v>
      </c>
      <c r="P161" s="239">
        <v>0</v>
      </c>
      <c r="Q161" s="239">
        <v>0</v>
      </c>
      <c r="R161" s="239">
        <v>0</v>
      </c>
      <c r="S161" s="239">
        <v>0</v>
      </c>
      <c r="T161" s="239">
        <v>0</v>
      </c>
      <c r="U161" s="239">
        <v>0</v>
      </c>
      <c r="V161" s="239">
        <v>0</v>
      </c>
      <c r="W161" s="239">
        <v>6355327</v>
      </c>
      <c r="X161" s="239">
        <v>6228220</v>
      </c>
      <c r="Y161" s="239">
        <v>0</v>
      </c>
      <c r="Z161" s="239">
        <v>127107</v>
      </c>
      <c r="AA161" s="239">
        <v>12710654</v>
      </c>
      <c r="AB161" s="239">
        <v>-2152599</v>
      </c>
      <c r="AC161" s="239">
        <v>-2109547</v>
      </c>
      <c r="AD161" s="239">
        <v>0</v>
      </c>
      <c r="AE161" s="239">
        <v>-43052</v>
      </c>
      <c r="AF161" s="239">
        <v>-4305198</v>
      </c>
      <c r="AG161" s="239">
        <v>-3812975.5</v>
      </c>
      <c r="AH161" s="239">
        <v>-3736717.17</v>
      </c>
      <c r="AI161" s="239">
        <v>0</v>
      </c>
      <c r="AJ161" s="239">
        <v>-76260.33</v>
      </c>
      <c r="AK161" s="239">
        <v>-7625953</v>
      </c>
      <c r="AL161" s="239">
        <v>190257</v>
      </c>
      <c r="AM161" s="239">
        <v>186452</v>
      </c>
      <c r="AN161" s="239">
        <v>0</v>
      </c>
      <c r="AO161" s="239">
        <v>3805</v>
      </c>
      <c r="AP161" s="239">
        <v>380514</v>
      </c>
      <c r="AQ161" s="239">
        <v>-145445</v>
      </c>
      <c r="AR161" s="239">
        <v>-142537</v>
      </c>
      <c r="AS161" s="239">
        <v>0</v>
      </c>
      <c r="AT161" s="239">
        <v>-2909</v>
      </c>
      <c r="AU161" s="239">
        <v>-290891</v>
      </c>
      <c r="AV161" s="239">
        <v>-3768163.5</v>
      </c>
      <c r="AW161" s="239">
        <v>-3692802.17</v>
      </c>
      <c r="AX161" s="239">
        <v>0</v>
      </c>
      <c r="AY161" s="239">
        <v>-75364.33</v>
      </c>
      <c r="AZ161" s="239">
        <v>-7536330</v>
      </c>
      <c r="BA161" s="239">
        <v>-7155179.7999999998</v>
      </c>
      <c r="BB161" s="239">
        <v>-7012075</v>
      </c>
      <c r="BC161" s="239">
        <v>0</v>
      </c>
      <c r="BD161" s="239">
        <v>-143103</v>
      </c>
      <c r="BE161" s="239">
        <v>-14310357</v>
      </c>
      <c r="BF161" s="239">
        <v>1087066</v>
      </c>
      <c r="BG161" s="239">
        <v>1065325</v>
      </c>
      <c r="BH161" s="239">
        <v>0</v>
      </c>
      <c r="BI161" s="239">
        <v>21741</v>
      </c>
      <c r="BJ161" s="239">
        <v>2174132</v>
      </c>
      <c r="BK161" s="239">
        <v>1319782</v>
      </c>
      <c r="BL161" s="239">
        <v>1293387</v>
      </c>
      <c r="BM161" s="239">
        <v>0</v>
      </c>
      <c r="BN161" s="239">
        <v>26396</v>
      </c>
      <c r="BO161" s="239">
        <v>2639565</v>
      </c>
      <c r="BP161" s="239">
        <v>-4748331.8</v>
      </c>
      <c r="BQ161" s="239">
        <v>-4653363</v>
      </c>
      <c r="BR161" s="239">
        <v>0</v>
      </c>
      <c r="BS161" s="239">
        <v>-94966</v>
      </c>
      <c r="BT161" s="239">
        <v>-9496660</v>
      </c>
      <c r="BU161" s="239">
        <v>-3954647</v>
      </c>
      <c r="BV161" s="239">
        <v>-3875555</v>
      </c>
      <c r="BW161" s="239">
        <v>0</v>
      </c>
      <c r="BX161" s="239">
        <v>-79093</v>
      </c>
      <c r="BY161" s="239">
        <v>-7909295</v>
      </c>
      <c r="BZ161" s="239">
        <v>437202</v>
      </c>
      <c r="CA161" s="239">
        <v>428458</v>
      </c>
      <c r="CB161" s="239">
        <v>0</v>
      </c>
      <c r="CC161" s="239">
        <v>8744</v>
      </c>
      <c r="CD161" s="239">
        <v>874404</v>
      </c>
      <c r="CE161" s="239">
        <v>-4391849</v>
      </c>
      <c r="CF161" s="239">
        <v>-4304013</v>
      </c>
      <c r="CG161" s="239">
        <v>0</v>
      </c>
      <c r="CH161" s="239">
        <v>-87837</v>
      </c>
      <c r="CI161" s="239">
        <v>-8783699</v>
      </c>
      <c r="CJ161" s="239">
        <v>33963113</v>
      </c>
      <c r="CK161" s="239">
        <v>33283851</v>
      </c>
      <c r="CL161" s="239">
        <v>0</v>
      </c>
      <c r="CM161" s="239">
        <v>679262</v>
      </c>
      <c r="CN161" s="239">
        <v>67926226</v>
      </c>
      <c r="CO161" s="239">
        <v>36555560</v>
      </c>
      <c r="CP161" s="239">
        <v>35824449</v>
      </c>
      <c r="CQ161" s="239">
        <v>0</v>
      </c>
      <c r="CR161" s="239">
        <v>731111</v>
      </c>
      <c r="CS161" s="239">
        <v>73111120</v>
      </c>
      <c r="CT161" s="239">
        <v>2592447</v>
      </c>
      <c r="CU161" s="239">
        <v>2540598</v>
      </c>
      <c r="CV161" s="239">
        <v>0</v>
      </c>
      <c r="CW161" s="239">
        <v>51849</v>
      </c>
      <c r="CX161" s="239">
        <v>5184894</v>
      </c>
      <c r="CY161" s="239">
        <v>-1799402</v>
      </c>
      <c r="CZ161" s="239">
        <v>-1763415</v>
      </c>
      <c r="DA161" s="239">
        <v>0</v>
      </c>
      <c r="DB161" s="239">
        <v>-35988</v>
      </c>
      <c r="DC161" s="239">
        <v>-3598805</v>
      </c>
      <c r="DD161" s="641">
        <v>0.5</v>
      </c>
      <c r="DE161" s="641">
        <v>0.49</v>
      </c>
      <c r="DF161" s="641">
        <v>0</v>
      </c>
      <c r="DG161" s="641">
        <v>0.01</v>
      </c>
      <c r="DH161" s="641">
        <v>1</v>
      </c>
      <c r="DI161" s="214" t="s">
        <v>747</v>
      </c>
    </row>
    <row r="162" spans="1:113" s="214" customFormat="1" x14ac:dyDescent="0.2">
      <c r="B162" s="609" t="s">
        <v>406</v>
      </c>
      <c r="C162" s="609" t="s">
        <v>405</v>
      </c>
      <c r="D162" s="239">
        <v>28461229</v>
      </c>
      <c r="E162" s="239">
        <v>22768983</v>
      </c>
      <c r="F162" s="239">
        <v>5123021</v>
      </c>
      <c r="G162" s="239">
        <v>569225</v>
      </c>
      <c r="H162" s="239">
        <v>56922458</v>
      </c>
      <c r="I162" s="239">
        <v>0</v>
      </c>
      <c r="J162" s="239">
        <v>0</v>
      </c>
      <c r="K162" s="239">
        <v>28461229</v>
      </c>
      <c r="L162" s="239">
        <v>206494</v>
      </c>
      <c r="M162" s="239">
        <v>206494</v>
      </c>
      <c r="N162" s="239">
        <v>0</v>
      </c>
      <c r="O162" s="239">
        <v>0</v>
      </c>
      <c r="P162" s="239">
        <v>0</v>
      </c>
      <c r="Q162" s="239">
        <v>0</v>
      </c>
      <c r="R162" s="239">
        <v>0</v>
      </c>
      <c r="S162" s="239">
        <v>0</v>
      </c>
      <c r="T162" s="239">
        <v>0</v>
      </c>
      <c r="U162" s="239">
        <v>0</v>
      </c>
      <c r="V162" s="239">
        <v>0</v>
      </c>
      <c r="W162" s="239">
        <v>2051061</v>
      </c>
      <c r="X162" s="239">
        <v>1640849</v>
      </c>
      <c r="Y162" s="239">
        <v>369191</v>
      </c>
      <c r="Z162" s="239">
        <v>41021</v>
      </c>
      <c r="AA162" s="239">
        <v>4102122</v>
      </c>
      <c r="AB162" s="239">
        <v>-573191</v>
      </c>
      <c r="AC162" s="239">
        <v>-458552</v>
      </c>
      <c r="AD162" s="239">
        <v>-103174</v>
      </c>
      <c r="AE162" s="239">
        <v>-11464</v>
      </c>
      <c r="AF162" s="239">
        <v>-1146381</v>
      </c>
      <c r="AG162" s="239">
        <v>-347657.91000000003</v>
      </c>
      <c r="AH162" s="239">
        <v>-278124</v>
      </c>
      <c r="AI162" s="239">
        <v>-62578</v>
      </c>
      <c r="AJ162" s="239">
        <v>-6953</v>
      </c>
      <c r="AK162" s="239">
        <v>-695312.89999999991</v>
      </c>
      <c r="AL162" s="239">
        <v>408272</v>
      </c>
      <c r="AM162" s="239">
        <v>326617</v>
      </c>
      <c r="AN162" s="239">
        <v>73489</v>
      </c>
      <c r="AO162" s="239">
        <v>8165</v>
      </c>
      <c r="AP162" s="239">
        <v>816543</v>
      </c>
      <c r="AQ162" s="239">
        <v>-978862</v>
      </c>
      <c r="AR162" s="239">
        <v>-783089</v>
      </c>
      <c r="AS162" s="239">
        <v>-176195</v>
      </c>
      <c r="AT162" s="239">
        <v>-19577</v>
      </c>
      <c r="AU162" s="239">
        <v>-1957723</v>
      </c>
      <c r="AV162" s="239">
        <v>-918247.91</v>
      </c>
      <c r="AW162" s="239">
        <v>-734596</v>
      </c>
      <c r="AX162" s="239">
        <v>-165284</v>
      </c>
      <c r="AY162" s="239">
        <v>-18365</v>
      </c>
      <c r="AZ162" s="239">
        <v>-1836492.9</v>
      </c>
      <c r="BA162" s="239">
        <v>-3143454</v>
      </c>
      <c r="BB162" s="239">
        <v>-2514764</v>
      </c>
      <c r="BC162" s="239">
        <v>-565822</v>
      </c>
      <c r="BD162" s="239">
        <v>-62870</v>
      </c>
      <c r="BE162" s="239">
        <v>-6286910</v>
      </c>
      <c r="BF162" s="239">
        <v>636770</v>
      </c>
      <c r="BG162" s="239">
        <v>509416</v>
      </c>
      <c r="BH162" s="239">
        <v>114619</v>
      </c>
      <c r="BI162" s="239">
        <v>12735</v>
      </c>
      <c r="BJ162" s="239">
        <v>1273540</v>
      </c>
      <c r="BK162" s="239">
        <v>-1300320</v>
      </c>
      <c r="BL162" s="239">
        <v>-1040255</v>
      </c>
      <c r="BM162" s="239">
        <v>-234057</v>
      </c>
      <c r="BN162" s="239">
        <v>-26006</v>
      </c>
      <c r="BO162" s="239">
        <v>-2600638</v>
      </c>
      <c r="BP162" s="239">
        <v>-3807004</v>
      </c>
      <c r="BQ162" s="239">
        <v>-3045603</v>
      </c>
      <c r="BR162" s="239">
        <v>-685260</v>
      </c>
      <c r="BS162" s="239">
        <v>-76141</v>
      </c>
      <c r="BT162" s="239">
        <v>-7614008</v>
      </c>
      <c r="BU162" s="239">
        <v>-3497096</v>
      </c>
      <c r="BV162" s="239">
        <v>-2797676</v>
      </c>
      <c r="BW162" s="239">
        <v>-629477</v>
      </c>
      <c r="BX162" s="239">
        <v>-69942</v>
      </c>
      <c r="BY162" s="239">
        <v>-6994191</v>
      </c>
      <c r="BZ162" s="239">
        <v>1268866</v>
      </c>
      <c r="CA162" s="239">
        <v>1015093</v>
      </c>
      <c r="CB162" s="239">
        <v>228396</v>
      </c>
      <c r="CC162" s="239">
        <v>25377</v>
      </c>
      <c r="CD162" s="239">
        <v>2537732</v>
      </c>
      <c r="CE162" s="239">
        <v>-4765962</v>
      </c>
      <c r="CF162" s="239">
        <v>-3812769</v>
      </c>
      <c r="CG162" s="239">
        <v>-857873</v>
      </c>
      <c r="CH162" s="239">
        <v>-95319</v>
      </c>
      <c r="CI162" s="239">
        <v>-9531923</v>
      </c>
      <c r="CJ162" s="239">
        <v>30073473</v>
      </c>
      <c r="CK162" s="239">
        <v>24058778</v>
      </c>
      <c r="CL162" s="239">
        <v>5413225</v>
      </c>
      <c r="CM162" s="239">
        <v>601469</v>
      </c>
      <c r="CN162" s="239">
        <v>60146945</v>
      </c>
      <c r="CO162" s="239">
        <v>28461229</v>
      </c>
      <c r="CP162" s="239">
        <v>22768983</v>
      </c>
      <c r="CQ162" s="239">
        <v>5123021</v>
      </c>
      <c r="CR162" s="239">
        <v>569225</v>
      </c>
      <c r="CS162" s="239">
        <v>56922458</v>
      </c>
      <c r="CT162" s="239">
        <v>-1612244</v>
      </c>
      <c r="CU162" s="239">
        <v>-1289795</v>
      </c>
      <c r="CV162" s="239">
        <v>-290204</v>
      </c>
      <c r="CW162" s="239">
        <v>-32244</v>
      </c>
      <c r="CX162" s="239">
        <v>-3224487</v>
      </c>
      <c r="CY162" s="239">
        <v>-6378206</v>
      </c>
      <c r="CZ162" s="239">
        <v>-5102564</v>
      </c>
      <c r="DA162" s="239">
        <v>-1148077</v>
      </c>
      <c r="DB162" s="239">
        <v>-127563</v>
      </c>
      <c r="DC162" s="239">
        <v>-12756410</v>
      </c>
      <c r="DD162" s="641">
        <v>0.5</v>
      </c>
      <c r="DE162" s="641">
        <v>0.4</v>
      </c>
      <c r="DF162" s="641">
        <v>0.09</v>
      </c>
      <c r="DG162" s="641">
        <v>0.01</v>
      </c>
      <c r="DH162" s="641">
        <v>1</v>
      </c>
      <c r="DI162" s="214" t="s">
        <v>1190</v>
      </c>
    </row>
    <row r="163" spans="1:113" s="214" customFormat="1" x14ac:dyDescent="0.2">
      <c r="A163" s="215" t="s">
        <v>1211</v>
      </c>
      <c r="B163" s="609" t="s">
        <v>408</v>
      </c>
      <c r="C163" s="609" t="s">
        <v>407</v>
      </c>
      <c r="D163" s="239">
        <v>7074674</v>
      </c>
      <c r="E163" s="239">
        <v>5659739</v>
      </c>
      <c r="F163" s="239">
        <v>1273441</v>
      </c>
      <c r="G163" s="239">
        <v>141493</v>
      </c>
      <c r="H163" s="239">
        <v>14149347</v>
      </c>
      <c r="I163" s="239">
        <v>0</v>
      </c>
      <c r="J163" s="239">
        <v>0</v>
      </c>
      <c r="K163" s="239">
        <v>7074674</v>
      </c>
      <c r="L163" s="239">
        <v>93784</v>
      </c>
      <c r="M163" s="239">
        <v>93784</v>
      </c>
      <c r="N163" s="239">
        <v>0</v>
      </c>
      <c r="O163" s="239">
        <v>0</v>
      </c>
      <c r="P163" s="239">
        <v>538251</v>
      </c>
      <c r="Q163" s="239">
        <v>0</v>
      </c>
      <c r="R163" s="239">
        <v>538251</v>
      </c>
      <c r="S163" s="239">
        <v>0</v>
      </c>
      <c r="T163" s="239">
        <v>0</v>
      </c>
      <c r="U163" s="239">
        <v>0</v>
      </c>
      <c r="V163" s="239">
        <v>0</v>
      </c>
      <c r="W163" s="239">
        <v>346186</v>
      </c>
      <c r="X163" s="239">
        <v>276950</v>
      </c>
      <c r="Y163" s="239">
        <v>62314</v>
      </c>
      <c r="Z163" s="239">
        <v>6924</v>
      </c>
      <c r="AA163" s="239">
        <v>692374</v>
      </c>
      <c r="AB163" s="239">
        <v>-216581</v>
      </c>
      <c r="AC163" s="239">
        <v>-173266</v>
      </c>
      <c r="AD163" s="239">
        <v>-38985</v>
      </c>
      <c r="AE163" s="239">
        <v>-4332</v>
      </c>
      <c r="AF163" s="239">
        <v>-433164</v>
      </c>
      <c r="AG163" s="239">
        <v>-180000</v>
      </c>
      <c r="AH163" s="239">
        <v>-144000</v>
      </c>
      <c r="AI163" s="239">
        <v>-32400</v>
      </c>
      <c r="AJ163" s="239">
        <v>-3600</v>
      </c>
      <c r="AK163" s="239">
        <v>-360000</v>
      </c>
      <c r="AL163" s="239">
        <v>32959</v>
      </c>
      <c r="AM163" s="239">
        <v>26367</v>
      </c>
      <c r="AN163" s="239">
        <v>5933</v>
      </c>
      <c r="AO163" s="239">
        <v>659</v>
      </c>
      <c r="AP163" s="239">
        <v>65918</v>
      </c>
      <c r="AQ163" s="239">
        <v>5041</v>
      </c>
      <c r="AR163" s="239">
        <v>4033</v>
      </c>
      <c r="AS163" s="239">
        <v>907</v>
      </c>
      <c r="AT163" s="239">
        <v>101</v>
      </c>
      <c r="AU163" s="239">
        <v>10082</v>
      </c>
      <c r="AV163" s="239">
        <v>-142000</v>
      </c>
      <c r="AW163" s="239">
        <v>-113600</v>
      </c>
      <c r="AX163" s="239">
        <v>-25560</v>
      </c>
      <c r="AY163" s="239">
        <v>-2840</v>
      </c>
      <c r="AZ163" s="239">
        <v>-284000</v>
      </c>
      <c r="BA163" s="239">
        <v>-537420</v>
      </c>
      <c r="BB163" s="239">
        <v>-429935</v>
      </c>
      <c r="BC163" s="239">
        <v>-96735</v>
      </c>
      <c r="BD163" s="239">
        <v>-10748</v>
      </c>
      <c r="BE163" s="239">
        <v>-1074838</v>
      </c>
      <c r="BF163" s="239">
        <v>42543</v>
      </c>
      <c r="BG163" s="239">
        <v>34035</v>
      </c>
      <c r="BH163" s="239">
        <v>7658</v>
      </c>
      <c r="BI163" s="239">
        <v>851</v>
      </c>
      <c r="BJ163" s="239">
        <v>85087</v>
      </c>
      <c r="BK163" s="239">
        <v>-66027</v>
      </c>
      <c r="BL163" s="239">
        <v>-52822</v>
      </c>
      <c r="BM163" s="239">
        <v>-11885</v>
      </c>
      <c r="BN163" s="239">
        <v>-1321</v>
      </c>
      <c r="BO163" s="239">
        <v>-132055</v>
      </c>
      <c r="BP163" s="239">
        <v>-560904</v>
      </c>
      <c r="BQ163" s="239">
        <v>-448722</v>
      </c>
      <c r="BR163" s="239">
        <v>-100962</v>
      </c>
      <c r="BS163" s="239">
        <v>-11218</v>
      </c>
      <c r="BT163" s="239">
        <v>-1121806</v>
      </c>
      <c r="BU163" s="239">
        <v>-383844</v>
      </c>
      <c r="BV163" s="239">
        <v>-307075</v>
      </c>
      <c r="BW163" s="239">
        <v>-69092</v>
      </c>
      <c r="BX163" s="239">
        <v>-7677</v>
      </c>
      <c r="BY163" s="239">
        <v>-767688</v>
      </c>
      <c r="BZ163" s="239">
        <v>339904</v>
      </c>
      <c r="CA163" s="239">
        <v>271924</v>
      </c>
      <c r="CB163" s="239">
        <v>61183</v>
      </c>
      <c r="CC163" s="239">
        <v>6798</v>
      </c>
      <c r="CD163" s="239">
        <v>679809</v>
      </c>
      <c r="CE163" s="239">
        <v>-723748</v>
      </c>
      <c r="CF163" s="239">
        <v>-578999</v>
      </c>
      <c r="CG163" s="239">
        <v>-130275</v>
      </c>
      <c r="CH163" s="239">
        <v>-14475</v>
      </c>
      <c r="CI163" s="239">
        <v>-1447497</v>
      </c>
      <c r="CJ163" s="239">
        <v>6889323</v>
      </c>
      <c r="CK163" s="239">
        <v>5511458</v>
      </c>
      <c r="CL163" s="239">
        <v>1240078</v>
      </c>
      <c r="CM163" s="239">
        <v>137786</v>
      </c>
      <c r="CN163" s="239">
        <v>13778645</v>
      </c>
      <c r="CO163" s="239">
        <v>7074674</v>
      </c>
      <c r="CP163" s="239">
        <v>5659739</v>
      </c>
      <c r="CQ163" s="239">
        <v>1273441</v>
      </c>
      <c r="CR163" s="239">
        <v>141493</v>
      </c>
      <c r="CS163" s="239">
        <v>14149347</v>
      </c>
      <c r="CT163" s="239">
        <v>185351</v>
      </c>
      <c r="CU163" s="239">
        <v>148281</v>
      </c>
      <c r="CV163" s="239">
        <v>33363</v>
      </c>
      <c r="CW163" s="239">
        <v>3707</v>
      </c>
      <c r="CX163" s="239">
        <v>370702</v>
      </c>
      <c r="CY163" s="239">
        <v>-538397</v>
      </c>
      <c r="CZ163" s="239">
        <v>-430718</v>
      </c>
      <c r="DA163" s="239">
        <v>-96912</v>
      </c>
      <c r="DB163" s="239">
        <v>-10768</v>
      </c>
      <c r="DC163" s="239">
        <v>-1076795</v>
      </c>
      <c r="DD163" s="641">
        <v>0.5</v>
      </c>
      <c r="DE163" s="641">
        <v>0.4</v>
      </c>
      <c r="DF163" s="641">
        <v>0.09</v>
      </c>
      <c r="DG163" s="641">
        <v>0.01</v>
      </c>
      <c r="DH163" s="641">
        <v>1</v>
      </c>
      <c r="DI163" s="214" t="s">
        <v>1190</v>
      </c>
    </row>
    <row r="164" spans="1:113" s="214" customFormat="1" x14ac:dyDescent="0.2">
      <c r="B164" s="609" t="s">
        <v>410</v>
      </c>
      <c r="C164" s="609" t="s">
        <v>409</v>
      </c>
      <c r="D164" s="239">
        <v>7760212</v>
      </c>
      <c r="E164" s="239">
        <v>6208169</v>
      </c>
      <c r="F164" s="239">
        <v>1396838</v>
      </c>
      <c r="G164" s="239">
        <v>155204</v>
      </c>
      <c r="H164" s="239">
        <v>15520423</v>
      </c>
      <c r="I164" s="239">
        <v>0</v>
      </c>
      <c r="J164" s="239">
        <v>0</v>
      </c>
      <c r="K164" s="239">
        <v>7760212</v>
      </c>
      <c r="L164" s="239">
        <v>107540</v>
      </c>
      <c r="M164" s="239">
        <v>107540</v>
      </c>
      <c r="N164" s="239">
        <v>0</v>
      </c>
      <c r="O164" s="239">
        <v>0</v>
      </c>
      <c r="P164" s="239">
        <v>0</v>
      </c>
      <c r="Q164" s="239">
        <v>0</v>
      </c>
      <c r="R164" s="239">
        <v>0</v>
      </c>
      <c r="S164" s="239">
        <v>0</v>
      </c>
      <c r="T164" s="239">
        <v>0</v>
      </c>
      <c r="U164" s="239">
        <v>0</v>
      </c>
      <c r="V164" s="239">
        <v>0</v>
      </c>
      <c r="W164" s="239">
        <v>209761</v>
      </c>
      <c r="X164" s="239">
        <v>167808</v>
      </c>
      <c r="Y164" s="239">
        <v>37757</v>
      </c>
      <c r="Z164" s="239">
        <v>4195</v>
      </c>
      <c r="AA164" s="239">
        <v>419521</v>
      </c>
      <c r="AB164" s="239">
        <v>-59547</v>
      </c>
      <c r="AC164" s="239">
        <v>-47638</v>
      </c>
      <c r="AD164" s="239">
        <v>-10719</v>
      </c>
      <c r="AE164" s="239">
        <v>-1191</v>
      </c>
      <c r="AF164" s="239">
        <v>-119095</v>
      </c>
      <c r="AG164" s="239">
        <v>0</v>
      </c>
      <c r="AH164" s="239">
        <v>0</v>
      </c>
      <c r="AI164" s="239">
        <v>0</v>
      </c>
      <c r="AJ164" s="239">
        <v>0</v>
      </c>
      <c r="AK164" s="239">
        <v>0</v>
      </c>
      <c r="AL164" s="239">
        <v>8974</v>
      </c>
      <c r="AM164" s="239">
        <v>7179</v>
      </c>
      <c r="AN164" s="239">
        <v>1615</v>
      </c>
      <c r="AO164" s="239">
        <v>179</v>
      </c>
      <c r="AP164" s="239">
        <v>17947</v>
      </c>
      <c r="AQ164" s="239">
        <v>-85216</v>
      </c>
      <c r="AR164" s="239">
        <v>-68172</v>
      </c>
      <c r="AS164" s="239">
        <v>-15339</v>
      </c>
      <c r="AT164" s="239">
        <v>-1704</v>
      </c>
      <c r="AU164" s="239">
        <v>-170431</v>
      </c>
      <c r="AV164" s="239">
        <v>-76242</v>
      </c>
      <c r="AW164" s="239">
        <v>-60993</v>
      </c>
      <c r="AX164" s="239">
        <v>-13724</v>
      </c>
      <c r="AY164" s="239">
        <v>-1525</v>
      </c>
      <c r="AZ164" s="239">
        <v>-152484</v>
      </c>
      <c r="BA164" s="239">
        <v>-1610500.4</v>
      </c>
      <c r="BB164" s="239">
        <v>-1288400</v>
      </c>
      <c r="BC164" s="239">
        <v>-289890</v>
      </c>
      <c r="BD164" s="239">
        <v>-32209</v>
      </c>
      <c r="BE164" s="239">
        <v>-3220999.4000000004</v>
      </c>
      <c r="BF164" s="239">
        <v>292033</v>
      </c>
      <c r="BG164" s="239">
        <v>233627</v>
      </c>
      <c r="BH164" s="239">
        <v>52566</v>
      </c>
      <c r="BI164" s="239">
        <v>5841</v>
      </c>
      <c r="BJ164" s="239">
        <v>584067</v>
      </c>
      <c r="BK164" s="239">
        <v>-680374</v>
      </c>
      <c r="BL164" s="239">
        <v>-544300</v>
      </c>
      <c r="BM164" s="239">
        <v>-122468</v>
      </c>
      <c r="BN164" s="239">
        <v>-13608</v>
      </c>
      <c r="BO164" s="239">
        <v>-1360750</v>
      </c>
      <c r="BP164" s="239">
        <v>-1998841.4</v>
      </c>
      <c r="BQ164" s="239">
        <v>-1599073</v>
      </c>
      <c r="BR164" s="239">
        <v>-359792</v>
      </c>
      <c r="BS164" s="239">
        <v>-39976</v>
      </c>
      <c r="BT164" s="239">
        <v>-3997682.4000000004</v>
      </c>
      <c r="BU164" s="239">
        <v>-2390069</v>
      </c>
      <c r="BV164" s="239">
        <v>-1912055</v>
      </c>
      <c r="BW164" s="239">
        <v>-430212</v>
      </c>
      <c r="BX164" s="239">
        <v>-47801</v>
      </c>
      <c r="BY164" s="239">
        <v>-4780137</v>
      </c>
      <c r="BZ164" s="239">
        <v>-355654</v>
      </c>
      <c r="CA164" s="239">
        <v>-284523</v>
      </c>
      <c r="CB164" s="239">
        <v>-64018</v>
      </c>
      <c r="CC164" s="239">
        <v>-7113</v>
      </c>
      <c r="CD164" s="239">
        <v>-711308</v>
      </c>
      <c r="CE164" s="239">
        <v>-2034415</v>
      </c>
      <c r="CF164" s="239">
        <v>-1627532</v>
      </c>
      <c r="CG164" s="239">
        <v>-366194</v>
      </c>
      <c r="CH164" s="239">
        <v>-40688</v>
      </c>
      <c r="CI164" s="239">
        <v>-4068829</v>
      </c>
      <c r="CJ164" s="239">
        <v>7634278</v>
      </c>
      <c r="CK164" s="239">
        <v>6107423</v>
      </c>
      <c r="CL164" s="239">
        <v>1374170</v>
      </c>
      <c r="CM164" s="239">
        <v>152686</v>
      </c>
      <c r="CN164" s="239">
        <v>15268557</v>
      </c>
      <c r="CO164" s="239">
        <v>7760212</v>
      </c>
      <c r="CP164" s="239">
        <v>6208169</v>
      </c>
      <c r="CQ164" s="239">
        <v>1396838</v>
      </c>
      <c r="CR164" s="239">
        <v>155204</v>
      </c>
      <c r="CS164" s="239">
        <v>15520423</v>
      </c>
      <c r="CT164" s="239">
        <v>125934</v>
      </c>
      <c r="CU164" s="239">
        <v>100746</v>
      </c>
      <c r="CV164" s="239">
        <v>22668</v>
      </c>
      <c r="CW164" s="239">
        <v>2518</v>
      </c>
      <c r="CX164" s="239">
        <v>251866</v>
      </c>
      <c r="CY164" s="239">
        <v>-1908481</v>
      </c>
      <c r="CZ164" s="239">
        <v>-1526786</v>
      </c>
      <c r="DA164" s="239">
        <v>-343526</v>
      </c>
      <c r="DB164" s="239">
        <v>-38170</v>
      </c>
      <c r="DC164" s="239">
        <v>-3816963</v>
      </c>
      <c r="DD164" s="641">
        <v>0.5</v>
      </c>
      <c r="DE164" s="641">
        <v>0.4</v>
      </c>
      <c r="DF164" s="641">
        <v>0.09</v>
      </c>
      <c r="DG164" s="641">
        <v>0.01</v>
      </c>
      <c r="DH164" s="641">
        <v>1</v>
      </c>
      <c r="DI164" s="214" t="s">
        <v>1190</v>
      </c>
    </row>
    <row r="165" spans="1:113" s="214" customFormat="1" x14ac:dyDescent="0.2">
      <c r="B165" s="609" t="s">
        <v>412</v>
      </c>
      <c r="C165" s="609" t="s">
        <v>411</v>
      </c>
      <c r="D165" s="239">
        <v>170103657</v>
      </c>
      <c r="E165" s="239">
        <v>166701583</v>
      </c>
      <c r="F165" s="239">
        <v>0</v>
      </c>
      <c r="G165" s="239">
        <v>3402073</v>
      </c>
      <c r="H165" s="239">
        <v>340207313</v>
      </c>
      <c r="I165" s="239">
        <v>1217498.4111570248</v>
      </c>
      <c r="J165" s="239">
        <v>1217498.4111570248</v>
      </c>
      <c r="K165" s="239">
        <v>168886158.58884299</v>
      </c>
      <c r="L165" s="239">
        <v>1129905</v>
      </c>
      <c r="M165" s="239">
        <v>1129905</v>
      </c>
      <c r="N165" s="239">
        <v>0</v>
      </c>
      <c r="O165" s="239">
        <v>0</v>
      </c>
      <c r="P165" s="239">
        <v>0</v>
      </c>
      <c r="Q165" s="239">
        <v>0</v>
      </c>
      <c r="R165" s="239">
        <v>0</v>
      </c>
      <c r="S165" s="239">
        <v>1217498.4111570248</v>
      </c>
      <c r="T165" s="239">
        <v>0</v>
      </c>
      <c r="U165" s="239">
        <v>0</v>
      </c>
      <c r="V165" s="239">
        <v>1217498.4111570248</v>
      </c>
      <c r="W165" s="239">
        <v>14207543</v>
      </c>
      <c r="X165" s="239">
        <v>13923393</v>
      </c>
      <c r="Y165" s="239">
        <v>0</v>
      </c>
      <c r="Z165" s="239">
        <v>284151</v>
      </c>
      <c r="AA165" s="239">
        <v>28415087</v>
      </c>
      <c r="AB165" s="239">
        <v>-7738455</v>
      </c>
      <c r="AC165" s="239">
        <v>-7583686</v>
      </c>
      <c r="AD165" s="239">
        <v>0</v>
      </c>
      <c r="AE165" s="239">
        <v>-154769</v>
      </c>
      <c r="AF165" s="239">
        <v>-15476910</v>
      </c>
      <c r="AG165" s="239">
        <v>-7036495</v>
      </c>
      <c r="AH165" s="239">
        <v>-6895764</v>
      </c>
      <c r="AI165" s="239">
        <v>0</v>
      </c>
      <c r="AJ165" s="239">
        <v>-140731</v>
      </c>
      <c r="AK165" s="239">
        <v>-14072990</v>
      </c>
      <c r="AL165" s="239">
        <v>795692</v>
      </c>
      <c r="AM165" s="239">
        <v>779779</v>
      </c>
      <c r="AN165" s="239">
        <v>0</v>
      </c>
      <c r="AO165" s="239">
        <v>15914</v>
      </c>
      <c r="AP165" s="239">
        <v>1591385</v>
      </c>
      <c r="AQ165" s="239">
        <v>-1490162</v>
      </c>
      <c r="AR165" s="239">
        <v>-1460359</v>
      </c>
      <c r="AS165" s="239">
        <v>0</v>
      </c>
      <c r="AT165" s="239">
        <v>-29803</v>
      </c>
      <c r="AU165" s="239">
        <v>-2980324</v>
      </c>
      <c r="AV165" s="239">
        <v>-7730965</v>
      </c>
      <c r="AW165" s="239">
        <v>-7576344</v>
      </c>
      <c r="AX165" s="239">
        <v>0</v>
      </c>
      <c r="AY165" s="239">
        <v>-154620</v>
      </c>
      <c r="AZ165" s="239">
        <v>-15461929</v>
      </c>
      <c r="BA165" s="239">
        <v>-49049065</v>
      </c>
      <c r="BB165" s="239">
        <v>-48068083</v>
      </c>
      <c r="BC165" s="239">
        <v>0</v>
      </c>
      <c r="BD165" s="239">
        <v>-980981</v>
      </c>
      <c r="BE165" s="239">
        <v>-98098129</v>
      </c>
      <c r="BF165" s="239">
        <v>7403495</v>
      </c>
      <c r="BG165" s="239">
        <v>7255426</v>
      </c>
      <c r="BH165" s="239">
        <v>0</v>
      </c>
      <c r="BI165" s="239">
        <v>148070</v>
      </c>
      <c r="BJ165" s="239">
        <v>14806991</v>
      </c>
      <c r="BK165" s="239">
        <v>-5433402</v>
      </c>
      <c r="BL165" s="239">
        <v>-5324733</v>
      </c>
      <c r="BM165" s="239">
        <v>0</v>
      </c>
      <c r="BN165" s="239">
        <v>-108668</v>
      </c>
      <c r="BO165" s="239">
        <v>-10866803</v>
      </c>
      <c r="BP165" s="239">
        <v>-47078972</v>
      </c>
      <c r="BQ165" s="239">
        <v>-46137390</v>
      </c>
      <c r="BR165" s="239">
        <v>0</v>
      </c>
      <c r="BS165" s="239">
        <v>-941579</v>
      </c>
      <c r="BT165" s="239">
        <v>-94157941</v>
      </c>
      <c r="BU165" s="239">
        <v>5803872</v>
      </c>
      <c r="BV165" s="239">
        <v>5687795</v>
      </c>
      <c r="BW165" s="239">
        <v>0</v>
      </c>
      <c r="BX165" s="239">
        <v>116077</v>
      </c>
      <c r="BY165" s="239">
        <v>11607744</v>
      </c>
      <c r="BZ165" s="239">
        <v>-31681</v>
      </c>
      <c r="CA165" s="239">
        <v>-31048</v>
      </c>
      <c r="CB165" s="239">
        <v>0</v>
      </c>
      <c r="CC165" s="239">
        <v>-634</v>
      </c>
      <c r="CD165" s="239">
        <v>-63363</v>
      </c>
      <c r="CE165" s="239">
        <v>5835553</v>
      </c>
      <c r="CF165" s="239">
        <v>5718843</v>
      </c>
      <c r="CG165" s="239">
        <v>0</v>
      </c>
      <c r="CH165" s="239">
        <v>116711</v>
      </c>
      <c r="CI165" s="239">
        <v>11671107</v>
      </c>
      <c r="CJ165" s="239">
        <v>154508539</v>
      </c>
      <c r="CK165" s="239">
        <v>151418368</v>
      </c>
      <c r="CL165" s="239">
        <v>0</v>
      </c>
      <c r="CM165" s="239">
        <v>3090171</v>
      </c>
      <c r="CN165" s="239">
        <v>309017078</v>
      </c>
      <c r="CO165" s="239">
        <v>170103657</v>
      </c>
      <c r="CP165" s="239">
        <v>166701583</v>
      </c>
      <c r="CQ165" s="239">
        <v>0</v>
      </c>
      <c r="CR165" s="239">
        <v>3402073</v>
      </c>
      <c r="CS165" s="239">
        <v>340207313</v>
      </c>
      <c r="CT165" s="239">
        <v>15595118</v>
      </c>
      <c r="CU165" s="239">
        <v>15283215</v>
      </c>
      <c r="CV165" s="239">
        <v>0</v>
      </c>
      <c r="CW165" s="239">
        <v>311902</v>
      </c>
      <c r="CX165" s="239">
        <v>31190235</v>
      </c>
      <c r="CY165" s="239">
        <v>21430671</v>
      </c>
      <c r="CZ165" s="239">
        <v>21002058</v>
      </c>
      <c r="DA165" s="239">
        <v>0</v>
      </c>
      <c r="DB165" s="239">
        <v>428613</v>
      </c>
      <c r="DC165" s="239">
        <v>42861342</v>
      </c>
      <c r="DD165" s="641">
        <v>0.5</v>
      </c>
      <c r="DE165" s="641">
        <v>0.49</v>
      </c>
      <c r="DF165" s="641">
        <v>0</v>
      </c>
      <c r="DG165" s="641">
        <v>0.01</v>
      </c>
      <c r="DH165" s="641">
        <v>1</v>
      </c>
      <c r="DI165" s="214" t="s">
        <v>1192</v>
      </c>
    </row>
    <row r="166" spans="1:113" s="214" customFormat="1" x14ac:dyDescent="0.2">
      <c r="B166" s="609" t="s">
        <v>414</v>
      </c>
      <c r="C166" s="609" t="s">
        <v>413</v>
      </c>
      <c r="D166" s="239">
        <v>15754396</v>
      </c>
      <c r="E166" s="239">
        <v>12603516</v>
      </c>
      <c r="F166" s="239">
        <v>2835791</v>
      </c>
      <c r="G166" s="239">
        <v>315088</v>
      </c>
      <c r="H166" s="239">
        <v>31508791</v>
      </c>
      <c r="I166" s="239">
        <v>0</v>
      </c>
      <c r="J166" s="239">
        <v>0</v>
      </c>
      <c r="K166" s="239">
        <v>15754396</v>
      </c>
      <c r="L166" s="239">
        <v>128223</v>
      </c>
      <c r="M166" s="239">
        <v>128223</v>
      </c>
      <c r="N166" s="239">
        <v>0</v>
      </c>
      <c r="O166" s="239">
        <v>0</v>
      </c>
      <c r="P166" s="239">
        <v>35743</v>
      </c>
      <c r="Q166" s="239">
        <v>0</v>
      </c>
      <c r="R166" s="239">
        <v>35743</v>
      </c>
      <c r="S166" s="239">
        <v>0</v>
      </c>
      <c r="T166" s="239">
        <v>0</v>
      </c>
      <c r="U166" s="239">
        <v>0</v>
      </c>
      <c r="V166" s="239">
        <v>0</v>
      </c>
      <c r="W166" s="239">
        <v>315772</v>
      </c>
      <c r="X166" s="239">
        <v>252618</v>
      </c>
      <c r="Y166" s="239">
        <v>56839</v>
      </c>
      <c r="Z166" s="239">
        <v>6315</v>
      </c>
      <c r="AA166" s="239">
        <v>631544</v>
      </c>
      <c r="AB166" s="239">
        <v>-31392</v>
      </c>
      <c r="AC166" s="239">
        <v>-25113</v>
      </c>
      <c r="AD166" s="239">
        <v>-5650</v>
      </c>
      <c r="AE166" s="239">
        <v>-628</v>
      </c>
      <c r="AF166" s="239">
        <v>-62783</v>
      </c>
      <c r="AG166" s="239">
        <v>-384091</v>
      </c>
      <c r="AH166" s="239">
        <v>-307273</v>
      </c>
      <c r="AI166" s="239">
        <v>-69137</v>
      </c>
      <c r="AJ166" s="239">
        <v>-7682</v>
      </c>
      <c r="AK166" s="239">
        <v>-768183</v>
      </c>
      <c r="AL166" s="239">
        <v>142734</v>
      </c>
      <c r="AM166" s="239">
        <v>114188</v>
      </c>
      <c r="AN166" s="239">
        <v>25692</v>
      </c>
      <c r="AO166" s="239">
        <v>2855</v>
      </c>
      <c r="AP166" s="239">
        <v>285469</v>
      </c>
      <c r="AQ166" s="239">
        <v>-76958</v>
      </c>
      <c r="AR166" s="239">
        <v>-61566</v>
      </c>
      <c r="AS166" s="239">
        <v>-13852</v>
      </c>
      <c r="AT166" s="239">
        <v>-1539</v>
      </c>
      <c r="AU166" s="239">
        <v>-153915</v>
      </c>
      <c r="AV166" s="239">
        <v>-318315</v>
      </c>
      <c r="AW166" s="239">
        <v>-254651</v>
      </c>
      <c r="AX166" s="239">
        <v>-57297</v>
      </c>
      <c r="AY166" s="239">
        <v>-6366</v>
      </c>
      <c r="AZ166" s="239">
        <v>-636629</v>
      </c>
      <c r="BA166" s="239">
        <v>-2248695</v>
      </c>
      <c r="BB166" s="239">
        <v>-1798958</v>
      </c>
      <c r="BC166" s="239">
        <v>-404766</v>
      </c>
      <c r="BD166" s="239">
        <v>-44974</v>
      </c>
      <c r="BE166" s="239">
        <v>-4497393</v>
      </c>
      <c r="BF166" s="239">
        <v>132657</v>
      </c>
      <c r="BG166" s="239">
        <v>106126</v>
      </c>
      <c r="BH166" s="239">
        <v>23878</v>
      </c>
      <c r="BI166" s="239">
        <v>2653</v>
      </c>
      <c r="BJ166" s="239">
        <v>265314</v>
      </c>
      <c r="BK166" s="239">
        <v>988075</v>
      </c>
      <c r="BL166" s="239">
        <v>790460</v>
      </c>
      <c r="BM166" s="239">
        <v>177853</v>
      </c>
      <c r="BN166" s="239">
        <v>19761</v>
      </c>
      <c r="BO166" s="239">
        <v>1976149</v>
      </c>
      <c r="BP166" s="239">
        <v>-1127963</v>
      </c>
      <c r="BQ166" s="239">
        <v>-902372</v>
      </c>
      <c r="BR166" s="239">
        <v>-203035</v>
      </c>
      <c r="BS166" s="239">
        <v>-22560</v>
      </c>
      <c r="BT166" s="239">
        <v>-2255930</v>
      </c>
      <c r="BU166" s="239">
        <v>-2367933</v>
      </c>
      <c r="BV166" s="239">
        <v>-1894347</v>
      </c>
      <c r="BW166" s="239">
        <v>-426228</v>
      </c>
      <c r="BX166" s="239">
        <v>-47359</v>
      </c>
      <c r="BY166" s="239">
        <v>-4735867</v>
      </c>
      <c r="BZ166" s="239">
        <v>-1219791</v>
      </c>
      <c r="CA166" s="239">
        <v>-975834</v>
      </c>
      <c r="CB166" s="239">
        <v>-219563</v>
      </c>
      <c r="CC166" s="239">
        <v>-24396</v>
      </c>
      <c r="CD166" s="239">
        <v>-2439584</v>
      </c>
      <c r="CE166" s="239">
        <v>-1148142</v>
      </c>
      <c r="CF166" s="239">
        <v>-918513</v>
      </c>
      <c r="CG166" s="239">
        <v>-206665</v>
      </c>
      <c r="CH166" s="239">
        <v>-22963</v>
      </c>
      <c r="CI166" s="239">
        <v>-2296283</v>
      </c>
      <c r="CJ166" s="239">
        <v>13810448</v>
      </c>
      <c r="CK166" s="239">
        <v>11048358</v>
      </c>
      <c r="CL166" s="239">
        <v>2485881</v>
      </c>
      <c r="CM166" s="239">
        <v>276209</v>
      </c>
      <c r="CN166" s="239">
        <v>27620896</v>
      </c>
      <c r="CO166" s="239">
        <v>15754396</v>
      </c>
      <c r="CP166" s="239">
        <v>12603516</v>
      </c>
      <c r="CQ166" s="239">
        <v>2835791</v>
      </c>
      <c r="CR166" s="239">
        <v>315088</v>
      </c>
      <c r="CS166" s="239">
        <v>31508791</v>
      </c>
      <c r="CT166" s="239">
        <v>1943948</v>
      </c>
      <c r="CU166" s="239">
        <v>1555158</v>
      </c>
      <c r="CV166" s="239">
        <v>349910</v>
      </c>
      <c r="CW166" s="239">
        <v>38879</v>
      </c>
      <c r="CX166" s="239">
        <v>3887895</v>
      </c>
      <c r="CY166" s="239">
        <v>795806</v>
      </c>
      <c r="CZ166" s="239">
        <v>636645</v>
      </c>
      <c r="DA166" s="239">
        <v>143245</v>
      </c>
      <c r="DB166" s="239">
        <v>15916</v>
      </c>
      <c r="DC166" s="239">
        <v>1591612</v>
      </c>
      <c r="DD166" s="641">
        <v>0.5</v>
      </c>
      <c r="DE166" s="641">
        <v>0.4</v>
      </c>
      <c r="DF166" s="641">
        <v>0.09</v>
      </c>
      <c r="DG166" s="641">
        <v>0.01</v>
      </c>
      <c r="DH166" s="641">
        <v>1</v>
      </c>
      <c r="DI166" s="214" t="s">
        <v>1190</v>
      </c>
    </row>
    <row r="167" spans="1:113" s="214" customFormat="1" x14ac:dyDescent="0.2">
      <c r="B167" s="609" t="s">
        <v>416</v>
      </c>
      <c r="C167" s="609" t="s">
        <v>415</v>
      </c>
      <c r="D167" s="239">
        <v>45258685</v>
      </c>
      <c r="E167" s="239">
        <v>44353511</v>
      </c>
      <c r="F167" s="239">
        <v>0</v>
      </c>
      <c r="G167" s="239">
        <v>905174</v>
      </c>
      <c r="H167" s="239">
        <v>90517370</v>
      </c>
      <c r="I167" s="239">
        <v>0</v>
      </c>
      <c r="J167" s="239">
        <v>0</v>
      </c>
      <c r="K167" s="239">
        <v>45258685</v>
      </c>
      <c r="L167" s="239">
        <v>283640</v>
      </c>
      <c r="M167" s="239">
        <v>283640</v>
      </c>
      <c r="N167" s="239">
        <v>0</v>
      </c>
      <c r="O167" s="239">
        <v>0</v>
      </c>
      <c r="P167" s="239">
        <v>0</v>
      </c>
      <c r="Q167" s="239">
        <v>0</v>
      </c>
      <c r="R167" s="239">
        <v>0</v>
      </c>
      <c r="S167" s="239">
        <v>0</v>
      </c>
      <c r="T167" s="239">
        <v>0</v>
      </c>
      <c r="U167" s="239">
        <v>0</v>
      </c>
      <c r="V167" s="239">
        <v>0</v>
      </c>
      <c r="W167" s="239">
        <v>2212324</v>
      </c>
      <c r="X167" s="239">
        <v>2168078</v>
      </c>
      <c r="Y167" s="239">
        <v>0</v>
      </c>
      <c r="Z167" s="239">
        <v>44246</v>
      </c>
      <c r="AA167" s="239">
        <v>4424648</v>
      </c>
      <c r="AB167" s="239">
        <v>-870219</v>
      </c>
      <c r="AC167" s="239">
        <v>-852814</v>
      </c>
      <c r="AD167" s="239">
        <v>0</v>
      </c>
      <c r="AE167" s="239">
        <v>-17404</v>
      </c>
      <c r="AF167" s="239">
        <v>-1740437</v>
      </c>
      <c r="AG167" s="239">
        <v>-1406540</v>
      </c>
      <c r="AH167" s="239">
        <v>-1378411</v>
      </c>
      <c r="AI167" s="239">
        <v>0</v>
      </c>
      <c r="AJ167" s="239">
        <v>-28132</v>
      </c>
      <c r="AK167" s="239">
        <v>-2813083</v>
      </c>
      <c r="AL167" s="239">
        <v>461913</v>
      </c>
      <c r="AM167" s="239">
        <v>452675</v>
      </c>
      <c r="AN167" s="239">
        <v>0</v>
      </c>
      <c r="AO167" s="239">
        <v>9238</v>
      </c>
      <c r="AP167" s="239">
        <v>923826</v>
      </c>
      <c r="AQ167" s="239">
        <v>-517724</v>
      </c>
      <c r="AR167" s="239">
        <v>-507369</v>
      </c>
      <c r="AS167" s="239">
        <v>0</v>
      </c>
      <c r="AT167" s="239">
        <v>-10354</v>
      </c>
      <c r="AU167" s="239">
        <v>-1035447</v>
      </c>
      <c r="AV167" s="239">
        <v>-1462351</v>
      </c>
      <c r="AW167" s="239">
        <v>-1433105</v>
      </c>
      <c r="AX167" s="239">
        <v>0</v>
      </c>
      <c r="AY167" s="239">
        <v>-29248</v>
      </c>
      <c r="AZ167" s="239">
        <v>-2924704</v>
      </c>
      <c r="BA167" s="239">
        <v>-6046092</v>
      </c>
      <c r="BB167" s="239">
        <v>-5925173</v>
      </c>
      <c r="BC167" s="239">
        <v>0</v>
      </c>
      <c r="BD167" s="239">
        <v>-120923</v>
      </c>
      <c r="BE167" s="239">
        <v>-12092188</v>
      </c>
      <c r="BF167" s="239">
        <v>0</v>
      </c>
      <c r="BG167" s="239">
        <v>0</v>
      </c>
      <c r="BH167" s="239">
        <v>0</v>
      </c>
      <c r="BI167" s="239">
        <v>0</v>
      </c>
      <c r="BJ167" s="239">
        <v>0</v>
      </c>
      <c r="BK167" s="239">
        <v>0</v>
      </c>
      <c r="BL167" s="239">
        <v>0</v>
      </c>
      <c r="BM167" s="239">
        <v>0</v>
      </c>
      <c r="BN167" s="239">
        <v>0</v>
      </c>
      <c r="BO167" s="239">
        <v>0</v>
      </c>
      <c r="BP167" s="239">
        <v>-6046092</v>
      </c>
      <c r="BQ167" s="239">
        <v>-5925173</v>
      </c>
      <c r="BR167" s="239">
        <v>0</v>
      </c>
      <c r="BS167" s="239">
        <v>-120923</v>
      </c>
      <c r="BT167" s="239">
        <v>-12092188</v>
      </c>
      <c r="BU167" s="239">
        <v>-6038509</v>
      </c>
      <c r="BV167" s="239">
        <v>-5917738</v>
      </c>
      <c r="BW167" s="239">
        <v>0</v>
      </c>
      <c r="BX167" s="239">
        <v>-120770</v>
      </c>
      <c r="BY167" s="239">
        <v>-12077017</v>
      </c>
      <c r="BZ167" s="239">
        <v>-4418611</v>
      </c>
      <c r="CA167" s="239">
        <v>-4330238</v>
      </c>
      <c r="CB167" s="239">
        <v>0</v>
      </c>
      <c r="CC167" s="239">
        <v>-88372</v>
      </c>
      <c r="CD167" s="239">
        <v>-8837221</v>
      </c>
      <c r="CE167" s="239">
        <v>-1619898</v>
      </c>
      <c r="CF167" s="239">
        <v>-1587500</v>
      </c>
      <c r="CG167" s="239">
        <v>0</v>
      </c>
      <c r="CH167" s="239">
        <v>-32398</v>
      </c>
      <c r="CI167" s="239">
        <v>-3239796</v>
      </c>
      <c r="CJ167" s="239">
        <v>45716252</v>
      </c>
      <c r="CK167" s="239">
        <v>44801926</v>
      </c>
      <c r="CL167" s="239">
        <v>0</v>
      </c>
      <c r="CM167" s="239">
        <v>914325</v>
      </c>
      <c r="CN167" s="239">
        <v>91432503</v>
      </c>
      <c r="CO167" s="239">
        <v>45258685</v>
      </c>
      <c r="CP167" s="239">
        <v>44353511</v>
      </c>
      <c r="CQ167" s="239">
        <v>0</v>
      </c>
      <c r="CR167" s="239">
        <v>905174</v>
      </c>
      <c r="CS167" s="239">
        <v>90517370</v>
      </c>
      <c r="CT167" s="239">
        <v>-457567</v>
      </c>
      <c r="CU167" s="239">
        <v>-448415</v>
      </c>
      <c r="CV167" s="239">
        <v>0</v>
      </c>
      <c r="CW167" s="239">
        <v>-9151</v>
      </c>
      <c r="CX167" s="239">
        <v>-915133</v>
      </c>
      <c r="CY167" s="239">
        <v>-2077465</v>
      </c>
      <c r="CZ167" s="239">
        <v>-2035915</v>
      </c>
      <c r="DA167" s="239">
        <v>0</v>
      </c>
      <c r="DB167" s="239">
        <v>-41549</v>
      </c>
      <c r="DC167" s="239">
        <v>-4154929</v>
      </c>
      <c r="DD167" s="641">
        <v>0.5</v>
      </c>
      <c r="DE167" s="641">
        <v>0.49</v>
      </c>
      <c r="DF167" s="641">
        <v>0</v>
      </c>
      <c r="DG167" s="641">
        <v>0.01</v>
      </c>
      <c r="DH167" s="641">
        <v>1</v>
      </c>
      <c r="DI167" s="214" t="s">
        <v>747</v>
      </c>
    </row>
    <row r="168" spans="1:113" s="214" customFormat="1" x14ac:dyDescent="0.2">
      <c r="B168" s="609" t="s">
        <v>418</v>
      </c>
      <c r="C168" s="609" t="s">
        <v>417</v>
      </c>
      <c r="D168" s="239">
        <v>6895252</v>
      </c>
      <c r="E168" s="239">
        <v>5516202</v>
      </c>
      <c r="F168" s="239">
        <v>1241145</v>
      </c>
      <c r="G168" s="239">
        <v>137905</v>
      </c>
      <c r="H168" s="239">
        <v>13790504</v>
      </c>
      <c r="I168" s="239">
        <v>0</v>
      </c>
      <c r="J168" s="239">
        <v>0</v>
      </c>
      <c r="K168" s="239">
        <v>6895252</v>
      </c>
      <c r="L168" s="239">
        <v>63199</v>
      </c>
      <c r="M168" s="239">
        <v>63199</v>
      </c>
      <c r="N168" s="239">
        <v>0</v>
      </c>
      <c r="O168" s="239">
        <v>0</v>
      </c>
      <c r="P168" s="239">
        <v>153858</v>
      </c>
      <c r="Q168" s="239">
        <v>0</v>
      </c>
      <c r="R168" s="239">
        <v>153858</v>
      </c>
      <c r="S168" s="239">
        <v>0</v>
      </c>
      <c r="T168" s="239">
        <v>0</v>
      </c>
      <c r="U168" s="239">
        <v>0</v>
      </c>
      <c r="V168" s="239">
        <v>0</v>
      </c>
      <c r="W168" s="239">
        <v>260203</v>
      </c>
      <c r="X168" s="239">
        <v>208163</v>
      </c>
      <c r="Y168" s="239">
        <v>46837</v>
      </c>
      <c r="Z168" s="239">
        <v>5204</v>
      </c>
      <c r="AA168" s="239">
        <v>520407</v>
      </c>
      <c r="AB168" s="239">
        <v>-116620</v>
      </c>
      <c r="AC168" s="239">
        <v>-93296</v>
      </c>
      <c r="AD168" s="239">
        <v>-20992</v>
      </c>
      <c r="AE168" s="239">
        <v>-2332</v>
      </c>
      <c r="AF168" s="239">
        <v>-233240</v>
      </c>
      <c r="AG168" s="239">
        <v>-68698.11</v>
      </c>
      <c r="AH168" s="239">
        <v>-54959</v>
      </c>
      <c r="AI168" s="239">
        <v>-12367</v>
      </c>
      <c r="AJ168" s="239">
        <v>-1374</v>
      </c>
      <c r="AK168" s="239">
        <v>-137398.11000000002</v>
      </c>
      <c r="AL168" s="239">
        <v>61408</v>
      </c>
      <c r="AM168" s="239">
        <v>49126</v>
      </c>
      <c r="AN168" s="239">
        <v>11053</v>
      </c>
      <c r="AO168" s="239">
        <v>1228</v>
      </c>
      <c r="AP168" s="239">
        <v>122815</v>
      </c>
      <c r="AQ168" s="239">
        <v>-54472</v>
      </c>
      <c r="AR168" s="239">
        <v>-43578</v>
      </c>
      <c r="AS168" s="239">
        <v>-9805</v>
      </c>
      <c r="AT168" s="239">
        <v>-1089</v>
      </c>
      <c r="AU168" s="239">
        <v>-108944</v>
      </c>
      <c r="AV168" s="239">
        <v>-61762.11</v>
      </c>
      <c r="AW168" s="239">
        <v>-49411</v>
      </c>
      <c r="AX168" s="239">
        <v>-11119</v>
      </c>
      <c r="AY168" s="239">
        <v>-1235</v>
      </c>
      <c r="AZ168" s="239">
        <v>-123527.11000000002</v>
      </c>
      <c r="BA168" s="239">
        <v>-470270.18999999994</v>
      </c>
      <c r="BB168" s="239">
        <v>-376215</v>
      </c>
      <c r="BC168" s="239">
        <v>-84649</v>
      </c>
      <c r="BD168" s="239">
        <v>-9404</v>
      </c>
      <c r="BE168" s="239">
        <v>-940538.19</v>
      </c>
      <c r="BF168" s="239">
        <v>109694</v>
      </c>
      <c r="BG168" s="239">
        <v>87755</v>
      </c>
      <c r="BH168" s="239">
        <v>19745</v>
      </c>
      <c r="BI168" s="239">
        <v>2194</v>
      </c>
      <c r="BJ168" s="239">
        <v>219388</v>
      </c>
      <c r="BK168" s="239">
        <v>-101920</v>
      </c>
      <c r="BL168" s="239">
        <v>-81535</v>
      </c>
      <c r="BM168" s="239">
        <v>-18345</v>
      </c>
      <c r="BN168" s="239">
        <v>-2038</v>
      </c>
      <c r="BO168" s="239">
        <v>-203838</v>
      </c>
      <c r="BP168" s="239">
        <v>-462496.18999999994</v>
      </c>
      <c r="BQ168" s="239">
        <v>-369995</v>
      </c>
      <c r="BR168" s="239">
        <v>-83249</v>
      </c>
      <c r="BS168" s="239">
        <v>-9248</v>
      </c>
      <c r="BT168" s="239">
        <v>-924988.19</v>
      </c>
      <c r="BU168" s="239">
        <v>-190514.59999999963</v>
      </c>
      <c r="BV168" s="239">
        <v>-152411</v>
      </c>
      <c r="BW168" s="239">
        <v>-34292</v>
      </c>
      <c r="BX168" s="239">
        <v>-3810</v>
      </c>
      <c r="BY168" s="239">
        <v>-381027.59999999963</v>
      </c>
      <c r="BZ168" s="239">
        <v>-90482</v>
      </c>
      <c r="CA168" s="239">
        <v>-72386</v>
      </c>
      <c r="CB168" s="239">
        <v>-16287</v>
      </c>
      <c r="CC168" s="239">
        <v>-1810</v>
      </c>
      <c r="CD168" s="239">
        <v>-180965</v>
      </c>
      <c r="CE168" s="239">
        <v>-100032.59999999963</v>
      </c>
      <c r="CF168" s="239">
        <v>-80025</v>
      </c>
      <c r="CG168" s="239">
        <v>-18005</v>
      </c>
      <c r="CH168" s="239">
        <v>-2000</v>
      </c>
      <c r="CI168" s="239">
        <v>-200062.59999999963</v>
      </c>
      <c r="CJ168" s="239">
        <v>6810964</v>
      </c>
      <c r="CK168" s="239">
        <v>5448770</v>
      </c>
      <c r="CL168" s="239">
        <v>1225973</v>
      </c>
      <c r="CM168" s="239">
        <v>136219</v>
      </c>
      <c r="CN168" s="239">
        <v>13621926</v>
      </c>
      <c r="CO168" s="239">
        <v>6895252</v>
      </c>
      <c r="CP168" s="239">
        <v>5516202</v>
      </c>
      <c r="CQ168" s="239">
        <v>1241145</v>
      </c>
      <c r="CR168" s="239">
        <v>137905</v>
      </c>
      <c r="CS168" s="239">
        <v>13790504</v>
      </c>
      <c r="CT168" s="239">
        <v>84288</v>
      </c>
      <c r="CU168" s="239">
        <v>67432</v>
      </c>
      <c r="CV168" s="239">
        <v>15172</v>
      </c>
      <c r="CW168" s="239">
        <v>1686</v>
      </c>
      <c r="CX168" s="239">
        <v>168578</v>
      </c>
      <c r="CY168" s="239">
        <v>-15744.599999999627</v>
      </c>
      <c r="CZ168" s="239">
        <v>-12593</v>
      </c>
      <c r="DA168" s="239">
        <v>-2833</v>
      </c>
      <c r="DB168" s="239">
        <v>-314</v>
      </c>
      <c r="DC168" s="239">
        <v>-31484.599999999627</v>
      </c>
      <c r="DD168" s="641">
        <v>0.5</v>
      </c>
      <c r="DE168" s="641">
        <v>0.4</v>
      </c>
      <c r="DF168" s="641">
        <v>0.09</v>
      </c>
      <c r="DG168" s="641">
        <v>0.01</v>
      </c>
      <c r="DH168" s="641">
        <v>1</v>
      </c>
      <c r="DI168" s="214" t="s">
        <v>1190</v>
      </c>
    </row>
    <row r="169" spans="1:113" s="214" customFormat="1" x14ac:dyDescent="0.2">
      <c r="B169" s="609" t="s">
        <v>420</v>
      </c>
      <c r="C169" s="609" t="s">
        <v>419</v>
      </c>
      <c r="D169" s="239">
        <v>15731740</v>
      </c>
      <c r="E169" s="239">
        <v>12585392</v>
      </c>
      <c r="F169" s="239">
        <v>2831713</v>
      </c>
      <c r="G169" s="239">
        <v>314635</v>
      </c>
      <c r="H169" s="239">
        <v>31463480</v>
      </c>
      <c r="I169" s="239">
        <v>0</v>
      </c>
      <c r="J169" s="239">
        <v>0</v>
      </c>
      <c r="K169" s="239">
        <v>15731740</v>
      </c>
      <c r="L169" s="239">
        <v>164724</v>
      </c>
      <c r="M169" s="239">
        <v>164724</v>
      </c>
      <c r="N169" s="239">
        <v>0</v>
      </c>
      <c r="O169" s="239">
        <v>0</v>
      </c>
      <c r="P169" s="239">
        <v>150906</v>
      </c>
      <c r="Q169" s="239">
        <v>0</v>
      </c>
      <c r="R169" s="239">
        <v>150906</v>
      </c>
      <c r="S169" s="239">
        <v>0</v>
      </c>
      <c r="T169" s="239">
        <v>0</v>
      </c>
      <c r="U169" s="239">
        <v>0</v>
      </c>
      <c r="V169" s="239">
        <v>0</v>
      </c>
      <c r="W169" s="239">
        <v>351559</v>
      </c>
      <c r="X169" s="239">
        <v>281247</v>
      </c>
      <c r="Y169" s="239">
        <v>63281</v>
      </c>
      <c r="Z169" s="239">
        <v>7031</v>
      </c>
      <c r="AA169" s="239">
        <v>703118</v>
      </c>
      <c r="AB169" s="239">
        <v>-1190543</v>
      </c>
      <c r="AC169" s="239">
        <v>-952434</v>
      </c>
      <c r="AD169" s="239">
        <v>-214298</v>
      </c>
      <c r="AE169" s="239">
        <v>-23811</v>
      </c>
      <c r="AF169" s="239">
        <v>-2381086</v>
      </c>
      <c r="AG169" s="239">
        <v>-293194</v>
      </c>
      <c r="AH169" s="239">
        <v>-234556</v>
      </c>
      <c r="AI169" s="239">
        <v>-52774</v>
      </c>
      <c r="AJ169" s="239">
        <v>-5864</v>
      </c>
      <c r="AK169" s="239">
        <v>-586388</v>
      </c>
      <c r="AL169" s="239">
        <v>96506</v>
      </c>
      <c r="AM169" s="239">
        <v>77204</v>
      </c>
      <c r="AN169" s="239">
        <v>17371</v>
      </c>
      <c r="AO169" s="239">
        <v>1930</v>
      </c>
      <c r="AP169" s="239">
        <v>193011</v>
      </c>
      <c r="AQ169" s="239">
        <v>-7399</v>
      </c>
      <c r="AR169" s="239">
        <v>-5920</v>
      </c>
      <c r="AS169" s="239">
        <v>-1332</v>
      </c>
      <c r="AT169" s="239">
        <v>-148</v>
      </c>
      <c r="AU169" s="239">
        <v>-14799</v>
      </c>
      <c r="AV169" s="239">
        <v>-204087</v>
      </c>
      <c r="AW169" s="239">
        <v>-163272</v>
      </c>
      <c r="AX169" s="239">
        <v>-36735</v>
      </c>
      <c r="AY169" s="239">
        <v>-4082</v>
      </c>
      <c r="AZ169" s="239">
        <v>-408176</v>
      </c>
      <c r="BA169" s="239">
        <v>-1378416</v>
      </c>
      <c r="BB169" s="239">
        <v>-1102737</v>
      </c>
      <c r="BC169" s="239">
        <v>-248117</v>
      </c>
      <c r="BD169" s="239">
        <v>-27570</v>
      </c>
      <c r="BE169" s="239">
        <v>-2756840</v>
      </c>
      <c r="BF169" s="239">
        <v>1409858</v>
      </c>
      <c r="BG169" s="239">
        <v>1127886</v>
      </c>
      <c r="BH169" s="239">
        <v>253774</v>
      </c>
      <c r="BI169" s="239">
        <v>28197</v>
      </c>
      <c r="BJ169" s="239">
        <v>2819715</v>
      </c>
      <c r="BK169" s="239">
        <v>-1978449</v>
      </c>
      <c r="BL169" s="239">
        <v>-1582760</v>
      </c>
      <c r="BM169" s="239">
        <v>-356121</v>
      </c>
      <c r="BN169" s="239">
        <v>-39569</v>
      </c>
      <c r="BO169" s="239">
        <v>-3956899</v>
      </c>
      <c r="BP169" s="239">
        <v>-1947007</v>
      </c>
      <c r="BQ169" s="239">
        <v>-1557611</v>
      </c>
      <c r="BR169" s="239">
        <v>-350464</v>
      </c>
      <c r="BS169" s="239">
        <v>-38942</v>
      </c>
      <c r="BT169" s="239">
        <v>-3894024</v>
      </c>
      <c r="BU169" s="239">
        <v>-704690</v>
      </c>
      <c r="BV169" s="239">
        <v>-563752</v>
      </c>
      <c r="BW169" s="239">
        <v>-126844</v>
      </c>
      <c r="BX169" s="239">
        <v>-14094</v>
      </c>
      <c r="BY169" s="239">
        <v>-1409380</v>
      </c>
      <c r="BZ169" s="239">
        <v>-1172761</v>
      </c>
      <c r="CA169" s="239">
        <v>-938208</v>
      </c>
      <c r="CB169" s="239">
        <v>-211097</v>
      </c>
      <c r="CC169" s="239">
        <v>-23455</v>
      </c>
      <c r="CD169" s="239">
        <v>-2345521</v>
      </c>
      <c r="CE169" s="239">
        <v>468071</v>
      </c>
      <c r="CF169" s="239">
        <v>374456</v>
      </c>
      <c r="CG169" s="239">
        <v>84253</v>
      </c>
      <c r="CH169" s="239">
        <v>9361</v>
      </c>
      <c r="CI169" s="239">
        <v>936141</v>
      </c>
      <c r="CJ169" s="239">
        <v>16424156</v>
      </c>
      <c r="CK169" s="239">
        <v>13139324</v>
      </c>
      <c r="CL169" s="239">
        <v>2956348</v>
      </c>
      <c r="CM169" s="239">
        <v>328483</v>
      </c>
      <c r="CN169" s="239">
        <v>32848311</v>
      </c>
      <c r="CO169" s="239">
        <v>15731740</v>
      </c>
      <c r="CP169" s="239">
        <v>12585392</v>
      </c>
      <c r="CQ169" s="239">
        <v>2831713</v>
      </c>
      <c r="CR169" s="239">
        <v>314635</v>
      </c>
      <c r="CS169" s="239">
        <v>31463480</v>
      </c>
      <c r="CT169" s="239">
        <v>-692416</v>
      </c>
      <c r="CU169" s="239">
        <v>-553932</v>
      </c>
      <c r="CV169" s="239">
        <v>-124635</v>
      </c>
      <c r="CW169" s="239">
        <v>-13848</v>
      </c>
      <c r="CX169" s="239">
        <v>-1384831</v>
      </c>
      <c r="CY169" s="239">
        <v>-224345</v>
      </c>
      <c r="CZ169" s="239">
        <v>-179476</v>
      </c>
      <c r="DA169" s="239">
        <v>-40382</v>
      </c>
      <c r="DB169" s="239">
        <v>-4487</v>
      </c>
      <c r="DC169" s="239">
        <v>-448690</v>
      </c>
      <c r="DD169" s="641">
        <v>0.5</v>
      </c>
      <c r="DE169" s="641">
        <v>0.4</v>
      </c>
      <c r="DF169" s="641">
        <v>0.09</v>
      </c>
      <c r="DG169" s="641">
        <v>0.01</v>
      </c>
      <c r="DH169" s="641">
        <v>1</v>
      </c>
      <c r="DI169" s="214" t="s">
        <v>1190</v>
      </c>
    </row>
    <row r="170" spans="1:113" s="214" customFormat="1" x14ac:dyDescent="0.2">
      <c r="B170" s="609" t="s">
        <v>422</v>
      </c>
      <c r="C170" s="609" t="s">
        <v>421</v>
      </c>
      <c r="D170" s="239">
        <v>42845147</v>
      </c>
      <c r="E170" s="239">
        <v>25707089</v>
      </c>
      <c r="F170" s="239">
        <v>17138059</v>
      </c>
      <c r="G170" s="239">
        <v>0</v>
      </c>
      <c r="H170" s="239">
        <v>85690295</v>
      </c>
      <c r="I170" s="239">
        <v>0</v>
      </c>
      <c r="J170" s="239">
        <v>0</v>
      </c>
      <c r="K170" s="239">
        <v>42845147</v>
      </c>
      <c r="L170" s="239">
        <v>272612</v>
      </c>
      <c r="M170" s="239">
        <v>272612</v>
      </c>
      <c r="N170" s="239">
        <v>0</v>
      </c>
      <c r="O170" s="239">
        <v>0</v>
      </c>
      <c r="P170" s="239">
        <v>0</v>
      </c>
      <c r="Q170" s="239">
        <v>0</v>
      </c>
      <c r="R170" s="239">
        <v>0</v>
      </c>
      <c r="S170" s="239">
        <v>0</v>
      </c>
      <c r="T170" s="239">
        <v>0</v>
      </c>
      <c r="U170" s="239">
        <v>0</v>
      </c>
      <c r="V170" s="239">
        <v>0</v>
      </c>
      <c r="W170" s="239">
        <v>1741923</v>
      </c>
      <c r="X170" s="239">
        <v>1045154</v>
      </c>
      <c r="Y170" s="239">
        <v>696769</v>
      </c>
      <c r="Z170" s="239">
        <v>0</v>
      </c>
      <c r="AA170" s="239">
        <v>3483846</v>
      </c>
      <c r="AB170" s="239">
        <v>-1432539</v>
      </c>
      <c r="AC170" s="239">
        <v>-859524</v>
      </c>
      <c r="AD170" s="239">
        <v>-573016</v>
      </c>
      <c r="AE170" s="239">
        <v>0</v>
      </c>
      <c r="AF170" s="239">
        <v>-2865079</v>
      </c>
      <c r="AG170" s="239">
        <v>-1146532</v>
      </c>
      <c r="AH170" s="239">
        <v>-687919</v>
      </c>
      <c r="AI170" s="239">
        <v>-458613</v>
      </c>
      <c r="AJ170" s="239">
        <v>0</v>
      </c>
      <c r="AK170" s="239">
        <v>-2293064</v>
      </c>
      <c r="AL170" s="239">
        <v>278119</v>
      </c>
      <c r="AM170" s="239">
        <v>166872</v>
      </c>
      <c r="AN170" s="239">
        <v>111248</v>
      </c>
      <c r="AO170" s="239">
        <v>0</v>
      </c>
      <c r="AP170" s="239">
        <v>556239</v>
      </c>
      <c r="AQ170" s="239">
        <v>-336657</v>
      </c>
      <c r="AR170" s="239">
        <v>-201994</v>
      </c>
      <c r="AS170" s="239">
        <v>-134663</v>
      </c>
      <c r="AT170" s="239">
        <v>0</v>
      </c>
      <c r="AU170" s="239">
        <v>-673314</v>
      </c>
      <c r="AV170" s="239">
        <v>-1205070</v>
      </c>
      <c r="AW170" s="239">
        <v>-723041</v>
      </c>
      <c r="AX170" s="239">
        <v>-482028</v>
      </c>
      <c r="AY170" s="239">
        <v>0</v>
      </c>
      <c r="AZ170" s="239">
        <v>-2410139</v>
      </c>
      <c r="BA170" s="239">
        <v>-3969506</v>
      </c>
      <c r="BB170" s="239">
        <v>-2381704</v>
      </c>
      <c r="BC170" s="239">
        <v>-1587803</v>
      </c>
      <c r="BD170" s="239">
        <v>0</v>
      </c>
      <c r="BE170" s="239">
        <v>-7939013</v>
      </c>
      <c r="BF170" s="239">
        <v>1437555</v>
      </c>
      <c r="BG170" s="239">
        <v>862533</v>
      </c>
      <c r="BH170" s="239">
        <v>575022</v>
      </c>
      <c r="BI170" s="239">
        <v>0</v>
      </c>
      <c r="BJ170" s="239">
        <v>2875110</v>
      </c>
      <c r="BK170" s="239">
        <v>-968049</v>
      </c>
      <c r="BL170" s="239">
        <v>-580829</v>
      </c>
      <c r="BM170" s="239">
        <v>-387219</v>
      </c>
      <c r="BN170" s="239">
        <v>0</v>
      </c>
      <c r="BO170" s="239">
        <v>-1936097</v>
      </c>
      <c r="BP170" s="239">
        <v>-3500000</v>
      </c>
      <c r="BQ170" s="239">
        <v>-2100000</v>
      </c>
      <c r="BR170" s="239">
        <v>-1400000</v>
      </c>
      <c r="BS170" s="239">
        <v>0</v>
      </c>
      <c r="BT170" s="239">
        <v>-7000000</v>
      </c>
      <c r="BU170" s="239">
        <v>-2289219</v>
      </c>
      <c r="BV170" s="239">
        <v>-1373531</v>
      </c>
      <c r="BW170" s="239">
        <v>-915688</v>
      </c>
      <c r="BX170" s="239">
        <v>0</v>
      </c>
      <c r="BY170" s="239">
        <v>-4578438</v>
      </c>
      <c r="BZ170" s="239">
        <v>-2867945</v>
      </c>
      <c r="CA170" s="239">
        <v>-1720767</v>
      </c>
      <c r="CB170" s="239">
        <v>-1147178</v>
      </c>
      <c r="CC170" s="239">
        <v>0</v>
      </c>
      <c r="CD170" s="239">
        <v>-5735890</v>
      </c>
      <c r="CE170" s="239">
        <v>578726</v>
      </c>
      <c r="CF170" s="239">
        <v>347236</v>
      </c>
      <c r="CG170" s="239">
        <v>231490</v>
      </c>
      <c r="CH170" s="239">
        <v>0</v>
      </c>
      <c r="CI170" s="239">
        <v>1157452</v>
      </c>
      <c r="CJ170" s="239">
        <v>43872792</v>
      </c>
      <c r="CK170" s="239">
        <v>26323675</v>
      </c>
      <c r="CL170" s="239">
        <v>17549117</v>
      </c>
      <c r="CM170" s="239">
        <v>0</v>
      </c>
      <c r="CN170" s="239">
        <v>87745584</v>
      </c>
      <c r="CO170" s="239">
        <v>42845147</v>
      </c>
      <c r="CP170" s="239">
        <v>25707089</v>
      </c>
      <c r="CQ170" s="239">
        <v>17138059</v>
      </c>
      <c r="CR170" s="239">
        <v>0</v>
      </c>
      <c r="CS170" s="239">
        <v>85690295</v>
      </c>
      <c r="CT170" s="239">
        <v>-1027645</v>
      </c>
      <c r="CU170" s="239">
        <v>-616586</v>
      </c>
      <c r="CV170" s="239">
        <v>-411058</v>
      </c>
      <c r="CW170" s="239">
        <v>0</v>
      </c>
      <c r="CX170" s="239">
        <v>-2055289</v>
      </c>
      <c r="CY170" s="239">
        <v>-448919</v>
      </c>
      <c r="CZ170" s="239">
        <v>-269350</v>
      </c>
      <c r="DA170" s="239">
        <v>-179568</v>
      </c>
      <c r="DB170" s="239">
        <v>0</v>
      </c>
      <c r="DC170" s="239">
        <v>-897837</v>
      </c>
      <c r="DD170" s="641">
        <v>0.5</v>
      </c>
      <c r="DE170" s="641">
        <v>0.3</v>
      </c>
      <c r="DF170" s="641">
        <v>0.2</v>
      </c>
      <c r="DG170" s="641">
        <v>0</v>
      </c>
      <c r="DH170" s="641">
        <v>1</v>
      </c>
      <c r="DI170" s="214" t="s">
        <v>1191</v>
      </c>
    </row>
    <row r="171" spans="1:113" s="214" customFormat="1" x14ac:dyDescent="0.2">
      <c r="B171" s="609" t="s">
        <v>424</v>
      </c>
      <c r="C171" s="609" t="s">
        <v>423</v>
      </c>
      <c r="D171" s="239">
        <v>7710557</v>
      </c>
      <c r="E171" s="239">
        <v>6168446</v>
      </c>
      <c r="F171" s="239">
        <v>1387900</v>
      </c>
      <c r="G171" s="239">
        <v>154211</v>
      </c>
      <c r="H171" s="239">
        <v>15421114</v>
      </c>
      <c r="I171" s="239">
        <v>0</v>
      </c>
      <c r="J171" s="239">
        <v>0</v>
      </c>
      <c r="K171" s="239">
        <v>7710557</v>
      </c>
      <c r="L171" s="239">
        <v>108005</v>
      </c>
      <c r="M171" s="239">
        <v>108005</v>
      </c>
      <c r="N171" s="239">
        <v>0</v>
      </c>
      <c r="O171" s="239">
        <v>0</v>
      </c>
      <c r="P171" s="239">
        <v>135654</v>
      </c>
      <c r="Q171" s="239">
        <v>0</v>
      </c>
      <c r="R171" s="239">
        <v>135654</v>
      </c>
      <c r="S171" s="239">
        <v>0</v>
      </c>
      <c r="T171" s="239">
        <v>0</v>
      </c>
      <c r="U171" s="239">
        <v>0</v>
      </c>
      <c r="V171" s="239">
        <v>0</v>
      </c>
      <c r="W171" s="239">
        <v>188514</v>
      </c>
      <c r="X171" s="239">
        <v>150811</v>
      </c>
      <c r="Y171" s="239">
        <v>33933</v>
      </c>
      <c r="Z171" s="239">
        <v>3770</v>
      </c>
      <c r="AA171" s="239">
        <v>377028</v>
      </c>
      <c r="AB171" s="239">
        <v>-521683</v>
      </c>
      <c r="AC171" s="239">
        <v>-417347</v>
      </c>
      <c r="AD171" s="239">
        <v>-93903</v>
      </c>
      <c r="AE171" s="239">
        <v>-10434</v>
      </c>
      <c r="AF171" s="239">
        <v>-1043367</v>
      </c>
      <c r="AG171" s="239">
        <v>-110671</v>
      </c>
      <c r="AH171" s="239">
        <v>-88537</v>
      </c>
      <c r="AI171" s="239">
        <v>-19922</v>
      </c>
      <c r="AJ171" s="239">
        <v>-2214</v>
      </c>
      <c r="AK171" s="239">
        <v>-221344</v>
      </c>
      <c r="AL171" s="239">
        <v>0</v>
      </c>
      <c r="AM171" s="239">
        <v>0</v>
      </c>
      <c r="AN171" s="239">
        <v>0</v>
      </c>
      <c r="AO171" s="239">
        <v>0</v>
      </c>
      <c r="AP171" s="239">
        <v>0</v>
      </c>
      <c r="AQ171" s="239">
        <v>31284</v>
      </c>
      <c r="AR171" s="239">
        <v>25028</v>
      </c>
      <c r="AS171" s="239">
        <v>5631</v>
      </c>
      <c r="AT171" s="239">
        <v>626</v>
      </c>
      <c r="AU171" s="239">
        <v>62569</v>
      </c>
      <c r="AV171" s="239">
        <v>-79387</v>
      </c>
      <c r="AW171" s="239">
        <v>-63509</v>
      </c>
      <c r="AX171" s="239">
        <v>-14291</v>
      </c>
      <c r="AY171" s="239">
        <v>-1588</v>
      </c>
      <c r="AZ171" s="239">
        <v>-158775</v>
      </c>
      <c r="BA171" s="239">
        <v>-974000</v>
      </c>
      <c r="BB171" s="239">
        <v>-779200</v>
      </c>
      <c r="BC171" s="239">
        <v>-175320</v>
      </c>
      <c r="BD171" s="239">
        <v>-19480</v>
      </c>
      <c r="BE171" s="239">
        <v>-1948000</v>
      </c>
      <c r="BF171" s="239">
        <v>1032651</v>
      </c>
      <c r="BG171" s="239">
        <v>826120</v>
      </c>
      <c r="BH171" s="239">
        <v>185877</v>
      </c>
      <c r="BI171" s="239">
        <v>20653</v>
      </c>
      <c r="BJ171" s="239">
        <v>2065301</v>
      </c>
      <c r="BK171" s="239">
        <v>-263386</v>
      </c>
      <c r="BL171" s="239">
        <v>-210709</v>
      </c>
      <c r="BM171" s="239">
        <v>-47409</v>
      </c>
      <c r="BN171" s="239">
        <v>-5268</v>
      </c>
      <c r="BO171" s="239">
        <v>-526772</v>
      </c>
      <c r="BP171" s="239">
        <v>-204735</v>
      </c>
      <c r="BQ171" s="239">
        <v>-163789</v>
      </c>
      <c r="BR171" s="239">
        <v>-36852</v>
      </c>
      <c r="BS171" s="239">
        <v>-4095</v>
      </c>
      <c r="BT171" s="239">
        <v>-409471</v>
      </c>
      <c r="BU171" s="239">
        <v>-926114</v>
      </c>
      <c r="BV171" s="239">
        <v>-740892</v>
      </c>
      <c r="BW171" s="239">
        <v>-166701</v>
      </c>
      <c r="BX171" s="239">
        <v>-18522</v>
      </c>
      <c r="BY171" s="239">
        <v>-1852229</v>
      </c>
      <c r="BZ171" s="239">
        <v>-670502</v>
      </c>
      <c r="CA171" s="239">
        <v>-536402</v>
      </c>
      <c r="CB171" s="239">
        <v>-120690</v>
      </c>
      <c r="CC171" s="239">
        <v>-13410</v>
      </c>
      <c r="CD171" s="239">
        <v>-1341004</v>
      </c>
      <c r="CE171" s="239">
        <v>-255612</v>
      </c>
      <c r="CF171" s="239">
        <v>-204490</v>
      </c>
      <c r="CG171" s="239">
        <v>-46011</v>
      </c>
      <c r="CH171" s="239">
        <v>-5112</v>
      </c>
      <c r="CI171" s="239">
        <v>-511225</v>
      </c>
      <c r="CJ171" s="239">
        <v>7633140</v>
      </c>
      <c r="CK171" s="239">
        <v>6106512</v>
      </c>
      <c r="CL171" s="239">
        <v>1373965</v>
      </c>
      <c r="CM171" s="239">
        <v>152663</v>
      </c>
      <c r="CN171" s="239">
        <v>15266280</v>
      </c>
      <c r="CO171" s="239">
        <v>7710557</v>
      </c>
      <c r="CP171" s="239">
        <v>6168446</v>
      </c>
      <c r="CQ171" s="239">
        <v>1387900</v>
      </c>
      <c r="CR171" s="239">
        <v>154211</v>
      </c>
      <c r="CS171" s="239">
        <v>15421114</v>
      </c>
      <c r="CT171" s="239">
        <v>77417</v>
      </c>
      <c r="CU171" s="239">
        <v>61934</v>
      </c>
      <c r="CV171" s="239">
        <v>13935</v>
      </c>
      <c r="CW171" s="239">
        <v>1548</v>
      </c>
      <c r="CX171" s="239">
        <v>154834</v>
      </c>
      <c r="CY171" s="239">
        <v>-178195</v>
      </c>
      <c r="CZ171" s="239">
        <v>-142556</v>
      </c>
      <c r="DA171" s="239">
        <v>-32076</v>
      </c>
      <c r="DB171" s="239">
        <v>-3564</v>
      </c>
      <c r="DC171" s="239">
        <v>-356391</v>
      </c>
      <c r="DD171" s="641">
        <v>0.5</v>
      </c>
      <c r="DE171" s="641">
        <v>0.4</v>
      </c>
      <c r="DF171" s="641">
        <v>0.09</v>
      </c>
      <c r="DG171" s="641">
        <v>0.01</v>
      </c>
      <c r="DH171" s="641">
        <v>1</v>
      </c>
      <c r="DI171" s="214" t="s">
        <v>1190</v>
      </c>
    </row>
    <row r="172" spans="1:113" s="214" customFormat="1" x14ac:dyDescent="0.2">
      <c r="B172" s="609" t="s">
        <v>426</v>
      </c>
      <c r="C172" s="609" t="s">
        <v>425</v>
      </c>
      <c r="D172" s="239">
        <v>11195150</v>
      </c>
      <c r="E172" s="239">
        <v>8956120</v>
      </c>
      <c r="F172" s="239">
        <v>2239030</v>
      </c>
      <c r="G172" s="239">
        <v>0</v>
      </c>
      <c r="H172" s="239">
        <v>22390300</v>
      </c>
      <c r="I172" s="239">
        <v>0</v>
      </c>
      <c r="J172" s="239">
        <v>0</v>
      </c>
      <c r="K172" s="239">
        <v>11195150</v>
      </c>
      <c r="L172" s="239">
        <v>128394</v>
      </c>
      <c r="M172" s="239">
        <v>128394</v>
      </c>
      <c r="N172" s="239">
        <v>0</v>
      </c>
      <c r="O172" s="239">
        <v>0</v>
      </c>
      <c r="P172" s="239">
        <v>107232</v>
      </c>
      <c r="Q172" s="239">
        <v>186375</v>
      </c>
      <c r="R172" s="239">
        <v>293607</v>
      </c>
      <c r="S172" s="239">
        <v>0</v>
      </c>
      <c r="T172" s="239">
        <v>0</v>
      </c>
      <c r="U172" s="239">
        <v>0</v>
      </c>
      <c r="V172" s="239">
        <v>0</v>
      </c>
      <c r="W172" s="239">
        <v>259991</v>
      </c>
      <c r="X172" s="239">
        <v>207992</v>
      </c>
      <c r="Y172" s="239">
        <v>51998</v>
      </c>
      <c r="Z172" s="239">
        <v>0</v>
      </c>
      <c r="AA172" s="239">
        <v>519981</v>
      </c>
      <c r="AB172" s="239">
        <v>-207423</v>
      </c>
      <c r="AC172" s="239">
        <v>-165939</v>
      </c>
      <c r="AD172" s="239">
        <v>-41485</v>
      </c>
      <c r="AE172" s="239">
        <v>0</v>
      </c>
      <c r="AF172" s="239">
        <v>-414847</v>
      </c>
      <c r="AG172" s="239">
        <v>-103514</v>
      </c>
      <c r="AH172" s="239">
        <v>-82810</v>
      </c>
      <c r="AI172" s="239">
        <v>-20703</v>
      </c>
      <c r="AJ172" s="239">
        <v>0</v>
      </c>
      <c r="AK172" s="239">
        <v>-207027</v>
      </c>
      <c r="AL172" s="239">
        <v>50312</v>
      </c>
      <c r="AM172" s="239">
        <v>40250</v>
      </c>
      <c r="AN172" s="239">
        <v>10063</v>
      </c>
      <c r="AO172" s="239">
        <v>0</v>
      </c>
      <c r="AP172" s="239">
        <v>100625</v>
      </c>
      <c r="AQ172" s="239">
        <v>-14299</v>
      </c>
      <c r="AR172" s="239">
        <v>-11439</v>
      </c>
      <c r="AS172" s="239">
        <v>-2860</v>
      </c>
      <c r="AT172" s="239">
        <v>0</v>
      </c>
      <c r="AU172" s="239">
        <v>-28598</v>
      </c>
      <c r="AV172" s="239">
        <v>-67501</v>
      </c>
      <c r="AW172" s="239">
        <v>-53999</v>
      </c>
      <c r="AX172" s="239">
        <v>-13500</v>
      </c>
      <c r="AY172" s="239">
        <v>0</v>
      </c>
      <c r="AZ172" s="239">
        <v>-135000</v>
      </c>
      <c r="BA172" s="239">
        <v>-1048126</v>
      </c>
      <c r="BB172" s="239">
        <v>-838501</v>
      </c>
      <c r="BC172" s="239">
        <v>-209626</v>
      </c>
      <c r="BD172" s="239">
        <v>0</v>
      </c>
      <c r="BE172" s="239">
        <v>-2096253</v>
      </c>
      <c r="BF172" s="239">
        <v>161783</v>
      </c>
      <c r="BG172" s="239">
        <v>129426</v>
      </c>
      <c r="BH172" s="239">
        <v>32357</v>
      </c>
      <c r="BI172" s="239">
        <v>0</v>
      </c>
      <c r="BJ172" s="239">
        <v>323566</v>
      </c>
      <c r="BK172" s="239">
        <v>5492</v>
      </c>
      <c r="BL172" s="239">
        <v>4394</v>
      </c>
      <c r="BM172" s="239">
        <v>1098</v>
      </c>
      <c r="BN172" s="239">
        <v>0</v>
      </c>
      <c r="BO172" s="239">
        <v>10984</v>
      </c>
      <c r="BP172" s="239">
        <v>-880851</v>
      </c>
      <c r="BQ172" s="239">
        <v>-704681</v>
      </c>
      <c r="BR172" s="239">
        <v>-176171</v>
      </c>
      <c r="BS172" s="239">
        <v>0</v>
      </c>
      <c r="BT172" s="239">
        <v>-1761703</v>
      </c>
      <c r="BU172" s="239">
        <v>-492489</v>
      </c>
      <c r="BV172" s="239">
        <v>-393992</v>
      </c>
      <c r="BW172" s="239">
        <v>-98498</v>
      </c>
      <c r="BX172" s="239">
        <v>0</v>
      </c>
      <c r="BY172" s="239">
        <v>-984979</v>
      </c>
      <c r="BZ172" s="239">
        <v>-321714</v>
      </c>
      <c r="CA172" s="239">
        <v>-257372</v>
      </c>
      <c r="CB172" s="239">
        <v>-64343</v>
      </c>
      <c r="CC172" s="239">
        <v>0</v>
      </c>
      <c r="CD172" s="239">
        <v>-643429</v>
      </c>
      <c r="CE172" s="239">
        <v>-170775</v>
      </c>
      <c r="CF172" s="239">
        <v>-136620</v>
      </c>
      <c r="CG172" s="239">
        <v>-34155</v>
      </c>
      <c r="CH172" s="239">
        <v>0</v>
      </c>
      <c r="CI172" s="239">
        <v>-341550</v>
      </c>
      <c r="CJ172" s="239">
        <v>11137987</v>
      </c>
      <c r="CK172" s="239">
        <v>8910389</v>
      </c>
      <c r="CL172" s="239">
        <v>2227597</v>
      </c>
      <c r="CM172" s="239">
        <v>0</v>
      </c>
      <c r="CN172" s="239">
        <v>22275973</v>
      </c>
      <c r="CO172" s="239">
        <v>11195150</v>
      </c>
      <c r="CP172" s="239">
        <v>8956120</v>
      </c>
      <c r="CQ172" s="239">
        <v>2239030</v>
      </c>
      <c r="CR172" s="239">
        <v>0</v>
      </c>
      <c r="CS172" s="239">
        <v>22390300</v>
      </c>
      <c r="CT172" s="239">
        <v>57163</v>
      </c>
      <c r="CU172" s="239">
        <v>45731</v>
      </c>
      <c r="CV172" s="239">
        <v>11433</v>
      </c>
      <c r="CW172" s="239">
        <v>0</v>
      </c>
      <c r="CX172" s="239">
        <v>114327</v>
      </c>
      <c r="CY172" s="239">
        <v>-113612</v>
      </c>
      <c r="CZ172" s="239">
        <v>-90889</v>
      </c>
      <c r="DA172" s="239">
        <v>-22722</v>
      </c>
      <c r="DB172" s="239">
        <v>0</v>
      </c>
      <c r="DC172" s="239">
        <v>-227223</v>
      </c>
      <c r="DD172" s="641">
        <v>0.5</v>
      </c>
      <c r="DE172" s="641">
        <v>0.4</v>
      </c>
      <c r="DF172" s="641">
        <v>0.1</v>
      </c>
      <c r="DG172" s="641">
        <v>0</v>
      </c>
      <c r="DH172" s="641">
        <v>1</v>
      </c>
      <c r="DI172" s="214" t="s">
        <v>1190</v>
      </c>
    </row>
    <row r="173" spans="1:113" s="214" customFormat="1" x14ac:dyDescent="0.2">
      <c r="B173" s="609" t="s">
        <v>428</v>
      </c>
      <c r="C173" s="609" t="s">
        <v>427</v>
      </c>
      <c r="D173" s="239">
        <v>20896491</v>
      </c>
      <c r="E173" s="239">
        <v>16717192</v>
      </c>
      <c r="F173" s="239">
        <v>4179298</v>
      </c>
      <c r="G173" s="239">
        <v>0</v>
      </c>
      <c r="H173" s="239">
        <v>41792981</v>
      </c>
      <c r="I173" s="239">
        <v>0</v>
      </c>
      <c r="J173" s="239">
        <v>0</v>
      </c>
      <c r="K173" s="239">
        <v>20896491</v>
      </c>
      <c r="L173" s="239">
        <v>175070</v>
      </c>
      <c r="M173" s="239">
        <v>175070</v>
      </c>
      <c r="N173" s="239">
        <v>0</v>
      </c>
      <c r="O173" s="239">
        <v>0</v>
      </c>
      <c r="P173" s="239">
        <v>0</v>
      </c>
      <c r="Q173" s="239">
        <v>0</v>
      </c>
      <c r="R173" s="239">
        <v>0</v>
      </c>
      <c r="S173" s="239">
        <v>0</v>
      </c>
      <c r="T173" s="239">
        <v>0</v>
      </c>
      <c r="U173" s="239">
        <v>0</v>
      </c>
      <c r="V173" s="239">
        <v>0</v>
      </c>
      <c r="W173" s="239">
        <v>1100447</v>
      </c>
      <c r="X173" s="239">
        <v>880358</v>
      </c>
      <c r="Y173" s="239">
        <v>220089</v>
      </c>
      <c r="Z173" s="239">
        <v>0</v>
      </c>
      <c r="AA173" s="239">
        <v>2200894</v>
      </c>
      <c r="AB173" s="239">
        <v>-835256</v>
      </c>
      <c r="AC173" s="239">
        <v>-668205</v>
      </c>
      <c r="AD173" s="239">
        <v>-167051</v>
      </c>
      <c r="AE173" s="239">
        <v>0</v>
      </c>
      <c r="AF173" s="239">
        <v>-1670512</v>
      </c>
      <c r="AG173" s="239">
        <v>-888144</v>
      </c>
      <c r="AH173" s="239">
        <v>-710516</v>
      </c>
      <c r="AI173" s="239">
        <v>-177629</v>
      </c>
      <c r="AJ173" s="239">
        <v>0</v>
      </c>
      <c r="AK173" s="239">
        <v>-1776289</v>
      </c>
      <c r="AL173" s="239">
        <v>307042</v>
      </c>
      <c r="AM173" s="239">
        <v>245634</v>
      </c>
      <c r="AN173" s="239">
        <v>61409</v>
      </c>
      <c r="AO173" s="239">
        <v>0</v>
      </c>
      <c r="AP173" s="239">
        <v>614085</v>
      </c>
      <c r="AQ173" s="239">
        <v>-86796</v>
      </c>
      <c r="AR173" s="239">
        <v>-69436</v>
      </c>
      <c r="AS173" s="239">
        <v>-17359</v>
      </c>
      <c r="AT173" s="239">
        <v>0</v>
      </c>
      <c r="AU173" s="239">
        <v>-173591</v>
      </c>
      <c r="AV173" s="239">
        <v>-667898</v>
      </c>
      <c r="AW173" s="239">
        <v>-534318</v>
      </c>
      <c r="AX173" s="239">
        <v>-133579</v>
      </c>
      <c r="AY173" s="239">
        <v>0</v>
      </c>
      <c r="AZ173" s="239">
        <v>-1335795</v>
      </c>
      <c r="BA173" s="239">
        <v>-2239443</v>
      </c>
      <c r="BB173" s="239">
        <v>-1791555</v>
      </c>
      <c r="BC173" s="239">
        <v>-447889</v>
      </c>
      <c r="BD173" s="239">
        <v>0</v>
      </c>
      <c r="BE173" s="239">
        <v>-4478887</v>
      </c>
      <c r="BF173" s="239">
        <v>477226</v>
      </c>
      <c r="BG173" s="239">
        <v>381781</v>
      </c>
      <c r="BH173" s="239">
        <v>95445</v>
      </c>
      <c r="BI173" s="239">
        <v>0</v>
      </c>
      <c r="BJ173" s="239">
        <v>954452</v>
      </c>
      <c r="BK173" s="239">
        <v>-1493343</v>
      </c>
      <c r="BL173" s="239">
        <v>-1194675</v>
      </c>
      <c r="BM173" s="239">
        <v>-298669</v>
      </c>
      <c r="BN173" s="239">
        <v>0</v>
      </c>
      <c r="BO173" s="239">
        <v>-2986687</v>
      </c>
      <c r="BP173" s="239">
        <v>-3255560</v>
      </c>
      <c r="BQ173" s="239">
        <v>-2604449</v>
      </c>
      <c r="BR173" s="239">
        <v>-651113</v>
      </c>
      <c r="BS173" s="239">
        <v>0</v>
      </c>
      <c r="BT173" s="239">
        <v>-6511122</v>
      </c>
      <c r="BU173" s="239">
        <v>-1547597</v>
      </c>
      <c r="BV173" s="239">
        <v>-1238077</v>
      </c>
      <c r="BW173" s="239">
        <v>-309519</v>
      </c>
      <c r="BX173" s="239">
        <v>0</v>
      </c>
      <c r="BY173" s="239">
        <v>-3095193</v>
      </c>
      <c r="BZ173" s="239">
        <v>-871289</v>
      </c>
      <c r="CA173" s="239">
        <v>-697031</v>
      </c>
      <c r="CB173" s="239">
        <v>-174258</v>
      </c>
      <c r="CC173" s="239">
        <v>0</v>
      </c>
      <c r="CD173" s="239">
        <v>-1742578</v>
      </c>
      <c r="CE173" s="239">
        <v>-676308</v>
      </c>
      <c r="CF173" s="239">
        <v>-541046</v>
      </c>
      <c r="CG173" s="239">
        <v>-135261</v>
      </c>
      <c r="CH173" s="239">
        <v>0</v>
      </c>
      <c r="CI173" s="239">
        <v>-1352615</v>
      </c>
      <c r="CJ173" s="239">
        <v>22041619</v>
      </c>
      <c r="CK173" s="239">
        <v>17633296</v>
      </c>
      <c r="CL173" s="239">
        <v>4408324</v>
      </c>
      <c r="CM173" s="239">
        <v>0</v>
      </c>
      <c r="CN173" s="239">
        <v>44083239</v>
      </c>
      <c r="CO173" s="239">
        <v>20896491</v>
      </c>
      <c r="CP173" s="239">
        <v>16717192</v>
      </c>
      <c r="CQ173" s="239">
        <v>4179298</v>
      </c>
      <c r="CR173" s="239">
        <v>0</v>
      </c>
      <c r="CS173" s="239">
        <v>41792981</v>
      </c>
      <c r="CT173" s="239">
        <v>-1145128</v>
      </c>
      <c r="CU173" s="239">
        <v>-916104</v>
      </c>
      <c r="CV173" s="239">
        <v>-229026</v>
      </c>
      <c r="CW173" s="239">
        <v>0</v>
      </c>
      <c r="CX173" s="239">
        <v>-2290258</v>
      </c>
      <c r="CY173" s="239">
        <v>-1821436</v>
      </c>
      <c r="CZ173" s="239">
        <v>-1457150</v>
      </c>
      <c r="DA173" s="239">
        <v>-364287</v>
      </c>
      <c r="DB173" s="239">
        <v>0</v>
      </c>
      <c r="DC173" s="239">
        <v>-3642873</v>
      </c>
      <c r="DD173" s="641">
        <v>0.5</v>
      </c>
      <c r="DE173" s="641">
        <v>0.4</v>
      </c>
      <c r="DF173" s="641">
        <v>0.1</v>
      </c>
      <c r="DG173" s="641">
        <v>0</v>
      </c>
      <c r="DH173" s="641">
        <v>1</v>
      </c>
      <c r="DI173" s="214" t="s">
        <v>1190</v>
      </c>
    </row>
    <row r="174" spans="1:113" s="214" customFormat="1" x14ac:dyDescent="0.2">
      <c r="B174" s="609" t="s">
        <v>430</v>
      </c>
      <c r="C174" s="609" t="s">
        <v>429</v>
      </c>
      <c r="D174" s="239">
        <v>19798135</v>
      </c>
      <c r="E174" s="239">
        <v>19402172</v>
      </c>
      <c r="F174" s="239">
        <v>0</v>
      </c>
      <c r="G174" s="239">
        <v>395963</v>
      </c>
      <c r="H174" s="239">
        <v>39596270</v>
      </c>
      <c r="I174" s="239">
        <v>0</v>
      </c>
      <c r="J174" s="239">
        <v>0</v>
      </c>
      <c r="K174" s="239">
        <v>19798135</v>
      </c>
      <c r="L174" s="239">
        <v>177304</v>
      </c>
      <c r="M174" s="239">
        <v>177304</v>
      </c>
      <c r="N174" s="239">
        <v>0</v>
      </c>
      <c r="O174" s="239">
        <v>0</v>
      </c>
      <c r="P174" s="239">
        <v>0</v>
      </c>
      <c r="Q174" s="239">
        <v>0</v>
      </c>
      <c r="R174" s="239">
        <v>0</v>
      </c>
      <c r="S174" s="239">
        <v>0</v>
      </c>
      <c r="T174" s="239">
        <v>0</v>
      </c>
      <c r="U174" s="239">
        <v>0</v>
      </c>
      <c r="V174" s="239">
        <v>0</v>
      </c>
      <c r="W174" s="239">
        <v>3805170</v>
      </c>
      <c r="X174" s="239">
        <v>3729066</v>
      </c>
      <c r="Y174" s="239">
        <v>0</v>
      </c>
      <c r="Z174" s="239">
        <v>76103</v>
      </c>
      <c r="AA174" s="239">
        <v>7610339</v>
      </c>
      <c r="AB174" s="239">
        <v>-1229331</v>
      </c>
      <c r="AC174" s="239">
        <v>-1204745</v>
      </c>
      <c r="AD174" s="239">
        <v>0</v>
      </c>
      <c r="AE174" s="239">
        <v>-24587</v>
      </c>
      <c r="AF174" s="239">
        <v>-2458663</v>
      </c>
      <c r="AG174" s="239">
        <v>-2769247</v>
      </c>
      <c r="AH174" s="239">
        <v>-2713863</v>
      </c>
      <c r="AI174" s="239">
        <v>0</v>
      </c>
      <c r="AJ174" s="239">
        <v>-55386</v>
      </c>
      <c r="AK174" s="239">
        <v>-5538496</v>
      </c>
      <c r="AL174" s="239">
        <v>1013662</v>
      </c>
      <c r="AM174" s="239">
        <v>993388</v>
      </c>
      <c r="AN174" s="239">
        <v>0</v>
      </c>
      <c r="AO174" s="239">
        <v>20273</v>
      </c>
      <c r="AP174" s="239">
        <v>2027323</v>
      </c>
      <c r="AQ174" s="239">
        <v>-1080204</v>
      </c>
      <c r="AR174" s="239">
        <v>-1058600</v>
      </c>
      <c r="AS174" s="239">
        <v>0</v>
      </c>
      <c r="AT174" s="239">
        <v>-21604</v>
      </c>
      <c r="AU174" s="239">
        <v>-2160408</v>
      </c>
      <c r="AV174" s="239">
        <v>-2835789</v>
      </c>
      <c r="AW174" s="239">
        <v>-2779075</v>
      </c>
      <c r="AX174" s="239">
        <v>0</v>
      </c>
      <c r="AY174" s="239">
        <v>-56717</v>
      </c>
      <c r="AZ174" s="239">
        <v>-5671581</v>
      </c>
      <c r="BA174" s="239">
        <v>-500000</v>
      </c>
      <c r="BB174" s="239">
        <v>-490000</v>
      </c>
      <c r="BC174" s="239">
        <v>0</v>
      </c>
      <c r="BD174" s="239">
        <v>-10000</v>
      </c>
      <c r="BE174" s="239">
        <v>-1000000</v>
      </c>
      <c r="BF174" s="239">
        <v>500000</v>
      </c>
      <c r="BG174" s="239">
        <v>490000</v>
      </c>
      <c r="BH174" s="239">
        <v>0</v>
      </c>
      <c r="BI174" s="239">
        <v>10000</v>
      </c>
      <c r="BJ174" s="239">
        <v>1000000</v>
      </c>
      <c r="BK174" s="239">
        <v>-750000</v>
      </c>
      <c r="BL174" s="239">
        <v>-735000</v>
      </c>
      <c r="BM174" s="239">
        <v>0</v>
      </c>
      <c r="BN174" s="239">
        <v>-15000</v>
      </c>
      <c r="BO174" s="239">
        <v>-1500000</v>
      </c>
      <c r="BP174" s="239">
        <v>-750000</v>
      </c>
      <c r="BQ174" s="239">
        <v>-735000</v>
      </c>
      <c r="BR174" s="239">
        <v>0</v>
      </c>
      <c r="BS174" s="239">
        <v>-15000</v>
      </c>
      <c r="BT174" s="239">
        <v>-1500000</v>
      </c>
      <c r="BU174" s="239">
        <v>-984570</v>
      </c>
      <c r="BV174" s="239">
        <v>-964878</v>
      </c>
      <c r="BW174" s="239">
        <v>0</v>
      </c>
      <c r="BX174" s="239">
        <v>-19691</v>
      </c>
      <c r="BY174" s="239">
        <v>-1969139</v>
      </c>
      <c r="BZ174" s="239">
        <v>-679947</v>
      </c>
      <c r="CA174" s="239">
        <v>-666349</v>
      </c>
      <c r="CB174" s="239">
        <v>0</v>
      </c>
      <c r="CC174" s="239">
        <v>-13599</v>
      </c>
      <c r="CD174" s="239">
        <v>-1359895</v>
      </c>
      <c r="CE174" s="239">
        <v>-304623</v>
      </c>
      <c r="CF174" s="239">
        <v>-298529</v>
      </c>
      <c r="CG174" s="239">
        <v>0</v>
      </c>
      <c r="CH174" s="239">
        <v>-6092</v>
      </c>
      <c r="CI174" s="239">
        <v>-609244</v>
      </c>
      <c r="CJ174" s="239">
        <v>20349926</v>
      </c>
      <c r="CK174" s="239">
        <v>19942927</v>
      </c>
      <c r="CL174" s="239">
        <v>0</v>
      </c>
      <c r="CM174" s="239">
        <v>406999</v>
      </c>
      <c r="CN174" s="239">
        <v>40699852</v>
      </c>
      <c r="CO174" s="239">
        <v>19798135</v>
      </c>
      <c r="CP174" s="239">
        <v>19402172</v>
      </c>
      <c r="CQ174" s="239">
        <v>0</v>
      </c>
      <c r="CR174" s="239">
        <v>395963</v>
      </c>
      <c r="CS174" s="239">
        <v>39596270</v>
      </c>
      <c r="CT174" s="239">
        <v>-551791</v>
      </c>
      <c r="CU174" s="239">
        <v>-540755</v>
      </c>
      <c r="CV174" s="239">
        <v>0</v>
      </c>
      <c r="CW174" s="239">
        <v>-11036</v>
      </c>
      <c r="CX174" s="239">
        <v>-1103582</v>
      </c>
      <c r="CY174" s="239">
        <v>-856414</v>
      </c>
      <c r="CZ174" s="239">
        <v>-839284</v>
      </c>
      <c r="DA174" s="239">
        <v>0</v>
      </c>
      <c r="DB174" s="239">
        <v>-17128</v>
      </c>
      <c r="DC174" s="239">
        <v>-1712826</v>
      </c>
      <c r="DD174" s="641">
        <v>0.5</v>
      </c>
      <c r="DE174" s="641">
        <v>0.49</v>
      </c>
      <c r="DF174" s="641">
        <v>0</v>
      </c>
      <c r="DG174" s="641">
        <v>0.01</v>
      </c>
      <c r="DH174" s="641">
        <v>1</v>
      </c>
      <c r="DI174" s="214" t="s">
        <v>747</v>
      </c>
    </row>
    <row r="175" spans="1:113" s="214" customFormat="1" x14ac:dyDescent="0.2">
      <c r="B175" s="609" t="s">
        <v>432</v>
      </c>
      <c r="C175" s="609" t="s">
        <v>431</v>
      </c>
      <c r="D175" s="239">
        <v>79861151</v>
      </c>
      <c r="E175" s="239">
        <v>78263927</v>
      </c>
      <c r="F175" s="239">
        <v>0</v>
      </c>
      <c r="G175" s="239">
        <v>1597223</v>
      </c>
      <c r="H175" s="239">
        <v>159722301</v>
      </c>
      <c r="I175" s="239">
        <v>0</v>
      </c>
      <c r="J175" s="239">
        <v>0</v>
      </c>
      <c r="K175" s="239">
        <v>79861151</v>
      </c>
      <c r="L175" s="239">
        <v>487606</v>
      </c>
      <c r="M175" s="239">
        <v>487606</v>
      </c>
      <c r="N175" s="239">
        <v>0</v>
      </c>
      <c r="O175" s="239">
        <v>0</v>
      </c>
      <c r="P175" s="239">
        <v>214298</v>
      </c>
      <c r="Q175" s="239">
        <v>0</v>
      </c>
      <c r="R175" s="239">
        <v>214298</v>
      </c>
      <c r="S175" s="239">
        <v>0</v>
      </c>
      <c r="T175" s="239">
        <v>0</v>
      </c>
      <c r="U175" s="239">
        <v>0</v>
      </c>
      <c r="V175" s="239">
        <v>0</v>
      </c>
      <c r="W175" s="239">
        <v>1901557</v>
      </c>
      <c r="X175" s="239">
        <v>1863525</v>
      </c>
      <c r="Y175" s="239">
        <v>0</v>
      </c>
      <c r="Z175" s="239">
        <v>38031</v>
      </c>
      <c r="AA175" s="239">
        <v>3803113</v>
      </c>
      <c r="AB175" s="239">
        <v>-1777616</v>
      </c>
      <c r="AC175" s="239">
        <v>-1742064</v>
      </c>
      <c r="AD175" s="239">
        <v>0</v>
      </c>
      <c r="AE175" s="239">
        <v>-35552</v>
      </c>
      <c r="AF175" s="239">
        <v>-3555232</v>
      </c>
      <c r="AG175" s="239">
        <v>-2055000</v>
      </c>
      <c r="AH175" s="239">
        <v>-2013900</v>
      </c>
      <c r="AI175" s="239">
        <v>0</v>
      </c>
      <c r="AJ175" s="239">
        <v>-41100</v>
      </c>
      <c r="AK175" s="239">
        <v>-4110000</v>
      </c>
      <c r="AL175" s="239">
        <v>346005</v>
      </c>
      <c r="AM175" s="239">
        <v>339085</v>
      </c>
      <c r="AN175" s="239">
        <v>0</v>
      </c>
      <c r="AO175" s="239">
        <v>6920</v>
      </c>
      <c r="AP175" s="239">
        <v>692010</v>
      </c>
      <c r="AQ175" s="239">
        <v>858995</v>
      </c>
      <c r="AR175" s="239">
        <v>841815</v>
      </c>
      <c r="AS175" s="239">
        <v>0</v>
      </c>
      <c r="AT175" s="239">
        <v>17180</v>
      </c>
      <c r="AU175" s="239">
        <v>1717990</v>
      </c>
      <c r="AV175" s="239">
        <v>-850000</v>
      </c>
      <c r="AW175" s="239">
        <v>-833000</v>
      </c>
      <c r="AX175" s="239">
        <v>0</v>
      </c>
      <c r="AY175" s="239">
        <v>-17000</v>
      </c>
      <c r="AZ175" s="239">
        <v>-1700000</v>
      </c>
      <c r="BA175" s="239">
        <v>-16618901</v>
      </c>
      <c r="BB175" s="239">
        <v>-16286524</v>
      </c>
      <c r="BC175" s="239">
        <v>0</v>
      </c>
      <c r="BD175" s="239">
        <v>-332377</v>
      </c>
      <c r="BE175" s="239">
        <v>-33237802</v>
      </c>
      <c r="BF175" s="239">
        <v>2198820</v>
      </c>
      <c r="BG175" s="239">
        <v>2154844</v>
      </c>
      <c r="BH175" s="239">
        <v>0</v>
      </c>
      <c r="BI175" s="239">
        <v>43976</v>
      </c>
      <c r="BJ175" s="239">
        <v>4397640</v>
      </c>
      <c r="BK175" s="239">
        <v>-4112156</v>
      </c>
      <c r="BL175" s="239">
        <v>-4029912</v>
      </c>
      <c r="BM175" s="239">
        <v>0</v>
      </c>
      <c r="BN175" s="239">
        <v>-82243</v>
      </c>
      <c r="BO175" s="239">
        <v>-8224311</v>
      </c>
      <c r="BP175" s="239">
        <v>-18532237</v>
      </c>
      <c r="BQ175" s="239">
        <v>-18161592</v>
      </c>
      <c r="BR175" s="239">
        <v>0</v>
      </c>
      <c r="BS175" s="239">
        <v>-370644</v>
      </c>
      <c r="BT175" s="239">
        <v>-37064473</v>
      </c>
      <c r="BU175" s="239">
        <v>-7752701</v>
      </c>
      <c r="BV175" s="239">
        <v>-7597647</v>
      </c>
      <c r="BW175" s="239">
        <v>0</v>
      </c>
      <c r="BX175" s="239">
        <v>-155054</v>
      </c>
      <c r="BY175" s="239">
        <v>-15505402</v>
      </c>
      <c r="BZ175" s="239">
        <v>-5777709</v>
      </c>
      <c r="CA175" s="239">
        <v>-5662155</v>
      </c>
      <c r="CB175" s="239">
        <v>0</v>
      </c>
      <c r="CC175" s="239">
        <v>-115554</v>
      </c>
      <c r="CD175" s="239">
        <v>-11555418</v>
      </c>
      <c r="CE175" s="239">
        <v>-1974992</v>
      </c>
      <c r="CF175" s="239">
        <v>-1935492</v>
      </c>
      <c r="CG175" s="239">
        <v>0</v>
      </c>
      <c r="CH175" s="239">
        <v>-39500</v>
      </c>
      <c r="CI175" s="239">
        <v>-3949984</v>
      </c>
      <c r="CJ175" s="239">
        <v>78905514</v>
      </c>
      <c r="CK175" s="239">
        <v>77327403</v>
      </c>
      <c r="CL175" s="239">
        <v>0</v>
      </c>
      <c r="CM175" s="239">
        <v>1578110</v>
      </c>
      <c r="CN175" s="239">
        <v>157811027</v>
      </c>
      <c r="CO175" s="239">
        <v>79861151</v>
      </c>
      <c r="CP175" s="239">
        <v>78263927</v>
      </c>
      <c r="CQ175" s="239">
        <v>0</v>
      </c>
      <c r="CR175" s="239">
        <v>1597223</v>
      </c>
      <c r="CS175" s="239">
        <v>159722301</v>
      </c>
      <c r="CT175" s="239">
        <v>955637</v>
      </c>
      <c r="CU175" s="239">
        <v>936524</v>
      </c>
      <c r="CV175" s="239">
        <v>0</v>
      </c>
      <c r="CW175" s="239">
        <v>19113</v>
      </c>
      <c r="CX175" s="239">
        <v>1911274</v>
      </c>
      <c r="CY175" s="239">
        <v>-1019355</v>
      </c>
      <c r="CZ175" s="239">
        <v>-998968</v>
      </c>
      <c r="DA175" s="239">
        <v>0</v>
      </c>
      <c r="DB175" s="239">
        <v>-20387</v>
      </c>
      <c r="DC175" s="239">
        <v>-2038710</v>
      </c>
      <c r="DD175" s="641">
        <v>0.5</v>
      </c>
      <c r="DE175" s="641">
        <v>0.49</v>
      </c>
      <c r="DF175" s="641">
        <v>0</v>
      </c>
      <c r="DG175" s="641">
        <v>0.01</v>
      </c>
      <c r="DH175" s="641">
        <v>1</v>
      </c>
      <c r="DI175" s="214" t="s">
        <v>747</v>
      </c>
    </row>
    <row r="176" spans="1:113" s="214" customFormat="1" x14ac:dyDescent="0.2">
      <c r="B176" s="609" t="s">
        <v>434</v>
      </c>
      <c r="C176" s="609" t="s">
        <v>433</v>
      </c>
      <c r="D176" s="239">
        <v>17500192</v>
      </c>
      <c r="E176" s="239">
        <v>14000154</v>
      </c>
      <c r="F176" s="239">
        <v>3500038</v>
      </c>
      <c r="G176" s="239">
        <v>0</v>
      </c>
      <c r="H176" s="239">
        <v>35000384</v>
      </c>
      <c r="I176" s="239">
        <v>0</v>
      </c>
      <c r="J176" s="239">
        <v>0</v>
      </c>
      <c r="K176" s="239">
        <v>17500192</v>
      </c>
      <c r="L176" s="239">
        <v>152082</v>
      </c>
      <c r="M176" s="239">
        <v>152082</v>
      </c>
      <c r="N176" s="239">
        <v>0</v>
      </c>
      <c r="O176" s="239">
        <v>0</v>
      </c>
      <c r="P176" s="239">
        <v>0</v>
      </c>
      <c r="Q176" s="239">
        <v>0</v>
      </c>
      <c r="R176" s="239">
        <v>0</v>
      </c>
      <c r="S176" s="239">
        <v>0</v>
      </c>
      <c r="T176" s="239">
        <v>0</v>
      </c>
      <c r="U176" s="239">
        <v>0</v>
      </c>
      <c r="V176" s="239">
        <v>0</v>
      </c>
      <c r="W176" s="239">
        <v>671317</v>
      </c>
      <c r="X176" s="239">
        <v>537053</v>
      </c>
      <c r="Y176" s="239">
        <v>134263</v>
      </c>
      <c r="Z176" s="239">
        <v>0</v>
      </c>
      <c r="AA176" s="239">
        <v>1342633</v>
      </c>
      <c r="AB176" s="239">
        <v>-440744</v>
      </c>
      <c r="AC176" s="239">
        <v>-352595</v>
      </c>
      <c r="AD176" s="239">
        <v>-88149</v>
      </c>
      <c r="AE176" s="239">
        <v>0</v>
      </c>
      <c r="AF176" s="239">
        <v>-881488</v>
      </c>
      <c r="AG176" s="239">
        <v>-245000</v>
      </c>
      <c r="AH176" s="239">
        <v>-196000</v>
      </c>
      <c r="AI176" s="239">
        <v>-49000</v>
      </c>
      <c r="AJ176" s="239">
        <v>0</v>
      </c>
      <c r="AK176" s="239">
        <v>-490000</v>
      </c>
      <c r="AL176" s="239">
        <v>40925</v>
      </c>
      <c r="AM176" s="239">
        <v>32740</v>
      </c>
      <c r="AN176" s="239">
        <v>8185</v>
      </c>
      <c r="AO176" s="239">
        <v>0</v>
      </c>
      <c r="AP176" s="239">
        <v>81850</v>
      </c>
      <c r="AQ176" s="239">
        <v>-90925</v>
      </c>
      <c r="AR176" s="239">
        <v>-72740</v>
      </c>
      <c r="AS176" s="239">
        <v>-18185</v>
      </c>
      <c r="AT176" s="239">
        <v>0</v>
      </c>
      <c r="AU176" s="239">
        <v>-181850</v>
      </c>
      <c r="AV176" s="239">
        <v>-295000</v>
      </c>
      <c r="AW176" s="239">
        <v>-236000</v>
      </c>
      <c r="AX176" s="239">
        <v>-59000</v>
      </c>
      <c r="AY176" s="239">
        <v>0</v>
      </c>
      <c r="AZ176" s="239">
        <v>-590000</v>
      </c>
      <c r="BA176" s="239">
        <v>-605592</v>
      </c>
      <c r="BB176" s="239">
        <v>-484473</v>
      </c>
      <c r="BC176" s="239">
        <v>-121117</v>
      </c>
      <c r="BD176" s="239">
        <v>0</v>
      </c>
      <c r="BE176" s="239">
        <v>-1211182</v>
      </c>
      <c r="BF176" s="239">
        <v>320000</v>
      </c>
      <c r="BG176" s="239">
        <v>256000</v>
      </c>
      <c r="BH176" s="239">
        <v>64000</v>
      </c>
      <c r="BI176" s="239">
        <v>0</v>
      </c>
      <c r="BJ176" s="239">
        <v>640000</v>
      </c>
      <c r="BK176" s="239">
        <v>-1648590</v>
      </c>
      <c r="BL176" s="239">
        <v>-1318872</v>
      </c>
      <c r="BM176" s="239">
        <v>-329718</v>
      </c>
      <c r="BN176" s="239">
        <v>0</v>
      </c>
      <c r="BO176" s="239">
        <v>-3297180</v>
      </c>
      <c r="BP176" s="239">
        <v>-1934182</v>
      </c>
      <c r="BQ176" s="239">
        <v>-1547345</v>
      </c>
      <c r="BR176" s="239">
        <v>-386835</v>
      </c>
      <c r="BS176" s="239">
        <v>0</v>
      </c>
      <c r="BT176" s="239">
        <v>-3868362</v>
      </c>
      <c r="BU176" s="239">
        <v>147006</v>
      </c>
      <c r="BV176" s="239">
        <v>117604</v>
      </c>
      <c r="BW176" s="239">
        <v>29401</v>
      </c>
      <c r="BX176" s="239">
        <v>0</v>
      </c>
      <c r="BY176" s="239">
        <v>294011</v>
      </c>
      <c r="BZ176" s="239">
        <v>-814947</v>
      </c>
      <c r="CA176" s="239">
        <v>-651958</v>
      </c>
      <c r="CB176" s="239">
        <v>-162989</v>
      </c>
      <c r="CC176" s="239">
        <v>0</v>
      </c>
      <c r="CD176" s="239">
        <v>-1629894</v>
      </c>
      <c r="CE176" s="239">
        <v>961953</v>
      </c>
      <c r="CF176" s="239">
        <v>769562</v>
      </c>
      <c r="CG176" s="239">
        <v>192390</v>
      </c>
      <c r="CH176" s="239">
        <v>0</v>
      </c>
      <c r="CI176" s="239">
        <v>1923905</v>
      </c>
      <c r="CJ176" s="239">
        <v>19565814</v>
      </c>
      <c r="CK176" s="239">
        <v>15652652</v>
      </c>
      <c r="CL176" s="239">
        <v>3913163</v>
      </c>
      <c r="CM176" s="239">
        <v>0</v>
      </c>
      <c r="CN176" s="239">
        <v>39131629</v>
      </c>
      <c r="CO176" s="239">
        <v>17500192</v>
      </c>
      <c r="CP176" s="239">
        <v>14000154</v>
      </c>
      <c r="CQ176" s="239">
        <v>3500038</v>
      </c>
      <c r="CR176" s="239">
        <v>0</v>
      </c>
      <c r="CS176" s="239">
        <v>35000384</v>
      </c>
      <c r="CT176" s="239">
        <v>-2065622</v>
      </c>
      <c r="CU176" s="239">
        <v>-1652498</v>
      </c>
      <c r="CV176" s="239">
        <v>-413125</v>
      </c>
      <c r="CW176" s="239">
        <v>0</v>
      </c>
      <c r="CX176" s="239">
        <v>-4131245</v>
      </c>
      <c r="CY176" s="239">
        <v>-1103669</v>
      </c>
      <c r="CZ176" s="239">
        <v>-882936</v>
      </c>
      <c r="DA176" s="239">
        <v>-220735</v>
      </c>
      <c r="DB176" s="239">
        <v>0</v>
      </c>
      <c r="DC176" s="239">
        <v>-2207340</v>
      </c>
      <c r="DD176" s="641">
        <v>0.5</v>
      </c>
      <c r="DE176" s="641">
        <v>0.4</v>
      </c>
      <c r="DF176" s="641">
        <v>0.1</v>
      </c>
      <c r="DG176" s="641">
        <v>0</v>
      </c>
      <c r="DH176" s="641">
        <v>1</v>
      </c>
      <c r="DI176" s="214" t="s">
        <v>1190</v>
      </c>
    </row>
    <row r="177" spans="2:113" s="214" customFormat="1" x14ac:dyDescent="0.2">
      <c r="B177" s="609" t="s">
        <v>436</v>
      </c>
      <c r="C177" s="609" t="s">
        <v>435</v>
      </c>
      <c r="D177" s="239">
        <v>33495407</v>
      </c>
      <c r="E177" s="239">
        <v>26796325</v>
      </c>
      <c r="F177" s="239">
        <v>6029173</v>
      </c>
      <c r="G177" s="239">
        <v>669908</v>
      </c>
      <c r="H177" s="239">
        <v>66990813</v>
      </c>
      <c r="I177" s="239">
        <v>0</v>
      </c>
      <c r="J177" s="239">
        <v>0</v>
      </c>
      <c r="K177" s="239">
        <v>33495407</v>
      </c>
      <c r="L177" s="239">
        <v>281907</v>
      </c>
      <c r="M177" s="239">
        <v>281907</v>
      </c>
      <c r="N177" s="239">
        <v>0</v>
      </c>
      <c r="O177" s="239">
        <v>0</v>
      </c>
      <c r="P177" s="239">
        <v>25122</v>
      </c>
      <c r="Q177" s="239">
        <v>0</v>
      </c>
      <c r="R177" s="239">
        <v>25122</v>
      </c>
      <c r="S177" s="239">
        <v>0</v>
      </c>
      <c r="T177" s="239">
        <v>0</v>
      </c>
      <c r="U177" s="239">
        <v>0</v>
      </c>
      <c r="V177" s="239">
        <v>0</v>
      </c>
      <c r="W177" s="239">
        <v>610191</v>
      </c>
      <c r="X177" s="239">
        <v>488153</v>
      </c>
      <c r="Y177" s="239">
        <v>109834</v>
      </c>
      <c r="Z177" s="239">
        <v>12204</v>
      </c>
      <c r="AA177" s="239">
        <v>1220382</v>
      </c>
      <c r="AB177" s="239">
        <v>-1316987</v>
      </c>
      <c r="AC177" s="239">
        <v>-1053590</v>
      </c>
      <c r="AD177" s="239">
        <v>-237058</v>
      </c>
      <c r="AE177" s="239">
        <v>-26340</v>
      </c>
      <c r="AF177" s="239">
        <v>-2633975</v>
      </c>
      <c r="AG177" s="239">
        <v>-190494</v>
      </c>
      <c r="AH177" s="239">
        <v>-152396</v>
      </c>
      <c r="AI177" s="239">
        <v>-34289</v>
      </c>
      <c r="AJ177" s="239">
        <v>-3811</v>
      </c>
      <c r="AK177" s="239">
        <v>-380990</v>
      </c>
      <c r="AL177" s="239">
        <v>113941</v>
      </c>
      <c r="AM177" s="239">
        <v>91152</v>
      </c>
      <c r="AN177" s="239">
        <v>20509</v>
      </c>
      <c r="AO177" s="239">
        <v>2279</v>
      </c>
      <c r="AP177" s="239">
        <v>227881</v>
      </c>
      <c r="AQ177" s="239">
        <v>-146825</v>
      </c>
      <c r="AR177" s="239">
        <v>-117460</v>
      </c>
      <c r="AS177" s="239">
        <v>-26429</v>
      </c>
      <c r="AT177" s="239">
        <v>-2937</v>
      </c>
      <c r="AU177" s="239">
        <v>-293651</v>
      </c>
      <c r="AV177" s="239">
        <v>-223378</v>
      </c>
      <c r="AW177" s="239">
        <v>-178704</v>
      </c>
      <c r="AX177" s="239">
        <v>-40209</v>
      </c>
      <c r="AY177" s="239">
        <v>-4469</v>
      </c>
      <c r="AZ177" s="239">
        <v>-446760</v>
      </c>
      <c r="BA177" s="239">
        <v>-6012499</v>
      </c>
      <c r="BB177" s="239">
        <v>-4810000</v>
      </c>
      <c r="BC177" s="239">
        <v>-1082250</v>
      </c>
      <c r="BD177" s="239">
        <v>-120251</v>
      </c>
      <c r="BE177" s="239">
        <v>-12025000</v>
      </c>
      <c r="BF177" s="239">
        <v>2232624</v>
      </c>
      <c r="BG177" s="239">
        <v>1786099</v>
      </c>
      <c r="BH177" s="239">
        <v>401872</v>
      </c>
      <c r="BI177" s="239">
        <v>44652</v>
      </c>
      <c r="BJ177" s="239">
        <v>4465247</v>
      </c>
      <c r="BK177" s="239">
        <v>797376</v>
      </c>
      <c r="BL177" s="239">
        <v>637901</v>
      </c>
      <c r="BM177" s="239">
        <v>143528</v>
      </c>
      <c r="BN177" s="239">
        <v>15948</v>
      </c>
      <c r="BO177" s="239">
        <v>1594753</v>
      </c>
      <c r="BP177" s="239">
        <v>-2982499</v>
      </c>
      <c r="BQ177" s="239">
        <v>-2386000</v>
      </c>
      <c r="BR177" s="239">
        <v>-536850</v>
      </c>
      <c r="BS177" s="239">
        <v>-59651</v>
      </c>
      <c r="BT177" s="239">
        <v>-5965000</v>
      </c>
      <c r="BU177" s="239">
        <v>-686112</v>
      </c>
      <c r="BV177" s="239">
        <v>-548889</v>
      </c>
      <c r="BW177" s="239">
        <v>-123500</v>
      </c>
      <c r="BX177" s="239">
        <v>-13722</v>
      </c>
      <c r="BY177" s="239">
        <v>-1372223</v>
      </c>
      <c r="BZ177" s="239">
        <v>-463291</v>
      </c>
      <c r="CA177" s="239">
        <v>-370634</v>
      </c>
      <c r="CB177" s="239">
        <v>-83393</v>
      </c>
      <c r="CC177" s="239">
        <v>-9266</v>
      </c>
      <c r="CD177" s="239">
        <v>-926584</v>
      </c>
      <c r="CE177" s="239">
        <v>-222821</v>
      </c>
      <c r="CF177" s="239">
        <v>-178255</v>
      </c>
      <c r="CG177" s="239">
        <v>-40107</v>
      </c>
      <c r="CH177" s="239">
        <v>-4456</v>
      </c>
      <c r="CI177" s="239">
        <v>-445639</v>
      </c>
      <c r="CJ177" s="239">
        <v>32806154</v>
      </c>
      <c r="CK177" s="239">
        <v>26244924</v>
      </c>
      <c r="CL177" s="239">
        <v>5905108</v>
      </c>
      <c r="CM177" s="239">
        <v>656123</v>
      </c>
      <c r="CN177" s="239">
        <v>65612309</v>
      </c>
      <c r="CO177" s="239">
        <v>33495407</v>
      </c>
      <c r="CP177" s="239">
        <v>26796325</v>
      </c>
      <c r="CQ177" s="239">
        <v>6029173</v>
      </c>
      <c r="CR177" s="239">
        <v>669908</v>
      </c>
      <c r="CS177" s="239">
        <v>66990813</v>
      </c>
      <c r="CT177" s="239">
        <v>689253</v>
      </c>
      <c r="CU177" s="239">
        <v>551401</v>
      </c>
      <c r="CV177" s="239">
        <v>124065</v>
      </c>
      <c r="CW177" s="239">
        <v>13785</v>
      </c>
      <c r="CX177" s="239">
        <v>1378504</v>
      </c>
      <c r="CY177" s="239">
        <v>466432</v>
      </c>
      <c r="CZ177" s="239">
        <v>373146</v>
      </c>
      <c r="DA177" s="239">
        <v>83958</v>
      </c>
      <c r="DB177" s="239">
        <v>9329</v>
      </c>
      <c r="DC177" s="239">
        <v>932865</v>
      </c>
      <c r="DD177" s="641">
        <v>0.5</v>
      </c>
      <c r="DE177" s="641">
        <v>0.4</v>
      </c>
      <c r="DF177" s="641">
        <v>0.09</v>
      </c>
      <c r="DG177" s="641">
        <v>0.01</v>
      </c>
      <c r="DH177" s="641">
        <v>1</v>
      </c>
      <c r="DI177" s="214" t="s">
        <v>1190</v>
      </c>
    </row>
    <row r="178" spans="2:113" s="214" customFormat="1" x14ac:dyDescent="0.2">
      <c r="B178" s="609" t="s">
        <v>438</v>
      </c>
      <c r="C178" s="609" t="s">
        <v>437</v>
      </c>
      <c r="D178" s="239">
        <v>16808075</v>
      </c>
      <c r="E178" s="239">
        <v>13446461</v>
      </c>
      <c r="F178" s="239">
        <v>3025454</v>
      </c>
      <c r="G178" s="239">
        <v>336162</v>
      </c>
      <c r="H178" s="239">
        <v>33616152</v>
      </c>
      <c r="I178" s="239">
        <v>0</v>
      </c>
      <c r="J178" s="239">
        <v>0</v>
      </c>
      <c r="K178" s="239">
        <v>16808075</v>
      </c>
      <c r="L178" s="239">
        <v>164289</v>
      </c>
      <c r="M178" s="239">
        <v>164289</v>
      </c>
      <c r="N178" s="239">
        <v>0</v>
      </c>
      <c r="O178" s="239">
        <v>0</v>
      </c>
      <c r="P178" s="239">
        <v>197873</v>
      </c>
      <c r="Q178" s="239">
        <v>0</v>
      </c>
      <c r="R178" s="239">
        <v>197873</v>
      </c>
      <c r="S178" s="239">
        <v>0</v>
      </c>
      <c r="T178" s="239">
        <v>0</v>
      </c>
      <c r="U178" s="239">
        <v>0</v>
      </c>
      <c r="V178" s="239">
        <v>0</v>
      </c>
      <c r="W178" s="239">
        <v>565580</v>
      </c>
      <c r="X178" s="239">
        <v>452464</v>
      </c>
      <c r="Y178" s="239">
        <v>101804</v>
      </c>
      <c r="Z178" s="239">
        <v>11312</v>
      </c>
      <c r="AA178" s="239">
        <v>1131160</v>
      </c>
      <c r="AB178" s="239">
        <v>-120547</v>
      </c>
      <c r="AC178" s="239">
        <v>-96437</v>
      </c>
      <c r="AD178" s="239">
        <v>-21698</v>
      </c>
      <c r="AE178" s="239">
        <v>-2411</v>
      </c>
      <c r="AF178" s="239">
        <v>-241093</v>
      </c>
      <c r="AG178" s="239">
        <v>-206186</v>
      </c>
      <c r="AH178" s="239">
        <v>-164949</v>
      </c>
      <c r="AI178" s="239">
        <v>-37113</v>
      </c>
      <c r="AJ178" s="239">
        <v>-4124</v>
      </c>
      <c r="AK178" s="239">
        <v>-412372</v>
      </c>
      <c r="AL178" s="239">
        <v>64325</v>
      </c>
      <c r="AM178" s="239">
        <v>51459</v>
      </c>
      <c r="AN178" s="239">
        <v>11578</v>
      </c>
      <c r="AO178" s="239">
        <v>1286</v>
      </c>
      <c r="AP178" s="239">
        <v>128648</v>
      </c>
      <c r="AQ178" s="239">
        <v>-46452</v>
      </c>
      <c r="AR178" s="239">
        <v>-37161</v>
      </c>
      <c r="AS178" s="239">
        <v>-8361</v>
      </c>
      <c r="AT178" s="239">
        <v>-929</v>
      </c>
      <c r="AU178" s="239">
        <v>-92903</v>
      </c>
      <c r="AV178" s="239">
        <v>-188313</v>
      </c>
      <c r="AW178" s="239">
        <v>-150651</v>
      </c>
      <c r="AX178" s="239">
        <v>-33896</v>
      </c>
      <c r="AY178" s="239">
        <v>-3767</v>
      </c>
      <c r="AZ178" s="239">
        <v>-376627</v>
      </c>
      <c r="BA178" s="239">
        <v>-1745000</v>
      </c>
      <c r="BB178" s="239">
        <v>-1396000</v>
      </c>
      <c r="BC178" s="239">
        <v>-314100</v>
      </c>
      <c r="BD178" s="239">
        <v>-34900</v>
      </c>
      <c r="BE178" s="239">
        <v>-3490000</v>
      </c>
      <c r="BF178" s="239">
        <v>129972</v>
      </c>
      <c r="BG178" s="239">
        <v>103978</v>
      </c>
      <c r="BH178" s="239">
        <v>23395</v>
      </c>
      <c r="BI178" s="239">
        <v>2599</v>
      </c>
      <c r="BJ178" s="239">
        <v>259944</v>
      </c>
      <c r="BK178" s="239">
        <v>-2866264</v>
      </c>
      <c r="BL178" s="239">
        <v>-2293011</v>
      </c>
      <c r="BM178" s="239">
        <v>-515927</v>
      </c>
      <c r="BN178" s="239">
        <v>-57325</v>
      </c>
      <c r="BO178" s="239">
        <v>-5732527</v>
      </c>
      <c r="BP178" s="239">
        <v>-4481292</v>
      </c>
      <c r="BQ178" s="239">
        <v>-3585033</v>
      </c>
      <c r="BR178" s="239">
        <v>-806632</v>
      </c>
      <c r="BS178" s="239">
        <v>-89626</v>
      </c>
      <c r="BT178" s="239">
        <v>-8962583</v>
      </c>
      <c r="BU178" s="239">
        <v>-2076597</v>
      </c>
      <c r="BV178" s="239">
        <v>-1661278</v>
      </c>
      <c r="BW178" s="239">
        <v>-373788</v>
      </c>
      <c r="BX178" s="239">
        <v>-41532</v>
      </c>
      <c r="BY178" s="239">
        <v>-4153195</v>
      </c>
      <c r="BZ178" s="239">
        <v>-2341867</v>
      </c>
      <c r="CA178" s="239">
        <v>-1873494</v>
      </c>
      <c r="CB178" s="239">
        <v>-421536</v>
      </c>
      <c r="CC178" s="239">
        <v>-46837</v>
      </c>
      <c r="CD178" s="239">
        <v>-4683734</v>
      </c>
      <c r="CE178" s="239">
        <v>265270</v>
      </c>
      <c r="CF178" s="239">
        <v>212216</v>
      </c>
      <c r="CG178" s="239">
        <v>47748</v>
      </c>
      <c r="CH178" s="239">
        <v>5305</v>
      </c>
      <c r="CI178" s="239">
        <v>530539</v>
      </c>
      <c r="CJ178" s="239">
        <v>19275098</v>
      </c>
      <c r="CK178" s="239">
        <v>15420078</v>
      </c>
      <c r="CL178" s="239">
        <v>3469518</v>
      </c>
      <c r="CM178" s="239">
        <v>385502</v>
      </c>
      <c r="CN178" s="239">
        <v>38550196</v>
      </c>
      <c r="CO178" s="239">
        <v>16808075</v>
      </c>
      <c r="CP178" s="239">
        <v>13446461</v>
      </c>
      <c r="CQ178" s="239">
        <v>3025454</v>
      </c>
      <c r="CR178" s="239">
        <v>336162</v>
      </c>
      <c r="CS178" s="239">
        <v>33616152</v>
      </c>
      <c r="CT178" s="239">
        <v>-2467023</v>
      </c>
      <c r="CU178" s="239">
        <v>-1973617</v>
      </c>
      <c r="CV178" s="239">
        <v>-444064</v>
      </c>
      <c r="CW178" s="239">
        <v>-49340</v>
      </c>
      <c r="CX178" s="239">
        <v>-4934044</v>
      </c>
      <c r="CY178" s="239">
        <v>-2201753</v>
      </c>
      <c r="CZ178" s="239">
        <v>-1761401</v>
      </c>
      <c r="DA178" s="239">
        <v>-396316</v>
      </c>
      <c r="DB178" s="239">
        <v>-44035</v>
      </c>
      <c r="DC178" s="239">
        <v>-4403505</v>
      </c>
      <c r="DD178" s="641">
        <v>0.5</v>
      </c>
      <c r="DE178" s="641">
        <v>0.4</v>
      </c>
      <c r="DF178" s="641">
        <v>0.09</v>
      </c>
      <c r="DG178" s="641">
        <v>0.01</v>
      </c>
      <c r="DH178" s="641">
        <v>1</v>
      </c>
      <c r="DI178" s="214" t="s">
        <v>1190</v>
      </c>
    </row>
    <row r="179" spans="2:113" s="214" customFormat="1" x14ac:dyDescent="0.2">
      <c r="B179" s="609" t="s">
        <v>440</v>
      </c>
      <c r="C179" s="609" t="s">
        <v>1087</v>
      </c>
      <c r="D179" s="239">
        <v>72283210</v>
      </c>
      <c r="E179" s="239">
        <v>70837545</v>
      </c>
      <c r="F179" s="239">
        <v>0</v>
      </c>
      <c r="G179" s="239">
        <v>1445664</v>
      </c>
      <c r="H179" s="239">
        <v>144566419</v>
      </c>
      <c r="I179" s="239">
        <v>0</v>
      </c>
      <c r="J179" s="239">
        <v>0</v>
      </c>
      <c r="K179" s="239">
        <v>72283210</v>
      </c>
      <c r="L179" s="239">
        <v>472115</v>
      </c>
      <c r="M179" s="239">
        <v>472115</v>
      </c>
      <c r="N179" s="239">
        <v>1202176</v>
      </c>
      <c r="O179" s="239">
        <v>1202176</v>
      </c>
      <c r="P179" s="239">
        <v>0</v>
      </c>
      <c r="Q179" s="239">
        <v>0</v>
      </c>
      <c r="R179" s="239">
        <v>0</v>
      </c>
      <c r="S179" s="239">
        <v>0</v>
      </c>
      <c r="T179" s="239">
        <v>0</v>
      </c>
      <c r="U179" s="239">
        <v>0</v>
      </c>
      <c r="V179" s="239">
        <v>0</v>
      </c>
      <c r="W179" s="239">
        <v>4124311</v>
      </c>
      <c r="X179" s="239">
        <v>4041825</v>
      </c>
      <c r="Y179" s="239">
        <v>0</v>
      </c>
      <c r="Z179" s="239">
        <v>82486</v>
      </c>
      <c r="AA179" s="239">
        <v>8248622</v>
      </c>
      <c r="AB179" s="239">
        <v>-3316221</v>
      </c>
      <c r="AC179" s="239">
        <v>-3249897</v>
      </c>
      <c r="AD179" s="239">
        <v>0</v>
      </c>
      <c r="AE179" s="239">
        <v>-66324</v>
      </c>
      <c r="AF179" s="239">
        <v>-6632442</v>
      </c>
      <c r="AG179" s="239">
        <v>-1100149.23</v>
      </c>
      <c r="AH179" s="239">
        <v>-1078147</v>
      </c>
      <c r="AI179" s="239">
        <v>0</v>
      </c>
      <c r="AJ179" s="239">
        <v>-22003</v>
      </c>
      <c r="AK179" s="239">
        <v>-2200299.23</v>
      </c>
      <c r="AL179" s="239">
        <v>1451279</v>
      </c>
      <c r="AM179" s="239">
        <v>1422254</v>
      </c>
      <c r="AN179" s="239">
        <v>0</v>
      </c>
      <c r="AO179" s="239">
        <v>29026</v>
      </c>
      <c r="AP179" s="239">
        <v>2902559</v>
      </c>
      <c r="AQ179" s="239">
        <v>-2002524</v>
      </c>
      <c r="AR179" s="239">
        <v>-1962475</v>
      </c>
      <c r="AS179" s="239">
        <v>0</v>
      </c>
      <c r="AT179" s="239">
        <v>-40051</v>
      </c>
      <c r="AU179" s="239">
        <v>-4005050</v>
      </c>
      <c r="AV179" s="239">
        <v>-1651394.23</v>
      </c>
      <c r="AW179" s="239">
        <v>-1618368</v>
      </c>
      <c r="AX179" s="239">
        <v>0</v>
      </c>
      <c r="AY179" s="239">
        <v>-33028</v>
      </c>
      <c r="AZ179" s="239">
        <v>-3302790.23</v>
      </c>
      <c r="BA179" s="239">
        <v>-10340769</v>
      </c>
      <c r="BB179" s="239">
        <v>-10133953</v>
      </c>
      <c r="BC179" s="239">
        <v>0</v>
      </c>
      <c r="BD179" s="239">
        <v>-206815</v>
      </c>
      <c r="BE179" s="239">
        <v>-20681537</v>
      </c>
      <c r="BF179" s="239">
        <v>1625351</v>
      </c>
      <c r="BG179" s="239">
        <v>1592844</v>
      </c>
      <c r="BH179" s="239">
        <v>0</v>
      </c>
      <c r="BI179" s="239">
        <v>32507</v>
      </c>
      <c r="BJ179" s="239">
        <v>3250702</v>
      </c>
      <c r="BK179" s="239">
        <v>-315954</v>
      </c>
      <c r="BL179" s="239">
        <v>-309635</v>
      </c>
      <c r="BM179" s="239">
        <v>0</v>
      </c>
      <c r="BN179" s="239">
        <v>-6319</v>
      </c>
      <c r="BO179" s="239">
        <v>-631908</v>
      </c>
      <c r="BP179" s="239">
        <v>-9031372</v>
      </c>
      <c r="BQ179" s="239">
        <v>-8850744</v>
      </c>
      <c r="BR179" s="239">
        <v>0</v>
      </c>
      <c r="BS179" s="239">
        <v>-180627</v>
      </c>
      <c r="BT179" s="239">
        <v>-18062743</v>
      </c>
      <c r="BU179" s="239">
        <v>-14014312</v>
      </c>
      <c r="BV179" s="239">
        <v>-13734026</v>
      </c>
      <c r="BW179" s="239">
        <v>0</v>
      </c>
      <c r="BX179" s="239">
        <v>-280286</v>
      </c>
      <c r="BY179" s="239">
        <v>-28028624</v>
      </c>
      <c r="BZ179" s="239">
        <v>-9405769</v>
      </c>
      <c r="CA179" s="239">
        <v>-9217654</v>
      </c>
      <c r="CB179" s="239">
        <v>0</v>
      </c>
      <c r="CC179" s="239">
        <v>-188115</v>
      </c>
      <c r="CD179" s="239">
        <v>-18811538</v>
      </c>
      <c r="CE179" s="239">
        <v>-4608543</v>
      </c>
      <c r="CF179" s="239">
        <v>-4516372</v>
      </c>
      <c r="CG179" s="239">
        <v>0</v>
      </c>
      <c r="CH179" s="239">
        <v>-92171</v>
      </c>
      <c r="CI179" s="239">
        <v>-9217086</v>
      </c>
      <c r="CJ179" s="239">
        <v>76572167</v>
      </c>
      <c r="CK179" s="239">
        <v>75040723</v>
      </c>
      <c r="CL179" s="239">
        <v>0</v>
      </c>
      <c r="CM179" s="239">
        <v>1531443</v>
      </c>
      <c r="CN179" s="239">
        <v>153144333</v>
      </c>
      <c r="CO179" s="239">
        <v>72283210</v>
      </c>
      <c r="CP179" s="239">
        <v>70837545</v>
      </c>
      <c r="CQ179" s="239">
        <v>0</v>
      </c>
      <c r="CR179" s="239">
        <v>1445664</v>
      </c>
      <c r="CS179" s="239">
        <v>144566419</v>
      </c>
      <c r="CT179" s="239">
        <v>-4288957</v>
      </c>
      <c r="CU179" s="239">
        <v>-4203178</v>
      </c>
      <c r="CV179" s="239">
        <v>0</v>
      </c>
      <c r="CW179" s="239">
        <v>-85779</v>
      </c>
      <c r="CX179" s="239">
        <v>-8577914</v>
      </c>
      <c r="CY179" s="239">
        <v>-8897500</v>
      </c>
      <c r="CZ179" s="239">
        <v>-8719550</v>
      </c>
      <c r="DA179" s="239">
        <v>0</v>
      </c>
      <c r="DB179" s="239">
        <v>-177950</v>
      </c>
      <c r="DC179" s="239">
        <v>-17795000</v>
      </c>
      <c r="DD179" s="641">
        <v>0.5</v>
      </c>
      <c r="DE179" s="641">
        <v>0.49</v>
      </c>
      <c r="DF179" s="641">
        <v>0</v>
      </c>
      <c r="DG179" s="641">
        <v>0.01</v>
      </c>
      <c r="DH179" s="641">
        <v>1</v>
      </c>
      <c r="DI179" s="214" t="s">
        <v>1192</v>
      </c>
    </row>
    <row r="180" spans="2:113" s="214" customFormat="1" x14ac:dyDescent="0.2">
      <c r="B180" s="609" t="s">
        <v>442</v>
      </c>
      <c r="C180" s="609" t="s">
        <v>441</v>
      </c>
      <c r="D180" s="239">
        <v>16918504</v>
      </c>
      <c r="E180" s="239">
        <v>13534804</v>
      </c>
      <c r="F180" s="239">
        <v>3045331</v>
      </c>
      <c r="G180" s="239">
        <v>338370</v>
      </c>
      <c r="H180" s="239">
        <v>33837009</v>
      </c>
      <c r="I180" s="239">
        <v>0</v>
      </c>
      <c r="J180" s="239">
        <v>0</v>
      </c>
      <c r="K180" s="239">
        <v>16918504</v>
      </c>
      <c r="L180" s="239">
        <v>139651</v>
      </c>
      <c r="M180" s="239">
        <v>139651</v>
      </c>
      <c r="N180" s="239">
        <v>0</v>
      </c>
      <c r="O180" s="239">
        <v>0</v>
      </c>
      <c r="P180" s="239">
        <v>0</v>
      </c>
      <c r="Q180" s="239">
        <v>0</v>
      </c>
      <c r="R180" s="239">
        <v>0</v>
      </c>
      <c r="S180" s="239">
        <v>0</v>
      </c>
      <c r="T180" s="239">
        <v>0</v>
      </c>
      <c r="U180" s="239">
        <v>0</v>
      </c>
      <c r="V180" s="239">
        <v>0</v>
      </c>
      <c r="W180" s="239">
        <v>965732</v>
      </c>
      <c r="X180" s="239">
        <v>772586</v>
      </c>
      <c r="Y180" s="239">
        <v>173832</v>
      </c>
      <c r="Z180" s="239">
        <v>19315</v>
      </c>
      <c r="AA180" s="239">
        <v>1931465</v>
      </c>
      <c r="AB180" s="239">
        <v>-215567</v>
      </c>
      <c r="AC180" s="239">
        <v>-172453</v>
      </c>
      <c r="AD180" s="239">
        <v>-38802</v>
      </c>
      <c r="AE180" s="239">
        <v>-4311</v>
      </c>
      <c r="AF180" s="239">
        <v>-431133</v>
      </c>
      <c r="AG180" s="239">
        <v>-437126.5</v>
      </c>
      <c r="AH180" s="239">
        <v>-349699.6</v>
      </c>
      <c r="AI180" s="239">
        <v>-78682.210000000006</v>
      </c>
      <c r="AJ180" s="239">
        <v>-8742.69</v>
      </c>
      <c r="AK180" s="239">
        <v>-874251</v>
      </c>
      <c r="AL180" s="239">
        <v>277612</v>
      </c>
      <c r="AM180" s="239">
        <v>222089</v>
      </c>
      <c r="AN180" s="239">
        <v>49970</v>
      </c>
      <c r="AO180" s="239">
        <v>5552</v>
      </c>
      <c r="AP180" s="239">
        <v>555223</v>
      </c>
      <c r="AQ180" s="239">
        <v>-224030</v>
      </c>
      <c r="AR180" s="239">
        <v>-179225</v>
      </c>
      <c r="AS180" s="239">
        <v>-40326</v>
      </c>
      <c r="AT180" s="239">
        <v>-4481</v>
      </c>
      <c r="AU180" s="239">
        <v>-448062</v>
      </c>
      <c r="AV180" s="239">
        <v>-383544.5</v>
      </c>
      <c r="AW180" s="239">
        <v>-306835.59999999998</v>
      </c>
      <c r="AX180" s="239">
        <v>-69038.210000000006</v>
      </c>
      <c r="AY180" s="239">
        <v>-7671.6900000000005</v>
      </c>
      <c r="AZ180" s="239">
        <v>-767090</v>
      </c>
      <c r="BA180" s="239">
        <v>-966132</v>
      </c>
      <c r="BB180" s="239">
        <v>-772906</v>
      </c>
      <c r="BC180" s="239">
        <v>-173904</v>
      </c>
      <c r="BD180" s="239">
        <v>-19323</v>
      </c>
      <c r="BE180" s="239">
        <v>-1932265</v>
      </c>
      <c r="BF180" s="239">
        <v>865480</v>
      </c>
      <c r="BG180" s="239">
        <v>692385</v>
      </c>
      <c r="BH180" s="239">
        <v>155787</v>
      </c>
      <c r="BI180" s="239">
        <v>17310</v>
      </c>
      <c r="BJ180" s="239">
        <v>1730962</v>
      </c>
      <c r="BK180" s="239">
        <v>-805417</v>
      </c>
      <c r="BL180" s="239">
        <v>-644334</v>
      </c>
      <c r="BM180" s="239">
        <v>-144975</v>
      </c>
      <c r="BN180" s="239">
        <v>-16108</v>
      </c>
      <c r="BO180" s="239">
        <v>-1610834</v>
      </c>
      <c r="BP180" s="239">
        <v>-906069</v>
      </c>
      <c r="BQ180" s="239">
        <v>-724855</v>
      </c>
      <c r="BR180" s="239">
        <v>-163092</v>
      </c>
      <c r="BS180" s="239">
        <v>-18121</v>
      </c>
      <c r="BT180" s="239">
        <v>-1812137</v>
      </c>
      <c r="BU180" s="239">
        <v>-365297</v>
      </c>
      <c r="BV180" s="239">
        <v>-292238</v>
      </c>
      <c r="BW180" s="239">
        <v>-65754</v>
      </c>
      <c r="BX180" s="239">
        <v>-7306</v>
      </c>
      <c r="BY180" s="239">
        <v>-730595</v>
      </c>
      <c r="BZ180" s="239">
        <v>-345325</v>
      </c>
      <c r="CA180" s="239">
        <v>-276261</v>
      </c>
      <c r="CB180" s="239">
        <v>-62159</v>
      </c>
      <c r="CC180" s="239">
        <v>-6907</v>
      </c>
      <c r="CD180" s="239">
        <v>-690652</v>
      </c>
      <c r="CE180" s="239">
        <v>-19972</v>
      </c>
      <c r="CF180" s="239">
        <v>-15977</v>
      </c>
      <c r="CG180" s="239">
        <v>-3595</v>
      </c>
      <c r="CH180" s="239">
        <v>-399</v>
      </c>
      <c r="CI180" s="239">
        <v>-39943</v>
      </c>
      <c r="CJ180" s="239">
        <v>16964261</v>
      </c>
      <c r="CK180" s="239">
        <v>13571408</v>
      </c>
      <c r="CL180" s="239">
        <v>3053567</v>
      </c>
      <c r="CM180" s="239">
        <v>339285</v>
      </c>
      <c r="CN180" s="239">
        <v>33928521</v>
      </c>
      <c r="CO180" s="239">
        <v>16918504</v>
      </c>
      <c r="CP180" s="239">
        <v>13534804</v>
      </c>
      <c r="CQ180" s="239">
        <v>3045331</v>
      </c>
      <c r="CR180" s="239">
        <v>338370</v>
      </c>
      <c r="CS180" s="239">
        <v>33837009</v>
      </c>
      <c r="CT180" s="239">
        <v>-45757</v>
      </c>
      <c r="CU180" s="239">
        <v>-36604</v>
      </c>
      <c r="CV180" s="239">
        <v>-8236</v>
      </c>
      <c r="CW180" s="239">
        <v>-915</v>
      </c>
      <c r="CX180" s="239">
        <v>-91512</v>
      </c>
      <c r="CY180" s="239">
        <v>-65729</v>
      </c>
      <c r="CZ180" s="239">
        <v>-52581</v>
      </c>
      <c r="DA180" s="239">
        <v>-11831</v>
      </c>
      <c r="DB180" s="239">
        <v>-1314</v>
      </c>
      <c r="DC180" s="239">
        <v>-131455</v>
      </c>
      <c r="DD180" s="641">
        <v>0.5</v>
      </c>
      <c r="DE180" s="641">
        <v>0.4</v>
      </c>
      <c r="DF180" s="641">
        <v>0.09</v>
      </c>
      <c r="DG180" s="641">
        <v>0.01</v>
      </c>
      <c r="DH180" s="641">
        <v>1</v>
      </c>
      <c r="DI180" s="214" t="s">
        <v>1190</v>
      </c>
    </row>
    <row r="181" spans="2:113" s="214" customFormat="1" x14ac:dyDescent="0.2">
      <c r="B181" s="609" t="s">
        <v>444</v>
      </c>
      <c r="C181" s="609" t="s">
        <v>443</v>
      </c>
      <c r="D181" s="239">
        <v>64957016</v>
      </c>
      <c r="E181" s="239">
        <v>38974210</v>
      </c>
      <c r="F181" s="239">
        <v>25982806</v>
      </c>
      <c r="G181" s="239">
        <v>0</v>
      </c>
      <c r="H181" s="239">
        <v>129914032</v>
      </c>
      <c r="I181" s="239">
        <v>786351.71694214875</v>
      </c>
      <c r="J181" s="239">
        <v>786351.71694214875</v>
      </c>
      <c r="K181" s="239">
        <v>64170664.283057854</v>
      </c>
      <c r="L181" s="239">
        <v>373571</v>
      </c>
      <c r="M181" s="239">
        <v>373571</v>
      </c>
      <c r="N181" s="239">
        <v>0</v>
      </c>
      <c r="O181" s="239">
        <v>0</v>
      </c>
      <c r="P181" s="239">
        <v>0</v>
      </c>
      <c r="Q181" s="239">
        <v>0</v>
      </c>
      <c r="R181" s="239">
        <v>0</v>
      </c>
      <c r="S181" s="239">
        <v>786351.71694214875</v>
      </c>
      <c r="T181" s="239">
        <v>0</v>
      </c>
      <c r="U181" s="239">
        <v>0</v>
      </c>
      <c r="V181" s="239">
        <v>786351.71694214875</v>
      </c>
      <c r="W181" s="239">
        <v>2207419</v>
      </c>
      <c r="X181" s="239">
        <v>1324451</v>
      </c>
      <c r="Y181" s="239">
        <v>882967</v>
      </c>
      <c r="Z181" s="239">
        <v>0</v>
      </c>
      <c r="AA181" s="239">
        <v>4414837</v>
      </c>
      <c r="AB181" s="239">
        <v>-6681072</v>
      </c>
      <c r="AC181" s="239">
        <v>-4008644</v>
      </c>
      <c r="AD181" s="239">
        <v>-2672429</v>
      </c>
      <c r="AE181" s="239">
        <v>0</v>
      </c>
      <c r="AF181" s="239">
        <v>-13362145</v>
      </c>
      <c r="AG181" s="239">
        <v>-919874.55999999982</v>
      </c>
      <c r="AH181" s="239">
        <v>-551925</v>
      </c>
      <c r="AI181" s="239">
        <v>-367949</v>
      </c>
      <c r="AJ181" s="239">
        <v>0</v>
      </c>
      <c r="AK181" s="239">
        <v>-1839748.5599999998</v>
      </c>
      <c r="AL181" s="239">
        <v>16250</v>
      </c>
      <c r="AM181" s="239">
        <v>9750</v>
      </c>
      <c r="AN181" s="239">
        <v>6500</v>
      </c>
      <c r="AO181" s="239">
        <v>0</v>
      </c>
      <c r="AP181" s="239">
        <v>32500</v>
      </c>
      <c r="AQ181" s="239">
        <v>-471871</v>
      </c>
      <c r="AR181" s="239">
        <v>-283122</v>
      </c>
      <c r="AS181" s="239">
        <v>-188748</v>
      </c>
      <c r="AT181" s="239">
        <v>0</v>
      </c>
      <c r="AU181" s="239">
        <v>-943741</v>
      </c>
      <c r="AV181" s="239">
        <v>-1375495.5599999998</v>
      </c>
      <c r="AW181" s="239">
        <v>-825297</v>
      </c>
      <c r="AX181" s="239">
        <v>-550197</v>
      </c>
      <c r="AY181" s="239">
        <v>0</v>
      </c>
      <c r="AZ181" s="239">
        <v>-2750989.5599999996</v>
      </c>
      <c r="BA181" s="239">
        <v>-5296672</v>
      </c>
      <c r="BB181" s="239">
        <v>-3178002</v>
      </c>
      <c r="BC181" s="239">
        <v>-2118668</v>
      </c>
      <c r="BD181" s="239">
        <v>0</v>
      </c>
      <c r="BE181" s="239">
        <v>-10593342</v>
      </c>
      <c r="BF181" s="239">
        <v>1799832</v>
      </c>
      <c r="BG181" s="239">
        <v>1079900</v>
      </c>
      <c r="BH181" s="239">
        <v>719933</v>
      </c>
      <c r="BI181" s="239">
        <v>0</v>
      </c>
      <c r="BJ181" s="239">
        <v>3599665</v>
      </c>
      <c r="BK181" s="239">
        <v>952521</v>
      </c>
      <c r="BL181" s="239">
        <v>571513</v>
      </c>
      <c r="BM181" s="239">
        <v>381009</v>
      </c>
      <c r="BN181" s="239">
        <v>0</v>
      </c>
      <c r="BO181" s="239">
        <v>1905043</v>
      </c>
      <c r="BP181" s="239">
        <v>-2544319</v>
      </c>
      <c r="BQ181" s="239">
        <v>-1526589</v>
      </c>
      <c r="BR181" s="239">
        <v>-1017726</v>
      </c>
      <c r="BS181" s="239">
        <v>0</v>
      </c>
      <c r="BT181" s="239">
        <v>-5088634</v>
      </c>
      <c r="BU181" s="239">
        <v>-6470154</v>
      </c>
      <c r="BV181" s="239">
        <v>-3882093</v>
      </c>
      <c r="BW181" s="239">
        <v>-2588062</v>
      </c>
      <c r="BX181" s="239">
        <v>0</v>
      </c>
      <c r="BY181" s="239">
        <v>-12940309</v>
      </c>
      <c r="BZ181" s="239">
        <v>-5079375</v>
      </c>
      <c r="CA181" s="239">
        <v>-3047625</v>
      </c>
      <c r="CB181" s="239">
        <v>-2031750</v>
      </c>
      <c r="CC181" s="239">
        <v>0</v>
      </c>
      <c r="CD181" s="239">
        <v>-10158750</v>
      </c>
      <c r="CE181" s="239">
        <v>-1390779</v>
      </c>
      <c r="CF181" s="239">
        <v>-834468</v>
      </c>
      <c r="CG181" s="239">
        <v>-556312</v>
      </c>
      <c r="CH181" s="239">
        <v>0</v>
      </c>
      <c r="CI181" s="239">
        <v>-2781559</v>
      </c>
      <c r="CJ181" s="239">
        <v>66299994</v>
      </c>
      <c r="CK181" s="239">
        <v>39779996</v>
      </c>
      <c r="CL181" s="239">
        <v>26519997</v>
      </c>
      <c r="CM181" s="239">
        <v>0</v>
      </c>
      <c r="CN181" s="239">
        <v>132599987</v>
      </c>
      <c r="CO181" s="239">
        <v>64957016</v>
      </c>
      <c r="CP181" s="239">
        <v>38974210</v>
      </c>
      <c r="CQ181" s="239">
        <v>25982806</v>
      </c>
      <c r="CR181" s="239">
        <v>0</v>
      </c>
      <c r="CS181" s="239">
        <v>129914032</v>
      </c>
      <c r="CT181" s="239">
        <v>-1342978</v>
      </c>
      <c r="CU181" s="239">
        <v>-805786</v>
      </c>
      <c r="CV181" s="239">
        <v>-537191</v>
      </c>
      <c r="CW181" s="239">
        <v>0</v>
      </c>
      <c r="CX181" s="239">
        <v>-2685955</v>
      </c>
      <c r="CY181" s="239">
        <v>-2733757</v>
      </c>
      <c r="CZ181" s="239">
        <v>-1640254</v>
      </c>
      <c r="DA181" s="239">
        <v>-1093503</v>
      </c>
      <c r="DB181" s="239">
        <v>0</v>
      </c>
      <c r="DC181" s="239">
        <v>-5467514</v>
      </c>
      <c r="DD181" s="641">
        <v>0.5</v>
      </c>
      <c r="DE181" s="641">
        <v>0.3</v>
      </c>
      <c r="DF181" s="641">
        <v>0.2</v>
      </c>
      <c r="DG181" s="641">
        <v>0</v>
      </c>
      <c r="DH181" s="641">
        <v>1</v>
      </c>
      <c r="DI181" s="214" t="s">
        <v>1191</v>
      </c>
    </row>
    <row r="182" spans="2:113" s="214" customFormat="1" x14ac:dyDescent="0.2">
      <c r="B182" s="609" t="s">
        <v>446</v>
      </c>
      <c r="C182" s="609" t="s">
        <v>445</v>
      </c>
      <c r="D182" s="239">
        <v>15866393</v>
      </c>
      <c r="E182" s="239">
        <v>12693115</v>
      </c>
      <c r="F182" s="239">
        <v>2855951</v>
      </c>
      <c r="G182" s="239">
        <v>317328</v>
      </c>
      <c r="H182" s="239">
        <v>31732787</v>
      </c>
      <c r="I182" s="239">
        <v>0</v>
      </c>
      <c r="J182" s="239">
        <v>0</v>
      </c>
      <c r="K182" s="239">
        <v>15866393</v>
      </c>
      <c r="L182" s="239">
        <v>204326</v>
      </c>
      <c r="M182" s="239">
        <v>204326</v>
      </c>
      <c r="N182" s="239">
        <v>0</v>
      </c>
      <c r="O182" s="239">
        <v>0</v>
      </c>
      <c r="P182" s="239">
        <v>311483</v>
      </c>
      <c r="Q182" s="239">
        <v>0</v>
      </c>
      <c r="R182" s="239">
        <v>311483</v>
      </c>
      <c r="S182" s="239">
        <v>0</v>
      </c>
      <c r="T182" s="239">
        <v>0</v>
      </c>
      <c r="U182" s="239">
        <v>0</v>
      </c>
      <c r="V182" s="239">
        <v>0</v>
      </c>
      <c r="W182" s="239">
        <v>924314</v>
      </c>
      <c r="X182" s="239">
        <v>739450</v>
      </c>
      <c r="Y182" s="239">
        <v>166376</v>
      </c>
      <c r="Z182" s="239">
        <v>18486</v>
      </c>
      <c r="AA182" s="239">
        <v>1848626</v>
      </c>
      <c r="AB182" s="239">
        <v>-502697</v>
      </c>
      <c r="AC182" s="239">
        <v>-402158</v>
      </c>
      <c r="AD182" s="239">
        <v>-90486</v>
      </c>
      <c r="AE182" s="239">
        <v>-10054</v>
      </c>
      <c r="AF182" s="239">
        <v>-1005395</v>
      </c>
      <c r="AG182" s="239">
        <v>-415941</v>
      </c>
      <c r="AH182" s="239">
        <v>-332753</v>
      </c>
      <c r="AI182" s="239">
        <v>-74869</v>
      </c>
      <c r="AJ182" s="239">
        <v>-8319</v>
      </c>
      <c r="AK182" s="239">
        <v>-831882</v>
      </c>
      <c r="AL182" s="239">
        <v>148872</v>
      </c>
      <c r="AM182" s="239">
        <v>119097</v>
      </c>
      <c r="AN182" s="239">
        <v>26797</v>
      </c>
      <c r="AO182" s="239">
        <v>2977</v>
      </c>
      <c r="AP182" s="239">
        <v>297743</v>
      </c>
      <c r="AQ182" s="239">
        <v>-156117</v>
      </c>
      <c r="AR182" s="239">
        <v>-124894</v>
      </c>
      <c r="AS182" s="239">
        <v>-28101</v>
      </c>
      <c r="AT182" s="239">
        <v>-3122</v>
      </c>
      <c r="AU182" s="239">
        <v>-312234</v>
      </c>
      <c r="AV182" s="239">
        <v>-423186</v>
      </c>
      <c r="AW182" s="239">
        <v>-338550</v>
      </c>
      <c r="AX182" s="239">
        <v>-76173</v>
      </c>
      <c r="AY182" s="239">
        <v>-8464</v>
      </c>
      <c r="AZ182" s="239">
        <v>-846373</v>
      </c>
      <c r="BA182" s="239">
        <v>-1100077</v>
      </c>
      <c r="BB182" s="239">
        <v>-880063</v>
      </c>
      <c r="BC182" s="239">
        <v>-198015</v>
      </c>
      <c r="BD182" s="239">
        <v>-22001</v>
      </c>
      <c r="BE182" s="239">
        <v>-2200156</v>
      </c>
      <c r="BF182" s="239">
        <v>1157539</v>
      </c>
      <c r="BG182" s="239">
        <v>926032</v>
      </c>
      <c r="BH182" s="239">
        <v>208357</v>
      </c>
      <c r="BI182" s="239">
        <v>23151</v>
      </c>
      <c r="BJ182" s="239">
        <v>2315079</v>
      </c>
      <c r="BK182" s="239">
        <v>-561989</v>
      </c>
      <c r="BL182" s="239">
        <v>-449592</v>
      </c>
      <c r="BM182" s="239">
        <v>-101158</v>
      </c>
      <c r="BN182" s="239">
        <v>-11240</v>
      </c>
      <c r="BO182" s="239">
        <v>-1123979</v>
      </c>
      <c r="BP182" s="239">
        <v>-504527</v>
      </c>
      <c r="BQ182" s="239">
        <v>-403623</v>
      </c>
      <c r="BR182" s="239">
        <v>-90816</v>
      </c>
      <c r="BS182" s="239">
        <v>-10090</v>
      </c>
      <c r="BT182" s="239">
        <v>-1009056</v>
      </c>
      <c r="BU182" s="239">
        <v>-1384570</v>
      </c>
      <c r="BV182" s="239">
        <v>-1107656</v>
      </c>
      <c r="BW182" s="239">
        <v>-249223</v>
      </c>
      <c r="BX182" s="239">
        <v>-27691</v>
      </c>
      <c r="BY182" s="239">
        <v>-2769140</v>
      </c>
      <c r="BZ182" s="239">
        <v>-908514</v>
      </c>
      <c r="CA182" s="239">
        <v>-726811</v>
      </c>
      <c r="CB182" s="239">
        <v>-163532</v>
      </c>
      <c r="CC182" s="239">
        <v>-18170</v>
      </c>
      <c r="CD182" s="239">
        <v>-1817027</v>
      </c>
      <c r="CE182" s="239">
        <v>-476056</v>
      </c>
      <c r="CF182" s="239">
        <v>-380845</v>
      </c>
      <c r="CG182" s="239">
        <v>-85691</v>
      </c>
      <c r="CH182" s="239">
        <v>-9521</v>
      </c>
      <c r="CI182" s="239">
        <v>-952113</v>
      </c>
      <c r="CJ182" s="239">
        <v>16791503</v>
      </c>
      <c r="CK182" s="239">
        <v>13433202</v>
      </c>
      <c r="CL182" s="239">
        <v>3022470</v>
      </c>
      <c r="CM182" s="239">
        <v>335830</v>
      </c>
      <c r="CN182" s="239">
        <v>33583005</v>
      </c>
      <c r="CO182" s="239">
        <v>15866393</v>
      </c>
      <c r="CP182" s="239">
        <v>12693115</v>
      </c>
      <c r="CQ182" s="239">
        <v>2855951</v>
      </c>
      <c r="CR182" s="239">
        <v>317328</v>
      </c>
      <c r="CS182" s="239">
        <v>31732787</v>
      </c>
      <c r="CT182" s="239">
        <v>-925110</v>
      </c>
      <c r="CU182" s="239">
        <v>-740087</v>
      </c>
      <c r="CV182" s="239">
        <v>-166519</v>
      </c>
      <c r="CW182" s="239">
        <v>-18502</v>
      </c>
      <c r="CX182" s="239">
        <v>-1850218</v>
      </c>
      <c r="CY182" s="239">
        <v>-1401166</v>
      </c>
      <c r="CZ182" s="239">
        <v>-1120932</v>
      </c>
      <c r="DA182" s="239">
        <v>-252210</v>
      </c>
      <c r="DB182" s="239">
        <v>-28023</v>
      </c>
      <c r="DC182" s="239">
        <v>-2802331</v>
      </c>
      <c r="DD182" s="641">
        <v>0.5</v>
      </c>
      <c r="DE182" s="641">
        <v>0.4</v>
      </c>
      <c r="DF182" s="641">
        <v>0.09</v>
      </c>
      <c r="DG182" s="641">
        <v>0.01</v>
      </c>
      <c r="DH182" s="641">
        <v>1</v>
      </c>
      <c r="DI182" s="214" t="s">
        <v>1190</v>
      </c>
    </row>
    <row r="183" spans="2:113" s="214" customFormat="1" x14ac:dyDescent="0.2">
      <c r="B183" s="609" t="s">
        <v>448</v>
      </c>
      <c r="C183" s="609" t="s">
        <v>447</v>
      </c>
      <c r="D183" s="239">
        <v>6202746</v>
      </c>
      <c r="E183" s="239">
        <v>4962197</v>
      </c>
      <c r="F183" s="239">
        <v>1116494</v>
      </c>
      <c r="G183" s="239">
        <v>124055</v>
      </c>
      <c r="H183" s="239">
        <v>12405492</v>
      </c>
      <c r="I183" s="239">
        <v>0</v>
      </c>
      <c r="J183" s="239">
        <v>0</v>
      </c>
      <c r="K183" s="239">
        <v>6202746</v>
      </c>
      <c r="L183" s="239">
        <v>92786</v>
      </c>
      <c r="M183" s="239">
        <v>92786</v>
      </c>
      <c r="N183" s="239">
        <v>0</v>
      </c>
      <c r="O183" s="239">
        <v>0</v>
      </c>
      <c r="P183" s="239">
        <v>180940</v>
      </c>
      <c r="Q183" s="239">
        <v>0</v>
      </c>
      <c r="R183" s="239">
        <v>180940</v>
      </c>
      <c r="S183" s="239">
        <v>0</v>
      </c>
      <c r="T183" s="239">
        <v>0</v>
      </c>
      <c r="U183" s="239">
        <v>0</v>
      </c>
      <c r="V183" s="239">
        <v>0</v>
      </c>
      <c r="W183" s="239">
        <v>258265</v>
      </c>
      <c r="X183" s="239">
        <v>206612</v>
      </c>
      <c r="Y183" s="239">
        <v>46488</v>
      </c>
      <c r="Z183" s="239">
        <v>5165</v>
      </c>
      <c r="AA183" s="239">
        <v>516530</v>
      </c>
      <c r="AB183" s="239">
        <v>-85255</v>
      </c>
      <c r="AC183" s="239">
        <v>-68204</v>
      </c>
      <c r="AD183" s="239">
        <v>-15346</v>
      </c>
      <c r="AE183" s="239">
        <v>-1705</v>
      </c>
      <c r="AF183" s="239">
        <v>-170510</v>
      </c>
      <c r="AG183" s="239">
        <v>-176300</v>
      </c>
      <c r="AH183" s="239">
        <v>-141042</v>
      </c>
      <c r="AI183" s="239">
        <v>-31735</v>
      </c>
      <c r="AJ183" s="239">
        <v>-3527</v>
      </c>
      <c r="AK183" s="239">
        <v>-352604</v>
      </c>
      <c r="AL183" s="239">
        <v>77408</v>
      </c>
      <c r="AM183" s="239">
        <v>61926</v>
      </c>
      <c r="AN183" s="239">
        <v>13933</v>
      </c>
      <c r="AO183" s="239">
        <v>1548</v>
      </c>
      <c r="AP183" s="239">
        <v>154815</v>
      </c>
      <c r="AQ183" s="239">
        <v>-147106</v>
      </c>
      <c r="AR183" s="239">
        <v>-117684</v>
      </c>
      <c r="AS183" s="239">
        <v>-26479</v>
      </c>
      <c r="AT183" s="239">
        <v>-2942</v>
      </c>
      <c r="AU183" s="239">
        <v>-294211</v>
      </c>
      <c r="AV183" s="239">
        <v>-245998</v>
      </c>
      <c r="AW183" s="239">
        <v>-196800</v>
      </c>
      <c r="AX183" s="239">
        <v>-44281</v>
      </c>
      <c r="AY183" s="239">
        <v>-4921</v>
      </c>
      <c r="AZ183" s="239">
        <v>-492000</v>
      </c>
      <c r="BA183" s="239">
        <v>-349566</v>
      </c>
      <c r="BB183" s="239">
        <v>-279653</v>
      </c>
      <c r="BC183" s="239">
        <v>-62921</v>
      </c>
      <c r="BD183" s="239">
        <v>-6991</v>
      </c>
      <c r="BE183" s="239">
        <v>-699131</v>
      </c>
      <c r="BF183" s="239">
        <v>416237</v>
      </c>
      <c r="BG183" s="239">
        <v>332990</v>
      </c>
      <c r="BH183" s="239">
        <v>74923</v>
      </c>
      <c r="BI183" s="239">
        <v>8325</v>
      </c>
      <c r="BJ183" s="239">
        <v>832475</v>
      </c>
      <c r="BK183" s="239">
        <v>-888487</v>
      </c>
      <c r="BL183" s="239">
        <v>-710790</v>
      </c>
      <c r="BM183" s="239">
        <v>-159928</v>
      </c>
      <c r="BN183" s="239">
        <v>-17770</v>
      </c>
      <c r="BO183" s="239">
        <v>-1776975</v>
      </c>
      <c r="BP183" s="239">
        <v>-821816</v>
      </c>
      <c r="BQ183" s="239">
        <v>-657453</v>
      </c>
      <c r="BR183" s="239">
        <v>-147926</v>
      </c>
      <c r="BS183" s="239">
        <v>-16436</v>
      </c>
      <c r="BT183" s="239">
        <v>-1643631</v>
      </c>
      <c r="BU183" s="239">
        <v>-530910</v>
      </c>
      <c r="BV183" s="239">
        <v>-424728</v>
      </c>
      <c r="BW183" s="239">
        <v>-95564</v>
      </c>
      <c r="BX183" s="239">
        <v>-10618</v>
      </c>
      <c r="BY183" s="239">
        <v>-1061820</v>
      </c>
      <c r="BZ183" s="239">
        <v>-305936</v>
      </c>
      <c r="CA183" s="239">
        <v>-244750</v>
      </c>
      <c r="CB183" s="239">
        <v>-55069</v>
      </c>
      <c r="CC183" s="239">
        <v>-6119</v>
      </c>
      <c r="CD183" s="239">
        <v>-611874</v>
      </c>
      <c r="CE183" s="239">
        <v>-224974</v>
      </c>
      <c r="CF183" s="239">
        <v>-179978</v>
      </c>
      <c r="CG183" s="239">
        <v>-40495</v>
      </c>
      <c r="CH183" s="239">
        <v>-4499</v>
      </c>
      <c r="CI183" s="239">
        <v>-449946</v>
      </c>
      <c r="CJ183" s="239">
        <v>6475869</v>
      </c>
      <c r="CK183" s="239">
        <v>5180696</v>
      </c>
      <c r="CL183" s="239">
        <v>1165657</v>
      </c>
      <c r="CM183" s="239">
        <v>129517</v>
      </c>
      <c r="CN183" s="239">
        <v>12951739</v>
      </c>
      <c r="CO183" s="239">
        <v>6202746</v>
      </c>
      <c r="CP183" s="239">
        <v>4962197</v>
      </c>
      <c r="CQ183" s="239">
        <v>1116494</v>
      </c>
      <c r="CR183" s="239">
        <v>124055</v>
      </c>
      <c r="CS183" s="239">
        <v>12405492</v>
      </c>
      <c r="CT183" s="239">
        <v>-273123</v>
      </c>
      <c r="CU183" s="239">
        <v>-218499</v>
      </c>
      <c r="CV183" s="239">
        <v>-49163</v>
      </c>
      <c r="CW183" s="239">
        <v>-5462</v>
      </c>
      <c r="CX183" s="239">
        <v>-546247</v>
      </c>
      <c r="CY183" s="239">
        <v>-498097</v>
      </c>
      <c r="CZ183" s="239">
        <v>-398477</v>
      </c>
      <c r="DA183" s="239">
        <v>-89658</v>
      </c>
      <c r="DB183" s="239">
        <v>-9961</v>
      </c>
      <c r="DC183" s="239">
        <v>-996193</v>
      </c>
      <c r="DD183" s="641">
        <v>0.5</v>
      </c>
      <c r="DE183" s="641">
        <v>0.4</v>
      </c>
      <c r="DF183" s="641">
        <v>0.09</v>
      </c>
      <c r="DG183" s="641">
        <v>0.01</v>
      </c>
      <c r="DH183" s="641">
        <v>1</v>
      </c>
      <c r="DI183" s="214" t="s">
        <v>1190</v>
      </c>
    </row>
    <row r="184" spans="2:113" s="214" customFormat="1" x14ac:dyDescent="0.2">
      <c r="B184" s="609" t="s">
        <v>450</v>
      </c>
      <c r="C184" s="609" t="s">
        <v>449</v>
      </c>
      <c r="D184" s="239">
        <v>8234184</v>
      </c>
      <c r="E184" s="239">
        <v>6587347</v>
      </c>
      <c r="F184" s="239">
        <v>1482153</v>
      </c>
      <c r="G184" s="239">
        <v>164684</v>
      </c>
      <c r="H184" s="239">
        <v>16468368</v>
      </c>
      <c r="I184" s="239">
        <v>0</v>
      </c>
      <c r="J184" s="239">
        <v>0</v>
      </c>
      <c r="K184" s="239">
        <v>8234184</v>
      </c>
      <c r="L184" s="239">
        <v>97755</v>
      </c>
      <c r="M184" s="239">
        <v>97755</v>
      </c>
      <c r="N184" s="239">
        <v>0</v>
      </c>
      <c r="O184" s="239">
        <v>0</v>
      </c>
      <c r="P184" s="239">
        <v>0</v>
      </c>
      <c r="Q184" s="239">
        <v>0</v>
      </c>
      <c r="R184" s="239">
        <v>0</v>
      </c>
      <c r="S184" s="239">
        <v>0</v>
      </c>
      <c r="T184" s="239">
        <v>0</v>
      </c>
      <c r="U184" s="239">
        <v>0</v>
      </c>
      <c r="V184" s="239">
        <v>0</v>
      </c>
      <c r="W184" s="239">
        <v>399331</v>
      </c>
      <c r="X184" s="239">
        <v>319464</v>
      </c>
      <c r="Y184" s="239">
        <v>71879</v>
      </c>
      <c r="Z184" s="239">
        <v>7987</v>
      </c>
      <c r="AA184" s="239">
        <v>798661</v>
      </c>
      <c r="AB184" s="239">
        <v>-99121</v>
      </c>
      <c r="AC184" s="239">
        <v>-79296</v>
      </c>
      <c r="AD184" s="239">
        <v>-17842</v>
      </c>
      <c r="AE184" s="239">
        <v>-1982</v>
      </c>
      <c r="AF184" s="239">
        <v>-198241</v>
      </c>
      <c r="AG184" s="239">
        <v>-103207</v>
      </c>
      <c r="AH184" s="239">
        <v>-82566</v>
      </c>
      <c r="AI184" s="239">
        <v>-18577</v>
      </c>
      <c r="AJ184" s="239">
        <v>-2064</v>
      </c>
      <c r="AK184" s="239">
        <v>-206414</v>
      </c>
      <c r="AL184" s="239">
        <v>62603</v>
      </c>
      <c r="AM184" s="239">
        <v>50082</v>
      </c>
      <c r="AN184" s="239">
        <v>11269</v>
      </c>
      <c r="AO184" s="239">
        <v>1252</v>
      </c>
      <c r="AP184" s="239">
        <v>125206</v>
      </c>
      <c r="AQ184" s="239">
        <v>-99299</v>
      </c>
      <c r="AR184" s="239">
        <v>-79439</v>
      </c>
      <c r="AS184" s="239">
        <v>-17874</v>
      </c>
      <c r="AT184" s="239">
        <v>-1986</v>
      </c>
      <c r="AU184" s="239">
        <v>-198598</v>
      </c>
      <c r="AV184" s="239">
        <v>-139903</v>
      </c>
      <c r="AW184" s="239">
        <v>-111923</v>
      </c>
      <c r="AX184" s="239">
        <v>-25182</v>
      </c>
      <c r="AY184" s="239">
        <v>-2798</v>
      </c>
      <c r="AZ184" s="239">
        <v>-279806</v>
      </c>
      <c r="BA184" s="239">
        <v>-1719815.24</v>
      </c>
      <c r="BB184" s="239">
        <v>-1375850</v>
      </c>
      <c r="BC184" s="239">
        <v>-309567</v>
      </c>
      <c r="BD184" s="239">
        <v>-34396</v>
      </c>
      <c r="BE184" s="239">
        <v>-3439628.2</v>
      </c>
      <c r="BF184" s="239">
        <v>738914</v>
      </c>
      <c r="BG184" s="239">
        <v>591131</v>
      </c>
      <c r="BH184" s="239">
        <v>133005</v>
      </c>
      <c r="BI184" s="239">
        <v>14778</v>
      </c>
      <c r="BJ184" s="239">
        <v>1477828</v>
      </c>
      <c r="BK184" s="239">
        <v>-307145</v>
      </c>
      <c r="BL184" s="239">
        <v>-245716</v>
      </c>
      <c r="BM184" s="239">
        <v>-55286</v>
      </c>
      <c r="BN184" s="239">
        <v>-6143</v>
      </c>
      <c r="BO184" s="239">
        <v>-614290</v>
      </c>
      <c r="BP184" s="239">
        <v>-1288046.24</v>
      </c>
      <c r="BQ184" s="239">
        <v>-1030435</v>
      </c>
      <c r="BR184" s="239">
        <v>-231848</v>
      </c>
      <c r="BS184" s="239">
        <v>-25761</v>
      </c>
      <c r="BT184" s="239">
        <v>-2576090.2000000002</v>
      </c>
      <c r="BU184" s="239">
        <v>-1238291</v>
      </c>
      <c r="BV184" s="239">
        <v>-990632</v>
      </c>
      <c r="BW184" s="239">
        <v>-222892</v>
      </c>
      <c r="BX184" s="239">
        <v>-24766</v>
      </c>
      <c r="BY184" s="239">
        <v>-2476581</v>
      </c>
      <c r="BZ184" s="239">
        <v>-232682</v>
      </c>
      <c r="CA184" s="239">
        <v>-186146</v>
      </c>
      <c r="CB184" s="239">
        <v>-41883</v>
      </c>
      <c r="CC184" s="239">
        <v>-4654</v>
      </c>
      <c r="CD184" s="239">
        <v>-465365</v>
      </c>
      <c r="CE184" s="239">
        <v>-1005609</v>
      </c>
      <c r="CF184" s="239">
        <v>-804486</v>
      </c>
      <c r="CG184" s="239">
        <v>-181009</v>
      </c>
      <c r="CH184" s="239">
        <v>-20112</v>
      </c>
      <c r="CI184" s="239">
        <v>-2011216</v>
      </c>
      <c r="CJ184" s="239">
        <v>8181438</v>
      </c>
      <c r="CK184" s="239">
        <v>6545151</v>
      </c>
      <c r="CL184" s="239">
        <v>1472659</v>
      </c>
      <c r="CM184" s="239">
        <v>163629</v>
      </c>
      <c r="CN184" s="239">
        <v>16362877</v>
      </c>
      <c r="CO184" s="239">
        <v>8234184</v>
      </c>
      <c r="CP184" s="239">
        <v>6587347</v>
      </c>
      <c r="CQ184" s="239">
        <v>1482153</v>
      </c>
      <c r="CR184" s="239">
        <v>164684</v>
      </c>
      <c r="CS184" s="239">
        <v>16468368</v>
      </c>
      <c r="CT184" s="239">
        <v>52746</v>
      </c>
      <c r="CU184" s="239">
        <v>42196</v>
      </c>
      <c r="CV184" s="239">
        <v>9494</v>
      </c>
      <c r="CW184" s="239">
        <v>1055</v>
      </c>
      <c r="CX184" s="239">
        <v>105491</v>
      </c>
      <c r="CY184" s="239">
        <v>-952863</v>
      </c>
      <c r="CZ184" s="239">
        <v>-762290</v>
      </c>
      <c r="DA184" s="239">
        <v>-171515</v>
      </c>
      <c r="DB184" s="239">
        <v>-19057</v>
      </c>
      <c r="DC184" s="239">
        <v>-1905725</v>
      </c>
      <c r="DD184" s="641">
        <v>0.5</v>
      </c>
      <c r="DE184" s="641">
        <v>0.4</v>
      </c>
      <c r="DF184" s="641">
        <v>0.09</v>
      </c>
      <c r="DG184" s="641">
        <v>0.01</v>
      </c>
      <c r="DH184" s="641">
        <v>1</v>
      </c>
      <c r="DI184" s="214" t="s">
        <v>1190</v>
      </c>
    </row>
    <row r="185" spans="2:113" s="214" customFormat="1" x14ac:dyDescent="0.2">
      <c r="B185" s="609" t="s">
        <v>452</v>
      </c>
      <c r="C185" s="609" t="s">
        <v>451</v>
      </c>
      <c r="D185" s="239">
        <v>33262547</v>
      </c>
      <c r="E185" s="239">
        <v>32597297</v>
      </c>
      <c r="F185" s="239">
        <v>0</v>
      </c>
      <c r="G185" s="239">
        <v>665251</v>
      </c>
      <c r="H185" s="239">
        <v>66525095</v>
      </c>
      <c r="I185" s="239">
        <v>66678.611570247929</v>
      </c>
      <c r="J185" s="239">
        <v>66678.611570247929</v>
      </c>
      <c r="K185" s="239">
        <v>33195868.388429753</v>
      </c>
      <c r="L185" s="239">
        <v>235530</v>
      </c>
      <c r="M185" s="239">
        <v>235530</v>
      </c>
      <c r="N185" s="239">
        <v>0</v>
      </c>
      <c r="O185" s="239">
        <v>0</v>
      </c>
      <c r="P185" s="239">
        <v>96790</v>
      </c>
      <c r="Q185" s="239">
        <v>0</v>
      </c>
      <c r="R185" s="239">
        <v>96790</v>
      </c>
      <c r="S185" s="239">
        <v>66678.611570247929</v>
      </c>
      <c r="T185" s="239">
        <v>0</v>
      </c>
      <c r="U185" s="239">
        <v>0</v>
      </c>
      <c r="V185" s="239">
        <v>66678.611570247929</v>
      </c>
      <c r="W185" s="239">
        <v>2927161</v>
      </c>
      <c r="X185" s="239">
        <v>2868618</v>
      </c>
      <c r="Y185" s="239">
        <v>0</v>
      </c>
      <c r="Z185" s="239">
        <v>58543</v>
      </c>
      <c r="AA185" s="239">
        <v>5854322</v>
      </c>
      <c r="AB185" s="239">
        <v>-1516348</v>
      </c>
      <c r="AC185" s="239">
        <v>-1486021</v>
      </c>
      <c r="AD185" s="239">
        <v>0</v>
      </c>
      <c r="AE185" s="239">
        <v>-30327</v>
      </c>
      <c r="AF185" s="239">
        <v>-3032696</v>
      </c>
      <c r="AG185" s="239">
        <v>-1061143</v>
      </c>
      <c r="AH185" s="239">
        <v>-1039918</v>
      </c>
      <c r="AI185" s="239">
        <v>0</v>
      </c>
      <c r="AJ185" s="239">
        <v>-21223</v>
      </c>
      <c r="AK185" s="239">
        <v>-2122284</v>
      </c>
      <c r="AL185" s="239">
        <v>112167</v>
      </c>
      <c r="AM185" s="239">
        <v>109923</v>
      </c>
      <c r="AN185" s="239">
        <v>0</v>
      </c>
      <c r="AO185" s="239">
        <v>2243</v>
      </c>
      <c r="AP185" s="239">
        <v>224333</v>
      </c>
      <c r="AQ185" s="239">
        <v>-222577</v>
      </c>
      <c r="AR185" s="239">
        <v>-218126</v>
      </c>
      <c r="AS185" s="239">
        <v>0</v>
      </c>
      <c r="AT185" s="239">
        <v>-4452</v>
      </c>
      <c r="AU185" s="239">
        <v>-445155</v>
      </c>
      <c r="AV185" s="239">
        <v>-1171553</v>
      </c>
      <c r="AW185" s="239">
        <v>-1148121</v>
      </c>
      <c r="AX185" s="239">
        <v>0</v>
      </c>
      <c r="AY185" s="239">
        <v>-23432</v>
      </c>
      <c r="AZ185" s="239">
        <v>-2343106</v>
      </c>
      <c r="BA185" s="239">
        <v>-8344064.9000000004</v>
      </c>
      <c r="BB185" s="239">
        <v>-8177183</v>
      </c>
      <c r="BC185" s="239">
        <v>0</v>
      </c>
      <c r="BD185" s="239">
        <v>-166882</v>
      </c>
      <c r="BE185" s="239">
        <v>-16688129</v>
      </c>
      <c r="BF185" s="239">
        <v>4081487</v>
      </c>
      <c r="BG185" s="239">
        <v>3999857</v>
      </c>
      <c r="BH185" s="239">
        <v>0</v>
      </c>
      <c r="BI185" s="239">
        <v>81630</v>
      </c>
      <c r="BJ185" s="239">
        <v>8162974</v>
      </c>
      <c r="BK185" s="239">
        <v>-3291328</v>
      </c>
      <c r="BL185" s="239">
        <v>-3225502</v>
      </c>
      <c r="BM185" s="239">
        <v>0</v>
      </c>
      <c r="BN185" s="239">
        <v>-65827</v>
      </c>
      <c r="BO185" s="239">
        <v>-6582657</v>
      </c>
      <c r="BP185" s="239">
        <v>-7553905.9000000004</v>
      </c>
      <c r="BQ185" s="239">
        <v>-7402828</v>
      </c>
      <c r="BR185" s="239">
        <v>0</v>
      </c>
      <c r="BS185" s="239">
        <v>-151079</v>
      </c>
      <c r="BT185" s="239">
        <v>-15107812</v>
      </c>
      <c r="BU185" s="239">
        <v>-1129174</v>
      </c>
      <c r="BV185" s="239">
        <v>-1106590</v>
      </c>
      <c r="BW185" s="239">
        <v>0</v>
      </c>
      <c r="BX185" s="239">
        <v>-22583</v>
      </c>
      <c r="BY185" s="239">
        <v>-2258347</v>
      </c>
      <c r="BZ185" s="239">
        <v>-1087573</v>
      </c>
      <c r="CA185" s="239">
        <v>-1065821</v>
      </c>
      <c r="CB185" s="239">
        <v>0</v>
      </c>
      <c r="CC185" s="239">
        <v>-21751</v>
      </c>
      <c r="CD185" s="239">
        <v>-2175145</v>
      </c>
      <c r="CE185" s="239">
        <v>-41601</v>
      </c>
      <c r="CF185" s="239">
        <v>-40769</v>
      </c>
      <c r="CG185" s="239">
        <v>0</v>
      </c>
      <c r="CH185" s="239">
        <v>-832</v>
      </c>
      <c r="CI185" s="239">
        <v>-83202</v>
      </c>
      <c r="CJ185" s="239">
        <v>33654051</v>
      </c>
      <c r="CK185" s="239">
        <v>32980970</v>
      </c>
      <c r="CL185" s="239">
        <v>0</v>
      </c>
      <c r="CM185" s="239">
        <v>673081</v>
      </c>
      <c r="CN185" s="239">
        <v>67308102</v>
      </c>
      <c r="CO185" s="239">
        <v>33262547</v>
      </c>
      <c r="CP185" s="239">
        <v>32597297</v>
      </c>
      <c r="CQ185" s="239">
        <v>0</v>
      </c>
      <c r="CR185" s="239">
        <v>665251</v>
      </c>
      <c r="CS185" s="239">
        <v>66525095</v>
      </c>
      <c r="CT185" s="239">
        <v>-391504</v>
      </c>
      <c r="CU185" s="239">
        <v>-383673</v>
      </c>
      <c r="CV185" s="239">
        <v>0</v>
      </c>
      <c r="CW185" s="239">
        <v>-7830</v>
      </c>
      <c r="CX185" s="239">
        <v>-783007</v>
      </c>
      <c r="CY185" s="239">
        <v>-433105</v>
      </c>
      <c r="CZ185" s="239">
        <v>-424442</v>
      </c>
      <c r="DA185" s="239">
        <v>0</v>
      </c>
      <c r="DB185" s="239">
        <v>-8662</v>
      </c>
      <c r="DC185" s="239">
        <v>-866209</v>
      </c>
      <c r="DD185" s="641">
        <v>0.5</v>
      </c>
      <c r="DE185" s="641">
        <v>0.49</v>
      </c>
      <c r="DF185" s="641">
        <v>0</v>
      </c>
      <c r="DG185" s="641">
        <v>0.01</v>
      </c>
      <c r="DH185" s="641">
        <v>1</v>
      </c>
      <c r="DI185" s="214" t="s">
        <v>747</v>
      </c>
    </row>
    <row r="186" spans="2:113" s="214" customFormat="1" x14ac:dyDescent="0.2">
      <c r="B186" s="609" t="s">
        <v>454</v>
      </c>
      <c r="C186" s="609" t="s">
        <v>453</v>
      </c>
      <c r="D186" s="239">
        <v>19085164</v>
      </c>
      <c r="E186" s="239">
        <v>15268132</v>
      </c>
      <c r="F186" s="239">
        <v>3817033</v>
      </c>
      <c r="G186" s="239">
        <v>0</v>
      </c>
      <c r="H186" s="239">
        <v>38170329</v>
      </c>
      <c r="I186" s="239">
        <v>0</v>
      </c>
      <c r="J186" s="239">
        <v>0</v>
      </c>
      <c r="K186" s="239">
        <v>19085164</v>
      </c>
      <c r="L186" s="239">
        <v>180409</v>
      </c>
      <c r="M186" s="239">
        <v>180409</v>
      </c>
      <c r="N186" s="239">
        <v>0</v>
      </c>
      <c r="O186" s="239">
        <v>0</v>
      </c>
      <c r="P186" s="239">
        <v>54086</v>
      </c>
      <c r="Q186" s="239">
        <v>0</v>
      </c>
      <c r="R186" s="239">
        <v>54086</v>
      </c>
      <c r="S186" s="239">
        <v>0</v>
      </c>
      <c r="T186" s="239">
        <v>0</v>
      </c>
      <c r="U186" s="239">
        <v>0</v>
      </c>
      <c r="V186" s="239">
        <v>0</v>
      </c>
      <c r="W186" s="239">
        <v>717132</v>
      </c>
      <c r="X186" s="239">
        <v>573706</v>
      </c>
      <c r="Y186" s="239">
        <v>143427</v>
      </c>
      <c r="Z186" s="239">
        <v>0</v>
      </c>
      <c r="AA186" s="239">
        <v>1434265</v>
      </c>
      <c r="AB186" s="239">
        <v>-373693</v>
      </c>
      <c r="AC186" s="239">
        <v>-298955</v>
      </c>
      <c r="AD186" s="239">
        <v>-74739</v>
      </c>
      <c r="AE186" s="239">
        <v>0</v>
      </c>
      <c r="AF186" s="239">
        <v>-747387</v>
      </c>
      <c r="AG186" s="239">
        <v>-64891</v>
      </c>
      <c r="AH186" s="239">
        <v>-51912</v>
      </c>
      <c r="AI186" s="239">
        <v>-12977</v>
      </c>
      <c r="AJ186" s="239">
        <v>0</v>
      </c>
      <c r="AK186" s="239">
        <v>-129780</v>
      </c>
      <c r="AL186" s="239">
        <v>-228393</v>
      </c>
      <c r="AM186" s="239">
        <v>-182714</v>
      </c>
      <c r="AN186" s="239">
        <v>-45679</v>
      </c>
      <c r="AO186" s="239">
        <v>0</v>
      </c>
      <c r="AP186" s="239">
        <v>-456786</v>
      </c>
      <c r="AQ186" s="239">
        <v>-194741</v>
      </c>
      <c r="AR186" s="239">
        <v>-155792</v>
      </c>
      <c r="AS186" s="239">
        <v>-38948</v>
      </c>
      <c r="AT186" s="239">
        <v>0</v>
      </c>
      <c r="AU186" s="239">
        <v>-389481</v>
      </c>
      <c r="AV186" s="239">
        <v>-488025</v>
      </c>
      <c r="AW186" s="239">
        <v>-390418</v>
      </c>
      <c r="AX186" s="239">
        <v>-97604</v>
      </c>
      <c r="AY186" s="239">
        <v>0</v>
      </c>
      <c r="AZ186" s="239">
        <v>-976047</v>
      </c>
      <c r="BA186" s="239">
        <v>-1137700</v>
      </c>
      <c r="BB186" s="239">
        <v>-910160</v>
      </c>
      <c r="BC186" s="239">
        <v>-227540</v>
      </c>
      <c r="BD186" s="239">
        <v>0</v>
      </c>
      <c r="BE186" s="239">
        <v>-2275400</v>
      </c>
      <c r="BF186" s="239">
        <v>614577</v>
      </c>
      <c r="BG186" s="239">
        <v>491661</v>
      </c>
      <c r="BH186" s="239">
        <v>122915</v>
      </c>
      <c r="BI186" s="239">
        <v>0</v>
      </c>
      <c r="BJ186" s="239">
        <v>1229153</v>
      </c>
      <c r="BK186" s="239">
        <v>-637312</v>
      </c>
      <c r="BL186" s="239">
        <v>-509850</v>
      </c>
      <c r="BM186" s="239">
        <v>-127463</v>
      </c>
      <c r="BN186" s="239">
        <v>0</v>
      </c>
      <c r="BO186" s="239">
        <v>-1274625</v>
      </c>
      <c r="BP186" s="239">
        <v>-1160435</v>
      </c>
      <c r="BQ186" s="239">
        <v>-928349</v>
      </c>
      <c r="BR186" s="239">
        <v>-232088</v>
      </c>
      <c r="BS186" s="239">
        <v>0</v>
      </c>
      <c r="BT186" s="239">
        <v>-2320872</v>
      </c>
      <c r="BU186" s="239">
        <v>-716607</v>
      </c>
      <c r="BV186" s="239">
        <v>-573286</v>
      </c>
      <c r="BW186" s="239">
        <v>-143322</v>
      </c>
      <c r="BX186" s="239">
        <v>0</v>
      </c>
      <c r="BY186" s="239">
        <v>-1433215</v>
      </c>
      <c r="BZ186" s="239">
        <v>-256702</v>
      </c>
      <c r="CA186" s="239">
        <v>-205362</v>
      </c>
      <c r="CB186" s="239">
        <v>-51340</v>
      </c>
      <c r="CC186" s="239">
        <v>0</v>
      </c>
      <c r="CD186" s="239">
        <v>-513404</v>
      </c>
      <c r="CE186" s="239">
        <v>-459905</v>
      </c>
      <c r="CF186" s="239">
        <v>-367924</v>
      </c>
      <c r="CG186" s="239">
        <v>-91982</v>
      </c>
      <c r="CH186" s="239">
        <v>0</v>
      </c>
      <c r="CI186" s="239">
        <v>-919811</v>
      </c>
      <c r="CJ186" s="239">
        <v>19650344</v>
      </c>
      <c r="CK186" s="239">
        <v>15720275</v>
      </c>
      <c r="CL186" s="239">
        <v>3930069</v>
      </c>
      <c r="CM186" s="239">
        <v>0</v>
      </c>
      <c r="CN186" s="239">
        <v>39300688</v>
      </c>
      <c r="CO186" s="239">
        <v>19085164</v>
      </c>
      <c r="CP186" s="239">
        <v>15268132</v>
      </c>
      <c r="CQ186" s="239">
        <v>3817033</v>
      </c>
      <c r="CR186" s="239">
        <v>0</v>
      </c>
      <c r="CS186" s="239">
        <v>38170329</v>
      </c>
      <c r="CT186" s="239">
        <v>-565180</v>
      </c>
      <c r="CU186" s="239">
        <v>-452143</v>
      </c>
      <c r="CV186" s="239">
        <v>-113036</v>
      </c>
      <c r="CW186" s="239">
        <v>0</v>
      </c>
      <c r="CX186" s="239">
        <v>-1130359</v>
      </c>
      <c r="CY186" s="239">
        <v>-1025085</v>
      </c>
      <c r="CZ186" s="239">
        <v>-820067</v>
      </c>
      <c r="DA186" s="239">
        <v>-205018</v>
      </c>
      <c r="DB186" s="239">
        <v>0</v>
      </c>
      <c r="DC186" s="239">
        <v>-2050170</v>
      </c>
      <c r="DD186" s="641">
        <v>0.5</v>
      </c>
      <c r="DE186" s="641">
        <v>0.4</v>
      </c>
      <c r="DF186" s="641">
        <v>0.1</v>
      </c>
      <c r="DG186" s="641">
        <v>0</v>
      </c>
      <c r="DH186" s="641">
        <v>1</v>
      </c>
      <c r="DI186" s="214" t="s">
        <v>1190</v>
      </c>
    </row>
    <row r="187" spans="2:113" s="214" customFormat="1" x14ac:dyDescent="0.2">
      <c r="B187" s="609" t="s">
        <v>456</v>
      </c>
      <c r="C187" s="609" t="s">
        <v>455</v>
      </c>
      <c r="D187" s="239">
        <v>12182630</v>
      </c>
      <c r="E187" s="239">
        <v>9746104</v>
      </c>
      <c r="F187" s="239">
        <v>2436526</v>
      </c>
      <c r="G187" s="239">
        <v>0</v>
      </c>
      <c r="H187" s="239">
        <v>24365260</v>
      </c>
      <c r="I187" s="239">
        <v>0</v>
      </c>
      <c r="J187" s="239">
        <v>0</v>
      </c>
      <c r="K187" s="239">
        <v>12182630</v>
      </c>
      <c r="L187" s="239">
        <v>124592</v>
      </c>
      <c r="M187" s="239">
        <v>124592</v>
      </c>
      <c r="N187" s="239">
        <v>0</v>
      </c>
      <c r="O187" s="239">
        <v>0</v>
      </c>
      <c r="P187" s="239">
        <v>1377863</v>
      </c>
      <c r="Q187" s="239">
        <v>133100</v>
      </c>
      <c r="R187" s="239">
        <v>1510963</v>
      </c>
      <c r="S187" s="239">
        <v>0</v>
      </c>
      <c r="T187" s="239">
        <v>0</v>
      </c>
      <c r="U187" s="239">
        <v>0</v>
      </c>
      <c r="V187" s="239">
        <v>0</v>
      </c>
      <c r="W187" s="239">
        <v>321651</v>
      </c>
      <c r="X187" s="239">
        <v>257321</v>
      </c>
      <c r="Y187" s="239">
        <v>64330</v>
      </c>
      <c r="Z187" s="239">
        <v>0</v>
      </c>
      <c r="AA187" s="239">
        <v>643302</v>
      </c>
      <c r="AB187" s="239">
        <v>-366242</v>
      </c>
      <c r="AC187" s="239">
        <v>-292994</v>
      </c>
      <c r="AD187" s="239">
        <v>-73248</v>
      </c>
      <c r="AE187" s="239">
        <v>0</v>
      </c>
      <c r="AF187" s="239">
        <v>-732484</v>
      </c>
      <c r="AG187" s="239">
        <v>-98387</v>
      </c>
      <c r="AH187" s="239">
        <v>-78709</v>
      </c>
      <c r="AI187" s="239">
        <v>-19677</v>
      </c>
      <c r="AJ187" s="239">
        <v>0</v>
      </c>
      <c r="AK187" s="239">
        <v>-196773</v>
      </c>
      <c r="AL187" s="239">
        <v>85337</v>
      </c>
      <c r="AM187" s="239">
        <v>68270</v>
      </c>
      <c r="AN187" s="239">
        <v>17068</v>
      </c>
      <c r="AO187" s="239">
        <v>0</v>
      </c>
      <c r="AP187" s="239">
        <v>170675</v>
      </c>
      <c r="AQ187" s="239">
        <v>-72047</v>
      </c>
      <c r="AR187" s="239">
        <v>-57638</v>
      </c>
      <c r="AS187" s="239">
        <v>-14409</v>
      </c>
      <c r="AT187" s="239">
        <v>0</v>
      </c>
      <c r="AU187" s="239">
        <v>-144094</v>
      </c>
      <c r="AV187" s="239">
        <v>-85097</v>
      </c>
      <c r="AW187" s="239">
        <v>-68077</v>
      </c>
      <c r="AX187" s="239">
        <v>-17018</v>
      </c>
      <c r="AY187" s="239">
        <v>0</v>
      </c>
      <c r="AZ187" s="239">
        <v>-170192</v>
      </c>
      <c r="BA187" s="239">
        <v>-1833251</v>
      </c>
      <c r="BB187" s="239">
        <v>-1466600</v>
      </c>
      <c r="BC187" s="239">
        <v>-366650</v>
      </c>
      <c r="BD187" s="239">
        <v>0</v>
      </c>
      <c r="BE187" s="239">
        <v>-3666501</v>
      </c>
      <c r="BF187" s="239">
        <v>187517</v>
      </c>
      <c r="BG187" s="239">
        <v>150014</v>
      </c>
      <c r="BH187" s="239">
        <v>37503</v>
      </c>
      <c r="BI187" s="239">
        <v>0</v>
      </c>
      <c r="BJ187" s="239">
        <v>375034</v>
      </c>
      <c r="BK187" s="239">
        <v>-218627</v>
      </c>
      <c r="BL187" s="239">
        <v>-174901</v>
      </c>
      <c r="BM187" s="239">
        <v>-43725</v>
      </c>
      <c r="BN187" s="239">
        <v>0</v>
      </c>
      <c r="BO187" s="239">
        <v>-437253</v>
      </c>
      <c r="BP187" s="239">
        <v>-1864361</v>
      </c>
      <c r="BQ187" s="239">
        <v>-1491487</v>
      </c>
      <c r="BR187" s="239">
        <v>-372872</v>
      </c>
      <c r="BS187" s="239">
        <v>0</v>
      </c>
      <c r="BT187" s="239">
        <v>-3728720</v>
      </c>
      <c r="BU187" s="239">
        <v>-3255968</v>
      </c>
      <c r="BV187" s="239">
        <v>-2604775</v>
      </c>
      <c r="BW187" s="239">
        <v>-651194</v>
      </c>
      <c r="BX187" s="239">
        <v>0</v>
      </c>
      <c r="BY187" s="239">
        <v>-6511937</v>
      </c>
      <c r="BZ187" s="239">
        <v>-2241681</v>
      </c>
      <c r="CA187" s="239">
        <v>-1793345</v>
      </c>
      <c r="CB187" s="239">
        <v>-448336</v>
      </c>
      <c r="CC187" s="239">
        <v>0</v>
      </c>
      <c r="CD187" s="239">
        <v>-4483362</v>
      </c>
      <c r="CE187" s="239">
        <v>-1014287</v>
      </c>
      <c r="CF187" s="239">
        <v>-811430</v>
      </c>
      <c r="CG187" s="239">
        <v>-202858</v>
      </c>
      <c r="CH187" s="239">
        <v>0</v>
      </c>
      <c r="CI187" s="239">
        <v>-2028575</v>
      </c>
      <c r="CJ187" s="239">
        <v>12135512</v>
      </c>
      <c r="CK187" s="239">
        <v>9708409</v>
      </c>
      <c r="CL187" s="239">
        <v>2427102</v>
      </c>
      <c r="CM187" s="239">
        <v>0</v>
      </c>
      <c r="CN187" s="239">
        <v>24271023</v>
      </c>
      <c r="CO187" s="239">
        <v>12182630</v>
      </c>
      <c r="CP187" s="239">
        <v>9746104</v>
      </c>
      <c r="CQ187" s="239">
        <v>2436526</v>
      </c>
      <c r="CR187" s="239">
        <v>0</v>
      </c>
      <c r="CS187" s="239">
        <v>24365260</v>
      </c>
      <c r="CT187" s="239">
        <v>47118</v>
      </c>
      <c r="CU187" s="239">
        <v>37695</v>
      </c>
      <c r="CV187" s="239">
        <v>9424</v>
      </c>
      <c r="CW187" s="239">
        <v>0</v>
      </c>
      <c r="CX187" s="239">
        <v>94237</v>
      </c>
      <c r="CY187" s="239">
        <v>-967169</v>
      </c>
      <c r="CZ187" s="239">
        <v>-773735</v>
      </c>
      <c r="DA187" s="239">
        <v>-193434</v>
      </c>
      <c r="DB187" s="239">
        <v>0</v>
      </c>
      <c r="DC187" s="239">
        <v>-1934338</v>
      </c>
      <c r="DD187" s="641">
        <v>0.5</v>
      </c>
      <c r="DE187" s="641">
        <v>0.4</v>
      </c>
      <c r="DF187" s="641">
        <v>0.1</v>
      </c>
      <c r="DG187" s="641">
        <v>0</v>
      </c>
      <c r="DH187" s="641">
        <v>1</v>
      </c>
      <c r="DI187" s="214" t="s">
        <v>1190</v>
      </c>
    </row>
    <row r="188" spans="2:113" s="214" customFormat="1" x14ac:dyDescent="0.2">
      <c r="B188" s="609" t="s">
        <v>458</v>
      </c>
      <c r="C188" s="609" t="s">
        <v>457</v>
      </c>
      <c r="D188" s="239">
        <v>41382126</v>
      </c>
      <c r="E188" s="239">
        <v>40554484</v>
      </c>
      <c r="F188" s="239">
        <v>0</v>
      </c>
      <c r="G188" s="239">
        <v>827643</v>
      </c>
      <c r="H188" s="239">
        <v>82764253</v>
      </c>
      <c r="I188" s="239">
        <v>0</v>
      </c>
      <c r="J188" s="239">
        <v>0</v>
      </c>
      <c r="K188" s="239">
        <v>41382126</v>
      </c>
      <c r="L188" s="239">
        <v>253641</v>
      </c>
      <c r="M188" s="239">
        <v>253641</v>
      </c>
      <c r="N188" s="239">
        <v>1049961</v>
      </c>
      <c r="O188" s="239">
        <v>1049961</v>
      </c>
      <c r="P188" s="239">
        <v>2485795</v>
      </c>
      <c r="Q188" s="239">
        <v>0</v>
      </c>
      <c r="R188" s="239">
        <v>2485795</v>
      </c>
      <c r="S188" s="239">
        <v>0</v>
      </c>
      <c r="T188" s="239">
        <v>0</v>
      </c>
      <c r="U188" s="239">
        <v>0</v>
      </c>
      <c r="V188" s="239">
        <v>0</v>
      </c>
      <c r="W188" s="239">
        <v>2046843</v>
      </c>
      <c r="X188" s="239">
        <v>2005906</v>
      </c>
      <c r="Y188" s="239">
        <v>0</v>
      </c>
      <c r="Z188" s="239">
        <v>40937</v>
      </c>
      <c r="AA188" s="239">
        <v>4093686</v>
      </c>
      <c r="AB188" s="239">
        <v>-129016</v>
      </c>
      <c r="AC188" s="239">
        <v>-126436</v>
      </c>
      <c r="AD188" s="239">
        <v>0</v>
      </c>
      <c r="AE188" s="239">
        <v>-2580</v>
      </c>
      <c r="AF188" s="239">
        <v>-258032</v>
      </c>
      <c r="AG188" s="239">
        <v>-529000</v>
      </c>
      <c r="AH188" s="239">
        <v>-518420</v>
      </c>
      <c r="AI188" s="239">
        <v>0</v>
      </c>
      <c r="AJ188" s="239">
        <v>-10580</v>
      </c>
      <c r="AK188" s="239">
        <v>-1058000</v>
      </c>
      <c r="AL188" s="239">
        <v>415671</v>
      </c>
      <c r="AM188" s="239">
        <v>407357</v>
      </c>
      <c r="AN188" s="239">
        <v>0</v>
      </c>
      <c r="AO188" s="239">
        <v>8313</v>
      </c>
      <c r="AP188" s="239">
        <v>831341</v>
      </c>
      <c r="AQ188" s="239">
        <v>-758671</v>
      </c>
      <c r="AR188" s="239">
        <v>-743497</v>
      </c>
      <c r="AS188" s="239">
        <v>0</v>
      </c>
      <c r="AT188" s="239">
        <v>-15173</v>
      </c>
      <c r="AU188" s="239">
        <v>-1517341</v>
      </c>
      <c r="AV188" s="239">
        <v>-872000</v>
      </c>
      <c r="AW188" s="239">
        <v>-854560</v>
      </c>
      <c r="AX188" s="239">
        <v>0</v>
      </c>
      <c r="AY188" s="239">
        <v>-17440</v>
      </c>
      <c r="AZ188" s="239">
        <v>-1744000</v>
      </c>
      <c r="BA188" s="239">
        <v>-3719795</v>
      </c>
      <c r="BB188" s="239">
        <v>-3645400</v>
      </c>
      <c r="BC188" s="239">
        <v>0</v>
      </c>
      <c r="BD188" s="239">
        <v>-74395</v>
      </c>
      <c r="BE188" s="239">
        <v>-7439590</v>
      </c>
      <c r="BF188" s="239">
        <v>2160099</v>
      </c>
      <c r="BG188" s="239">
        <v>2116898</v>
      </c>
      <c r="BH188" s="239">
        <v>0</v>
      </c>
      <c r="BI188" s="239">
        <v>43202</v>
      </c>
      <c r="BJ188" s="239">
        <v>4320199</v>
      </c>
      <c r="BK188" s="239">
        <v>-3368805</v>
      </c>
      <c r="BL188" s="239">
        <v>-3301428</v>
      </c>
      <c r="BM188" s="239">
        <v>0</v>
      </c>
      <c r="BN188" s="239">
        <v>-67376</v>
      </c>
      <c r="BO188" s="239">
        <v>-6737609</v>
      </c>
      <c r="BP188" s="239">
        <v>-4928501</v>
      </c>
      <c r="BQ188" s="239">
        <v>-4829930</v>
      </c>
      <c r="BR188" s="239">
        <v>0</v>
      </c>
      <c r="BS188" s="239">
        <v>-98569</v>
      </c>
      <c r="BT188" s="239">
        <v>-9857000</v>
      </c>
      <c r="BU188" s="239">
        <v>-3017630</v>
      </c>
      <c r="BV188" s="239">
        <v>-2957277</v>
      </c>
      <c r="BW188" s="239">
        <v>0</v>
      </c>
      <c r="BX188" s="239">
        <v>-60353</v>
      </c>
      <c r="BY188" s="239">
        <v>-6035260</v>
      </c>
      <c r="BZ188" s="239">
        <v>-1655574</v>
      </c>
      <c r="CA188" s="239">
        <v>-1622462</v>
      </c>
      <c r="CB188" s="239">
        <v>0</v>
      </c>
      <c r="CC188" s="239">
        <v>-33111</v>
      </c>
      <c r="CD188" s="239">
        <v>-3311147</v>
      </c>
      <c r="CE188" s="239">
        <v>-1362056</v>
      </c>
      <c r="CF188" s="239">
        <v>-1334815</v>
      </c>
      <c r="CG188" s="239">
        <v>0</v>
      </c>
      <c r="CH188" s="239">
        <v>-27242</v>
      </c>
      <c r="CI188" s="239">
        <v>-2724113</v>
      </c>
      <c r="CJ188" s="239">
        <v>44612124</v>
      </c>
      <c r="CK188" s="239">
        <v>43719882</v>
      </c>
      <c r="CL188" s="239">
        <v>0</v>
      </c>
      <c r="CM188" s="239">
        <v>892242</v>
      </c>
      <c r="CN188" s="239">
        <v>89224248</v>
      </c>
      <c r="CO188" s="239">
        <v>41382126</v>
      </c>
      <c r="CP188" s="239">
        <v>40554484</v>
      </c>
      <c r="CQ188" s="239">
        <v>0</v>
      </c>
      <c r="CR188" s="239">
        <v>827643</v>
      </c>
      <c r="CS188" s="239">
        <v>82764253</v>
      </c>
      <c r="CT188" s="239">
        <v>-3229998</v>
      </c>
      <c r="CU188" s="239">
        <v>-3165398</v>
      </c>
      <c r="CV188" s="239">
        <v>0</v>
      </c>
      <c r="CW188" s="239">
        <v>-64599</v>
      </c>
      <c r="CX188" s="239">
        <v>-6459995</v>
      </c>
      <c r="CY188" s="239">
        <v>-4592054</v>
      </c>
      <c r="CZ188" s="239">
        <v>-4500213</v>
      </c>
      <c r="DA188" s="239">
        <v>0</v>
      </c>
      <c r="DB188" s="239">
        <v>-91841</v>
      </c>
      <c r="DC188" s="239">
        <v>-9184108</v>
      </c>
      <c r="DD188" s="641">
        <v>0.5</v>
      </c>
      <c r="DE188" s="641">
        <v>0.49</v>
      </c>
      <c r="DF188" s="641">
        <v>0</v>
      </c>
      <c r="DG188" s="641">
        <v>0.01</v>
      </c>
      <c r="DH188" s="641">
        <v>1</v>
      </c>
      <c r="DI188" s="214" t="s">
        <v>747</v>
      </c>
    </row>
    <row r="189" spans="2:113" s="214" customFormat="1" x14ac:dyDescent="0.2">
      <c r="B189" s="609" t="s">
        <v>460</v>
      </c>
      <c r="C189" s="609" t="s">
        <v>459</v>
      </c>
      <c r="D189" s="239">
        <v>12384667</v>
      </c>
      <c r="E189" s="239">
        <v>9907734</v>
      </c>
      <c r="F189" s="239">
        <v>2476933</v>
      </c>
      <c r="G189" s="239">
        <v>0</v>
      </c>
      <c r="H189" s="239">
        <v>24769334</v>
      </c>
      <c r="I189" s="239">
        <v>77239.169421487604</v>
      </c>
      <c r="J189" s="239">
        <v>77239.169421487604</v>
      </c>
      <c r="K189" s="239">
        <v>12307427.830578512</v>
      </c>
      <c r="L189" s="239">
        <v>242025</v>
      </c>
      <c r="M189" s="239">
        <v>242025</v>
      </c>
      <c r="N189" s="239">
        <v>0</v>
      </c>
      <c r="O189" s="239">
        <v>0</v>
      </c>
      <c r="P189" s="239">
        <v>599879</v>
      </c>
      <c r="Q189" s="239">
        <v>0</v>
      </c>
      <c r="R189" s="239">
        <v>599879</v>
      </c>
      <c r="S189" s="239">
        <v>77239.169421487604</v>
      </c>
      <c r="T189" s="239">
        <v>0</v>
      </c>
      <c r="U189" s="239">
        <v>0</v>
      </c>
      <c r="V189" s="239">
        <v>77239.169421487604</v>
      </c>
      <c r="W189" s="239">
        <v>165959</v>
      </c>
      <c r="X189" s="239">
        <v>132768</v>
      </c>
      <c r="Y189" s="239">
        <v>33192</v>
      </c>
      <c r="Z189" s="239">
        <v>0</v>
      </c>
      <c r="AA189" s="239">
        <v>331919</v>
      </c>
      <c r="AB189" s="239">
        <v>-142288</v>
      </c>
      <c r="AC189" s="239">
        <v>-113830</v>
      </c>
      <c r="AD189" s="239">
        <v>-28458</v>
      </c>
      <c r="AE189" s="239">
        <v>0</v>
      </c>
      <c r="AF189" s="239">
        <v>-284576</v>
      </c>
      <c r="AG189" s="239">
        <v>-100373</v>
      </c>
      <c r="AH189" s="239">
        <v>-80299</v>
      </c>
      <c r="AI189" s="239">
        <v>-20074</v>
      </c>
      <c r="AJ189" s="239">
        <v>0</v>
      </c>
      <c r="AK189" s="239">
        <v>-200746</v>
      </c>
      <c r="AL189" s="239">
        <v>24137</v>
      </c>
      <c r="AM189" s="239">
        <v>19310</v>
      </c>
      <c r="AN189" s="239">
        <v>4828</v>
      </c>
      <c r="AO189" s="239">
        <v>0</v>
      </c>
      <c r="AP189" s="239">
        <v>48275</v>
      </c>
      <c r="AQ189" s="239">
        <v>-18848</v>
      </c>
      <c r="AR189" s="239">
        <v>-15078</v>
      </c>
      <c r="AS189" s="239">
        <v>-3770</v>
      </c>
      <c r="AT189" s="239">
        <v>0</v>
      </c>
      <c r="AU189" s="239">
        <v>-37696</v>
      </c>
      <c r="AV189" s="239">
        <v>-95084</v>
      </c>
      <c r="AW189" s="239">
        <v>-76067</v>
      </c>
      <c r="AX189" s="239">
        <v>-19016</v>
      </c>
      <c r="AY189" s="239">
        <v>0</v>
      </c>
      <c r="AZ189" s="239">
        <v>-190167</v>
      </c>
      <c r="BA189" s="239">
        <v>-1067932</v>
      </c>
      <c r="BB189" s="239">
        <v>-854344</v>
      </c>
      <c r="BC189" s="239">
        <v>-213585</v>
      </c>
      <c r="BD189" s="239">
        <v>0</v>
      </c>
      <c r="BE189" s="239">
        <v>-2135861</v>
      </c>
      <c r="BF189" s="239">
        <v>345890</v>
      </c>
      <c r="BG189" s="239">
        <v>276712</v>
      </c>
      <c r="BH189" s="239">
        <v>69178</v>
      </c>
      <c r="BI189" s="239">
        <v>0</v>
      </c>
      <c r="BJ189" s="239">
        <v>691780</v>
      </c>
      <c r="BK189" s="239">
        <v>-231656</v>
      </c>
      <c r="BL189" s="239">
        <v>-185325</v>
      </c>
      <c r="BM189" s="239">
        <v>-46331</v>
      </c>
      <c r="BN189" s="239">
        <v>0</v>
      </c>
      <c r="BO189" s="239">
        <v>-463312</v>
      </c>
      <c r="BP189" s="239">
        <v>-953698</v>
      </c>
      <c r="BQ189" s="239">
        <v>-762957</v>
      </c>
      <c r="BR189" s="239">
        <v>-190738</v>
      </c>
      <c r="BS189" s="239">
        <v>0</v>
      </c>
      <c r="BT189" s="239">
        <v>-1907393</v>
      </c>
      <c r="BU189" s="239">
        <v>-1158572</v>
      </c>
      <c r="BV189" s="239">
        <v>-926857</v>
      </c>
      <c r="BW189" s="239">
        <v>-231714</v>
      </c>
      <c r="BX189" s="239">
        <v>0</v>
      </c>
      <c r="BY189" s="239">
        <v>-2317143</v>
      </c>
      <c r="BZ189" s="239">
        <v>-944676</v>
      </c>
      <c r="CA189" s="239">
        <v>-755741</v>
      </c>
      <c r="CB189" s="239">
        <v>-188935</v>
      </c>
      <c r="CC189" s="239">
        <v>0</v>
      </c>
      <c r="CD189" s="239">
        <v>-1889352</v>
      </c>
      <c r="CE189" s="239">
        <v>-213896</v>
      </c>
      <c r="CF189" s="239">
        <v>-171116</v>
      </c>
      <c r="CG189" s="239">
        <v>-42779</v>
      </c>
      <c r="CH189" s="239">
        <v>0</v>
      </c>
      <c r="CI189" s="239">
        <v>-427791</v>
      </c>
      <c r="CJ189" s="239">
        <v>12482742</v>
      </c>
      <c r="CK189" s="239">
        <v>9986193</v>
      </c>
      <c r="CL189" s="239">
        <v>2496548</v>
      </c>
      <c r="CM189" s="239">
        <v>0</v>
      </c>
      <c r="CN189" s="239">
        <v>24965483</v>
      </c>
      <c r="CO189" s="239">
        <v>12384667</v>
      </c>
      <c r="CP189" s="239">
        <v>9907734</v>
      </c>
      <c r="CQ189" s="239">
        <v>2476933</v>
      </c>
      <c r="CR189" s="239">
        <v>0</v>
      </c>
      <c r="CS189" s="239">
        <v>24769334</v>
      </c>
      <c r="CT189" s="239">
        <v>-98075</v>
      </c>
      <c r="CU189" s="239">
        <v>-78459</v>
      </c>
      <c r="CV189" s="239">
        <v>-19615</v>
      </c>
      <c r="CW189" s="239">
        <v>0</v>
      </c>
      <c r="CX189" s="239">
        <v>-196149</v>
      </c>
      <c r="CY189" s="239">
        <v>-311971</v>
      </c>
      <c r="CZ189" s="239">
        <v>-249575</v>
      </c>
      <c r="DA189" s="239">
        <v>-62394</v>
      </c>
      <c r="DB189" s="239">
        <v>0</v>
      </c>
      <c r="DC189" s="239">
        <v>-623940</v>
      </c>
      <c r="DD189" s="641">
        <v>0.5</v>
      </c>
      <c r="DE189" s="641">
        <v>0.4</v>
      </c>
      <c r="DF189" s="641">
        <v>0.1</v>
      </c>
      <c r="DG189" s="641">
        <v>0</v>
      </c>
      <c r="DH189" s="641">
        <v>1</v>
      </c>
      <c r="DI189" s="214" t="s">
        <v>1190</v>
      </c>
    </row>
    <row r="190" spans="2:113" s="214" customFormat="1" x14ac:dyDescent="0.2">
      <c r="B190" s="609" t="s">
        <v>462</v>
      </c>
      <c r="C190" s="609" t="s">
        <v>461</v>
      </c>
      <c r="D190" s="239">
        <v>31016899</v>
      </c>
      <c r="E190" s="239">
        <v>30396561</v>
      </c>
      <c r="F190" s="239">
        <v>0</v>
      </c>
      <c r="G190" s="239">
        <v>620338</v>
      </c>
      <c r="H190" s="239">
        <v>62033798</v>
      </c>
      <c r="I190" s="239">
        <v>0</v>
      </c>
      <c r="J190" s="239">
        <v>0</v>
      </c>
      <c r="K190" s="239">
        <v>31016899</v>
      </c>
      <c r="L190" s="239">
        <v>262705</v>
      </c>
      <c r="M190" s="239">
        <v>262705</v>
      </c>
      <c r="N190" s="239">
        <v>526388</v>
      </c>
      <c r="O190" s="239">
        <v>526388</v>
      </c>
      <c r="P190" s="239">
        <v>167850</v>
      </c>
      <c r="Q190" s="239">
        <v>0</v>
      </c>
      <c r="R190" s="239">
        <v>167850</v>
      </c>
      <c r="S190" s="239">
        <v>0</v>
      </c>
      <c r="T190" s="239">
        <v>0</v>
      </c>
      <c r="U190" s="239">
        <v>0</v>
      </c>
      <c r="V190" s="239">
        <v>0</v>
      </c>
      <c r="W190" s="239">
        <v>2090554</v>
      </c>
      <c r="X190" s="239">
        <v>2048742</v>
      </c>
      <c r="Y190" s="239">
        <v>0</v>
      </c>
      <c r="Z190" s="239">
        <v>41811</v>
      </c>
      <c r="AA190" s="239">
        <v>4181107</v>
      </c>
      <c r="AB190" s="239">
        <v>-904785</v>
      </c>
      <c r="AC190" s="239">
        <v>-886690</v>
      </c>
      <c r="AD190" s="239">
        <v>0</v>
      </c>
      <c r="AE190" s="239">
        <v>-18096</v>
      </c>
      <c r="AF190" s="239">
        <v>-1809571</v>
      </c>
      <c r="AG190" s="239">
        <v>-1112335.3</v>
      </c>
      <c r="AH190" s="239">
        <v>-1090090</v>
      </c>
      <c r="AI190" s="239">
        <v>0</v>
      </c>
      <c r="AJ190" s="239">
        <v>-22248</v>
      </c>
      <c r="AK190" s="239">
        <v>-2224673.2999999998</v>
      </c>
      <c r="AL190" s="239">
        <v>192860</v>
      </c>
      <c r="AM190" s="239">
        <v>189002</v>
      </c>
      <c r="AN190" s="239">
        <v>0</v>
      </c>
      <c r="AO190" s="239">
        <v>3857</v>
      </c>
      <c r="AP190" s="239">
        <v>385719</v>
      </c>
      <c r="AQ190" s="239">
        <v>-127590</v>
      </c>
      <c r="AR190" s="239">
        <v>-125039</v>
      </c>
      <c r="AS190" s="239">
        <v>0</v>
      </c>
      <c r="AT190" s="239">
        <v>-2552</v>
      </c>
      <c r="AU190" s="239">
        <v>-255181</v>
      </c>
      <c r="AV190" s="239">
        <v>-1047065.3</v>
      </c>
      <c r="AW190" s="239">
        <v>-1026127</v>
      </c>
      <c r="AX190" s="239">
        <v>0</v>
      </c>
      <c r="AY190" s="239">
        <v>-20943</v>
      </c>
      <c r="AZ190" s="239">
        <v>-2094135.2999999998</v>
      </c>
      <c r="BA190" s="239">
        <v>-2020067.4</v>
      </c>
      <c r="BB190" s="239">
        <v>-1979665</v>
      </c>
      <c r="BC190" s="239">
        <v>0</v>
      </c>
      <c r="BD190" s="239">
        <v>-40401</v>
      </c>
      <c r="BE190" s="239">
        <v>-4040133.4</v>
      </c>
      <c r="BF190" s="239">
        <v>1031775</v>
      </c>
      <c r="BG190" s="239">
        <v>1011140</v>
      </c>
      <c r="BH190" s="239">
        <v>0</v>
      </c>
      <c r="BI190" s="239">
        <v>20636</v>
      </c>
      <c r="BJ190" s="239">
        <v>2063551</v>
      </c>
      <c r="BK190" s="239">
        <v>-553857</v>
      </c>
      <c r="BL190" s="239">
        <v>-542780</v>
      </c>
      <c r="BM190" s="239">
        <v>0</v>
      </c>
      <c r="BN190" s="239">
        <v>-11077</v>
      </c>
      <c r="BO190" s="239">
        <v>-1107714</v>
      </c>
      <c r="BP190" s="239">
        <v>-1542149.4</v>
      </c>
      <c r="BQ190" s="239">
        <v>-1511305</v>
      </c>
      <c r="BR190" s="239">
        <v>0</v>
      </c>
      <c r="BS190" s="239">
        <v>-30842</v>
      </c>
      <c r="BT190" s="239">
        <v>-3084296.4</v>
      </c>
      <c r="BU190" s="239">
        <v>5119058</v>
      </c>
      <c r="BV190" s="239">
        <v>5016677</v>
      </c>
      <c r="BW190" s="239">
        <v>0</v>
      </c>
      <c r="BX190" s="239">
        <v>102381</v>
      </c>
      <c r="BY190" s="239">
        <v>10238116</v>
      </c>
      <c r="BZ190" s="239">
        <v>4749962</v>
      </c>
      <c r="CA190" s="239">
        <v>4654963</v>
      </c>
      <c r="CB190" s="239">
        <v>0</v>
      </c>
      <c r="CC190" s="239">
        <v>94999</v>
      </c>
      <c r="CD190" s="239">
        <v>9499924</v>
      </c>
      <c r="CE190" s="239">
        <v>369096</v>
      </c>
      <c r="CF190" s="239">
        <v>361714</v>
      </c>
      <c r="CG190" s="239">
        <v>0</v>
      </c>
      <c r="CH190" s="239">
        <v>7382</v>
      </c>
      <c r="CI190" s="239">
        <v>738192</v>
      </c>
      <c r="CJ190" s="239">
        <v>30890990</v>
      </c>
      <c r="CK190" s="239">
        <v>30273170</v>
      </c>
      <c r="CL190" s="239">
        <v>0</v>
      </c>
      <c r="CM190" s="239">
        <v>617820</v>
      </c>
      <c r="CN190" s="239">
        <v>61781980</v>
      </c>
      <c r="CO190" s="239">
        <v>31016899</v>
      </c>
      <c r="CP190" s="239">
        <v>30396561</v>
      </c>
      <c r="CQ190" s="239">
        <v>0</v>
      </c>
      <c r="CR190" s="239">
        <v>620338</v>
      </c>
      <c r="CS190" s="239">
        <v>62033798</v>
      </c>
      <c r="CT190" s="239">
        <v>125909</v>
      </c>
      <c r="CU190" s="239">
        <v>123391</v>
      </c>
      <c r="CV190" s="239">
        <v>0</v>
      </c>
      <c r="CW190" s="239">
        <v>2518</v>
      </c>
      <c r="CX190" s="239">
        <v>251818</v>
      </c>
      <c r="CY190" s="239">
        <v>495005</v>
      </c>
      <c r="CZ190" s="239">
        <v>485105</v>
      </c>
      <c r="DA190" s="239">
        <v>0</v>
      </c>
      <c r="DB190" s="239">
        <v>9900</v>
      </c>
      <c r="DC190" s="239">
        <v>990010</v>
      </c>
      <c r="DD190" s="641">
        <v>0.5</v>
      </c>
      <c r="DE190" s="641">
        <v>0.49</v>
      </c>
      <c r="DF190" s="641">
        <v>0</v>
      </c>
      <c r="DG190" s="641">
        <v>0.01</v>
      </c>
      <c r="DH190" s="641">
        <v>1</v>
      </c>
      <c r="DI190" s="214" t="s">
        <v>747</v>
      </c>
    </row>
    <row r="191" spans="2:113" s="214" customFormat="1" x14ac:dyDescent="0.2">
      <c r="B191" s="609" t="s">
        <v>464</v>
      </c>
      <c r="C191" s="609" t="s">
        <v>463</v>
      </c>
      <c r="D191" s="239">
        <v>29799053</v>
      </c>
      <c r="E191" s="239">
        <v>29203072</v>
      </c>
      <c r="F191" s="239">
        <v>0</v>
      </c>
      <c r="G191" s="239">
        <v>595981</v>
      </c>
      <c r="H191" s="239">
        <v>59598106</v>
      </c>
      <c r="I191" s="239">
        <v>64768.378099173555</v>
      </c>
      <c r="J191" s="239">
        <v>64768.378099173555</v>
      </c>
      <c r="K191" s="239">
        <v>29734284.621900827</v>
      </c>
      <c r="L191" s="239">
        <v>230884</v>
      </c>
      <c r="M191" s="239">
        <v>230884</v>
      </c>
      <c r="N191" s="239">
        <v>94688</v>
      </c>
      <c r="O191" s="239">
        <v>94688</v>
      </c>
      <c r="P191" s="239">
        <v>0</v>
      </c>
      <c r="Q191" s="239">
        <v>0</v>
      </c>
      <c r="R191" s="239">
        <v>0</v>
      </c>
      <c r="S191" s="239">
        <v>64768.378099173555</v>
      </c>
      <c r="T191" s="239">
        <v>0</v>
      </c>
      <c r="U191" s="239">
        <v>0</v>
      </c>
      <c r="V191" s="239">
        <v>64768.378099173555</v>
      </c>
      <c r="W191" s="239">
        <v>2665668</v>
      </c>
      <c r="X191" s="239">
        <v>2612354</v>
      </c>
      <c r="Y191" s="239">
        <v>0</v>
      </c>
      <c r="Z191" s="239">
        <v>53313</v>
      </c>
      <c r="AA191" s="239">
        <v>5331335</v>
      </c>
      <c r="AB191" s="239">
        <v>-834840</v>
      </c>
      <c r="AC191" s="239">
        <v>-818144</v>
      </c>
      <c r="AD191" s="239">
        <v>0</v>
      </c>
      <c r="AE191" s="239">
        <v>-16697</v>
      </c>
      <c r="AF191" s="239">
        <v>-1669681</v>
      </c>
      <c r="AG191" s="239">
        <v>-1662623</v>
      </c>
      <c r="AH191" s="239">
        <v>-1629371</v>
      </c>
      <c r="AI191" s="239">
        <v>0</v>
      </c>
      <c r="AJ191" s="239">
        <v>-33252</v>
      </c>
      <c r="AK191" s="239">
        <v>-3325246</v>
      </c>
      <c r="AL191" s="239">
        <v>744557</v>
      </c>
      <c r="AM191" s="239">
        <v>729665</v>
      </c>
      <c r="AN191" s="239">
        <v>0</v>
      </c>
      <c r="AO191" s="239">
        <v>14891</v>
      </c>
      <c r="AP191" s="239">
        <v>1489113</v>
      </c>
      <c r="AQ191" s="239">
        <v>-256974</v>
      </c>
      <c r="AR191" s="239">
        <v>-251834</v>
      </c>
      <c r="AS191" s="239">
        <v>0</v>
      </c>
      <c r="AT191" s="239">
        <v>-5139</v>
      </c>
      <c r="AU191" s="239">
        <v>-513947</v>
      </c>
      <c r="AV191" s="239">
        <v>-1175040</v>
      </c>
      <c r="AW191" s="239">
        <v>-1151540</v>
      </c>
      <c r="AX191" s="239">
        <v>0</v>
      </c>
      <c r="AY191" s="239">
        <v>-23500</v>
      </c>
      <c r="AZ191" s="239">
        <v>-2350080</v>
      </c>
      <c r="BA191" s="239">
        <v>-1670093</v>
      </c>
      <c r="BB191" s="239">
        <v>-1636691</v>
      </c>
      <c r="BC191" s="239">
        <v>0</v>
      </c>
      <c r="BD191" s="239">
        <v>-33402</v>
      </c>
      <c r="BE191" s="239">
        <v>-3340186</v>
      </c>
      <c r="BF191" s="239">
        <v>1195500</v>
      </c>
      <c r="BG191" s="239">
        <v>1171590</v>
      </c>
      <c r="BH191" s="239">
        <v>0</v>
      </c>
      <c r="BI191" s="239">
        <v>23910</v>
      </c>
      <c r="BJ191" s="239">
        <v>2391000</v>
      </c>
      <c r="BK191" s="239">
        <v>-978596</v>
      </c>
      <c r="BL191" s="239">
        <v>-959025</v>
      </c>
      <c r="BM191" s="239">
        <v>0</v>
      </c>
      <c r="BN191" s="239">
        <v>-19572</v>
      </c>
      <c r="BO191" s="239">
        <v>-1957193</v>
      </c>
      <c r="BP191" s="239">
        <v>-1453189</v>
      </c>
      <c r="BQ191" s="239">
        <v>-1424126</v>
      </c>
      <c r="BR191" s="239">
        <v>0</v>
      </c>
      <c r="BS191" s="239">
        <v>-29064</v>
      </c>
      <c r="BT191" s="239">
        <v>-2906379</v>
      </c>
      <c r="BU191" s="239">
        <v>-1652307</v>
      </c>
      <c r="BV191" s="239">
        <v>-1619260</v>
      </c>
      <c r="BW191" s="239">
        <v>0</v>
      </c>
      <c r="BX191" s="239">
        <v>-33046</v>
      </c>
      <c r="BY191" s="239">
        <v>-3304613</v>
      </c>
      <c r="BZ191" s="239">
        <v>-1192423</v>
      </c>
      <c r="CA191" s="239">
        <v>-1168574</v>
      </c>
      <c r="CB191" s="239">
        <v>0</v>
      </c>
      <c r="CC191" s="239">
        <v>-23848</v>
      </c>
      <c r="CD191" s="239">
        <v>-2384845</v>
      </c>
      <c r="CE191" s="239">
        <v>-459884</v>
      </c>
      <c r="CF191" s="239">
        <v>-450686</v>
      </c>
      <c r="CG191" s="239">
        <v>0</v>
      </c>
      <c r="CH191" s="239">
        <v>-9198</v>
      </c>
      <c r="CI191" s="239">
        <v>-919768</v>
      </c>
      <c r="CJ191" s="239">
        <v>30181877</v>
      </c>
      <c r="CK191" s="239">
        <v>29578240</v>
      </c>
      <c r="CL191" s="239">
        <v>0</v>
      </c>
      <c r="CM191" s="239">
        <v>603638</v>
      </c>
      <c r="CN191" s="239">
        <v>60363755</v>
      </c>
      <c r="CO191" s="239">
        <v>29799053</v>
      </c>
      <c r="CP191" s="239">
        <v>29203072</v>
      </c>
      <c r="CQ191" s="239">
        <v>0</v>
      </c>
      <c r="CR191" s="239">
        <v>595981</v>
      </c>
      <c r="CS191" s="239">
        <v>59598106</v>
      </c>
      <c r="CT191" s="239">
        <v>-382824</v>
      </c>
      <c r="CU191" s="239">
        <v>-375168</v>
      </c>
      <c r="CV191" s="239">
        <v>0</v>
      </c>
      <c r="CW191" s="239">
        <v>-7657</v>
      </c>
      <c r="CX191" s="239">
        <v>-765649</v>
      </c>
      <c r="CY191" s="239">
        <v>-842708</v>
      </c>
      <c r="CZ191" s="239">
        <v>-825854</v>
      </c>
      <c r="DA191" s="239">
        <v>0</v>
      </c>
      <c r="DB191" s="239">
        <v>-16855</v>
      </c>
      <c r="DC191" s="239">
        <v>-1685417</v>
      </c>
      <c r="DD191" s="641">
        <v>0.5</v>
      </c>
      <c r="DE191" s="641">
        <v>0.49</v>
      </c>
      <c r="DF191" s="641">
        <v>0</v>
      </c>
      <c r="DG191" s="641">
        <v>0.01</v>
      </c>
      <c r="DH191" s="641">
        <v>1</v>
      </c>
      <c r="DI191" s="214" t="s">
        <v>1192</v>
      </c>
    </row>
    <row r="192" spans="2:113" s="214" customFormat="1" x14ac:dyDescent="0.2">
      <c r="B192" s="609" t="s">
        <v>466</v>
      </c>
      <c r="C192" s="609" t="s">
        <v>465</v>
      </c>
      <c r="D192" s="239">
        <v>22016043</v>
      </c>
      <c r="E192" s="239">
        <v>17612835</v>
      </c>
      <c r="F192" s="239">
        <v>4403209</v>
      </c>
      <c r="G192" s="239">
        <v>0</v>
      </c>
      <c r="H192" s="239">
        <v>44032087</v>
      </c>
      <c r="I192" s="239">
        <v>0</v>
      </c>
      <c r="J192" s="239">
        <v>0</v>
      </c>
      <c r="K192" s="239">
        <v>22016043</v>
      </c>
      <c r="L192" s="239">
        <v>109891</v>
      </c>
      <c r="M192" s="239">
        <v>109891</v>
      </c>
      <c r="N192" s="239">
        <v>0</v>
      </c>
      <c r="O192" s="239">
        <v>0</v>
      </c>
      <c r="P192" s="239">
        <v>0</v>
      </c>
      <c r="Q192" s="239">
        <v>0</v>
      </c>
      <c r="R192" s="239">
        <v>0</v>
      </c>
      <c r="S192" s="239">
        <v>0</v>
      </c>
      <c r="T192" s="239">
        <v>0</v>
      </c>
      <c r="U192" s="239">
        <v>0</v>
      </c>
      <c r="V192" s="239">
        <v>0</v>
      </c>
      <c r="W192" s="239">
        <v>149445</v>
      </c>
      <c r="X192" s="239">
        <v>119556</v>
      </c>
      <c r="Y192" s="239">
        <v>29889</v>
      </c>
      <c r="Z192" s="239">
        <v>0</v>
      </c>
      <c r="AA192" s="239">
        <v>298890</v>
      </c>
      <c r="AB192" s="239">
        <v>-21374</v>
      </c>
      <c r="AC192" s="239">
        <v>-17099</v>
      </c>
      <c r="AD192" s="239">
        <v>-4275</v>
      </c>
      <c r="AE192" s="239">
        <v>0</v>
      </c>
      <c r="AF192" s="239">
        <v>-42748</v>
      </c>
      <c r="AG192" s="239">
        <v>-46471</v>
      </c>
      <c r="AH192" s="239">
        <v>-37178</v>
      </c>
      <c r="AI192" s="239">
        <v>-9295</v>
      </c>
      <c r="AJ192" s="239">
        <v>0</v>
      </c>
      <c r="AK192" s="239">
        <v>-92944</v>
      </c>
      <c r="AL192" s="239">
        <v>85346</v>
      </c>
      <c r="AM192" s="239">
        <v>68277</v>
      </c>
      <c r="AN192" s="239">
        <v>17069</v>
      </c>
      <c r="AO192" s="239">
        <v>0</v>
      </c>
      <c r="AP192" s="239">
        <v>170692</v>
      </c>
      <c r="AQ192" s="239">
        <v>-74939</v>
      </c>
      <c r="AR192" s="239">
        <v>-59951</v>
      </c>
      <c r="AS192" s="239">
        <v>-14988</v>
      </c>
      <c r="AT192" s="239">
        <v>0</v>
      </c>
      <c r="AU192" s="239">
        <v>-149878</v>
      </c>
      <c r="AV192" s="239">
        <v>-36064</v>
      </c>
      <c r="AW192" s="239">
        <v>-28852</v>
      </c>
      <c r="AX192" s="239">
        <v>-7214</v>
      </c>
      <c r="AY192" s="239">
        <v>0</v>
      </c>
      <c r="AZ192" s="239">
        <v>-72130</v>
      </c>
      <c r="BA192" s="239">
        <v>-2842794</v>
      </c>
      <c r="BB192" s="239">
        <v>-2274235</v>
      </c>
      <c r="BC192" s="239">
        <v>-568558</v>
      </c>
      <c r="BD192" s="239">
        <v>0</v>
      </c>
      <c r="BE192" s="239">
        <v>-5685587</v>
      </c>
      <c r="BF192" s="239">
        <v>1098468</v>
      </c>
      <c r="BG192" s="239">
        <v>878774</v>
      </c>
      <c r="BH192" s="239">
        <v>219694</v>
      </c>
      <c r="BI192" s="239">
        <v>0</v>
      </c>
      <c r="BJ192" s="239">
        <v>2196936</v>
      </c>
      <c r="BK192" s="239">
        <v>-764336</v>
      </c>
      <c r="BL192" s="239">
        <v>-611469</v>
      </c>
      <c r="BM192" s="239">
        <v>-152867</v>
      </c>
      <c r="BN192" s="239">
        <v>0</v>
      </c>
      <c r="BO192" s="239">
        <v>-1528672</v>
      </c>
      <c r="BP192" s="239">
        <v>-2508662</v>
      </c>
      <c r="BQ192" s="239">
        <v>-2006930</v>
      </c>
      <c r="BR192" s="239">
        <v>-501731</v>
      </c>
      <c r="BS192" s="239">
        <v>0</v>
      </c>
      <c r="BT192" s="239">
        <v>-5017323</v>
      </c>
      <c r="BU192" s="239">
        <v>-2003955</v>
      </c>
      <c r="BV192" s="239">
        <v>-1603164</v>
      </c>
      <c r="BW192" s="239">
        <v>-400791</v>
      </c>
      <c r="BX192" s="239">
        <v>0</v>
      </c>
      <c r="BY192" s="239">
        <v>-4007910</v>
      </c>
      <c r="BZ192" s="239">
        <v>-1692357</v>
      </c>
      <c r="CA192" s="239">
        <v>-1353886</v>
      </c>
      <c r="CB192" s="239">
        <v>-338472</v>
      </c>
      <c r="CC192" s="239">
        <v>0</v>
      </c>
      <c r="CD192" s="239">
        <v>-3384715</v>
      </c>
      <c r="CE192" s="239">
        <v>-311598</v>
      </c>
      <c r="CF192" s="239">
        <v>-249278</v>
      </c>
      <c r="CG192" s="239">
        <v>-62319</v>
      </c>
      <c r="CH192" s="239">
        <v>0</v>
      </c>
      <c r="CI192" s="239">
        <v>-623195</v>
      </c>
      <c r="CJ192" s="239">
        <v>21730732</v>
      </c>
      <c r="CK192" s="239">
        <v>17384585</v>
      </c>
      <c r="CL192" s="239">
        <v>4346146</v>
      </c>
      <c r="CM192" s="239">
        <v>0</v>
      </c>
      <c r="CN192" s="239">
        <v>43461463</v>
      </c>
      <c r="CO192" s="239">
        <v>22016043</v>
      </c>
      <c r="CP192" s="239">
        <v>17612835</v>
      </c>
      <c r="CQ192" s="239">
        <v>4403209</v>
      </c>
      <c r="CR192" s="239">
        <v>0</v>
      </c>
      <c r="CS192" s="239">
        <v>44032087</v>
      </c>
      <c r="CT192" s="239">
        <v>285311</v>
      </c>
      <c r="CU192" s="239">
        <v>228250</v>
      </c>
      <c r="CV192" s="239">
        <v>57063</v>
      </c>
      <c r="CW192" s="239">
        <v>0</v>
      </c>
      <c r="CX192" s="239">
        <v>570624</v>
      </c>
      <c r="CY192" s="239">
        <v>-26287</v>
      </c>
      <c r="CZ192" s="239">
        <v>-21028</v>
      </c>
      <c r="DA192" s="239">
        <v>-5256</v>
      </c>
      <c r="DB192" s="239">
        <v>0</v>
      </c>
      <c r="DC192" s="239">
        <v>-52571</v>
      </c>
      <c r="DD192" s="641">
        <v>0.5</v>
      </c>
      <c r="DE192" s="641">
        <v>0.4</v>
      </c>
      <c r="DF192" s="641">
        <v>0.1</v>
      </c>
      <c r="DG192" s="641">
        <v>0</v>
      </c>
      <c r="DH192" s="641">
        <v>1</v>
      </c>
      <c r="DI192" s="214" t="s">
        <v>1190</v>
      </c>
    </row>
    <row r="193" spans="2:113" s="214" customFormat="1" x14ac:dyDescent="0.2">
      <c r="B193" s="609" t="s">
        <v>468</v>
      </c>
      <c r="C193" s="609" t="s">
        <v>467</v>
      </c>
      <c r="D193" s="239">
        <v>26003308</v>
      </c>
      <c r="E193" s="239">
        <v>20802647</v>
      </c>
      <c r="F193" s="239">
        <v>4680596</v>
      </c>
      <c r="G193" s="239">
        <v>520066</v>
      </c>
      <c r="H193" s="239">
        <v>52006617</v>
      </c>
      <c r="I193" s="239">
        <v>0</v>
      </c>
      <c r="J193" s="239">
        <v>0</v>
      </c>
      <c r="K193" s="239">
        <v>26003308</v>
      </c>
      <c r="L193" s="239">
        <v>145731</v>
      </c>
      <c r="M193" s="239">
        <v>145731</v>
      </c>
      <c r="N193" s="239">
        <v>0</v>
      </c>
      <c r="O193" s="239">
        <v>0</v>
      </c>
      <c r="P193" s="239">
        <v>366299</v>
      </c>
      <c r="Q193" s="239">
        <v>0</v>
      </c>
      <c r="R193" s="239">
        <v>366299</v>
      </c>
      <c r="S193" s="239">
        <v>0</v>
      </c>
      <c r="T193" s="239">
        <v>0</v>
      </c>
      <c r="U193" s="239">
        <v>0</v>
      </c>
      <c r="V193" s="239">
        <v>0</v>
      </c>
      <c r="W193" s="239">
        <v>232390</v>
      </c>
      <c r="X193" s="239">
        <v>185912</v>
      </c>
      <c r="Y193" s="239">
        <v>41830</v>
      </c>
      <c r="Z193" s="239">
        <v>4648</v>
      </c>
      <c r="AA193" s="239">
        <v>464780</v>
      </c>
      <c r="AB193" s="239">
        <v>-747978</v>
      </c>
      <c r="AC193" s="239">
        <v>-598383</v>
      </c>
      <c r="AD193" s="239">
        <v>-134636</v>
      </c>
      <c r="AE193" s="239">
        <v>-14960</v>
      </c>
      <c r="AF193" s="239">
        <v>-1495957</v>
      </c>
      <c r="AG193" s="239">
        <v>-158684.91999999998</v>
      </c>
      <c r="AH193" s="239">
        <v>-126947</v>
      </c>
      <c r="AI193" s="239">
        <v>-28563</v>
      </c>
      <c r="AJ193" s="239">
        <v>-3174</v>
      </c>
      <c r="AK193" s="239">
        <v>-317368.92000000004</v>
      </c>
      <c r="AL193" s="239">
        <v>184447</v>
      </c>
      <c r="AM193" s="239">
        <v>147558</v>
      </c>
      <c r="AN193" s="239">
        <v>33201</v>
      </c>
      <c r="AO193" s="239">
        <v>3689</v>
      </c>
      <c r="AP193" s="239">
        <v>368895</v>
      </c>
      <c r="AQ193" s="239">
        <v>-155624</v>
      </c>
      <c r="AR193" s="239">
        <v>-124498</v>
      </c>
      <c r="AS193" s="239">
        <v>-28012</v>
      </c>
      <c r="AT193" s="239">
        <v>-3112</v>
      </c>
      <c r="AU193" s="239">
        <v>-311246</v>
      </c>
      <c r="AV193" s="239">
        <v>-129861.91999999998</v>
      </c>
      <c r="AW193" s="239">
        <v>-103887</v>
      </c>
      <c r="AX193" s="239">
        <v>-23374</v>
      </c>
      <c r="AY193" s="239">
        <v>-2597</v>
      </c>
      <c r="AZ193" s="239">
        <v>-259719.92000000004</v>
      </c>
      <c r="BA193" s="239">
        <v>-3577751</v>
      </c>
      <c r="BB193" s="239">
        <v>-2862202</v>
      </c>
      <c r="BC193" s="239">
        <v>-643995</v>
      </c>
      <c r="BD193" s="239">
        <v>-71555</v>
      </c>
      <c r="BE193" s="239">
        <v>-7155503</v>
      </c>
      <c r="BF193" s="239">
        <v>258644</v>
      </c>
      <c r="BG193" s="239">
        <v>206915</v>
      </c>
      <c r="BH193" s="239">
        <v>46556</v>
      </c>
      <c r="BI193" s="239">
        <v>5173</v>
      </c>
      <c r="BJ193" s="239">
        <v>517288</v>
      </c>
      <c r="BK193" s="239">
        <v>-956588</v>
      </c>
      <c r="BL193" s="239">
        <v>-765271</v>
      </c>
      <c r="BM193" s="239">
        <v>-172186</v>
      </c>
      <c r="BN193" s="239">
        <v>-19132</v>
      </c>
      <c r="BO193" s="239">
        <v>-1913177</v>
      </c>
      <c r="BP193" s="239">
        <v>-4275695</v>
      </c>
      <c r="BQ193" s="239">
        <v>-3420558</v>
      </c>
      <c r="BR193" s="239">
        <v>-769625</v>
      </c>
      <c r="BS193" s="239">
        <v>-85514</v>
      </c>
      <c r="BT193" s="239">
        <v>-8551392</v>
      </c>
      <c r="BU193" s="239">
        <v>-1218049</v>
      </c>
      <c r="BV193" s="239">
        <v>-974439</v>
      </c>
      <c r="BW193" s="239">
        <v>-219249</v>
      </c>
      <c r="BX193" s="239">
        <v>-24361</v>
      </c>
      <c r="BY193" s="239">
        <v>-2436098</v>
      </c>
      <c r="BZ193" s="239">
        <v>-613780</v>
      </c>
      <c r="CA193" s="239">
        <v>-491024</v>
      </c>
      <c r="CB193" s="239">
        <v>-110480</v>
      </c>
      <c r="CC193" s="239">
        <v>-12276</v>
      </c>
      <c r="CD193" s="239">
        <v>-1227560</v>
      </c>
      <c r="CE193" s="239">
        <v>-604269</v>
      </c>
      <c r="CF193" s="239">
        <v>-483415</v>
      </c>
      <c r="CG193" s="239">
        <v>-108769</v>
      </c>
      <c r="CH193" s="239">
        <v>-12085</v>
      </c>
      <c r="CI193" s="239">
        <v>-1208538</v>
      </c>
      <c r="CJ193" s="239">
        <v>25489916</v>
      </c>
      <c r="CK193" s="239">
        <v>20391932</v>
      </c>
      <c r="CL193" s="239">
        <v>4588185</v>
      </c>
      <c r="CM193" s="239">
        <v>509798</v>
      </c>
      <c r="CN193" s="239">
        <v>50979831</v>
      </c>
      <c r="CO193" s="239">
        <v>26003308</v>
      </c>
      <c r="CP193" s="239">
        <v>20802647</v>
      </c>
      <c r="CQ193" s="239">
        <v>4680596</v>
      </c>
      <c r="CR193" s="239">
        <v>520066</v>
      </c>
      <c r="CS193" s="239">
        <v>52006617</v>
      </c>
      <c r="CT193" s="239">
        <v>513392</v>
      </c>
      <c r="CU193" s="239">
        <v>410715</v>
      </c>
      <c r="CV193" s="239">
        <v>92411</v>
      </c>
      <c r="CW193" s="239">
        <v>10268</v>
      </c>
      <c r="CX193" s="239">
        <v>1026786</v>
      </c>
      <c r="CY193" s="239">
        <v>-90877</v>
      </c>
      <c r="CZ193" s="239">
        <v>-72700</v>
      </c>
      <c r="DA193" s="239">
        <v>-16358</v>
      </c>
      <c r="DB193" s="239">
        <v>-1817</v>
      </c>
      <c r="DC193" s="239">
        <v>-181752</v>
      </c>
      <c r="DD193" s="641">
        <v>0.5</v>
      </c>
      <c r="DE193" s="641">
        <v>0.4</v>
      </c>
      <c r="DF193" s="641">
        <v>0.09</v>
      </c>
      <c r="DG193" s="641">
        <v>0.01</v>
      </c>
      <c r="DH193" s="641">
        <v>1</v>
      </c>
      <c r="DI193" s="214" t="s">
        <v>1190</v>
      </c>
    </row>
    <row r="194" spans="2:113" s="214" customFormat="1" x14ac:dyDescent="0.2">
      <c r="B194" s="609" t="s">
        <v>470</v>
      </c>
      <c r="C194" s="609" t="s">
        <v>469</v>
      </c>
      <c r="D194" s="239">
        <v>49604276</v>
      </c>
      <c r="E194" s="239">
        <v>39683420</v>
      </c>
      <c r="F194" s="239">
        <v>9920855</v>
      </c>
      <c r="G194" s="239">
        <v>0</v>
      </c>
      <c r="H194" s="239">
        <v>99208551</v>
      </c>
      <c r="I194" s="239">
        <v>2006130.6404958677</v>
      </c>
      <c r="J194" s="239">
        <v>2006130.6404958677</v>
      </c>
      <c r="K194" s="239">
        <v>47598145.359504133</v>
      </c>
      <c r="L194" s="239">
        <v>295579</v>
      </c>
      <c r="M194" s="239">
        <v>295579</v>
      </c>
      <c r="N194" s="239">
        <v>1438461</v>
      </c>
      <c r="O194" s="239">
        <v>1438461</v>
      </c>
      <c r="P194" s="239">
        <v>0</v>
      </c>
      <c r="Q194" s="239">
        <v>0</v>
      </c>
      <c r="R194" s="239">
        <v>0</v>
      </c>
      <c r="S194" s="239">
        <v>2006130.6404958677</v>
      </c>
      <c r="T194" s="239">
        <v>0</v>
      </c>
      <c r="U194" s="239">
        <v>0</v>
      </c>
      <c r="V194" s="239">
        <v>2006130.6404958677</v>
      </c>
      <c r="W194" s="239">
        <v>2496060</v>
      </c>
      <c r="X194" s="239">
        <v>1996848</v>
      </c>
      <c r="Y194" s="239">
        <v>499212</v>
      </c>
      <c r="Z194" s="239">
        <v>0</v>
      </c>
      <c r="AA194" s="239">
        <v>4992120</v>
      </c>
      <c r="AB194" s="239">
        <v>-933519</v>
      </c>
      <c r="AC194" s="239">
        <v>-746815</v>
      </c>
      <c r="AD194" s="239">
        <v>-186704</v>
      </c>
      <c r="AE194" s="239">
        <v>0</v>
      </c>
      <c r="AF194" s="239">
        <v>-1867038</v>
      </c>
      <c r="AG194" s="239">
        <v>-290071.73</v>
      </c>
      <c r="AH194" s="239">
        <v>-232058</v>
      </c>
      <c r="AI194" s="239">
        <v>-58013</v>
      </c>
      <c r="AJ194" s="239">
        <v>0</v>
      </c>
      <c r="AK194" s="239">
        <v>-580142.73</v>
      </c>
      <c r="AL194" s="239">
        <v>290072</v>
      </c>
      <c r="AM194" s="239">
        <v>232057</v>
      </c>
      <c r="AN194" s="239">
        <v>58014</v>
      </c>
      <c r="AO194" s="239">
        <v>0</v>
      </c>
      <c r="AP194" s="239">
        <v>580143</v>
      </c>
      <c r="AQ194" s="239">
        <v>-309999</v>
      </c>
      <c r="AR194" s="239">
        <v>-247999</v>
      </c>
      <c r="AS194" s="239">
        <v>-62000</v>
      </c>
      <c r="AT194" s="239">
        <v>0</v>
      </c>
      <c r="AU194" s="239">
        <v>-619998</v>
      </c>
      <c r="AV194" s="239">
        <v>-309998.73</v>
      </c>
      <c r="AW194" s="239">
        <v>-248000</v>
      </c>
      <c r="AX194" s="239">
        <v>-61999</v>
      </c>
      <c r="AY194" s="239">
        <v>0</v>
      </c>
      <c r="AZ194" s="239">
        <v>-619997.73</v>
      </c>
      <c r="BA194" s="239">
        <v>-4825910.4000000004</v>
      </c>
      <c r="BB194" s="239">
        <v>-3860728</v>
      </c>
      <c r="BC194" s="239">
        <v>-965181</v>
      </c>
      <c r="BD194" s="239">
        <v>0</v>
      </c>
      <c r="BE194" s="239">
        <v>-9651819.4000000004</v>
      </c>
      <c r="BF194" s="239">
        <v>1222403</v>
      </c>
      <c r="BG194" s="239">
        <v>977922</v>
      </c>
      <c r="BH194" s="239">
        <v>244481</v>
      </c>
      <c r="BI194" s="239">
        <v>0</v>
      </c>
      <c r="BJ194" s="239">
        <v>2444806</v>
      </c>
      <c r="BK194" s="239">
        <v>-2329978</v>
      </c>
      <c r="BL194" s="239">
        <v>-1863983</v>
      </c>
      <c r="BM194" s="239">
        <v>-465996</v>
      </c>
      <c r="BN194" s="239">
        <v>0</v>
      </c>
      <c r="BO194" s="239">
        <v>-4659957</v>
      </c>
      <c r="BP194" s="239">
        <v>-5933485.4000000004</v>
      </c>
      <c r="BQ194" s="239">
        <v>-4746789</v>
      </c>
      <c r="BR194" s="239">
        <v>-1186696</v>
      </c>
      <c r="BS194" s="239">
        <v>0</v>
      </c>
      <c r="BT194" s="239">
        <v>-11866970.4</v>
      </c>
      <c r="BU194" s="239">
        <v>-859943</v>
      </c>
      <c r="BV194" s="239">
        <v>-687954</v>
      </c>
      <c r="BW194" s="239">
        <v>-171989</v>
      </c>
      <c r="BX194" s="239">
        <v>0</v>
      </c>
      <c r="BY194" s="239">
        <v>-1719886</v>
      </c>
      <c r="BZ194" s="239">
        <v>205861</v>
      </c>
      <c r="CA194" s="239">
        <v>164688</v>
      </c>
      <c r="CB194" s="239">
        <v>41172</v>
      </c>
      <c r="CC194" s="239">
        <v>0</v>
      </c>
      <c r="CD194" s="239">
        <v>411721</v>
      </c>
      <c r="CE194" s="239">
        <v>-1065804</v>
      </c>
      <c r="CF194" s="239">
        <v>-852642</v>
      </c>
      <c r="CG194" s="239">
        <v>-213161</v>
      </c>
      <c r="CH194" s="239">
        <v>0</v>
      </c>
      <c r="CI194" s="239">
        <v>-2131607</v>
      </c>
      <c r="CJ194" s="239">
        <v>50590750</v>
      </c>
      <c r="CK194" s="239">
        <v>40472600</v>
      </c>
      <c r="CL194" s="239">
        <v>10118150</v>
      </c>
      <c r="CM194" s="239">
        <v>0</v>
      </c>
      <c r="CN194" s="239">
        <v>101181500</v>
      </c>
      <c r="CO194" s="239">
        <v>49604276</v>
      </c>
      <c r="CP194" s="239">
        <v>39683420</v>
      </c>
      <c r="CQ194" s="239">
        <v>9920855</v>
      </c>
      <c r="CR194" s="239">
        <v>0</v>
      </c>
      <c r="CS194" s="239">
        <v>99208551</v>
      </c>
      <c r="CT194" s="239">
        <v>-986474</v>
      </c>
      <c r="CU194" s="239">
        <v>-789180</v>
      </c>
      <c r="CV194" s="239">
        <v>-197295</v>
      </c>
      <c r="CW194" s="239">
        <v>0</v>
      </c>
      <c r="CX194" s="239">
        <v>-1972949</v>
      </c>
      <c r="CY194" s="239">
        <v>-2052278</v>
      </c>
      <c r="CZ194" s="239">
        <v>-1641822</v>
      </c>
      <c r="DA194" s="239">
        <v>-410456</v>
      </c>
      <c r="DB194" s="239">
        <v>0</v>
      </c>
      <c r="DC194" s="239">
        <v>-4104556</v>
      </c>
      <c r="DD194" s="641">
        <v>0.5</v>
      </c>
      <c r="DE194" s="641">
        <v>0.4</v>
      </c>
      <c r="DF194" s="641">
        <v>0.1</v>
      </c>
      <c r="DG194" s="641">
        <v>0</v>
      </c>
      <c r="DH194" s="641">
        <v>1</v>
      </c>
      <c r="DI194" s="214" t="s">
        <v>1190</v>
      </c>
    </row>
    <row r="195" spans="2:113" s="214" customFormat="1" x14ac:dyDescent="0.2">
      <c r="B195" s="609" t="s">
        <v>472</v>
      </c>
      <c r="C195" s="609" t="s">
        <v>471</v>
      </c>
      <c r="D195" s="239">
        <v>37850156</v>
      </c>
      <c r="E195" s="239">
        <v>37850156</v>
      </c>
      <c r="F195" s="239">
        <v>0</v>
      </c>
      <c r="G195" s="239">
        <v>0</v>
      </c>
      <c r="H195" s="239">
        <v>75700312</v>
      </c>
      <c r="I195" s="239">
        <v>142881</v>
      </c>
      <c r="J195" s="239">
        <v>142881</v>
      </c>
      <c r="K195" s="239">
        <v>37707275</v>
      </c>
      <c r="L195" s="239">
        <v>478025</v>
      </c>
      <c r="M195" s="239">
        <v>478025</v>
      </c>
      <c r="N195" s="239">
        <v>29738</v>
      </c>
      <c r="O195" s="239">
        <v>29738</v>
      </c>
      <c r="P195" s="239">
        <v>1377191</v>
      </c>
      <c r="Q195" s="239">
        <v>0</v>
      </c>
      <c r="R195" s="239">
        <v>1377191</v>
      </c>
      <c r="S195" s="239">
        <v>142881</v>
      </c>
      <c r="T195" s="239">
        <v>0</v>
      </c>
      <c r="U195" s="239">
        <v>0</v>
      </c>
      <c r="V195" s="239">
        <v>142881</v>
      </c>
      <c r="W195" s="239">
        <v>1437172</v>
      </c>
      <c r="X195" s="239">
        <v>1437173</v>
      </c>
      <c r="Y195" s="239">
        <v>0</v>
      </c>
      <c r="Z195" s="239">
        <v>0</v>
      </c>
      <c r="AA195" s="239">
        <v>2874345</v>
      </c>
      <c r="AB195" s="239">
        <v>-138068</v>
      </c>
      <c r="AC195" s="239">
        <v>-138069</v>
      </c>
      <c r="AD195" s="239">
        <v>0</v>
      </c>
      <c r="AE195" s="239">
        <v>0</v>
      </c>
      <c r="AF195" s="239">
        <v>-276137</v>
      </c>
      <c r="AG195" s="239">
        <v>-603330.37</v>
      </c>
      <c r="AH195" s="239">
        <v>-603331</v>
      </c>
      <c r="AI195" s="239">
        <v>0</v>
      </c>
      <c r="AJ195" s="239">
        <v>0</v>
      </c>
      <c r="AK195" s="239">
        <v>-1206661.3</v>
      </c>
      <c r="AL195" s="239">
        <v>328304</v>
      </c>
      <c r="AM195" s="239">
        <v>328304</v>
      </c>
      <c r="AN195" s="239">
        <v>0</v>
      </c>
      <c r="AO195" s="239">
        <v>0</v>
      </c>
      <c r="AP195" s="239">
        <v>656608</v>
      </c>
      <c r="AQ195" s="239">
        <v>-510198</v>
      </c>
      <c r="AR195" s="239">
        <v>-510199</v>
      </c>
      <c r="AS195" s="239">
        <v>0</v>
      </c>
      <c r="AT195" s="239">
        <v>0</v>
      </c>
      <c r="AU195" s="239">
        <v>-1020397</v>
      </c>
      <c r="AV195" s="239">
        <v>-785224.37</v>
      </c>
      <c r="AW195" s="239">
        <v>-785226</v>
      </c>
      <c r="AX195" s="239">
        <v>0</v>
      </c>
      <c r="AY195" s="239">
        <v>0</v>
      </c>
      <c r="AZ195" s="239">
        <v>-1570450.3</v>
      </c>
      <c r="BA195" s="239">
        <v>-3990205</v>
      </c>
      <c r="BB195" s="239">
        <v>-3990206</v>
      </c>
      <c r="BC195" s="239">
        <v>0</v>
      </c>
      <c r="BD195" s="239">
        <v>0</v>
      </c>
      <c r="BE195" s="239">
        <v>-7980411</v>
      </c>
      <c r="BF195" s="239">
        <v>1486995</v>
      </c>
      <c r="BG195" s="239">
        <v>1486996</v>
      </c>
      <c r="BH195" s="239">
        <v>0</v>
      </c>
      <c r="BI195" s="239">
        <v>0</v>
      </c>
      <c r="BJ195" s="239">
        <v>2973991</v>
      </c>
      <c r="BK195" s="239">
        <v>-1726086</v>
      </c>
      <c r="BL195" s="239">
        <v>-1726086</v>
      </c>
      <c r="BM195" s="239">
        <v>0</v>
      </c>
      <c r="BN195" s="239">
        <v>0</v>
      </c>
      <c r="BO195" s="239">
        <v>-3452172</v>
      </c>
      <c r="BP195" s="239">
        <v>-4229296</v>
      </c>
      <c r="BQ195" s="239">
        <v>-4229296</v>
      </c>
      <c r="BR195" s="239">
        <v>0</v>
      </c>
      <c r="BS195" s="239">
        <v>0</v>
      </c>
      <c r="BT195" s="239">
        <v>-8458592</v>
      </c>
      <c r="BU195" s="239">
        <v>-2012039</v>
      </c>
      <c r="BV195" s="239">
        <v>-2012040</v>
      </c>
      <c r="BW195" s="239">
        <v>0</v>
      </c>
      <c r="BX195" s="239">
        <v>0</v>
      </c>
      <c r="BY195" s="239">
        <v>-4024079</v>
      </c>
      <c r="BZ195" s="239">
        <v>-1552411</v>
      </c>
      <c r="CA195" s="239">
        <v>-1552412</v>
      </c>
      <c r="CB195" s="239">
        <v>0</v>
      </c>
      <c r="CC195" s="239">
        <v>0</v>
      </c>
      <c r="CD195" s="239">
        <v>-3104823</v>
      </c>
      <c r="CE195" s="239">
        <v>-459628</v>
      </c>
      <c r="CF195" s="239">
        <v>-459628</v>
      </c>
      <c r="CG195" s="239">
        <v>0</v>
      </c>
      <c r="CH195" s="239">
        <v>0</v>
      </c>
      <c r="CI195" s="239">
        <v>-919256</v>
      </c>
      <c r="CJ195" s="239">
        <v>38559966</v>
      </c>
      <c r="CK195" s="239">
        <v>38559966</v>
      </c>
      <c r="CL195" s="239">
        <v>0</v>
      </c>
      <c r="CM195" s="239">
        <v>0</v>
      </c>
      <c r="CN195" s="239">
        <v>77119932</v>
      </c>
      <c r="CO195" s="239">
        <v>37850156</v>
      </c>
      <c r="CP195" s="239">
        <v>37850156</v>
      </c>
      <c r="CQ195" s="239">
        <v>0</v>
      </c>
      <c r="CR195" s="239">
        <v>0</v>
      </c>
      <c r="CS195" s="239">
        <v>75700312</v>
      </c>
      <c r="CT195" s="239">
        <v>-709810</v>
      </c>
      <c r="CU195" s="239">
        <v>-709810</v>
      </c>
      <c r="CV195" s="239">
        <v>0</v>
      </c>
      <c r="CW195" s="239">
        <v>0</v>
      </c>
      <c r="CX195" s="239">
        <v>-1419620</v>
      </c>
      <c r="CY195" s="239">
        <v>-1169438</v>
      </c>
      <c r="CZ195" s="239">
        <v>-1169438</v>
      </c>
      <c r="DA195" s="239">
        <v>0</v>
      </c>
      <c r="DB195" s="239">
        <v>0</v>
      </c>
      <c r="DC195" s="239">
        <v>-2338876</v>
      </c>
      <c r="DD195" s="641">
        <v>0.5</v>
      </c>
      <c r="DE195" s="641">
        <v>0.5</v>
      </c>
      <c r="DF195" s="641">
        <v>0</v>
      </c>
      <c r="DG195" s="641">
        <v>0</v>
      </c>
      <c r="DH195" s="641">
        <v>1</v>
      </c>
      <c r="DI195" s="214" t="s">
        <v>747</v>
      </c>
    </row>
    <row r="196" spans="2:113" s="214" customFormat="1" x14ac:dyDescent="0.2">
      <c r="B196" s="609" t="s">
        <v>474</v>
      </c>
      <c r="C196" s="609" t="s">
        <v>473</v>
      </c>
      <c r="D196" s="239">
        <v>38834970</v>
      </c>
      <c r="E196" s="239">
        <v>31067976</v>
      </c>
      <c r="F196" s="239">
        <v>7766994</v>
      </c>
      <c r="G196" s="239">
        <v>0</v>
      </c>
      <c r="H196" s="239">
        <v>77669940</v>
      </c>
      <c r="I196" s="239">
        <v>0</v>
      </c>
      <c r="J196" s="239">
        <v>0</v>
      </c>
      <c r="K196" s="239">
        <v>38834970</v>
      </c>
      <c r="L196" s="239">
        <v>271241</v>
      </c>
      <c r="M196" s="239">
        <v>271241</v>
      </c>
      <c r="N196" s="239">
        <v>0</v>
      </c>
      <c r="O196" s="239">
        <v>0</v>
      </c>
      <c r="P196" s="239">
        <v>0</v>
      </c>
      <c r="Q196" s="239">
        <v>0</v>
      </c>
      <c r="R196" s="239">
        <v>0</v>
      </c>
      <c r="S196" s="239">
        <v>0</v>
      </c>
      <c r="T196" s="239">
        <v>0</v>
      </c>
      <c r="U196" s="239">
        <v>0</v>
      </c>
      <c r="V196" s="239">
        <v>0</v>
      </c>
      <c r="W196" s="239">
        <v>1757072</v>
      </c>
      <c r="X196" s="239">
        <v>1405658</v>
      </c>
      <c r="Y196" s="239">
        <v>351415</v>
      </c>
      <c r="Z196" s="239">
        <v>0</v>
      </c>
      <c r="AA196" s="239">
        <v>3514145</v>
      </c>
      <c r="AB196" s="239">
        <v>-533108</v>
      </c>
      <c r="AC196" s="239">
        <v>-426487</v>
      </c>
      <c r="AD196" s="239">
        <v>-106622</v>
      </c>
      <c r="AE196" s="239">
        <v>0</v>
      </c>
      <c r="AF196" s="239">
        <v>-1066217</v>
      </c>
      <c r="AG196" s="239">
        <v>-592239</v>
      </c>
      <c r="AH196" s="239">
        <v>-473791.19999999995</v>
      </c>
      <c r="AI196" s="239">
        <v>-118447.79999999999</v>
      </c>
      <c r="AJ196" s="239">
        <v>0</v>
      </c>
      <c r="AK196" s="239">
        <v>-1184478</v>
      </c>
      <c r="AL196" s="239">
        <v>223776</v>
      </c>
      <c r="AM196" s="239">
        <v>179021</v>
      </c>
      <c r="AN196" s="239">
        <v>44755</v>
      </c>
      <c r="AO196" s="239">
        <v>0</v>
      </c>
      <c r="AP196" s="239">
        <v>447552</v>
      </c>
      <c r="AQ196" s="239">
        <v>-650796</v>
      </c>
      <c r="AR196" s="239">
        <v>-520636</v>
      </c>
      <c r="AS196" s="239">
        <v>-130159</v>
      </c>
      <c r="AT196" s="239">
        <v>0</v>
      </c>
      <c r="AU196" s="239">
        <v>-1301591</v>
      </c>
      <c r="AV196" s="239">
        <v>-1019259</v>
      </c>
      <c r="AW196" s="239">
        <v>-815406.2</v>
      </c>
      <c r="AX196" s="239">
        <v>-203851.8</v>
      </c>
      <c r="AY196" s="239">
        <v>0</v>
      </c>
      <c r="AZ196" s="239">
        <v>-2038517</v>
      </c>
      <c r="BA196" s="239">
        <v>-1965314</v>
      </c>
      <c r="BB196" s="239">
        <v>-1572252</v>
      </c>
      <c r="BC196" s="239">
        <v>-393064</v>
      </c>
      <c r="BD196" s="239">
        <v>0</v>
      </c>
      <c r="BE196" s="239">
        <v>-3930630</v>
      </c>
      <c r="BF196" s="239">
        <v>1028429</v>
      </c>
      <c r="BG196" s="239">
        <v>822743</v>
      </c>
      <c r="BH196" s="239">
        <v>205686</v>
      </c>
      <c r="BI196" s="239">
        <v>0</v>
      </c>
      <c r="BJ196" s="239">
        <v>2056858</v>
      </c>
      <c r="BK196" s="239">
        <v>-1765937</v>
      </c>
      <c r="BL196" s="239">
        <v>-1412750</v>
      </c>
      <c r="BM196" s="239">
        <v>-353187</v>
      </c>
      <c r="BN196" s="239">
        <v>0</v>
      </c>
      <c r="BO196" s="239">
        <v>-3531874</v>
      </c>
      <c r="BP196" s="239">
        <v>-2702822</v>
      </c>
      <c r="BQ196" s="239">
        <v>-2162259</v>
      </c>
      <c r="BR196" s="239">
        <v>-540565</v>
      </c>
      <c r="BS196" s="239">
        <v>0</v>
      </c>
      <c r="BT196" s="239">
        <v>-5405646</v>
      </c>
      <c r="BU196" s="239">
        <v>-1402610</v>
      </c>
      <c r="BV196" s="239">
        <v>-1122088</v>
      </c>
      <c r="BW196" s="239">
        <v>-280522</v>
      </c>
      <c r="BX196" s="239">
        <v>0</v>
      </c>
      <c r="BY196" s="239">
        <v>-2805220</v>
      </c>
      <c r="BZ196" s="239">
        <v>-1437342</v>
      </c>
      <c r="CA196" s="239">
        <v>-1149873</v>
      </c>
      <c r="CB196" s="239">
        <v>-287468</v>
      </c>
      <c r="CC196" s="239">
        <v>0</v>
      </c>
      <c r="CD196" s="239">
        <v>-2874683</v>
      </c>
      <c r="CE196" s="239">
        <v>34732</v>
      </c>
      <c r="CF196" s="239">
        <v>27785</v>
      </c>
      <c r="CG196" s="239">
        <v>6946</v>
      </c>
      <c r="CH196" s="239">
        <v>0</v>
      </c>
      <c r="CI196" s="239">
        <v>69463</v>
      </c>
      <c r="CJ196" s="239">
        <v>38931037</v>
      </c>
      <c r="CK196" s="239">
        <v>31144830</v>
      </c>
      <c r="CL196" s="239">
        <v>7786208</v>
      </c>
      <c r="CM196" s="239">
        <v>0</v>
      </c>
      <c r="CN196" s="239">
        <v>77862075</v>
      </c>
      <c r="CO196" s="239">
        <v>38834970</v>
      </c>
      <c r="CP196" s="239">
        <v>31067976</v>
      </c>
      <c r="CQ196" s="239">
        <v>7766994</v>
      </c>
      <c r="CR196" s="239">
        <v>0</v>
      </c>
      <c r="CS196" s="239">
        <v>77669940</v>
      </c>
      <c r="CT196" s="239">
        <v>-96067</v>
      </c>
      <c r="CU196" s="239">
        <v>-76854</v>
      </c>
      <c r="CV196" s="239">
        <v>-19214</v>
      </c>
      <c r="CW196" s="239">
        <v>0</v>
      </c>
      <c r="CX196" s="239">
        <v>-192135</v>
      </c>
      <c r="CY196" s="239">
        <v>-61335</v>
      </c>
      <c r="CZ196" s="239">
        <v>-49069</v>
      </c>
      <c r="DA196" s="239">
        <v>-12268</v>
      </c>
      <c r="DB196" s="239">
        <v>0</v>
      </c>
      <c r="DC196" s="239">
        <v>-122672</v>
      </c>
      <c r="DD196" s="641">
        <v>0.5</v>
      </c>
      <c r="DE196" s="641">
        <v>0.4</v>
      </c>
      <c r="DF196" s="641">
        <v>0.1</v>
      </c>
      <c r="DG196" s="641">
        <v>0</v>
      </c>
      <c r="DH196" s="641">
        <v>1</v>
      </c>
      <c r="DI196" s="214" t="s">
        <v>1190</v>
      </c>
    </row>
    <row r="197" spans="2:113" s="214" customFormat="1" x14ac:dyDescent="0.2">
      <c r="B197" s="609" t="s">
        <v>476</v>
      </c>
      <c r="C197" s="609" t="s">
        <v>475</v>
      </c>
      <c r="D197" s="239">
        <v>66051758</v>
      </c>
      <c r="E197" s="239">
        <v>64730723</v>
      </c>
      <c r="F197" s="239">
        <v>0</v>
      </c>
      <c r="G197" s="239">
        <v>1321035</v>
      </c>
      <c r="H197" s="239">
        <v>132103516</v>
      </c>
      <c r="I197" s="239">
        <v>0</v>
      </c>
      <c r="J197" s="239">
        <v>0</v>
      </c>
      <c r="K197" s="239">
        <v>66051758</v>
      </c>
      <c r="L197" s="239">
        <v>488769</v>
      </c>
      <c r="M197" s="239">
        <v>488769</v>
      </c>
      <c r="N197" s="239">
        <v>0</v>
      </c>
      <c r="O197" s="239">
        <v>0</v>
      </c>
      <c r="P197" s="239">
        <v>0</v>
      </c>
      <c r="Q197" s="239">
        <v>0</v>
      </c>
      <c r="R197" s="239">
        <v>0</v>
      </c>
      <c r="S197" s="239">
        <v>0</v>
      </c>
      <c r="T197" s="239">
        <v>0</v>
      </c>
      <c r="U197" s="239">
        <v>0</v>
      </c>
      <c r="V197" s="239">
        <v>0</v>
      </c>
      <c r="W197" s="239">
        <v>5367564</v>
      </c>
      <c r="X197" s="239">
        <v>5260213</v>
      </c>
      <c r="Y197" s="239">
        <v>0</v>
      </c>
      <c r="Z197" s="239">
        <v>107351</v>
      </c>
      <c r="AA197" s="239">
        <v>10735128</v>
      </c>
      <c r="AB197" s="239">
        <v>-1106332</v>
      </c>
      <c r="AC197" s="239">
        <v>-1084206</v>
      </c>
      <c r="AD197" s="239">
        <v>0</v>
      </c>
      <c r="AE197" s="239">
        <v>-22127</v>
      </c>
      <c r="AF197" s="239">
        <v>-2212665</v>
      </c>
      <c r="AG197" s="239">
        <v>-3112274</v>
      </c>
      <c r="AH197" s="239">
        <v>-3050030</v>
      </c>
      <c r="AI197" s="239">
        <v>0</v>
      </c>
      <c r="AJ197" s="239">
        <v>-62246</v>
      </c>
      <c r="AK197" s="239">
        <v>-6224550</v>
      </c>
      <c r="AL197" s="239">
        <v>498800</v>
      </c>
      <c r="AM197" s="239">
        <v>488824</v>
      </c>
      <c r="AN197" s="239">
        <v>0</v>
      </c>
      <c r="AO197" s="239">
        <v>9976</v>
      </c>
      <c r="AP197" s="239">
        <v>997600</v>
      </c>
      <c r="AQ197" s="239">
        <v>-696250</v>
      </c>
      <c r="AR197" s="239">
        <v>-682325</v>
      </c>
      <c r="AS197" s="239">
        <v>0</v>
      </c>
      <c r="AT197" s="239">
        <v>-13925</v>
      </c>
      <c r="AU197" s="239">
        <v>-1392500</v>
      </c>
      <c r="AV197" s="239">
        <v>-3309724</v>
      </c>
      <c r="AW197" s="239">
        <v>-3243531</v>
      </c>
      <c r="AX197" s="239">
        <v>0</v>
      </c>
      <c r="AY197" s="239">
        <v>-66195</v>
      </c>
      <c r="AZ197" s="239">
        <v>-6619450</v>
      </c>
      <c r="BA197" s="239">
        <v>-11112436</v>
      </c>
      <c r="BB197" s="239">
        <v>-10890187</v>
      </c>
      <c r="BC197" s="239">
        <v>0</v>
      </c>
      <c r="BD197" s="239">
        <v>-222249</v>
      </c>
      <c r="BE197" s="239">
        <v>-22224872</v>
      </c>
      <c r="BF197" s="239">
        <v>1479008</v>
      </c>
      <c r="BG197" s="239">
        <v>1449427</v>
      </c>
      <c r="BH197" s="239">
        <v>0</v>
      </c>
      <c r="BI197" s="239">
        <v>29580</v>
      </c>
      <c r="BJ197" s="239">
        <v>2958015</v>
      </c>
      <c r="BK197" s="239">
        <v>138995</v>
      </c>
      <c r="BL197" s="239">
        <v>136215</v>
      </c>
      <c r="BM197" s="239">
        <v>0</v>
      </c>
      <c r="BN197" s="239">
        <v>2780</v>
      </c>
      <c r="BO197" s="239">
        <v>277990</v>
      </c>
      <c r="BP197" s="239">
        <v>-9494433</v>
      </c>
      <c r="BQ197" s="239">
        <v>-9304545</v>
      </c>
      <c r="BR197" s="239">
        <v>0</v>
      </c>
      <c r="BS197" s="239">
        <v>-189889</v>
      </c>
      <c r="BT197" s="239">
        <v>-18988867</v>
      </c>
      <c r="BU197" s="239">
        <v>-8131156</v>
      </c>
      <c r="BV197" s="239">
        <v>-7968532</v>
      </c>
      <c r="BW197" s="239">
        <v>0</v>
      </c>
      <c r="BX197" s="239">
        <v>-162623</v>
      </c>
      <c r="BY197" s="239">
        <v>-16262311</v>
      </c>
      <c r="BZ197" s="239">
        <v>-2058675</v>
      </c>
      <c r="CA197" s="239">
        <v>-2017502</v>
      </c>
      <c r="CB197" s="239">
        <v>0</v>
      </c>
      <c r="CC197" s="239">
        <v>-41174</v>
      </c>
      <c r="CD197" s="239">
        <v>-4117351</v>
      </c>
      <c r="CE197" s="239">
        <v>-6072481</v>
      </c>
      <c r="CF197" s="239">
        <v>-5951030</v>
      </c>
      <c r="CG197" s="239">
        <v>0</v>
      </c>
      <c r="CH197" s="239">
        <v>-121449</v>
      </c>
      <c r="CI197" s="239">
        <v>-12144960</v>
      </c>
      <c r="CJ197" s="239">
        <v>63042649</v>
      </c>
      <c r="CK197" s="239">
        <v>61781796</v>
      </c>
      <c r="CL197" s="239">
        <v>0</v>
      </c>
      <c r="CM197" s="239">
        <v>1260853</v>
      </c>
      <c r="CN197" s="239">
        <v>126085298</v>
      </c>
      <c r="CO197" s="239">
        <v>66051758</v>
      </c>
      <c r="CP197" s="239">
        <v>64730723</v>
      </c>
      <c r="CQ197" s="239">
        <v>0</v>
      </c>
      <c r="CR197" s="239">
        <v>1321035</v>
      </c>
      <c r="CS197" s="239">
        <v>132103516</v>
      </c>
      <c r="CT197" s="239">
        <v>3009109</v>
      </c>
      <c r="CU197" s="239">
        <v>2948927</v>
      </c>
      <c r="CV197" s="239">
        <v>0</v>
      </c>
      <c r="CW197" s="239">
        <v>60182</v>
      </c>
      <c r="CX197" s="239">
        <v>6018218</v>
      </c>
      <c r="CY197" s="239">
        <v>-3063372</v>
      </c>
      <c r="CZ197" s="239">
        <v>-3002103</v>
      </c>
      <c r="DA197" s="239">
        <v>0</v>
      </c>
      <c r="DB197" s="239">
        <v>-61267</v>
      </c>
      <c r="DC197" s="239">
        <v>-6126742</v>
      </c>
      <c r="DD197" s="641">
        <v>0.5</v>
      </c>
      <c r="DE197" s="641">
        <v>0.49</v>
      </c>
      <c r="DF197" s="641">
        <v>0</v>
      </c>
      <c r="DG197" s="641">
        <v>0.01</v>
      </c>
      <c r="DH197" s="641">
        <v>1</v>
      </c>
      <c r="DI197" s="214" t="s">
        <v>747</v>
      </c>
    </row>
    <row r="198" spans="2:113" s="214" customFormat="1" x14ac:dyDescent="0.2">
      <c r="B198" s="609" t="s">
        <v>478</v>
      </c>
      <c r="C198" s="609" t="s">
        <v>477</v>
      </c>
      <c r="D198" s="239">
        <v>18107042</v>
      </c>
      <c r="E198" s="239">
        <v>14485634</v>
      </c>
      <c r="F198" s="239">
        <v>3621408</v>
      </c>
      <c r="G198" s="239">
        <v>0</v>
      </c>
      <c r="H198" s="239">
        <v>36214084</v>
      </c>
      <c r="I198" s="239">
        <v>0</v>
      </c>
      <c r="J198" s="239">
        <v>0</v>
      </c>
      <c r="K198" s="239">
        <v>18107042</v>
      </c>
      <c r="L198" s="239">
        <v>133244</v>
      </c>
      <c r="M198" s="239">
        <v>133244</v>
      </c>
      <c r="N198" s="239">
        <v>0</v>
      </c>
      <c r="O198" s="239">
        <v>0</v>
      </c>
      <c r="P198" s="239">
        <v>0</v>
      </c>
      <c r="Q198" s="239">
        <v>0</v>
      </c>
      <c r="R198" s="239">
        <v>0</v>
      </c>
      <c r="S198" s="239">
        <v>0</v>
      </c>
      <c r="T198" s="239">
        <v>0</v>
      </c>
      <c r="U198" s="239">
        <v>0</v>
      </c>
      <c r="V198" s="239">
        <v>0</v>
      </c>
      <c r="W198" s="239">
        <v>679132</v>
      </c>
      <c r="X198" s="239">
        <v>543306</v>
      </c>
      <c r="Y198" s="239">
        <v>135827</v>
      </c>
      <c r="Z198" s="239">
        <v>0</v>
      </c>
      <c r="AA198" s="239">
        <v>1358265</v>
      </c>
      <c r="AB198" s="239">
        <v>-76684</v>
      </c>
      <c r="AC198" s="239">
        <v>-61347</v>
      </c>
      <c r="AD198" s="239">
        <v>-15337</v>
      </c>
      <c r="AE198" s="239">
        <v>0</v>
      </c>
      <c r="AF198" s="239">
        <v>-153368</v>
      </c>
      <c r="AG198" s="239">
        <v>-167850</v>
      </c>
      <c r="AH198" s="239">
        <v>-134280</v>
      </c>
      <c r="AI198" s="239">
        <v>-33570</v>
      </c>
      <c r="AJ198" s="239">
        <v>0</v>
      </c>
      <c r="AK198" s="239">
        <v>-335700</v>
      </c>
      <c r="AL198" s="239">
        <v>137928</v>
      </c>
      <c r="AM198" s="239">
        <v>110342</v>
      </c>
      <c r="AN198" s="239">
        <v>27586</v>
      </c>
      <c r="AO198" s="239">
        <v>0</v>
      </c>
      <c r="AP198" s="239">
        <v>275856</v>
      </c>
      <c r="AQ198" s="239">
        <v>-121628</v>
      </c>
      <c r="AR198" s="239">
        <v>-97302</v>
      </c>
      <c r="AS198" s="239">
        <v>-24326</v>
      </c>
      <c r="AT198" s="239">
        <v>0</v>
      </c>
      <c r="AU198" s="239">
        <v>-243256</v>
      </c>
      <c r="AV198" s="239">
        <v>-151550</v>
      </c>
      <c r="AW198" s="239">
        <v>-121240</v>
      </c>
      <c r="AX198" s="239">
        <v>-30310</v>
      </c>
      <c r="AY198" s="239">
        <v>0</v>
      </c>
      <c r="AZ198" s="239">
        <v>-303100</v>
      </c>
      <c r="BA198" s="239">
        <v>-2199468.5</v>
      </c>
      <c r="BB198" s="239">
        <v>-1759576</v>
      </c>
      <c r="BC198" s="239">
        <v>-439894</v>
      </c>
      <c r="BD198" s="239">
        <v>0</v>
      </c>
      <c r="BE198" s="239">
        <v>-4398938.5</v>
      </c>
      <c r="BF198" s="239">
        <v>365686</v>
      </c>
      <c r="BG198" s="239">
        <v>292549</v>
      </c>
      <c r="BH198" s="239">
        <v>73137</v>
      </c>
      <c r="BI198" s="239">
        <v>0</v>
      </c>
      <c r="BJ198" s="239">
        <v>731372</v>
      </c>
      <c r="BK198" s="239">
        <v>80565</v>
      </c>
      <c r="BL198" s="239">
        <v>64452</v>
      </c>
      <c r="BM198" s="239">
        <v>16113</v>
      </c>
      <c r="BN198" s="239">
        <v>0</v>
      </c>
      <c r="BO198" s="239">
        <v>161130</v>
      </c>
      <c r="BP198" s="239">
        <v>-1753217.5</v>
      </c>
      <c r="BQ198" s="239">
        <v>-1402575</v>
      </c>
      <c r="BR198" s="239">
        <v>-350644</v>
      </c>
      <c r="BS198" s="239">
        <v>0</v>
      </c>
      <c r="BT198" s="239">
        <v>-3506436.5</v>
      </c>
      <c r="BU198" s="239">
        <v>-1272978</v>
      </c>
      <c r="BV198" s="239">
        <v>-1018383</v>
      </c>
      <c r="BW198" s="239">
        <v>-254596</v>
      </c>
      <c r="BX198" s="239">
        <v>0</v>
      </c>
      <c r="BY198" s="239">
        <v>-2545957</v>
      </c>
      <c r="BZ198" s="239">
        <v>-1452053</v>
      </c>
      <c r="CA198" s="239">
        <v>-1161642</v>
      </c>
      <c r="CB198" s="239">
        <v>-290411</v>
      </c>
      <c r="CC198" s="239">
        <v>0</v>
      </c>
      <c r="CD198" s="239">
        <v>-2904106</v>
      </c>
      <c r="CE198" s="239">
        <v>179075</v>
      </c>
      <c r="CF198" s="239">
        <v>143259</v>
      </c>
      <c r="CG198" s="239">
        <v>35815</v>
      </c>
      <c r="CH198" s="239">
        <v>0</v>
      </c>
      <c r="CI198" s="239">
        <v>358149</v>
      </c>
      <c r="CJ198" s="239">
        <v>17722868</v>
      </c>
      <c r="CK198" s="239">
        <v>14178294</v>
      </c>
      <c r="CL198" s="239">
        <v>3544574</v>
      </c>
      <c r="CM198" s="239">
        <v>0</v>
      </c>
      <c r="CN198" s="239">
        <v>35445736</v>
      </c>
      <c r="CO198" s="239">
        <v>18107042</v>
      </c>
      <c r="CP198" s="239">
        <v>14485634</v>
      </c>
      <c r="CQ198" s="239">
        <v>3621408</v>
      </c>
      <c r="CR198" s="239">
        <v>0</v>
      </c>
      <c r="CS198" s="239">
        <v>36214084</v>
      </c>
      <c r="CT198" s="239">
        <v>384174</v>
      </c>
      <c r="CU198" s="239">
        <v>307340</v>
      </c>
      <c r="CV198" s="239">
        <v>76834</v>
      </c>
      <c r="CW198" s="239">
        <v>0</v>
      </c>
      <c r="CX198" s="239">
        <v>768348</v>
      </c>
      <c r="CY198" s="239">
        <v>563249</v>
      </c>
      <c r="CZ198" s="239">
        <v>450599</v>
      </c>
      <c r="DA198" s="239">
        <v>112649</v>
      </c>
      <c r="DB198" s="239">
        <v>0</v>
      </c>
      <c r="DC198" s="239">
        <v>1126497</v>
      </c>
      <c r="DD198" s="641">
        <v>0.5</v>
      </c>
      <c r="DE198" s="641">
        <v>0.4</v>
      </c>
      <c r="DF198" s="641">
        <v>0.1</v>
      </c>
      <c r="DG198" s="641">
        <v>0</v>
      </c>
      <c r="DH198" s="641">
        <v>1</v>
      </c>
      <c r="DI198" s="214" t="s">
        <v>1190</v>
      </c>
    </row>
    <row r="199" spans="2:113" s="214" customFormat="1" x14ac:dyDescent="0.2">
      <c r="B199" s="609" t="s">
        <v>480</v>
      </c>
      <c r="C199" s="609" t="s">
        <v>479</v>
      </c>
      <c r="D199" s="239">
        <v>6045646</v>
      </c>
      <c r="E199" s="239">
        <v>4836517</v>
      </c>
      <c r="F199" s="239">
        <v>1088216</v>
      </c>
      <c r="G199" s="239">
        <v>120913</v>
      </c>
      <c r="H199" s="239">
        <v>12091292</v>
      </c>
      <c r="I199" s="239">
        <v>0</v>
      </c>
      <c r="J199" s="239">
        <v>0</v>
      </c>
      <c r="K199" s="239">
        <v>6045646</v>
      </c>
      <c r="L199" s="239">
        <v>56547</v>
      </c>
      <c r="M199" s="239">
        <v>56547</v>
      </c>
      <c r="N199" s="239">
        <v>0</v>
      </c>
      <c r="O199" s="239">
        <v>0</v>
      </c>
      <c r="P199" s="239">
        <v>14029</v>
      </c>
      <c r="Q199" s="239">
        <v>0</v>
      </c>
      <c r="R199" s="239">
        <v>14029</v>
      </c>
      <c r="S199" s="239">
        <v>0</v>
      </c>
      <c r="T199" s="239">
        <v>0</v>
      </c>
      <c r="U199" s="239">
        <v>0</v>
      </c>
      <c r="V199" s="239">
        <v>0</v>
      </c>
      <c r="W199" s="239">
        <v>493156</v>
      </c>
      <c r="X199" s="239">
        <v>394525</v>
      </c>
      <c r="Y199" s="239">
        <v>88768</v>
      </c>
      <c r="Z199" s="239">
        <v>9863</v>
      </c>
      <c r="AA199" s="239">
        <v>986312</v>
      </c>
      <c r="AB199" s="239">
        <v>-190345</v>
      </c>
      <c r="AC199" s="239">
        <v>-152276</v>
      </c>
      <c r="AD199" s="239">
        <v>-34262</v>
      </c>
      <c r="AE199" s="239">
        <v>-3807</v>
      </c>
      <c r="AF199" s="239">
        <v>-380690</v>
      </c>
      <c r="AG199" s="239">
        <v>-158952.20000000001</v>
      </c>
      <c r="AH199" s="239">
        <v>-127165</v>
      </c>
      <c r="AI199" s="239">
        <v>-28612</v>
      </c>
      <c r="AJ199" s="239">
        <v>-3180</v>
      </c>
      <c r="AK199" s="239">
        <v>-317909.2</v>
      </c>
      <c r="AL199" s="239">
        <v>34589</v>
      </c>
      <c r="AM199" s="239">
        <v>27672</v>
      </c>
      <c r="AN199" s="239">
        <v>6226</v>
      </c>
      <c r="AO199" s="239">
        <v>692</v>
      </c>
      <c r="AP199" s="239">
        <v>69179</v>
      </c>
      <c r="AQ199" s="239">
        <v>-23836</v>
      </c>
      <c r="AR199" s="239">
        <v>-19069</v>
      </c>
      <c r="AS199" s="239">
        <v>-4290</v>
      </c>
      <c r="AT199" s="239">
        <v>-477</v>
      </c>
      <c r="AU199" s="239">
        <v>-47672</v>
      </c>
      <c r="AV199" s="239">
        <v>-148199.20000000001</v>
      </c>
      <c r="AW199" s="239">
        <v>-118562</v>
      </c>
      <c r="AX199" s="239">
        <v>-26676</v>
      </c>
      <c r="AY199" s="239">
        <v>-2965</v>
      </c>
      <c r="AZ199" s="239">
        <v>-296402.2</v>
      </c>
      <c r="BA199" s="239">
        <v>-713471</v>
      </c>
      <c r="BB199" s="239">
        <v>-570776</v>
      </c>
      <c r="BC199" s="239">
        <v>-128425</v>
      </c>
      <c r="BD199" s="239">
        <v>-14269</v>
      </c>
      <c r="BE199" s="239">
        <v>-1426941</v>
      </c>
      <c r="BF199" s="239">
        <v>100244</v>
      </c>
      <c r="BG199" s="239">
        <v>80196</v>
      </c>
      <c r="BH199" s="239">
        <v>18044</v>
      </c>
      <c r="BI199" s="239">
        <v>2005</v>
      </c>
      <c r="BJ199" s="239">
        <v>200489</v>
      </c>
      <c r="BK199" s="239">
        <v>-106188</v>
      </c>
      <c r="BL199" s="239">
        <v>-84951</v>
      </c>
      <c r="BM199" s="239">
        <v>-19114</v>
      </c>
      <c r="BN199" s="239">
        <v>-2124</v>
      </c>
      <c r="BO199" s="239">
        <v>-212377</v>
      </c>
      <c r="BP199" s="239">
        <v>-719415</v>
      </c>
      <c r="BQ199" s="239">
        <v>-575531</v>
      </c>
      <c r="BR199" s="239">
        <v>-129495</v>
      </c>
      <c r="BS199" s="239">
        <v>-14388</v>
      </c>
      <c r="BT199" s="239">
        <v>-1438829</v>
      </c>
      <c r="BU199" s="239">
        <v>-341126</v>
      </c>
      <c r="BV199" s="239">
        <v>-272901</v>
      </c>
      <c r="BW199" s="239">
        <v>-61403</v>
      </c>
      <c r="BX199" s="239">
        <v>-6823</v>
      </c>
      <c r="BY199" s="239">
        <v>-682253</v>
      </c>
      <c r="BZ199" s="239">
        <v>-350692</v>
      </c>
      <c r="CA199" s="239">
        <v>-280554</v>
      </c>
      <c r="CB199" s="239">
        <v>-63125</v>
      </c>
      <c r="CC199" s="239">
        <v>-7014</v>
      </c>
      <c r="CD199" s="239">
        <v>-701385</v>
      </c>
      <c r="CE199" s="239">
        <v>9566</v>
      </c>
      <c r="CF199" s="239">
        <v>7653</v>
      </c>
      <c r="CG199" s="239">
        <v>1722</v>
      </c>
      <c r="CH199" s="239">
        <v>191</v>
      </c>
      <c r="CI199" s="239">
        <v>19132</v>
      </c>
      <c r="CJ199" s="239">
        <v>6124357</v>
      </c>
      <c r="CK199" s="239">
        <v>4899485</v>
      </c>
      <c r="CL199" s="239">
        <v>1102384</v>
      </c>
      <c r="CM199" s="239">
        <v>122487</v>
      </c>
      <c r="CN199" s="239">
        <v>12248713</v>
      </c>
      <c r="CO199" s="239">
        <v>6045646</v>
      </c>
      <c r="CP199" s="239">
        <v>4836517</v>
      </c>
      <c r="CQ199" s="239">
        <v>1088216</v>
      </c>
      <c r="CR199" s="239">
        <v>120913</v>
      </c>
      <c r="CS199" s="239">
        <v>12091292</v>
      </c>
      <c r="CT199" s="239">
        <v>-78711</v>
      </c>
      <c r="CU199" s="239">
        <v>-62968</v>
      </c>
      <c r="CV199" s="239">
        <v>-14168</v>
      </c>
      <c r="CW199" s="239">
        <v>-1574</v>
      </c>
      <c r="CX199" s="239">
        <v>-157421</v>
      </c>
      <c r="CY199" s="239">
        <v>-69145</v>
      </c>
      <c r="CZ199" s="239">
        <v>-55315</v>
      </c>
      <c r="DA199" s="239">
        <v>-12446</v>
      </c>
      <c r="DB199" s="239">
        <v>-1383</v>
      </c>
      <c r="DC199" s="239">
        <v>-138289</v>
      </c>
      <c r="DD199" s="641">
        <v>0.5</v>
      </c>
      <c r="DE199" s="641">
        <v>0.4</v>
      </c>
      <c r="DF199" s="641">
        <v>0.09</v>
      </c>
      <c r="DG199" s="641">
        <v>0.01</v>
      </c>
      <c r="DH199" s="641">
        <v>1</v>
      </c>
      <c r="DI199" s="214" t="s">
        <v>1190</v>
      </c>
    </row>
    <row r="200" spans="2:113" s="214" customFormat="1" x14ac:dyDescent="0.2">
      <c r="B200" s="609" t="s">
        <v>482</v>
      </c>
      <c r="C200" s="609" t="s">
        <v>481</v>
      </c>
      <c r="D200" s="239">
        <v>28029604</v>
      </c>
      <c r="E200" s="239">
        <v>27469011</v>
      </c>
      <c r="F200" s="239">
        <v>0</v>
      </c>
      <c r="G200" s="239">
        <v>560592</v>
      </c>
      <c r="H200" s="239">
        <v>56059207</v>
      </c>
      <c r="I200" s="239">
        <v>0</v>
      </c>
      <c r="J200" s="239">
        <v>0</v>
      </c>
      <c r="K200" s="239">
        <v>28029604</v>
      </c>
      <c r="L200" s="239">
        <v>311406</v>
      </c>
      <c r="M200" s="239">
        <v>311406</v>
      </c>
      <c r="N200" s="239">
        <v>0</v>
      </c>
      <c r="O200" s="239">
        <v>0</v>
      </c>
      <c r="P200" s="239">
        <v>1912</v>
      </c>
      <c r="Q200" s="239">
        <v>0</v>
      </c>
      <c r="R200" s="239">
        <v>1912</v>
      </c>
      <c r="S200" s="239">
        <v>0</v>
      </c>
      <c r="T200" s="239">
        <v>0</v>
      </c>
      <c r="U200" s="239">
        <v>0</v>
      </c>
      <c r="V200" s="239">
        <v>0</v>
      </c>
      <c r="W200" s="239">
        <v>2924815</v>
      </c>
      <c r="X200" s="239">
        <v>2866319</v>
      </c>
      <c r="Y200" s="239">
        <v>0</v>
      </c>
      <c r="Z200" s="239">
        <v>58496</v>
      </c>
      <c r="AA200" s="239">
        <v>5849630</v>
      </c>
      <c r="AB200" s="239">
        <v>-1113868</v>
      </c>
      <c r="AC200" s="239">
        <v>-1091590</v>
      </c>
      <c r="AD200" s="239">
        <v>0</v>
      </c>
      <c r="AE200" s="239">
        <v>-22277</v>
      </c>
      <c r="AF200" s="239">
        <v>-2227735</v>
      </c>
      <c r="AG200" s="239">
        <v>-2279719</v>
      </c>
      <c r="AH200" s="239">
        <v>-2234125</v>
      </c>
      <c r="AI200" s="239">
        <v>0</v>
      </c>
      <c r="AJ200" s="239">
        <v>-45596</v>
      </c>
      <c r="AK200" s="239">
        <v>-4559440</v>
      </c>
      <c r="AL200" s="239">
        <v>824996</v>
      </c>
      <c r="AM200" s="239">
        <v>808496</v>
      </c>
      <c r="AN200" s="239">
        <v>0</v>
      </c>
      <c r="AO200" s="239">
        <v>16500</v>
      </c>
      <c r="AP200" s="239">
        <v>1649992</v>
      </c>
      <c r="AQ200" s="239">
        <v>-369283</v>
      </c>
      <c r="AR200" s="239">
        <v>-361898</v>
      </c>
      <c r="AS200" s="239">
        <v>0</v>
      </c>
      <c r="AT200" s="239">
        <v>-7386</v>
      </c>
      <c r="AU200" s="239">
        <v>-738567</v>
      </c>
      <c r="AV200" s="239">
        <v>-1824006</v>
      </c>
      <c r="AW200" s="239">
        <v>-1787527</v>
      </c>
      <c r="AX200" s="239">
        <v>0</v>
      </c>
      <c r="AY200" s="239">
        <v>-36482</v>
      </c>
      <c r="AZ200" s="239">
        <v>-3648015</v>
      </c>
      <c r="BA200" s="239">
        <v>-3553449</v>
      </c>
      <c r="BB200" s="239">
        <v>-3482381</v>
      </c>
      <c r="BC200" s="239">
        <v>0</v>
      </c>
      <c r="BD200" s="239">
        <v>-71070</v>
      </c>
      <c r="BE200" s="239">
        <v>-7106900</v>
      </c>
      <c r="BF200" s="239">
        <v>557021</v>
      </c>
      <c r="BG200" s="239">
        <v>545880</v>
      </c>
      <c r="BH200" s="239">
        <v>0</v>
      </c>
      <c r="BI200" s="239">
        <v>11140</v>
      </c>
      <c r="BJ200" s="239">
        <v>1114041</v>
      </c>
      <c r="BK200" s="239">
        <v>-843376</v>
      </c>
      <c r="BL200" s="239">
        <v>-826508</v>
      </c>
      <c r="BM200" s="239">
        <v>0</v>
      </c>
      <c r="BN200" s="239">
        <v>-16868</v>
      </c>
      <c r="BO200" s="239">
        <v>-1686752</v>
      </c>
      <c r="BP200" s="239">
        <v>-3839804</v>
      </c>
      <c r="BQ200" s="239">
        <v>-3763009</v>
      </c>
      <c r="BR200" s="239">
        <v>0</v>
      </c>
      <c r="BS200" s="239">
        <v>-76798</v>
      </c>
      <c r="BT200" s="239">
        <v>-7679611</v>
      </c>
      <c r="BU200" s="239">
        <v>-2528714</v>
      </c>
      <c r="BV200" s="239">
        <v>-2478139</v>
      </c>
      <c r="BW200" s="239">
        <v>0</v>
      </c>
      <c r="BX200" s="239">
        <v>-50574</v>
      </c>
      <c r="BY200" s="239">
        <v>-5057427</v>
      </c>
      <c r="BZ200" s="239">
        <v>-2816286</v>
      </c>
      <c r="CA200" s="239">
        <v>-2759960</v>
      </c>
      <c r="CB200" s="239">
        <v>0</v>
      </c>
      <c r="CC200" s="239">
        <v>-56326</v>
      </c>
      <c r="CD200" s="239">
        <v>-5632572</v>
      </c>
      <c r="CE200" s="239">
        <v>287572</v>
      </c>
      <c r="CF200" s="239">
        <v>281821</v>
      </c>
      <c r="CG200" s="239">
        <v>0</v>
      </c>
      <c r="CH200" s="239">
        <v>5752</v>
      </c>
      <c r="CI200" s="239">
        <v>575145</v>
      </c>
      <c r="CJ200" s="239">
        <v>29640812</v>
      </c>
      <c r="CK200" s="239">
        <v>29047995</v>
      </c>
      <c r="CL200" s="239">
        <v>0</v>
      </c>
      <c r="CM200" s="239">
        <v>592816</v>
      </c>
      <c r="CN200" s="239">
        <v>59281623</v>
      </c>
      <c r="CO200" s="239">
        <v>28029604</v>
      </c>
      <c r="CP200" s="239">
        <v>27469011</v>
      </c>
      <c r="CQ200" s="239">
        <v>0</v>
      </c>
      <c r="CR200" s="239">
        <v>560592</v>
      </c>
      <c r="CS200" s="239">
        <v>56059207</v>
      </c>
      <c r="CT200" s="239">
        <v>-1611208</v>
      </c>
      <c r="CU200" s="239">
        <v>-1578984</v>
      </c>
      <c r="CV200" s="239">
        <v>0</v>
      </c>
      <c r="CW200" s="239">
        <v>-32224</v>
      </c>
      <c r="CX200" s="239">
        <v>-3222416</v>
      </c>
      <c r="CY200" s="239">
        <v>-1323636</v>
      </c>
      <c r="CZ200" s="239">
        <v>-1297163</v>
      </c>
      <c r="DA200" s="239">
        <v>0</v>
      </c>
      <c r="DB200" s="239">
        <v>-26472</v>
      </c>
      <c r="DC200" s="239">
        <v>-2647271</v>
      </c>
      <c r="DD200" s="641">
        <v>0.5</v>
      </c>
      <c r="DE200" s="641">
        <v>0.49</v>
      </c>
      <c r="DF200" s="641">
        <v>0</v>
      </c>
      <c r="DG200" s="641">
        <v>0.01</v>
      </c>
      <c r="DH200" s="641">
        <v>1</v>
      </c>
      <c r="DI200" s="214" t="s">
        <v>1192</v>
      </c>
    </row>
    <row r="201" spans="2:113" s="214" customFormat="1" x14ac:dyDescent="0.2">
      <c r="B201" s="609" t="s">
        <v>484</v>
      </c>
      <c r="C201" s="609" t="s">
        <v>483</v>
      </c>
      <c r="D201" s="239">
        <v>43145498</v>
      </c>
      <c r="E201" s="239">
        <v>34516399</v>
      </c>
      <c r="F201" s="239">
        <v>8629100</v>
      </c>
      <c r="G201" s="239">
        <v>0</v>
      </c>
      <c r="H201" s="239">
        <v>86290997</v>
      </c>
      <c r="I201" s="239">
        <v>0</v>
      </c>
      <c r="J201" s="239">
        <v>0</v>
      </c>
      <c r="K201" s="239">
        <v>43145498</v>
      </c>
      <c r="L201" s="239">
        <v>220410</v>
      </c>
      <c r="M201" s="239">
        <v>220410</v>
      </c>
      <c r="N201" s="239">
        <v>0</v>
      </c>
      <c r="O201" s="239">
        <v>0</v>
      </c>
      <c r="P201" s="239">
        <v>12052</v>
      </c>
      <c r="Q201" s="239">
        <v>0</v>
      </c>
      <c r="R201" s="239">
        <v>12052</v>
      </c>
      <c r="S201" s="239">
        <v>0</v>
      </c>
      <c r="T201" s="239">
        <v>0</v>
      </c>
      <c r="U201" s="239">
        <v>0</v>
      </c>
      <c r="V201" s="239">
        <v>0</v>
      </c>
      <c r="W201" s="239">
        <v>1022703</v>
      </c>
      <c r="X201" s="239">
        <v>818163</v>
      </c>
      <c r="Y201" s="239">
        <v>204541</v>
      </c>
      <c r="Z201" s="239">
        <v>0</v>
      </c>
      <c r="AA201" s="239">
        <v>2045407</v>
      </c>
      <c r="AB201" s="239">
        <v>-1490407</v>
      </c>
      <c r="AC201" s="239">
        <v>-1192326</v>
      </c>
      <c r="AD201" s="239">
        <v>-298082</v>
      </c>
      <c r="AE201" s="239">
        <v>0</v>
      </c>
      <c r="AF201" s="239">
        <v>-2980815</v>
      </c>
      <c r="AG201" s="239">
        <v>-637917</v>
      </c>
      <c r="AH201" s="239">
        <v>-510334</v>
      </c>
      <c r="AI201" s="239">
        <v>-127584</v>
      </c>
      <c r="AJ201" s="239">
        <v>0</v>
      </c>
      <c r="AK201" s="239">
        <v>-1275835</v>
      </c>
      <c r="AL201" s="239">
        <v>0</v>
      </c>
      <c r="AM201" s="239">
        <v>0</v>
      </c>
      <c r="AN201" s="239">
        <v>0</v>
      </c>
      <c r="AO201" s="239">
        <v>0</v>
      </c>
      <c r="AP201" s="239">
        <v>0</v>
      </c>
      <c r="AQ201" s="239">
        <v>72126</v>
      </c>
      <c r="AR201" s="239">
        <v>57700</v>
      </c>
      <c r="AS201" s="239">
        <v>14425</v>
      </c>
      <c r="AT201" s="239">
        <v>0</v>
      </c>
      <c r="AU201" s="239">
        <v>144251</v>
      </c>
      <c r="AV201" s="239">
        <v>-565791</v>
      </c>
      <c r="AW201" s="239">
        <v>-452634</v>
      </c>
      <c r="AX201" s="239">
        <v>-113159</v>
      </c>
      <c r="AY201" s="239">
        <v>0</v>
      </c>
      <c r="AZ201" s="239">
        <v>-1131584</v>
      </c>
      <c r="BA201" s="239">
        <v>-7119791</v>
      </c>
      <c r="BB201" s="239">
        <v>-5695833</v>
      </c>
      <c r="BC201" s="239">
        <v>-1423959</v>
      </c>
      <c r="BD201" s="239">
        <v>0</v>
      </c>
      <c r="BE201" s="239">
        <v>-14239583</v>
      </c>
      <c r="BF201" s="239">
        <v>1720080</v>
      </c>
      <c r="BG201" s="239">
        <v>1376064</v>
      </c>
      <c r="BH201" s="239">
        <v>344016</v>
      </c>
      <c r="BI201" s="239">
        <v>0</v>
      </c>
      <c r="BJ201" s="239">
        <v>3440160</v>
      </c>
      <c r="BK201" s="239">
        <v>-1052331</v>
      </c>
      <c r="BL201" s="239">
        <v>-841865</v>
      </c>
      <c r="BM201" s="239">
        <v>-210466</v>
      </c>
      <c r="BN201" s="239">
        <v>0</v>
      </c>
      <c r="BO201" s="239">
        <v>-2104662</v>
      </c>
      <c r="BP201" s="239">
        <v>-6452042</v>
      </c>
      <c r="BQ201" s="239">
        <v>-5161634</v>
      </c>
      <c r="BR201" s="239">
        <v>-1290409</v>
      </c>
      <c r="BS201" s="239">
        <v>0</v>
      </c>
      <c r="BT201" s="239">
        <v>-12904085</v>
      </c>
      <c r="BU201" s="239">
        <v>-4054779</v>
      </c>
      <c r="BV201" s="239">
        <v>-3243823</v>
      </c>
      <c r="BW201" s="239">
        <v>-810956</v>
      </c>
      <c r="BX201" s="239">
        <v>0</v>
      </c>
      <c r="BY201" s="239">
        <v>-8109558</v>
      </c>
      <c r="BZ201" s="239">
        <v>-3946293</v>
      </c>
      <c r="CA201" s="239">
        <v>-3157034</v>
      </c>
      <c r="CB201" s="239">
        <v>-789259</v>
      </c>
      <c r="CC201" s="239">
        <v>0</v>
      </c>
      <c r="CD201" s="239">
        <v>-7892586</v>
      </c>
      <c r="CE201" s="239">
        <v>-108486</v>
      </c>
      <c r="CF201" s="239">
        <v>-86789</v>
      </c>
      <c r="CG201" s="239">
        <v>-21697</v>
      </c>
      <c r="CH201" s="239">
        <v>0</v>
      </c>
      <c r="CI201" s="239">
        <v>-216972</v>
      </c>
      <c r="CJ201" s="239">
        <v>42357000</v>
      </c>
      <c r="CK201" s="239">
        <v>33885600</v>
      </c>
      <c r="CL201" s="239">
        <v>8471400</v>
      </c>
      <c r="CM201" s="239">
        <v>0</v>
      </c>
      <c r="CN201" s="239">
        <v>84714000</v>
      </c>
      <c r="CO201" s="239">
        <v>43145498</v>
      </c>
      <c r="CP201" s="239">
        <v>34516399</v>
      </c>
      <c r="CQ201" s="239">
        <v>8629100</v>
      </c>
      <c r="CR201" s="239">
        <v>0</v>
      </c>
      <c r="CS201" s="239">
        <v>86290997</v>
      </c>
      <c r="CT201" s="239">
        <v>788498</v>
      </c>
      <c r="CU201" s="239">
        <v>630799</v>
      </c>
      <c r="CV201" s="239">
        <v>157700</v>
      </c>
      <c r="CW201" s="239">
        <v>0</v>
      </c>
      <c r="CX201" s="239">
        <v>1576997</v>
      </c>
      <c r="CY201" s="239">
        <v>680012</v>
      </c>
      <c r="CZ201" s="239">
        <v>544010</v>
      </c>
      <c r="DA201" s="239">
        <v>136003</v>
      </c>
      <c r="DB201" s="239">
        <v>0</v>
      </c>
      <c r="DC201" s="239">
        <v>1360025</v>
      </c>
      <c r="DD201" s="641">
        <v>0.5</v>
      </c>
      <c r="DE201" s="641">
        <v>0.4</v>
      </c>
      <c r="DF201" s="641">
        <v>0.1</v>
      </c>
      <c r="DG201" s="641">
        <v>0</v>
      </c>
      <c r="DH201" s="641">
        <v>1</v>
      </c>
      <c r="DI201" s="214" t="s">
        <v>1190</v>
      </c>
    </row>
    <row r="202" spans="2:113" s="214" customFormat="1" x14ac:dyDescent="0.2">
      <c r="B202" s="609" t="s">
        <v>486</v>
      </c>
      <c r="C202" s="609" t="s">
        <v>485</v>
      </c>
      <c r="D202" s="239">
        <v>10347721</v>
      </c>
      <c r="E202" s="239">
        <v>8278177</v>
      </c>
      <c r="F202" s="239">
        <v>1862590</v>
      </c>
      <c r="G202" s="239">
        <v>206954</v>
      </c>
      <c r="H202" s="239">
        <v>20695442</v>
      </c>
      <c r="I202" s="239">
        <v>0</v>
      </c>
      <c r="J202" s="239">
        <v>0</v>
      </c>
      <c r="K202" s="239">
        <v>10347721</v>
      </c>
      <c r="L202" s="239">
        <v>136498</v>
      </c>
      <c r="M202" s="239">
        <v>136498</v>
      </c>
      <c r="N202" s="239">
        <v>0</v>
      </c>
      <c r="O202" s="239">
        <v>0</v>
      </c>
      <c r="P202" s="239">
        <v>0</v>
      </c>
      <c r="Q202" s="239">
        <v>0</v>
      </c>
      <c r="R202" s="239">
        <v>0</v>
      </c>
      <c r="S202" s="239">
        <v>0</v>
      </c>
      <c r="T202" s="239">
        <v>0</v>
      </c>
      <c r="U202" s="239">
        <v>0</v>
      </c>
      <c r="V202" s="239">
        <v>0</v>
      </c>
      <c r="W202" s="239">
        <v>315559</v>
      </c>
      <c r="X202" s="239">
        <v>252446</v>
      </c>
      <c r="Y202" s="239">
        <v>56800</v>
      </c>
      <c r="Z202" s="239">
        <v>6311</v>
      </c>
      <c r="AA202" s="239">
        <v>631116</v>
      </c>
      <c r="AB202" s="239">
        <v>-121890</v>
      </c>
      <c r="AC202" s="239">
        <v>-97512</v>
      </c>
      <c r="AD202" s="239">
        <v>-21940</v>
      </c>
      <c r="AE202" s="239">
        <v>-2438</v>
      </c>
      <c r="AF202" s="239">
        <v>-243780</v>
      </c>
      <c r="AG202" s="239">
        <v>-470000</v>
      </c>
      <c r="AH202" s="239">
        <v>-376000</v>
      </c>
      <c r="AI202" s="239">
        <v>-84600</v>
      </c>
      <c r="AJ202" s="239">
        <v>-9400</v>
      </c>
      <c r="AK202" s="239">
        <v>-940000</v>
      </c>
      <c r="AL202" s="239">
        <v>0</v>
      </c>
      <c r="AM202" s="239">
        <v>0</v>
      </c>
      <c r="AN202" s="239">
        <v>0</v>
      </c>
      <c r="AO202" s="239">
        <v>0</v>
      </c>
      <c r="AP202" s="239">
        <v>0</v>
      </c>
      <c r="AQ202" s="239">
        <v>130000</v>
      </c>
      <c r="AR202" s="239">
        <v>104000</v>
      </c>
      <c r="AS202" s="239">
        <v>23400</v>
      </c>
      <c r="AT202" s="239">
        <v>2600</v>
      </c>
      <c r="AU202" s="239">
        <v>260000</v>
      </c>
      <c r="AV202" s="239">
        <v>-340000</v>
      </c>
      <c r="AW202" s="239">
        <v>-272000</v>
      </c>
      <c r="AX202" s="239">
        <v>-61200</v>
      </c>
      <c r="AY202" s="239">
        <v>-6800</v>
      </c>
      <c r="AZ202" s="239">
        <v>-680000</v>
      </c>
      <c r="BA202" s="239">
        <v>-1832499</v>
      </c>
      <c r="BB202" s="239">
        <v>-1466001</v>
      </c>
      <c r="BC202" s="239">
        <v>-329851</v>
      </c>
      <c r="BD202" s="239">
        <v>-36649</v>
      </c>
      <c r="BE202" s="239">
        <v>-3665000</v>
      </c>
      <c r="BF202" s="239">
        <v>184013</v>
      </c>
      <c r="BG202" s="239">
        <v>147210</v>
      </c>
      <c r="BH202" s="239">
        <v>33122</v>
      </c>
      <c r="BI202" s="239">
        <v>3680</v>
      </c>
      <c r="BJ202" s="239">
        <v>368025</v>
      </c>
      <c r="BK202" s="239">
        <v>54987</v>
      </c>
      <c r="BL202" s="239">
        <v>43990</v>
      </c>
      <c r="BM202" s="239">
        <v>9898</v>
      </c>
      <c r="BN202" s="239">
        <v>1100</v>
      </c>
      <c r="BO202" s="239">
        <v>109975</v>
      </c>
      <c r="BP202" s="239">
        <v>-1593499</v>
      </c>
      <c r="BQ202" s="239">
        <v>-1274801</v>
      </c>
      <c r="BR202" s="239">
        <v>-286831</v>
      </c>
      <c r="BS202" s="239">
        <v>-31869</v>
      </c>
      <c r="BT202" s="239">
        <v>-3187000</v>
      </c>
      <c r="BU202" s="239">
        <v>-1411105</v>
      </c>
      <c r="BV202" s="239">
        <v>-1128884</v>
      </c>
      <c r="BW202" s="239">
        <v>-253999</v>
      </c>
      <c r="BX202" s="239">
        <v>-28222</v>
      </c>
      <c r="BY202" s="239">
        <v>-2822210</v>
      </c>
      <c r="BZ202" s="239">
        <v>-646493</v>
      </c>
      <c r="CA202" s="239">
        <v>-517195</v>
      </c>
      <c r="CB202" s="239">
        <v>-116369</v>
      </c>
      <c r="CC202" s="239">
        <v>-12930</v>
      </c>
      <c r="CD202" s="239">
        <v>-1292987</v>
      </c>
      <c r="CE202" s="239">
        <v>-764612</v>
      </c>
      <c r="CF202" s="239">
        <v>-611689</v>
      </c>
      <c r="CG202" s="239">
        <v>-137630</v>
      </c>
      <c r="CH202" s="239">
        <v>-15292</v>
      </c>
      <c r="CI202" s="239">
        <v>-1529223</v>
      </c>
      <c r="CJ202" s="239">
        <v>9611446</v>
      </c>
      <c r="CK202" s="239">
        <v>7689156</v>
      </c>
      <c r="CL202" s="239">
        <v>1730060</v>
      </c>
      <c r="CM202" s="239">
        <v>192229</v>
      </c>
      <c r="CN202" s="239">
        <v>19222891</v>
      </c>
      <c r="CO202" s="239">
        <v>10347721</v>
      </c>
      <c r="CP202" s="239">
        <v>8278177</v>
      </c>
      <c r="CQ202" s="239">
        <v>1862590</v>
      </c>
      <c r="CR202" s="239">
        <v>206954</v>
      </c>
      <c r="CS202" s="239">
        <v>20695442</v>
      </c>
      <c r="CT202" s="239">
        <v>736275</v>
      </c>
      <c r="CU202" s="239">
        <v>589021</v>
      </c>
      <c r="CV202" s="239">
        <v>132530</v>
      </c>
      <c r="CW202" s="239">
        <v>14725</v>
      </c>
      <c r="CX202" s="239">
        <v>1472551</v>
      </c>
      <c r="CY202" s="239">
        <v>-28337</v>
      </c>
      <c r="CZ202" s="239">
        <v>-22668</v>
      </c>
      <c r="DA202" s="239">
        <v>-5100</v>
      </c>
      <c r="DB202" s="239">
        <v>-567</v>
      </c>
      <c r="DC202" s="239">
        <v>-56672</v>
      </c>
      <c r="DD202" s="641">
        <v>0.5</v>
      </c>
      <c r="DE202" s="641">
        <v>0.4</v>
      </c>
      <c r="DF202" s="641">
        <v>0.09</v>
      </c>
      <c r="DG202" s="641">
        <v>0.01</v>
      </c>
      <c r="DH202" s="641">
        <v>1</v>
      </c>
      <c r="DI202" s="214" t="s">
        <v>1190</v>
      </c>
    </row>
    <row r="203" spans="2:113" s="214" customFormat="1" x14ac:dyDescent="0.2">
      <c r="B203" s="609" t="s">
        <v>488</v>
      </c>
      <c r="C203" s="609" t="s">
        <v>487</v>
      </c>
      <c r="D203" s="239">
        <v>48693217</v>
      </c>
      <c r="E203" s="239">
        <v>47719353</v>
      </c>
      <c r="F203" s="239">
        <v>0</v>
      </c>
      <c r="G203" s="239">
        <v>973864</v>
      </c>
      <c r="H203" s="239">
        <v>97386434</v>
      </c>
      <c r="I203" s="239">
        <v>0</v>
      </c>
      <c r="J203" s="239">
        <v>0</v>
      </c>
      <c r="K203" s="239">
        <v>48693217</v>
      </c>
      <c r="L203" s="239">
        <v>274686</v>
      </c>
      <c r="M203" s="239">
        <v>274686</v>
      </c>
      <c r="N203" s="239">
        <v>0</v>
      </c>
      <c r="O203" s="239">
        <v>0</v>
      </c>
      <c r="P203" s="239">
        <v>323255</v>
      </c>
      <c r="Q203" s="239">
        <v>0</v>
      </c>
      <c r="R203" s="239">
        <v>323255</v>
      </c>
      <c r="S203" s="239">
        <v>0</v>
      </c>
      <c r="T203" s="239">
        <v>0</v>
      </c>
      <c r="U203" s="239">
        <v>0</v>
      </c>
      <c r="V203" s="239">
        <v>0</v>
      </c>
      <c r="W203" s="239">
        <v>5295658</v>
      </c>
      <c r="X203" s="239">
        <v>5189745</v>
      </c>
      <c r="Y203" s="239">
        <v>0</v>
      </c>
      <c r="Z203" s="239">
        <v>105913</v>
      </c>
      <c r="AA203" s="239">
        <v>10591316</v>
      </c>
      <c r="AB203" s="239">
        <v>-1309991</v>
      </c>
      <c r="AC203" s="239">
        <v>-1283791</v>
      </c>
      <c r="AD203" s="239">
        <v>0</v>
      </c>
      <c r="AE203" s="239">
        <v>-26200</v>
      </c>
      <c r="AF203" s="239">
        <v>-2619982</v>
      </c>
      <c r="AG203" s="239">
        <v>-3193044</v>
      </c>
      <c r="AH203" s="239">
        <v>-3129184</v>
      </c>
      <c r="AI203" s="239">
        <v>0</v>
      </c>
      <c r="AJ203" s="239">
        <v>-63862</v>
      </c>
      <c r="AK203" s="239">
        <v>-6386090</v>
      </c>
      <c r="AL203" s="239">
        <v>140881</v>
      </c>
      <c r="AM203" s="239">
        <v>138063</v>
      </c>
      <c r="AN203" s="239">
        <v>0</v>
      </c>
      <c r="AO203" s="239">
        <v>2818</v>
      </c>
      <c r="AP203" s="239">
        <v>281762</v>
      </c>
      <c r="AQ203" s="239">
        <v>-1178219</v>
      </c>
      <c r="AR203" s="239">
        <v>-1154655</v>
      </c>
      <c r="AS203" s="239">
        <v>0</v>
      </c>
      <c r="AT203" s="239">
        <v>-23564</v>
      </c>
      <c r="AU203" s="239">
        <v>-2356438</v>
      </c>
      <c r="AV203" s="239">
        <v>-4230382</v>
      </c>
      <c r="AW203" s="239">
        <v>-4145776</v>
      </c>
      <c r="AX203" s="239">
        <v>0</v>
      </c>
      <c r="AY203" s="239">
        <v>-84608</v>
      </c>
      <c r="AZ203" s="239">
        <v>-8460766</v>
      </c>
      <c r="BA203" s="239">
        <v>-6263455</v>
      </c>
      <c r="BB203" s="239">
        <v>-6138183</v>
      </c>
      <c r="BC203" s="239">
        <v>0</v>
      </c>
      <c r="BD203" s="239">
        <v>-125268</v>
      </c>
      <c r="BE203" s="239">
        <v>-12526906</v>
      </c>
      <c r="BF203" s="239">
        <v>3045408</v>
      </c>
      <c r="BG203" s="239">
        <v>2984499</v>
      </c>
      <c r="BH203" s="239">
        <v>0</v>
      </c>
      <c r="BI203" s="239">
        <v>60908</v>
      </c>
      <c r="BJ203" s="239">
        <v>6090815</v>
      </c>
      <c r="BK203" s="239">
        <v>-1462382</v>
      </c>
      <c r="BL203" s="239">
        <v>-1433135</v>
      </c>
      <c r="BM203" s="239">
        <v>0</v>
      </c>
      <c r="BN203" s="239">
        <v>-29248</v>
      </c>
      <c r="BO203" s="239">
        <v>-2924765</v>
      </c>
      <c r="BP203" s="239">
        <v>-4680429</v>
      </c>
      <c r="BQ203" s="239">
        <v>-4586819</v>
      </c>
      <c r="BR203" s="239">
        <v>0</v>
      </c>
      <c r="BS203" s="239">
        <v>-93608</v>
      </c>
      <c r="BT203" s="239">
        <v>-9360856</v>
      </c>
      <c r="BU203" s="239">
        <v>-1465868</v>
      </c>
      <c r="BV203" s="239">
        <v>-1436551</v>
      </c>
      <c r="BW203" s="239">
        <v>0</v>
      </c>
      <c r="BX203" s="239">
        <v>-29317</v>
      </c>
      <c r="BY203" s="239">
        <v>-2931736</v>
      </c>
      <c r="BZ203" s="239">
        <v>-858424</v>
      </c>
      <c r="CA203" s="239">
        <v>-841256</v>
      </c>
      <c r="CB203" s="239">
        <v>0</v>
      </c>
      <c r="CC203" s="239">
        <v>-17168</v>
      </c>
      <c r="CD203" s="239">
        <v>-1716848</v>
      </c>
      <c r="CE203" s="239">
        <v>-607444</v>
      </c>
      <c r="CF203" s="239">
        <v>-595295</v>
      </c>
      <c r="CG203" s="239">
        <v>0</v>
      </c>
      <c r="CH203" s="239">
        <v>-12149</v>
      </c>
      <c r="CI203" s="239">
        <v>-1214888</v>
      </c>
      <c r="CJ203" s="239">
        <v>49241349</v>
      </c>
      <c r="CK203" s="239">
        <v>48256522</v>
      </c>
      <c r="CL203" s="239">
        <v>0</v>
      </c>
      <c r="CM203" s="239">
        <v>984827</v>
      </c>
      <c r="CN203" s="239">
        <v>98482698</v>
      </c>
      <c r="CO203" s="239">
        <v>48693217</v>
      </c>
      <c r="CP203" s="239">
        <v>47719353</v>
      </c>
      <c r="CQ203" s="239">
        <v>0</v>
      </c>
      <c r="CR203" s="239">
        <v>973864</v>
      </c>
      <c r="CS203" s="239">
        <v>97386434</v>
      </c>
      <c r="CT203" s="239">
        <v>-548132</v>
      </c>
      <c r="CU203" s="239">
        <v>-537169</v>
      </c>
      <c r="CV203" s="239">
        <v>0</v>
      </c>
      <c r="CW203" s="239">
        <v>-10963</v>
      </c>
      <c r="CX203" s="239">
        <v>-1096264</v>
      </c>
      <c r="CY203" s="239">
        <v>-1155576</v>
      </c>
      <c r="CZ203" s="239">
        <v>-1132464</v>
      </c>
      <c r="DA203" s="239">
        <v>0</v>
      </c>
      <c r="DB203" s="239">
        <v>-23112</v>
      </c>
      <c r="DC203" s="239">
        <v>-2311152</v>
      </c>
      <c r="DD203" s="641">
        <v>0.5</v>
      </c>
      <c r="DE203" s="641">
        <v>0.49</v>
      </c>
      <c r="DF203" s="641">
        <v>0</v>
      </c>
      <c r="DG203" s="641">
        <v>0.01</v>
      </c>
      <c r="DH203" s="641">
        <v>1</v>
      </c>
      <c r="DI203" s="214" t="s">
        <v>747</v>
      </c>
    </row>
    <row r="204" spans="2:113" s="214" customFormat="1" x14ac:dyDescent="0.2">
      <c r="B204" s="609" t="s">
        <v>490</v>
      </c>
      <c r="C204" s="609" t="s">
        <v>489</v>
      </c>
      <c r="D204" s="239">
        <v>44846976</v>
      </c>
      <c r="E204" s="239">
        <v>43950037</v>
      </c>
      <c r="F204" s="239">
        <v>0</v>
      </c>
      <c r="G204" s="239">
        <v>896940</v>
      </c>
      <c r="H204" s="239">
        <v>89693953</v>
      </c>
      <c r="I204" s="239">
        <v>0</v>
      </c>
      <c r="J204" s="239">
        <v>0</v>
      </c>
      <c r="K204" s="239">
        <v>44846976</v>
      </c>
      <c r="L204" s="239">
        <v>315039</v>
      </c>
      <c r="M204" s="239">
        <v>315039</v>
      </c>
      <c r="N204" s="239">
        <v>0</v>
      </c>
      <c r="O204" s="239">
        <v>0</v>
      </c>
      <c r="P204" s="239">
        <v>235877</v>
      </c>
      <c r="Q204" s="239">
        <v>0</v>
      </c>
      <c r="R204" s="239">
        <v>235877</v>
      </c>
      <c r="S204" s="239">
        <v>0</v>
      </c>
      <c r="T204" s="239">
        <v>0</v>
      </c>
      <c r="U204" s="239">
        <v>0</v>
      </c>
      <c r="V204" s="239">
        <v>0</v>
      </c>
      <c r="W204" s="239">
        <v>1168945</v>
      </c>
      <c r="X204" s="239">
        <v>1145567</v>
      </c>
      <c r="Y204" s="239">
        <v>0</v>
      </c>
      <c r="Z204" s="239">
        <v>23379</v>
      </c>
      <c r="AA204" s="239">
        <v>2337891</v>
      </c>
      <c r="AB204" s="239">
        <v>-948951</v>
      </c>
      <c r="AC204" s="239">
        <v>-929972</v>
      </c>
      <c r="AD204" s="239">
        <v>0</v>
      </c>
      <c r="AE204" s="239">
        <v>-18979</v>
      </c>
      <c r="AF204" s="239">
        <v>-1897902</v>
      </c>
      <c r="AG204" s="239">
        <v>-370136.59</v>
      </c>
      <c r="AH204" s="239">
        <v>-362734</v>
      </c>
      <c r="AI204" s="239">
        <v>0</v>
      </c>
      <c r="AJ204" s="239">
        <v>-7402</v>
      </c>
      <c r="AK204" s="239">
        <v>-740272.59</v>
      </c>
      <c r="AL204" s="239">
        <v>327724</v>
      </c>
      <c r="AM204" s="239">
        <v>321169</v>
      </c>
      <c r="AN204" s="239">
        <v>0</v>
      </c>
      <c r="AO204" s="239">
        <v>6554</v>
      </c>
      <c r="AP204" s="239">
        <v>655447</v>
      </c>
      <c r="AQ204" s="239">
        <v>-273030</v>
      </c>
      <c r="AR204" s="239">
        <v>-267570</v>
      </c>
      <c r="AS204" s="239">
        <v>0</v>
      </c>
      <c r="AT204" s="239">
        <v>-5461</v>
      </c>
      <c r="AU204" s="239">
        <v>-546061</v>
      </c>
      <c r="AV204" s="239">
        <v>-315442.59000000003</v>
      </c>
      <c r="AW204" s="239">
        <v>-309135</v>
      </c>
      <c r="AX204" s="239">
        <v>0</v>
      </c>
      <c r="AY204" s="239">
        <v>-6309</v>
      </c>
      <c r="AZ204" s="239">
        <v>-630886.59</v>
      </c>
      <c r="BA204" s="239">
        <v>-1058788</v>
      </c>
      <c r="BB204" s="239">
        <v>-1037612</v>
      </c>
      <c r="BC204" s="239">
        <v>0</v>
      </c>
      <c r="BD204" s="239">
        <v>-21175</v>
      </c>
      <c r="BE204" s="239">
        <v>-2117575</v>
      </c>
      <c r="BF204" s="239">
        <v>1058787</v>
      </c>
      <c r="BG204" s="239">
        <v>1037612</v>
      </c>
      <c r="BH204" s="239">
        <v>0</v>
      </c>
      <c r="BI204" s="239">
        <v>21176</v>
      </c>
      <c r="BJ204" s="239">
        <v>2117575</v>
      </c>
      <c r="BK204" s="239">
        <v>-1080868</v>
      </c>
      <c r="BL204" s="239">
        <v>-1059251</v>
      </c>
      <c r="BM204" s="239">
        <v>0</v>
      </c>
      <c r="BN204" s="239">
        <v>-21617</v>
      </c>
      <c r="BO204" s="239">
        <v>-2161736</v>
      </c>
      <c r="BP204" s="239">
        <v>-1080869</v>
      </c>
      <c r="BQ204" s="239">
        <v>-1059251</v>
      </c>
      <c r="BR204" s="239">
        <v>0</v>
      </c>
      <c r="BS204" s="239">
        <v>-21616</v>
      </c>
      <c r="BT204" s="239">
        <v>-2161736</v>
      </c>
      <c r="BU204" s="239">
        <v>-1041954</v>
      </c>
      <c r="BV204" s="239">
        <v>-1021115</v>
      </c>
      <c r="BW204" s="239">
        <v>0</v>
      </c>
      <c r="BX204" s="239">
        <v>-20839</v>
      </c>
      <c r="BY204" s="239">
        <v>-2083908</v>
      </c>
      <c r="BZ204" s="239">
        <v>84674</v>
      </c>
      <c r="CA204" s="239">
        <v>82982</v>
      </c>
      <c r="CB204" s="239">
        <v>0</v>
      </c>
      <c r="CC204" s="239">
        <v>1694</v>
      </c>
      <c r="CD204" s="239">
        <v>169350</v>
      </c>
      <c r="CE204" s="239">
        <v>-1126628</v>
      </c>
      <c r="CF204" s="239">
        <v>-1104097</v>
      </c>
      <c r="CG204" s="239">
        <v>0</v>
      </c>
      <c r="CH204" s="239">
        <v>-22533</v>
      </c>
      <c r="CI204" s="239">
        <v>-2253258</v>
      </c>
      <c r="CJ204" s="239">
        <v>47007240</v>
      </c>
      <c r="CK204" s="239">
        <v>46067095</v>
      </c>
      <c r="CL204" s="239">
        <v>0</v>
      </c>
      <c r="CM204" s="239">
        <v>940145</v>
      </c>
      <c r="CN204" s="239">
        <v>94014480</v>
      </c>
      <c r="CO204" s="239">
        <v>44846976</v>
      </c>
      <c r="CP204" s="239">
        <v>43950037</v>
      </c>
      <c r="CQ204" s="239">
        <v>0</v>
      </c>
      <c r="CR204" s="239">
        <v>896940</v>
      </c>
      <c r="CS204" s="239">
        <v>89693953</v>
      </c>
      <c r="CT204" s="239">
        <v>-2160264</v>
      </c>
      <c r="CU204" s="239">
        <v>-2117058</v>
      </c>
      <c r="CV204" s="239">
        <v>0</v>
      </c>
      <c r="CW204" s="239">
        <v>-43205</v>
      </c>
      <c r="CX204" s="239">
        <v>-4320527</v>
      </c>
      <c r="CY204" s="239">
        <v>-3286892</v>
      </c>
      <c r="CZ204" s="239">
        <v>-3221155</v>
      </c>
      <c r="DA204" s="239">
        <v>0</v>
      </c>
      <c r="DB204" s="239">
        <v>-65738</v>
      </c>
      <c r="DC204" s="239">
        <v>-6573785</v>
      </c>
      <c r="DD204" s="641">
        <v>0.5</v>
      </c>
      <c r="DE204" s="641">
        <v>0.49</v>
      </c>
      <c r="DF204" s="641">
        <v>0</v>
      </c>
      <c r="DG204" s="641">
        <v>0.01</v>
      </c>
      <c r="DH204" s="641">
        <v>1</v>
      </c>
      <c r="DI204" s="214" t="s">
        <v>747</v>
      </c>
    </row>
    <row r="205" spans="2:113" s="214" customFormat="1" x14ac:dyDescent="0.2">
      <c r="B205" s="609" t="s">
        <v>492</v>
      </c>
      <c r="C205" s="609" t="s">
        <v>491</v>
      </c>
      <c r="D205" s="239">
        <v>31162232</v>
      </c>
      <c r="E205" s="239">
        <v>30538987</v>
      </c>
      <c r="F205" s="239">
        <v>0</v>
      </c>
      <c r="G205" s="239">
        <v>623245</v>
      </c>
      <c r="H205" s="239">
        <v>62324464</v>
      </c>
      <c r="I205" s="239">
        <v>0</v>
      </c>
      <c r="J205" s="239">
        <v>0</v>
      </c>
      <c r="K205" s="239">
        <v>31162232</v>
      </c>
      <c r="L205" s="239">
        <v>235170</v>
      </c>
      <c r="M205" s="239">
        <v>235170</v>
      </c>
      <c r="N205" s="239">
        <v>0</v>
      </c>
      <c r="O205" s="239">
        <v>0</v>
      </c>
      <c r="P205" s="239">
        <v>0</v>
      </c>
      <c r="Q205" s="239">
        <v>0</v>
      </c>
      <c r="R205" s="239">
        <v>0</v>
      </c>
      <c r="S205" s="239">
        <v>0</v>
      </c>
      <c r="T205" s="239">
        <v>0</v>
      </c>
      <c r="U205" s="239">
        <v>0</v>
      </c>
      <c r="V205" s="239">
        <v>0</v>
      </c>
      <c r="W205" s="239">
        <v>604335</v>
      </c>
      <c r="X205" s="239">
        <v>592249</v>
      </c>
      <c r="Y205" s="239">
        <v>0</v>
      </c>
      <c r="Z205" s="239">
        <v>12087</v>
      </c>
      <c r="AA205" s="239">
        <v>1208671</v>
      </c>
      <c r="AB205" s="239">
        <v>-600403</v>
      </c>
      <c r="AC205" s="239">
        <v>-588395</v>
      </c>
      <c r="AD205" s="239">
        <v>0</v>
      </c>
      <c r="AE205" s="239">
        <v>-12008</v>
      </c>
      <c r="AF205" s="239">
        <v>-1200806</v>
      </c>
      <c r="AG205" s="239">
        <v>-216178</v>
      </c>
      <c r="AH205" s="239">
        <v>-211853</v>
      </c>
      <c r="AI205" s="239">
        <v>0</v>
      </c>
      <c r="AJ205" s="239">
        <v>-4325</v>
      </c>
      <c r="AK205" s="239">
        <v>-432355</v>
      </c>
      <c r="AL205" s="239">
        <v>150675</v>
      </c>
      <c r="AM205" s="239">
        <v>147662</v>
      </c>
      <c r="AN205" s="239">
        <v>0</v>
      </c>
      <c r="AO205" s="239">
        <v>3014</v>
      </c>
      <c r="AP205" s="239">
        <v>301351</v>
      </c>
      <c r="AQ205" s="239">
        <v>-154862</v>
      </c>
      <c r="AR205" s="239">
        <v>-151765</v>
      </c>
      <c r="AS205" s="239">
        <v>0</v>
      </c>
      <c r="AT205" s="239">
        <v>-3097</v>
      </c>
      <c r="AU205" s="239">
        <v>-309724</v>
      </c>
      <c r="AV205" s="239">
        <v>-220365</v>
      </c>
      <c r="AW205" s="239">
        <v>-215956</v>
      </c>
      <c r="AX205" s="239">
        <v>0</v>
      </c>
      <c r="AY205" s="239">
        <v>-4408</v>
      </c>
      <c r="AZ205" s="239">
        <v>-440728</v>
      </c>
      <c r="BA205" s="239">
        <v>-2818645</v>
      </c>
      <c r="BB205" s="239">
        <v>-2762270</v>
      </c>
      <c r="BC205" s="239">
        <v>0</v>
      </c>
      <c r="BD205" s="239">
        <v>-56372</v>
      </c>
      <c r="BE205" s="239">
        <v>-5637288</v>
      </c>
      <c r="BF205" s="239">
        <v>1263482</v>
      </c>
      <c r="BG205" s="239">
        <v>1238213</v>
      </c>
      <c r="BH205" s="239">
        <v>0</v>
      </c>
      <c r="BI205" s="239">
        <v>25270</v>
      </c>
      <c r="BJ205" s="239">
        <v>2526965</v>
      </c>
      <c r="BK205" s="239">
        <v>-1238850</v>
      </c>
      <c r="BL205" s="239">
        <v>-1214073</v>
      </c>
      <c r="BM205" s="239">
        <v>0</v>
      </c>
      <c r="BN205" s="239">
        <v>-24777</v>
      </c>
      <c r="BO205" s="239">
        <v>-2477700</v>
      </c>
      <c r="BP205" s="239">
        <v>-2794013</v>
      </c>
      <c r="BQ205" s="239">
        <v>-2738130</v>
      </c>
      <c r="BR205" s="239">
        <v>0</v>
      </c>
      <c r="BS205" s="239">
        <v>-55879</v>
      </c>
      <c r="BT205" s="239">
        <v>-5588023</v>
      </c>
      <c r="BU205" s="239">
        <v>171481</v>
      </c>
      <c r="BV205" s="239">
        <v>168052</v>
      </c>
      <c r="BW205" s="239">
        <v>0</v>
      </c>
      <c r="BX205" s="239">
        <v>3430</v>
      </c>
      <c r="BY205" s="239">
        <v>342963</v>
      </c>
      <c r="BZ205" s="239">
        <v>0</v>
      </c>
      <c r="CA205" s="239">
        <v>0</v>
      </c>
      <c r="CB205" s="239">
        <v>0</v>
      </c>
      <c r="CC205" s="239">
        <v>0</v>
      </c>
      <c r="CD205" s="239">
        <v>0</v>
      </c>
      <c r="CE205" s="239">
        <v>171481</v>
      </c>
      <c r="CF205" s="239">
        <v>168052</v>
      </c>
      <c r="CG205" s="239">
        <v>0</v>
      </c>
      <c r="CH205" s="239">
        <v>3430</v>
      </c>
      <c r="CI205" s="239">
        <v>342963</v>
      </c>
      <c r="CJ205" s="239">
        <v>30132717</v>
      </c>
      <c r="CK205" s="239">
        <v>29530062</v>
      </c>
      <c r="CL205" s="239">
        <v>0</v>
      </c>
      <c r="CM205" s="239">
        <v>602654</v>
      </c>
      <c r="CN205" s="239">
        <v>60265433</v>
      </c>
      <c r="CO205" s="239">
        <v>31162232</v>
      </c>
      <c r="CP205" s="239">
        <v>30538987</v>
      </c>
      <c r="CQ205" s="239">
        <v>0</v>
      </c>
      <c r="CR205" s="239">
        <v>623245</v>
      </c>
      <c r="CS205" s="239">
        <v>62324464</v>
      </c>
      <c r="CT205" s="239">
        <v>1029515</v>
      </c>
      <c r="CU205" s="239">
        <v>1008925</v>
      </c>
      <c r="CV205" s="239">
        <v>0</v>
      </c>
      <c r="CW205" s="239">
        <v>20591</v>
      </c>
      <c r="CX205" s="239">
        <v>2059031</v>
      </c>
      <c r="CY205" s="239">
        <v>1200996</v>
      </c>
      <c r="CZ205" s="239">
        <v>1176977</v>
      </c>
      <c r="DA205" s="239">
        <v>0</v>
      </c>
      <c r="DB205" s="239">
        <v>24021</v>
      </c>
      <c r="DC205" s="239">
        <v>2401994</v>
      </c>
      <c r="DD205" s="641">
        <v>0.5</v>
      </c>
      <c r="DE205" s="641">
        <v>0.49</v>
      </c>
      <c r="DF205" s="641">
        <v>0</v>
      </c>
      <c r="DG205" s="641">
        <v>0.01</v>
      </c>
      <c r="DH205" s="641">
        <v>1</v>
      </c>
      <c r="DI205" s="214" t="s">
        <v>747</v>
      </c>
    </row>
    <row r="206" spans="2:113" s="214" customFormat="1" x14ac:dyDescent="0.2">
      <c r="B206" s="609" t="s">
        <v>494</v>
      </c>
      <c r="C206" s="609" t="s">
        <v>493</v>
      </c>
      <c r="D206" s="239">
        <v>42032516</v>
      </c>
      <c r="E206" s="239">
        <v>41191865</v>
      </c>
      <c r="F206" s="239">
        <v>0</v>
      </c>
      <c r="G206" s="239">
        <v>840650</v>
      </c>
      <c r="H206" s="239">
        <v>84065031</v>
      </c>
      <c r="I206" s="239">
        <v>0</v>
      </c>
      <c r="J206" s="239">
        <v>0</v>
      </c>
      <c r="K206" s="239">
        <v>42032516</v>
      </c>
      <c r="L206" s="239">
        <v>276989</v>
      </c>
      <c r="M206" s="239">
        <v>276989</v>
      </c>
      <c r="N206" s="239">
        <v>0</v>
      </c>
      <c r="O206" s="239">
        <v>0</v>
      </c>
      <c r="P206" s="239">
        <v>0</v>
      </c>
      <c r="Q206" s="239">
        <v>0</v>
      </c>
      <c r="R206" s="239">
        <v>0</v>
      </c>
      <c r="S206" s="239">
        <v>0</v>
      </c>
      <c r="T206" s="239">
        <v>0</v>
      </c>
      <c r="U206" s="239">
        <v>0</v>
      </c>
      <c r="V206" s="239">
        <v>0</v>
      </c>
      <c r="W206" s="239">
        <v>1703610</v>
      </c>
      <c r="X206" s="239">
        <v>1669538</v>
      </c>
      <c r="Y206" s="239">
        <v>0</v>
      </c>
      <c r="Z206" s="239">
        <v>34072</v>
      </c>
      <c r="AA206" s="239">
        <v>3407220</v>
      </c>
      <c r="AB206" s="239">
        <v>-1310706</v>
      </c>
      <c r="AC206" s="239">
        <v>-1284491</v>
      </c>
      <c r="AD206" s="239">
        <v>0</v>
      </c>
      <c r="AE206" s="239">
        <v>-26214</v>
      </c>
      <c r="AF206" s="239">
        <v>-2621411</v>
      </c>
      <c r="AG206" s="239">
        <v>-1534500</v>
      </c>
      <c r="AH206" s="239">
        <v>-1503810</v>
      </c>
      <c r="AI206" s="239">
        <v>0</v>
      </c>
      <c r="AJ206" s="239">
        <v>-30690</v>
      </c>
      <c r="AK206" s="239">
        <v>-3069000</v>
      </c>
      <c r="AL206" s="239">
        <v>370316</v>
      </c>
      <c r="AM206" s="239">
        <v>362909</v>
      </c>
      <c r="AN206" s="239">
        <v>0</v>
      </c>
      <c r="AO206" s="239">
        <v>7406</v>
      </c>
      <c r="AP206" s="239">
        <v>740631</v>
      </c>
      <c r="AQ206" s="239">
        <v>-292316</v>
      </c>
      <c r="AR206" s="239">
        <v>-286469</v>
      </c>
      <c r="AS206" s="239">
        <v>0</v>
      </c>
      <c r="AT206" s="239">
        <v>-5846</v>
      </c>
      <c r="AU206" s="239">
        <v>-584631</v>
      </c>
      <c r="AV206" s="239">
        <v>-1456500</v>
      </c>
      <c r="AW206" s="239">
        <v>-1427370</v>
      </c>
      <c r="AX206" s="239">
        <v>0</v>
      </c>
      <c r="AY206" s="239">
        <v>-29130</v>
      </c>
      <c r="AZ206" s="239">
        <v>-2913000</v>
      </c>
      <c r="BA206" s="239">
        <v>-6771495</v>
      </c>
      <c r="BB206" s="239">
        <v>-6636063</v>
      </c>
      <c r="BC206" s="239">
        <v>0</v>
      </c>
      <c r="BD206" s="239">
        <v>-135431</v>
      </c>
      <c r="BE206" s="239">
        <v>-13542989</v>
      </c>
      <c r="BF206" s="239">
        <v>1911542</v>
      </c>
      <c r="BG206" s="239">
        <v>1873311</v>
      </c>
      <c r="BH206" s="239">
        <v>0</v>
      </c>
      <c r="BI206" s="239">
        <v>38231</v>
      </c>
      <c r="BJ206" s="239">
        <v>3823084</v>
      </c>
      <c r="BK206" s="239">
        <v>-2344474</v>
      </c>
      <c r="BL206" s="239">
        <v>-2297586</v>
      </c>
      <c r="BM206" s="239">
        <v>0</v>
      </c>
      <c r="BN206" s="239">
        <v>-46890</v>
      </c>
      <c r="BO206" s="239">
        <v>-4688950</v>
      </c>
      <c r="BP206" s="239">
        <v>-7204427</v>
      </c>
      <c r="BQ206" s="239">
        <v>-7060338</v>
      </c>
      <c r="BR206" s="239">
        <v>0</v>
      </c>
      <c r="BS206" s="239">
        <v>-144090</v>
      </c>
      <c r="BT206" s="239">
        <v>-14408855</v>
      </c>
      <c r="BU206" s="239">
        <v>-32863</v>
      </c>
      <c r="BV206" s="239">
        <v>-32205</v>
      </c>
      <c r="BW206" s="239">
        <v>0</v>
      </c>
      <c r="BX206" s="239">
        <v>-657</v>
      </c>
      <c r="BY206" s="239">
        <v>-65725</v>
      </c>
      <c r="BZ206" s="239">
        <v>-317915</v>
      </c>
      <c r="CA206" s="239">
        <v>-311556</v>
      </c>
      <c r="CB206" s="239">
        <v>0</v>
      </c>
      <c r="CC206" s="239">
        <v>-6358</v>
      </c>
      <c r="CD206" s="239">
        <v>-635829</v>
      </c>
      <c r="CE206" s="239">
        <v>285052</v>
      </c>
      <c r="CF206" s="239">
        <v>279351</v>
      </c>
      <c r="CG206" s="239">
        <v>0</v>
      </c>
      <c r="CH206" s="239">
        <v>5701</v>
      </c>
      <c r="CI206" s="239">
        <v>570104</v>
      </c>
      <c r="CJ206" s="239">
        <v>40706865</v>
      </c>
      <c r="CK206" s="239">
        <v>39892727</v>
      </c>
      <c r="CL206" s="239">
        <v>0</v>
      </c>
      <c r="CM206" s="239">
        <v>814137</v>
      </c>
      <c r="CN206" s="239">
        <v>81413729</v>
      </c>
      <c r="CO206" s="239">
        <v>42032516</v>
      </c>
      <c r="CP206" s="239">
        <v>41191865</v>
      </c>
      <c r="CQ206" s="239">
        <v>0</v>
      </c>
      <c r="CR206" s="239">
        <v>840650</v>
      </c>
      <c r="CS206" s="239">
        <v>84065031</v>
      </c>
      <c r="CT206" s="239">
        <v>1325651</v>
      </c>
      <c r="CU206" s="239">
        <v>1299138</v>
      </c>
      <c r="CV206" s="239">
        <v>0</v>
      </c>
      <c r="CW206" s="239">
        <v>26513</v>
      </c>
      <c r="CX206" s="239">
        <v>2651302</v>
      </c>
      <c r="CY206" s="239">
        <v>1610703</v>
      </c>
      <c r="CZ206" s="239">
        <v>1578489</v>
      </c>
      <c r="DA206" s="239">
        <v>0</v>
      </c>
      <c r="DB206" s="239">
        <v>32214</v>
      </c>
      <c r="DC206" s="239">
        <v>3221406</v>
      </c>
      <c r="DD206" s="641">
        <v>0.5</v>
      </c>
      <c r="DE206" s="641">
        <v>0.49</v>
      </c>
      <c r="DF206" s="641">
        <v>0</v>
      </c>
      <c r="DG206" s="641">
        <v>0.01</v>
      </c>
      <c r="DH206" s="641">
        <v>1</v>
      </c>
      <c r="DI206" s="214" t="s">
        <v>747</v>
      </c>
    </row>
    <row r="207" spans="2:113" s="214" customFormat="1" x14ac:dyDescent="0.2">
      <c r="B207" s="609" t="s">
        <v>496</v>
      </c>
      <c r="C207" s="609" t="s">
        <v>495</v>
      </c>
      <c r="D207" s="239">
        <v>34891498</v>
      </c>
      <c r="E207" s="239">
        <v>27913198</v>
      </c>
      <c r="F207" s="239">
        <v>6280470</v>
      </c>
      <c r="G207" s="239">
        <v>697830</v>
      </c>
      <c r="H207" s="239">
        <v>69782996</v>
      </c>
      <c r="I207" s="239">
        <v>0</v>
      </c>
      <c r="J207" s="239">
        <v>0</v>
      </c>
      <c r="K207" s="239">
        <v>34891498</v>
      </c>
      <c r="L207" s="239">
        <v>238529</v>
      </c>
      <c r="M207" s="239">
        <v>238529</v>
      </c>
      <c r="N207" s="239">
        <v>0</v>
      </c>
      <c r="O207" s="239">
        <v>0</v>
      </c>
      <c r="P207" s="239">
        <v>18902</v>
      </c>
      <c r="Q207" s="239">
        <v>0</v>
      </c>
      <c r="R207" s="239">
        <v>18902</v>
      </c>
      <c r="S207" s="239">
        <v>0</v>
      </c>
      <c r="T207" s="239">
        <v>0</v>
      </c>
      <c r="U207" s="239">
        <v>0</v>
      </c>
      <c r="V207" s="239">
        <v>0</v>
      </c>
      <c r="W207" s="239">
        <v>2831410</v>
      </c>
      <c r="X207" s="239">
        <v>2265128</v>
      </c>
      <c r="Y207" s="239">
        <v>509654</v>
      </c>
      <c r="Z207" s="239">
        <v>56628</v>
      </c>
      <c r="AA207" s="239">
        <v>5662820</v>
      </c>
      <c r="AB207" s="239">
        <v>-877442</v>
      </c>
      <c r="AC207" s="239">
        <v>-701954</v>
      </c>
      <c r="AD207" s="239">
        <v>-157940</v>
      </c>
      <c r="AE207" s="239">
        <v>-17549</v>
      </c>
      <c r="AF207" s="239">
        <v>-1754885</v>
      </c>
      <c r="AG207" s="239">
        <v>-1388138.8</v>
      </c>
      <c r="AH207" s="239">
        <v>-1110508</v>
      </c>
      <c r="AI207" s="239">
        <v>-249863</v>
      </c>
      <c r="AJ207" s="239">
        <v>-27762</v>
      </c>
      <c r="AK207" s="239">
        <v>-2776271.8</v>
      </c>
      <c r="AL207" s="239">
        <v>117995</v>
      </c>
      <c r="AM207" s="239">
        <v>94396</v>
      </c>
      <c r="AN207" s="239">
        <v>21239</v>
      </c>
      <c r="AO207" s="239">
        <v>2360</v>
      </c>
      <c r="AP207" s="239">
        <v>235990</v>
      </c>
      <c r="AQ207" s="239">
        <v>-664526</v>
      </c>
      <c r="AR207" s="239">
        <v>-531622</v>
      </c>
      <c r="AS207" s="239">
        <v>-119615</v>
      </c>
      <c r="AT207" s="239">
        <v>-13291</v>
      </c>
      <c r="AU207" s="239">
        <v>-1329054</v>
      </c>
      <c r="AV207" s="239">
        <v>-1934669.8</v>
      </c>
      <c r="AW207" s="239">
        <v>-1547734</v>
      </c>
      <c r="AX207" s="239">
        <v>-348239</v>
      </c>
      <c r="AY207" s="239">
        <v>-38693</v>
      </c>
      <c r="AZ207" s="239">
        <v>-3869335.8</v>
      </c>
      <c r="BA207" s="239">
        <v>-5022859.2</v>
      </c>
      <c r="BB207" s="239">
        <v>-4018286</v>
      </c>
      <c r="BC207" s="239">
        <v>-904113</v>
      </c>
      <c r="BD207" s="239">
        <v>-100457</v>
      </c>
      <c r="BE207" s="239">
        <v>-10045715.199999999</v>
      </c>
      <c r="BF207" s="239">
        <v>1895158</v>
      </c>
      <c r="BG207" s="239">
        <v>1516126</v>
      </c>
      <c r="BH207" s="239">
        <v>341128</v>
      </c>
      <c r="BI207" s="239">
        <v>37903</v>
      </c>
      <c r="BJ207" s="239">
        <v>3790315</v>
      </c>
      <c r="BK207" s="239">
        <v>-844884</v>
      </c>
      <c r="BL207" s="239">
        <v>-675908</v>
      </c>
      <c r="BM207" s="239">
        <v>-152079</v>
      </c>
      <c r="BN207" s="239">
        <v>-16898</v>
      </c>
      <c r="BO207" s="239">
        <v>-1689769</v>
      </c>
      <c r="BP207" s="239">
        <v>-3972585.2</v>
      </c>
      <c r="BQ207" s="239">
        <v>-3178068</v>
      </c>
      <c r="BR207" s="239">
        <v>-715064</v>
      </c>
      <c r="BS207" s="239">
        <v>-79452</v>
      </c>
      <c r="BT207" s="239">
        <v>-7945169.1999999993</v>
      </c>
      <c r="BU207" s="239">
        <v>-220621</v>
      </c>
      <c r="BV207" s="239">
        <v>-176497</v>
      </c>
      <c r="BW207" s="239">
        <v>-39712</v>
      </c>
      <c r="BX207" s="239">
        <v>-4412</v>
      </c>
      <c r="BY207" s="239">
        <v>-441242</v>
      </c>
      <c r="BZ207" s="239">
        <v>718383</v>
      </c>
      <c r="CA207" s="239">
        <v>574707</v>
      </c>
      <c r="CB207" s="239">
        <v>129309</v>
      </c>
      <c r="CC207" s="239">
        <v>14368</v>
      </c>
      <c r="CD207" s="239">
        <v>1436767</v>
      </c>
      <c r="CE207" s="239">
        <v>-939004</v>
      </c>
      <c r="CF207" s="239">
        <v>-751204</v>
      </c>
      <c r="CG207" s="239">
        <v>-169021</v>
      </c>
      <c r="CH207" s="239">
        <v>-18780</v>
      </c>
      <c r="CI207" s="239">
        <v>-1878009</v>
      </c>
      <c r="CJ207" s="239">
        <v>34371986</v>
      </c>
      <c r="CK207" s="239">
        <v>27497588</v>
      </c>
      <c r="CL207" s="239">
        <v>6186957</v>
      </c>
      <c r="CM207" s="239">
        <v>687440</v>
      </c>
      <c r="CN207" s="239">
        <v>68743971</v>
      </c>
      <c r="CO207" s="239">
        <v>34891498</v>
      </c>
      <c r="CP207" s="239">
        <v>27913198</v>
      </c>
      <c r="CQ207" s="239">
        <v>6280470</v>
      </c>
      <c r="CR207" s="239">
        <v>697830</v>
      </c>
      <c r="CS207" s="239">
        <v>69782996</v>
      </c>
      <c r="CT207" s="239">
        <v>519512</v>
      </c>
      <c r="CU207" s="239">
        <v>415610</v>
      </c>
      <c r="CV207" s="239">
        <v>93513</v>
      </c>
      <c r="CW207" s="239">
        <v>10390</v>
      </c>
      <c r="CX207" s="239">
        <v>1039025</v>
      </c>
      <c r="CY207" s="239">
        <v>-419492</v>
      </c>
      <c r="CZ207" s="239">
        <v>-335594</v>
      </c>
      <c r="DA207" s="239">
        <v>-75508</v>
      </c>
      <c r="DB207" s="239">
        <v>-8390</v>
      </c>
      <c r="DC207" s="239">
        <v>-838984</v>
      </c>
      <c r="DD207" s="641">
        <v>0.5</v>
      </c>
      <c r="DE207" s="641">
        <v>0.4</v>
      </c>
      <c r="DF207" s="641">
        <v>0.09</v>
      </c>
      <c r="DG207" s="641">
        <v>0.01</v>
      </c>
      <c r="DH207" s="641">
        <v>1</v>
      </c>
      <c r="DI207" s="214" t="s">
        <v>1190</v>
      </c>
    </row>
    <row r="208" spans="2:113" s="214" customFormat="1" x14ac:dyDescent="0.2">
      <c r="B208" s="609" t="s">
        <v>498</v>
      </c>
      <c r="C208" s="609" t="s">
        <v>497</v>
      </c>
      <c r="D208" s="239">
        <v>4991866</v>
      </c>
      <c r="E208" s="239">
        <v>3993492</v>
      </c>
      <c r="F208" s="239">
        <v>898536</v>
      </c>
      <c r="G208" s="239">
        <v>99837</v>
      </c>
      <c r="H208" s="239">
        <v>9983731</v>
      </c>
      <c r="I208" s="239">
        <v>0</v>
      </c>
      <c r="J208" s="239">
        <v>0</v>
      </c>
      <c r="K208" s="239">
        <v>4991866</v>
      </c>
      <c r="L208" s="239">
        <v>97816</v>
      </c>
      <c r="M208" s="239">
        <v>97816</v>
      </c>
      <c r="N208" s="239">
        <v>0</v>
      </c>
      <c r="O208" s="239">
        <v>0</v>
      </c>
      <c r="P208" s="239">
        <v>150787</v>
      </c>
      <c r="Q208" s="239">
        <v>0</v>
      </c>
      <c r="R208" s="239">
        <v>150787</v>
      </c>
      <c r="S208" s="239">
        <v>0</v>
      </c>
      <c r="T208" s="239">
        <v>0</v>
      </c>
      <c r="U208" s="239">
        <v>0</v>
      </c>
      <c r="V208" s="239">
        <v>0</v>
      </c>
      <c r="W208" s="239">
        <v>269553</v>
      </c>
      <c r="X208" s="239">
        <v>215643</v>
      </c>
      <c r="Y208" s="239">
        <v>48520</v>
      </c>
      <c r="Z208" s="239">
        <v>5391</v>
      </c>
      <c r="AA208" s="239">
        <v>539107</v>
      </c>
      <c r="AB208" s="239">
        <v>-184011</v>
      </c>
      <c r="AC208" s="239">
        <v>-147208</v>
      </c>
      <c r="AD208" s="239">
        <v>-33122</v>
      </c>
      <c r="AE208" s="239">
        <v>-3680</v>
      </c>
      <c r="AF208" s="239">
        <v>-368021</v>
      </c>
      <c r="AG208" s="239">
        <v>-121694</v>
      </c>
      <c r="AH208" s="239">
        <v>-97355</v>
      </c>
      <c r="AI208" s="239">
        <v>-21905</v>
      </c>
      <c r="AJ208" s="239">
        <v>-2434</v>
      </c>
      <c r="AK208" s="239">
        <v>-243388</v>
      </c>
      <c r="AL208" s="239">
        <v>48392</v>
      </c>
      <c r="AM208" s="239">
        <v>38713</v>
      </c>
      <c r="AN208" s="239">
        <v>8710</v>
      </c>
      <c r="AO208" s="239">
        <v>968</v>
      </c>
      <c r="AP208" s="239">
        <v>96783</v>
      </c>
      <c r="AQ208" s="239">
        <v>-12000</v>
      </c>
      <c r="AR208" s="239">
        <v>-9600</v>
      </c>
      <c r="AS208" s="239">
        <v>-2160</v>
      </c>
      <c r="AT208" s="239">
        <v>-240</v>
      </c>
      <c r="AU208" s="239">
        <v>-24000</v>
      </c>
      <c r="AV208" s="239">
        <v>-85302</v>
      </c>
      <c r="AW208" s="239">
        <v>-68242</v>
      </c>
      <c r="AX208" s="239">
        <v>-15355</v>
      </c>
      <c r="AY208" s="239">
        <v>-1706</v>
      </c>
      <c r="AZ208" s="239">
        <v>-170605</v>
      </c>
      <c r="BA208" s="239">
        <v>-2850187</v>
      </c>
      <c r="BB208" s="239">
        <v>-2280149</v>
      </c>
      <c r="BC208" s="239">
        <v>-513034</v>
      </c>
      <c r="BD208" s="239">
        <v>-57004</v>
      </c>
      <c r="BE208" s="239">
        <v>-5700374</v>
      </c>
      <c r="BF208" s="239">
        <v>2551643</v>
      </c>
      <c r="BG208" s="239">
        <v>2041315</v>
      </c>
      <c r="BH208" s="239">
        <v>459296</v>
      </c>
      <c r="BI208" s="239">
        <v>51033</v>
      </c>
      <c r="BJ208" s="239">
        <v>5103287</v>
      </c>
      <c r="BK208" s="239">
        <v>-1650000</v>
      </c>
      <c r="BL208" s="239">
        <v>-1320000</v>
      </c>
      <c r="BM208" s="239">
        <v>-297000</v>
      </c>
      <c r="BN208" s="239">
        <v>-33000</v>
      </c>
      <c r="BO208" s="239">
        <v>-3300000</v>
      </c>
      <c r="BP208" s="239">
        <v>-1948544</v>
      </c>
      <c r="BQ208" s="239">
        <v>-1558834</v>
      </c>
      <c r="BR208" s="239">
        <v>-350738</v>
      </c>
      <c r="BS208" s="239">
        <v>-38971</v>
      </c>
      <c r="BT208" s="239">
        <v>-3897087</v>
      </c>
      <c r="BU208" s="239">
        <v>-3910078</v>
      </c>
      <c r="BV208" s="239">
        <v>-3128063</v>
      </c>
      <c r="BW208" s="239">
        <v>-703814</v>
      </c>
      <c r="BX208" s="239">
        <v>-78202</v>
      </c>
      <c r="BY208" s="239">
        <v>-7820157</v>
      </c>
      <c r="BZ208" s="239">
        <v>-3180191</v>
      </c>
      <c r="CA208" s="239">
        <v>-2544154</v>
      </c>
      <c r="CB208" s="239">
        <v>-572435</v>
      </c>
      <c r="CC208" s="239">
        <v>-63604</v>
      </c>
      <c r="CD208" s="239">
        <v>-6360384</v>
      </c>
      <c r="CE208" s="239">
        <v>-729887</v>
      </c>
      <c r="CF208" s="239">
        <v>-583909</v>
      </c>
      <c r="CG208" s="239">
        <v>-131379</v>
      </c>
      <c r="CH208" s="239">
        <v>-14598</v>
      </c>
      <c r="CI208" s="239">
        <v>-1459773</v>
      </c>
      <c r="CJ208" s="239">
        <v>8212539</v>
      </c>
      <c r="CK208" s="239">
        <v>6570032</v>
      </c>
      <c r="CL208" s="239">
        <v>1478257</v>
      </c>
      <c r="CM208" s="239">
        <v>164251</v>
      </c>
      <c r="CN208" s="239">
        <v>16425079</v>
      </c>
      <c r="CO208" s="239">
        <v>4991866</v>
      </c>
      <c r="CP208" s="239">
        <v>3993492</v>
      </c>
      <c r="CQ208" s="239">
        <v>898536</v>
      </c>
      <c r="CR208" s="239">
        <v>99837</v>
      </c>
      <c r="CS208" s="239">
        <v>9983731</v>
      </c>
      <c r="CT208" s="239">
        <v>-3220673</v>
      </c>
      <c r="CU208" s="239">
        <v>-2576540</v>
      </c>
      <c r="CV208" s="239">
        <v>-579721</v>
      </c>
      <c r="CW208" s="239">
        <v>-64414</v>
      </c>
      <c r="CX208" s="239">
        <v>-6441348</v>
      </c>
      <c r="CY208" s="239">
        <v>-3950560</v>
      </c>
      <c r="CZ208" s="239">
        <v>-3160449</v>
      </c>
      <c r="DA208" s="239">
        <v>-711100</v>
      </c>
      <c r="DB208" s="239">
        <v>-79012</v>
      </c>
      <c r="DC208" s="239">
        <v>-7901121</v>
      </c>
      <c r="DD208" s="641">
        <v>0.5</v>
      </c>
      <c r="DE208" s="641">
        <v>0.4</v>
      </c>
      <c r="DF208" s="641">
        <v>0.09</v>
      </c>
      <c r="DG208" s="641">
        <v>0.01</v>
      </c>
      <c r="DH208" s="641">
        <v>1</v>
      </c>
      <c r="DI208" s="214" t="s">
        <v>1190</v>
      </c>
    </row>
    <row r="209" spans="2:113" s="214" customFormat="1" x14ac:dyDescent="0.2">
      <c r="B209" s="609" t="s">
        <v>500</v>
      </c>
      <c r="C209" s="609" t="s">
        <v>499</v>
      </c>
      <c r="D209" s="239">
        <v>59250000</v>
      </c>
      <c r="E209" s="239">
        <v>58065000</v>
      </c>
      <c r="F209" s="239">
        <v>0</v>
      </c>
      <c r="G209" s="239">
        <v>1185000</v>
      </c>
      <c r="H209" s="239">
        <v>118500000</v>
      </c>
      <c r="I209" s="239">
        <v>0</v>
      </c>
      <c r="J209" s="239">
        <v>0</v>
      </c>
      <c r="K209" s="239">
        <v>59250000</v>
      </c>
      <c r="L209" s="239">
        <v>272050</v>
      </c>
      <c r="M209" s="239">
        <v>272050</v>
      </c>
      <c r="N209" s="239">
        <v>0</v>
      </c>
      <c r="O209" s="239">
        <v>0</v>
      </c>
      <c r="P209" s="239">
        <v>0</v>
      </c>
      <c r="Q209" s="239">
        <v>0</v>
      </c>
      <c r="R209" s="239">
        <v>0</v>
      </c>
      <c r="S209" s="239">
        <v>0</v>
      </c>
      <c r="T209" s="239">
        <v>0</v>
      </c>
      <c r="U209" s="239">
        <v>0</v>
      </c>
      <c r="V209" s="239">
        <v>0</v>
      </c>
      <c r="W209" s="239">
        <v>3037661</v>
      </c>
      <c r="X209" s="239">
        <v>2976908</v>
      </c>
      <c r="Y209" s="239">
        <v>0</v>
      </c>
      <c r="Z209" s="239">
        <v>60753</v>
      </c>
      <c r="AA209" s="239">
        <v>6075322</v>
      </c>
      <c r="AB209" s="239">
        <v>-1312863</v>
      </c>
      <c r="AC209" s="239">
        <v>-1286605</v>
      </c>
      <c r="AD209" s="239">
        <v>0</v>
      </c>
      <c r="AE209" s="239">
        <v>-26257</v>
      </c>
      <c r="AF209" s="239">
        <v>-2625725</v>
      </c>
      <c r="AG209" s="239">
        <v>-1226292.1000000001</v>
      </c>
      <c r="AH209" s="239">
        <v>-1201766</v>
      </c>
      <c r="AI209" s="239">
        <v>0</v>
      </c>
      <c r="AJ209" s="239">
        <v>-24526</v>
      </c>
      <c r="AK209" s="239">
        <v>-2452584.1</v>
      </c>
      <c r="AL209" s="239">
        <v>132870</v>
      </c>
      <c r="AM209" s="239">
        <v>130212</v>
      </c>
      <c r="AN209" s="239">
        <v>0</v>
      </c>
      <c r="AO209" s="239">
        <v>2657</v>
      </c>
      <c r="AP209" s="239">
        <v>265739</v>
      </c>
      <c r="AQ209" s="239">
        <v>-361327</v>
      </c>
      <c r="AR209" s="239">
        <v>-354100</v>
      </c>
      <c r="AS209" s="239">
        <v>0</v>
      </c>
      <c r="AT209" s="239">
        <v>-7227</v>
      </c>
      <c r="AU209" s="239">
        <v>-722654</v>
      </c>
      <c r="AV209" s="239">
        <v>-1454749.1</v>
      </c>
      <c r="AW209" s="239">
        <v>-1425654</v>
      </c>
      <c r="AX209" s="239">
        <v>0</v>
      </c>
      <c r="AY209" s="239">
        <v>-29096</v>
      </c>
      <c r="AZ209" s="239">
        <v>-2909499.1</v>
      </c>
      <c r="BA209" s="239">
        <v>-8250000.2899999991</v>
      </c>
      <c r="BB209" s="239">
        <v>-8085000</v>
      </c>
      <c r="BC209" s="239">
        <v>0</v>
      </c>
      <c r="BD209" s="239">
        <v>-165000</v>
      </c>
      <c r="BE209" s="239">
        <v>-16500000.289999999</v>
      </c>
      <c r="BF209" s="239">
        <v>0</v>
      </c>
      <c r="BG209" s="239">
        <v>0</v>
      </c>
      <c r="BH209" s="239">
        <v>0</v>
      </c>
      <c r="BI209" s="239">
        <v>0</v>
      </c>
      <c r="BJ209" s="239">
        <v>0</v>
      </c>
      <c r="BK209" s="239">
        <v>2975000</v>
      </c>
      <c r="BL209" s="239">
        <v>2915500</v>
      </c>
      <c r="BM209" s="239">
        <v>0</v>
      </c>
      <c r="BN209" s="239">
        <v>59500</v>
      </c>
      <c r="BO209" s="239">
        <v>5950000</v>
      </c>
      <c r="BP209" s="239">
        <v>-5275000.2899999991</v>
      </c>
      <c r="BQ209" s="239">
        <v>-5169500</v>
      </c>
      <c r="BR209" s="239">
        <v>0</v>
      </c>
      <c r="BS209" s="239">
        <v>-105500</v>
      </c>
      <c r="BT209" s="239">
        <v>-10550000.289999999</v>
      </c>
      <c r="BU209" s="239">
        <v>499999.71000000834</v>
      </c>
      <c r="BV209" s="239">
        <v>490000</v>
      </c>
      <c r="BW209" s="239">
        <v>0</v>
      </c>
      <c r="BX209" s="239">
        <v>10000</v>
      </c>
      <c r="BY209" s="239">
        <v>999999.71000000834</v>
      </c>
      <c r="BZ209" s="239">
        <v>500000</v>
      </c>
      <c r="CA209" s="239">
        <v>490000</v>
      </c>
      <c r="CB209" s="239">
        <v>0</v>
      </c>
      <c r="CC209" s="239">
        <v>10000</v>
      </c>
      <c r="CD209" s="239">
        <v>1000000</v>
      </c>
      <c r="CE209" s="239">
        <v>-0.28999999165534973</v>
      </c>
      <c r="CF209" s="239">
        <v>0</v>
      </c>
      <c r="CG209" s="239">
        <v>0</v>
      </c>
      <c r="CH209" s="239">
        <v>0</v>
      </c>
      <c r="CI209" s="239">
        <v>-0.28999999165534973</v>
      </c>
      <c r="CJ209" s="239">
        <v>53650000</v>
      </c>
      <c r="CK209" s="239">
        <v>52577000</v>
      </c>
      <c r="CL209" s="239">
        <v>0</v>
      </c>
      <c r="CM209" s="239">
        <v>1073000</v>
      </c>
      <c r="CN209" s="239">
        <v>107300000</v>
      </c>
      <c r="CO209" s="239">
        <v>59250000</v>
      </c>
      <c r="CP209" s="239">
        <v>58065000</v>
      </c>
      <c r="CQ209" s="239">
        <v>0</v>
      </c>
      <c r="CR209" s="239">
        <v>1185000</v>
      </c>
      <c r="CS209" s="239">
        <v>118500000</v>
      </c>
      <c r="CT209" s="239">
        <v>5600000</v>
      </c>
      <c r="CU209" s="239">
        <v>5488000</v>
      </c>
      <c r="CV209" s="239">
        <v>0</v>
      </c>
      <c r="CW209" s="239">
        <v>112000</v>
      </c>
      <c r="CX209" s="239">
        <v>11200000</v>
      </c>
      <c r="CY209" s="239">
        <v>5599999.7100000083</v>
      </c>
      <c r="CZ209" s="239">
        <v>5488000</v>
      </c>
      <c r="DA209" s="239">
        <v>0</v>
      </c>
      <c r="DB209" s="239">
        <v>112000</v>
      </c>
      <c r="DC209" s="239">
        <v>11199999.710000008</v>
      </c>
      <c r="DD209" s="641">
        <v>0.5</v>
      </c>
      <c r="DE209" s="641">
        <v>0.49</v>
      </c>
      <c r="DF209" s="641">
        <v>0</v>
      </c>
      <c r="DG209" s="641">
        <v>0.01</v>
      </c>
      <c r="DH209" s="641">
        <v>1</v>
      </c>
      <c r="DI209" s="214" t="s">
        <v>747</v>
      </c>
    </row>
    <row r="210" spans="2:113" s="214" customFormat="1" x14ac:dyDescent="0.2">
      <c r="B210" s="609" t="s">
        <v>502</v>
      </c>
      <c r="C210" s="609" t="s">
        <v>501</v>
      </c>
      <c r="D210" s="239">
        <v>27119860</v>
      </c>
      <c r="E210" s="239">
        <v>16271916</v>
      </c>
      <c r="F210" s="239">
        <v>10847944</v>
      </c>
      <c r="G210" s="239">
        <v>0</v>
      </c>
      <c r="H210" s="239">
        <v>54239720</v>
      </c>
      <c r="I210" s="239">
        <v>0</v>
      </c>
      <c r="J210" s="239">
        <v>0</v>
      </c>
      <c r="K210" s="239">
        <v>27119860</v>
      </c>
      <c r="L210" s="239">
        <v>282286</v>
      </c>
      <c r="M210" s="239">
        <v>282286</v>
      </c>
      <c r="N210" s="239">
        <v>0</v>
      </c>
      <c r="O210" s="239">
        <v>0</v>
      </c>
      <c r="P210" s="239">
        <v>0</v>
      </c>
      <c r="Q210" s="239">
        <v>0</v>
      </c>
      <c r="R210" s="239">
        <v>0</v>
      </c>
      <c r="S210" s="239">
        <v>0</v>
      </c>
      <c r="T210" s="239">
        <v>0</v>
      </c>
      <c r="U210" s="239">
        <v>0</v>
      </c>
      <c r="V210" s="239">
        <v>0</v>
      </c>
      <c r="W210" s="239">
        <v>4689709</v>
      </c>
      <c r="X210" s="239">
        <v>2813825</v>
      </c>
      <c r="Y210" s="239">
        <v>1875883</v>
      </c>
      <c r="Z210" s="239">
        <v>0</v>
      </c>
      <c r="AA210" s="239">
        <v>9379417</v>
      </c>
      <c r="AB210" s="239">
        <v>-1653069</v>
      </c>
      <c r="AC210" s="239">
        <v>-991841</v>
      </c>
      <c r="AD210" s="239">
        <v>-661228</v>
      </c>
      <c r="AE210" s="239">
        <v>0</v>
      </c>
      <c r="AF210" s="239">
        <v>-3306138</v>
      </c>
      <c r="AG210" s="239">
        <v>-4038174</v>
      </c>
      <c r="AH210" s="239">
        <v>-2422904</v>
      </c>
      <c r="AI210" s="239">
        <v>-1615269</v>
      </c>
      <c r="AJ210" s="239">
        <v>0</v>
      </c>
      <c r="AK210" s="239">
        <v>-8076347</v>
      </c>
      <c r="AL210" s="239">
        <v>695582</v>
      </c>
      <c r="AM210" s="239">
        <v>417349</v>
      </c>
      <c r="AN210" s="239">
        <v>278233</v>
      </c>
      <c r="AO210" s="239">
        <v>0</v>
      </c>
      <c r="AP210" s="239">
        <v>1391164</v>
      </c>
      <c r="AQ210" s="239">
        <v>-830583</v>
      </c>
      <c r="AR210" s="239">
        <v>-498350</v>
      </c>
      <c r="AS210" s="239">
        <v>-332233</v>
      </c>
      <c r="AT210" s="239">
        <v>0</v>
      </c>
      <c r="AU210" s="239">
        <v>-1661166</v>
      </c>
      <c r="AV210" s="239">
        <v>-4173175</v>
      </c>
      <c r="AW210" s="239">
        <v>-2503905</v>
      </c>
      <c r="AX210" s="239">
        <v>-1669269</v>
      </c>
      <c r="AY210" s="239">
        <v>0</v>
      </c>
      <c r="AZ210" s="239">
        <v>-8346349</v>
      </c>
      <c r="BA210" s="239">
        <v>-500000</v>
      </c>
      <c r="BB210" s="239">
        <v>-300000</v>
      </c>
      <c r="BC210" s="239">
        <v>-200000</v>
      </c>
      <c r="BD210" s="239">
        <v>0</v>
      </c>
      <c r="BE210" s="239">
        <v>-1000000</v>
      </c>
      <c r="BF210" s="239">
        <v>0</v>
      </c>
      <c r="BG210" s="239">
        <v>0</v>
      </c>
      <c r="BH210" s="239">
        <v>0</v>
      </c>
      <c r="BI210" s="239">
        <v>0</v>
      </c>
      <c r="BJ210" s="239">
        <v>0</v>
      </c>
      <c r="BK210" s="239">
        <v>225000</v>
      </c>
      <c r="BL210" s="239">
        <v>135000</v>
      </c>
      <c r="BM210" s="239">
        <v>90000</v>
      </c>
      <c r="BN210" s="239">
        <v>0</v>
      </c>
      <c r="BO210" s="239">
        <v>450000</v>
      </c>
      <c r="BP210" s="239">
        <v>-275000</v>
      </c>
      <c r="BQ210" s="239">
        <v>-165000</v>
      </c>
      <c r="BR210" s="239">
        <v>-110000</v>
      </c>
      <c r="BS210" s="239">
        <v>0</v>
      </c>
      <c r="BT210" s="239">
        <v>-550000</v>
      </c>
      <c r="BU210" s="239">
        <v>362961</v>
      </c>
      <c r="BV210" s="239">
        <v>217776</v>
      </c>
      <c r="BW210" s="239">
        <v>145184</v>
      </c>
      <c r="BX210" s="239">
        <v>0</v>
      </c>
      <c r="BY210" s="239">
        <v>725921</v>
      </c>
      <c r="BZ210" s="239">
        <v>-285000</v>
      </c>
      <c r="CA210" s="239">
        <v>-171000</v>
      </c>
      <c r="CB210" s="239">
        <v>-114000</v>
      </c>
      <c r="CC210" s="239">
        <v>0</v>
      </c>
      <c r="CD210" s="239">
        <v>-570000</v>
      </c>
      <c r="CE210" s="239">
        <v>647961</v>
      </c>
      <c r="CF210" s="239">
        <v>388776</v>
      </c>
      <c r="CG210" s="239">
        <v>259184</v>
      </c>
      <c r="CH210" s="239">
        <v>0</v>
      </c>
      <c r="CI210" s="239">
        <v>1295921</v>
      </c>
      <c r="CJ210" s="239">
        <v>27885886</v>
      </c>
      <c r="CK210" s="239">
        <v>16731532</v>
      </c>
      <c r="CL210" s="239">
        <v>11154354</v>
      </c>
      <c r="CM210" s="239">
        <v>0</v>
      </c>
      <c r="CN210" s="239">
        <v>55771772</v>
      </c>
      <c r="CO210" s="239">
        <v>27119860</v>
      </c>
      <c r="CP210" s="239">
        <v>16271916</v>
      </c>
      <c r="CQ210" s="239">
        <v>10847944</v>
      </c>
      <c r="CR210" s="239">
        <v>0</v>
      </c>
      <c r="CS210" s="239">
        <v>54239720</v>
      </c>
      <c r="CT210" s="239">
        <v>-766026</v>
      </c>
      <c r="CU210" s="239">
        <v>-459616</v>
      </c>
      <c r="CV210" s="239">
        <v>-306410</v>
      </c>
      <c r="CW210" s="239">
        <v>0</v>
      </c>
      <c r="CX210" s="239">
        <v>-1532052</v>
      </c>
      <c r="CY210" s="239">
        <v>-118065</v>
      </c>
      <c r="CZ210" s="239">
        <v>-70840</v>
      </c>
      <c r="DA210" s="239">
        <v>-47226</v>
      </c>
      <c r="DB210" s="239">
        <v>0</v>
      </c>
      <c r="DC210" s="239">
        <v>-236131</v>
      </c>
      <c r="DD210" s="641">
        <v>0.5</v>
      </c>
      <c r="DE210" s="641">
        <v>0.3</v>
      </c>
      <c r="DF210" s="641">
        <v>0.2</v>
      </c>
      <c r="DG210" s="641">
        <v>0</v>
      </c>
      <c r="DH210" s="641">
        <v>1</v>
      </c>
      <c r="DI210" s="214" t="s">
        <v>1191</v>
      </c>
    </row>
    <row r="211" spans="2:113" s="214" customFormat="1" x14ac:dyDescent="0.2">
      <c r="B211" s="609" t="s">
        <v>504</v>
      </c>
      <c r="C211" s="609" t="s">
        <v>503</v>
      </c>
      <c r="D211" s="239">
        <v>18092792</v>
      </c>
      <c r="E211" s="239">
        <v>17730936</v>
      </c>
      <c r="F211" s="239">
        <v>0</v>
      </c>
      <c r="G211" s="239">
        <v>361856</v>
      </c>
      <c r="H211" s="239">
        <v>36185584</v>
      </c>
      <c r="I211" s="239">
        <v>0</v>
      </c>
      <c r="J211" s="239">
        <v>0</v>
      </c>
      <c r="K211" s="239">
        <v>18092792</v>
      </c>
      <c r="L211" s="239">
        <v>168457</v>
      </c>
      <c r="M211" s="239">
        <v>168457</v>
      </c>
      <c r="N211" s="239">
        <v>850326</v>
      </c>
      <c r="O211" s="239">
        <v>850326</v>
      </c>
      <c r="P211" s="239">
        <v>0</v>
      </c>
      <c r="Q211" s="239">
        <v>0</v>
      </c>
      <c r="R211" s="239">
        <v>0</v>
      </c>
      <c r="S211" s="239">
        <v>0</v>
      </c>
      <c r="T211" s="239">
        <v>0</v>
      </c>
      <c r="U211" s="239">
        <v>0</v>
      </c>
      <c r="V211" s="239">
        <v>0</v>
      </c>
      <c r="W211" s="239">
        <v>7030323</v>
      </c>
      <c r="X211" s="239">
        <v>6889716</v>
      </c>
      <c r="Y211" s="239">
        <v>0</v>
      </c>
      <c r="Z211" s="239">
        <v>140606</v>
      </c>
      <c r="AA211" s="239">
        <v>14060645</v>
      </c>
      <c r="AB211" s="239">
        <v>-623645</v>
      </c>
      <c r="AC211" s="239">
        <v>-611173</v>
      </c>
      <c r="AD211" s="239">
        <v>0</v>
      </c>
      <c r="AE211" s="239">
        <v>-12473</v>
      </c>
      <c r="AF211" s="239">
        <v>-1247291</v>
      </c>
      <c r="AG211" s="239">
        <v>-6017570</v>
      </c>
      <c r="AH211" s="239">
        <v>-5897219</v>
      </c>
      <c r="AI211" s="239">
        <v>0</v>
      </c>
      <c r="AJ211" s="239">
        <v>-120352</v>
      </c>
      <c r="AK211" s="239">
        <v>-12035141</v>
      </c>
      <c r="AL211" s="239">
        <v>113112</v>
      </c>
      <c r="AM211" s="239">
        <v>110850</v>
      </c>
      <c r="AN211" s="239">
        <v>0</v>
      </c>
      <c r="AO211" s="239">
        <v>2262</v>
      </c>
      <c r="AP211" s="239">
        <v>226224</v>
      </c>
      <c r="AQ211" s="239">
        <v>9686</v>
      </c>
      <c r="AR211" s="239">
        <v>9492</v>
      </c>
      <c r="AS211" s="239">
        <v>0</v>
      </c>
      <c r="AT211" s="239">
        <v>194</v>
      </c>
      <c r="AU211" s="239">
        <v>19372</v>
      </c>
      <c r="AV211" s="239">
        <v>-5894772</v>
      </c>
      <c r="AW211" s="239">
        <v>-5776877</v>
      </c>
      <c r="AX211" s="239">
        <v>0</v>
      </c>
      <c r="AY211" s="239">
        <v>-117896</v>
      </c>
      <c r="AZ211" s="239">
        <v>-11789545</v>
      </c>
      <c r="BA211" s="239">
        <v>-2362568.2999999998</v>
      </c>
      <c r="BB211" s="239">
        <v>-2315318</v>
      </c>
      <c r="BC211" s="239">
        <v>0</v>
      </c>
      <c r="BD211" s="239">
        <v>-47251</v>
      </c>
      <c r="BE211" s="239">
        <v>-4725137.3</v>
      </c>
      <c r="BF211" s="239">
        <v>964880</v>
      </c>
      <c r="BG211" s="239">
        <v>945582</v>
      </c>
      <c r="BH211" s="239">
        <v>0</v>
      </c>
      <c r="BI211" s="239">
        <v>19298</v>
      </c>
      <c r="BJ211" s="239">
        <v>1929760</v>
      </c>
      <c r="BK211" s="239">
        <v>-865194</v>
      </c>
      <c r="BL211" s="239">
        <v>-847891</v>
      </c>
      <c r="BM211" s="239">
        <v>0</v>
      </c>
      <c r="BN211" s="239">
        <v>-17304</v>
      </c>
      <c r="BO211" s="239">
        <v>-1730389</v>
      </c>
      <c r="BP211" s="239">
        <v>-2262882.2999999998</v>
      </c>
      <c r="BQ211" s="239">
        <v>-2217627</v>
      </c>
      <c r="BR211" s="239">
        <v>0</v>
      </c>
      <c r="BS211" s="239">
        <v>-45257</v>
      </c>
      <c r="BT211" s="239">
        <v>-4525766.3</v>
      </c>
      <c r="BU211" s="239">
        <v>-4395322</v>
      </c>
      <c r="BV211" s="239">
        <v>-4307416</v>
      </c>
      <c r="BW211" s="239">
        <v>0</v>
      </c>
      <c r="BX211" s="239">
        <v>-87906</v>
      </c>
      <c r="BY211" s="239">
        <v>-8790644</v>
      </c>
      <c r="BZ211" s="239">
        <v>-4760796</v>
      </c>
      <c r="CA211" s="239">
        <v>-4665581</v>
      </c>
      <c r="CB211" s="239">
        <v>0</v>
      </c>
      <c r="CC211" s="239">
        <v>-95216</v>
      </c>
      <c r="CD211" s="239">
        <v>-9521593</v>
      </c>
      <c r="CE211" s="239">
        <v>365474</v>
      </c>
      <c r="CF211" s="239">
        <v>358165</v>
      </c>
      <c r="CG211" s="239">
        <v>0</v>
      </c>
      <c r="CH211" s="239">
        <v>7310</v>
      </c>
      <c r="CI211" s="239">
        <v>730949</v>
      </c>
      <c r="CJ211" s="239">
        <v>17998500</v>
      </c>
      <c r="CK211" s="239">
        <v>17638530</v>
      </c>
      <c r="CL211" s="239">
        <v>0</v>
      </c>
      <c r="CM211" s="239">
        <v>359970</v>
      </c>
      <c r="CN211" s="239">
        <v>35997000</v>
      </c>
      <c r="CO211" s="239">
        <v>18092792</v>
      </c>
      <c r="CP211" s="239">
        <v>17730936</v>
      </c>
      <c r="CQ211" s="239">
        <v>0</v>
      </c>
      <c r="CR211" s="239">
        <v>361856</v>
      </c>
      <c r="CS211" s="239">
        <v>36185584</v>
      </c>
      <c r="CT211" s="239">
        <v>94292</v>
      </c>
      <c r="CU211" s="239">
        <v>92406</v>
      </c>
      <c r="CV211" s="239">
        <v>0</v>
      </c>
      <c r="CW211" s="239">
        <v>1886</v>
      </c>
      <c r="CX211" s="239">
        <v>188584</v>
      </c>
      <c r="CY211" s="239">
        <v>459766</v>
      </c>
      <c r="CZ211" s="239">
        <v>450571</v>
      </c>
      <c r="DA211" s="239">
        <v>0</v>
      </c>
      <c r="DB211" s="239">
        <v>9196</v>
      </c>
      <c r="DC211" s="239">
        <v>919533</v>
      </c>
      <c r="DD211" s="641">
        <v>0.5</v>
      </c>
      <c r="DE211" s="641">
        <v>0.49</v>
      </c>
      <c r="DF211" s="641">
        <v>0</v>
      </c>
      <c r="DG211" s="641">
        <v>0.01</v>
      </c>
      <c r="DH211" s="641">
        <v>1</v>
      </c>
      <c r="DI211" s="214" t="s">
        <v>747</v>
      </c>
    </row>
    <row r="212" spans="2:113" s="214" customFormat="1" x14ac:dyDescent="0.2">
      <c r="B212" s="609" t="s">
        <v>506</v>
      </c>
      <c r="C212" s="609" t="s">
        <v>505</v>
      </c>
      <c r="D212" s="239">
        <v>18316347</v>
      </c>
      <c r="E212" s="239">
        <v>14653077</v>
      </c>
      <c r="F212" s="239">
        <v>3296942</v>
      </c>
      <c r="G212" s="239">
        <v>366327</v>
      </c>
      <c r="H212" s="239">
        <v>36632693</v>
      </c>
      <c r="I212" s="239">
        <v>0</v>
      </c>
      <c r="J212" s="239">
        <v>0</v>
      </c>
      <c r="K212" s="239">
        <v>18316347</v>
      </c>
      <c r="L212" s="239">
        <v>110398</v>
      </c>
      <c r="M212" s="239">
        <v>110398</v>
      </c>
      <c r="N212" s="239">
        <v>0</v>
      </c>
      <c r="O212" s="239">
        <v>0</v>
      </c>
      <c r="P212" s="239">
        <v>0</v>
      </c>
      <c r="Q212" s="239">
        <v>0</v>
      </c>
      <c r="R212" s="239">
        <v>0</v>
      </c>
      <c r="S212" s="239">
        <v>0</v>
      </c>
      <c r="T212" s="239">
        <v>0</v>
      </c>
      <c r="U212" s="239">
        <v>0</v>
      </c>
      <c r="V212" s="239">
        <v>0</v>
      </c>
      <c r="W212" s="239">
        <v>1387126</v>
      </c>
      <c r="X212" s="239">
        <v>1109701</v>
      </c>
      <c r="Y212" s="239">
        <v>249683</v>
      </c>
      <c r="Z212" s="239">
        <v>27743</v>
      </c>
      <c r="AA212" s="239">
        <v>2774253</v>
      </c>
      <c r="AB212" s="239">
        <v>-154757</v>
      </c>
      <c r="AC212" s="239">
        <v>-123805</v>
      </c>
      <c r="AD212" s="239">
        <v>-27856</v>
      </c>
      <c r="AE212" s="239">
        <v>-3095</v>
      </c>
      <c r="AF212" s="239">
        <v>-309513</v>
      </c>
      <c r="AG212" s="239">
        <v>-949762</v>
      </c>
      <c r="AH212" s="239">
        <v>-759809</v>
      </c>
      <c r="AI212" s="239">
        <v>-170957</v>
      </c>
      <c r="AJ212" s="239">
        <v>-18995</v>
      </c>
      <c r="AK212" s="239">
        <v>-1899523</v>
      </c>
      <c r="AL212" s="239">
        <v>87787</v>
      </c>
      <c r="AM212" s="239">
        <v>70230</v>
      </c>
      <c r="AN212" s="239">
        <v>15802</v>
      </c>
      <c r="AO212" s="239">
        <v>1756</v>
      </c>
      <c r="AP212" s="239">
        <v>175575</v>
      </c>
      <c r="AQ212" s="239">
        <v>29403</v>
      </c>
      <c r="AR212" s="239">
        <v>23522</v>
      </c>
      <c r="AS212" s="239">
        <v>5292</v>
      </c>
      <c r="AT212" s="239">
        <v>588</v>
      </c>
      <c r="AU212" s="239">
        <v>58805</v>
      </c>
      <c r="AV212" s="239">
        <v>-832572</v>
      </c>
      <c r="AW212" s="239">
        <v>-666057</v>
      </c>
      <c r="AX212" s="239">
        <v>-149863</v>
      </c>
      <c r="AY212" s="239">
        <v>-16651</v>
      </c>
      <c r="AZ212" s="239">
        <v>-1665143</v>
      </c>
      <c r="BA212" s="239">
        <v>-1243548</v>
      </c>
      <c r="BB212" s="239">
        <v>-994839</v>
      </c>
      <c r="BC212" s="239">
        <v>-223838</v>
      </c>
      <c r="BD212" s="239">
        <v>-24871</v>
      </c>
      <c r="BE212" s="239">
        <v>-2487096</v>
      </c>
      <c r="BF212" s="239">
        <v>246019</v>
      </c>
      <c r="BG212" s="239">
        <v>196816</v>
      </c>
      <c r="BH212" s="239">
        <v>44284</v>
      </c>
      <c r="BI212" s="239">
        <v>4920</v>
      </c>
      <c r="BJ212" s="239">
        <v>492039</v>
      </c>
      <c r="BK212" s="239">
        <v>-423441</v>
      </c>
      <c r="BL212" s="239">
        <v>-338752</v>
      </c>
      <c r="BM212" s="239">
        <v>-76219</v>
      </c>
      <c r="BN212" s="239">
        <v>-8469</v>
      </c>
      <c r="BO212" s="239">
        <v>-846881</v>
      </c>
      <c r="BP212" s="239">
        <v>-1420970</v>
      </c>
      <c r="BQ212" s="239">
        <v>-1136775</v>
      </c>
      <c r="BR212" s="239">
        <v>-255773</v>
      </c>
      <c r="BS212" s="239">
        <v>-28420</v>
      </c>
      <c r="BT212" s="239">
        <v>-2841938</v>
      </c>
      <c r="BU212" s="239">
        <v>-766761.89999999991</v>
      </c>
      <c r="BV212" s="239">
        <v>-613409</v>
      </c>
      <c r="BW212" s="239">
        <v>-138017</v>
      </c>
      <c r="BX212" s="239">
        <v>-15335</v>
      </c>
      <c r="BY212" s="239">
        <v>-1533522.9</v>
      </c>
      <c r="BZ212" s="239">
        <v>-1204031</v>
      </c>
      <c r="CA212" s="239">
        <v>-963225</v>
      </c>
      <c r="CB212" s="239">
        <v>-216726</v>
      </c>
      <c r="CC212" s="239">
        <v>-24081</v>
      </c>
      <c r="CD212" s="239">
        <v>-2408063</v>
      </c>
      <c r="CE212" s="239">
        <v>437269.10000000009</v>
      </c>
      <c r="CF212" s="239">
        <v>349816</v>
      </c>
      <c r="CG212" s="239">
        <v>78709</v>
      </c>
      <c r="CH212" s="239">
        <v>8746</v>
      </c>
      <c r="CI212" s="239">
        <v>874540.10000000009</v>
      </c>
      <c r="CJ212" s="239">
        <v>18873158</v>
      </c>
      <c r="CK212" s="239">
        <v>15098527</v>
      </c>
      <c r="CL212" s="239">
        <v>3397169</v>
      </c>
      <c r="CM212" s="239">
        <v>377463</v>
      </c>
      <c r="CN212" s="239">
        <v>37746317</v>
      </c>
      <c r="CO212" s="239">
        <v>18316347</v>
      </c>
      <c r="CP212" s="239">
        <v>14653077</v>
      </c>
      <c r="CQ212" s="239">
        <v>3296942</v>
      </c>
      <c r="CR212" s="239">
        <v>366327</v>
      </c>
      <c r="CS212" s="239">
        <v>36632693</v>
      </c>
      <c r="CT212" s="239">
        <v>-556811</v>
      </c>
      <c r="CU212" s="239">
        <v>-445450</v>
      </c>
      <c r="CV212" s="239">
        <v>-100227</v>
      </c>
      <c r="CW212" s="239">
        <v>-11136</v>
      </c>
      <c r="CX212" s="239">
        <v>-1113624</v>
      </c>
      <c r="CY212" s="239">
        <v>-119541.89999999991</v>
      </c>
      <c r="CZ212" s="239">
        <v>-95634</v>
      </c>
      <c r="DA212" s="239">
        <v>-21518</v>
      </c>
      <c r="DB212" s="239">
        <v>-2390</v>
      </c>
      <c r="DC212" s="239">
        <v>-239083.89999999991</v>
      </c>
      <c r="DD212" s="641">
        <v>0.5</v>
      </c>
      <c r="DE212" s="641">
        <v>0.4</v>
      </c>
      <c r="DF212" s="641">
        <v>0.09</v>
      </c>
      <c r="DG212" s="641">
        <v>0.01</v>
      </c>
      <c r="DH212" s="641">
        <v>1</v>
      </c>
      <c r="DI212" s="214" t="s">
        <v>1190</v>
      </c>
    </row>
    <row r="213" spans="2:113" s="214" customFormat="1" x14ac:dyDescent="0.2">
      <c r="B213" s="609" t="s">
        <v>508</v>
      </c>
      <c r="C213" s="609" t="s">
        <v>507</v>
      </c>
      <c r="D213" s="239">
        <v>24859861</v>
      </c>
      <c r="E213" s="239">
        <v>19887889</v>
      </c>
      <c r="F213" s="239">
        <v>4971972</v>
      </c>
      <c r="G213" s="239">
        <v>0</v>
      </c>
      <c r="H213" s="239">
        <v>49719722</v>
      </c>
      <c r="I213" s="239">
        <v>0</v>
      </c>
      <c r="J213" s="239">
        <v>0</v>
      </c>
      <c r="K213" s="239">
        <v>24859861</v>
      </c>
      <c r="L213" s="239">
        <v>172098</v>
      </c>
      <c r="M213" s="239">
        <v>172098</v>
      </c>
      <c r="N213" s="239">
        <v>0</v>
      </c>
      <c r="O213" s="239">
        <v>0</v>
      </c>
      <c r="P213" s="239">
        <v>0</v>
      </c>
      <c r="Q213" s="239">
        <v>0</v>
      </c>
      <c r="R213" s="239">
        <v>0</v>
      </c>
      <c r="S213" s="239">
        <v>0</v>
      </c>
      <c r="T213" s="239">
        <v>0</v>
      </c>
      <c r="U213" s="239">
        <v>0</v>
      </c>
      <c r="V213" s="239">
        <v>0</v>
      </c>
      <c r="W213" s="239">
        <v>285776</v>
      </c>
      <c r="X213" s="239">
        <v>228621</v>
      </c>
      <c r="Y213" s="239">
        <v>57155</v>
      </c>
      <c r="Z213" s="239">
        <v>0</v>
      </c>
      <c r="AA213" s="239">
        <v>571552</v>
      </c>
      <c r="AB213" s="239">
        <v>-873741</v>
      </c>
      <c r="AC213" s="239">
        <v>-698992</v>
      </c>
      <c r="AD213" s="239">
        <v>-174748</v>
      </c>
      <c r="AE213" s="239">
        <v>0</v>
      </c>
      <c r="AF213" s="239">
        <v>-1747481</v>
      </c>
      <c r="AG213" s="239">
        <v>-68404.100000000006</v>
      </c>
      <c r="AH213" s="239">
        <v>-54723</v>
      </c>
      <c r="AI213" s="239">
        <v>-13681</v>
      </c>
      <c r="AJ213" s="239">
        <v>0</v>
      </c>
      <c r="AK213" s="239">
        <v>-136808.1</v>
      </c>
      <c r="AL213" s="239">
        <v>78703</v>
      </c>
      <c r="AM213" s="239">
        <v>62963</v>
      </c>
      <c r="AN213" s="239">
        <v>15741</v>
      </c>
      <c r="AO213" s="239">
        <v>0</v>
      </c>
      <c r="AP213" s="239">
        <v>157407</v>
      </c>
      <c r="AQ213" s="239">
        <v>-57876</v>
      </c>
      <c r="AR213" s="239">
        <v>-46300</v>
      </c>
      <c r="AS213" s="239">
        <v>-11575</v>
      </c>
      <c r="AT213" s="239">
        <v>0</v>
      </c>
      <c r="AU213" s="239">
        <v>-115751</v>
      </c>
      <c r="AV213" s="239">
        <v>-47577.100000000006</v>
      </c>
      <c r="AW213" s="239">
        <v>-38060</v>
      </c>
      <c r="AX213" s="239">
        <v>-9515</v>
      </c>
      <c r="AY213" s="239">
        <v>0</v>
      </c>
      <c r="AZ213" s="239">
        <v>-95152.1</v>
      </c>
      <c r="BA213" s="239">
        <v>-1839781</v>
      </c>
      <c r="BB213" s="239">
        <v>-1471827</v>
      </c>
      <c r="BC213" s="239">
        <v>-367957</v>
      </c>
      <c r="BD213" s="239">
        <v>0</v>
      </c>
      <c r="BE213" s="239">
        <v>-3679565</v>
      </c>
      <c r="BF213" s="239">
        <v>409765</v>
      </c>
      <c r="BG213" s="239">
        <v>327812</v>
      </c>
      <c r="BH213" s="239">
        <v>81953</v>
      </c>
      <c r="BI213" s="239">
        <v>0</v>
      </c>
      <c r="BJ213" s="239">
        <v>819530</v>
      </c>
      <c r="BK213" s="239">
        <v>-657857</v>
      </c>
      <c r="BL213" s="239">
        <v>-526286</v>
      </c>
      <c r="BM213" s="239">
        <v>-131572</v>
      </c>
      <c r="BN213" s="239">
        <v>0</v>
      </c>
      <c r="BO213" s="239">
        <v>-1315715</v>
      </c>
      <c r="BP213" s="239">
        <v>-2087873</v>
      </c>
      <c r="BQ213" s="239">
        <v>-1670301</v>
      </c>
      <c r="BR213" s="239">
        <v>-417576</v>
      </c>
      <c r="BS213" s="239">
        <v>0</v>
      </c>
      <c r="BT213" s="239">
        <v>-4175750</v>
      </c>
      <c r="BU213" s="239">
        <v>-785552</v>
      </c>
      <c r="BV213" s="239">
        <v>-628441</v>
      </c>
      <c r="BW213" s="239">
        <v>-157110</v>
      </c>
      <c r="BX213" s="239">
        <v>0</v>
      </c>
      <c r="BY213" s="239">
        <v>-1571103</v>
      </c>
      <c r="BZ213" s="239">
        <v>-2117191</v>
      </c>
      <c r="CA213" s="239">
        <v>-1693752</v>
      </c>
      <c r="CB213" s="239">
        <v>-423438</v>
      </c>
      <c r="CC213" s="239">
        <v>0</v>
      </c>
      <c r="CD213" s="239">
        <v>-4234381</v>
      </c>
      <c r="CE213" s="239">
        <v>1331639</v>
      </c>
      <c r="CF213" s="239">
        <v>1065311</v>
      </c>
      <c r="CG213" s="239">
        <v>266328</v>
      </c>
      <c r="CH213" s="239">
        <v>0</v>
      </c>
      <c r="CI213" s="239">
        <v>2663278</v>
      </c>
      <c r="CJ213" s="239">
        <v>24410917</v>
      </c>
      <c r="CK213" s="239">
        <v>19528734</v>
      </c>
      <c r="CL213" s="239">
        <v>4882184</v>
      </c>
      <c r="CM213" s="239">
        <v>0</v>
      </c>
      <c r="CN213" s="239">
        <v>48821835</v>
      </c>
      <c r="CO213" s="239">
        <v>24859861</v>
      </c>
      <c r="CP213" s="239">
        <v>19887889</v>
      </c>
      <c r="CQ213" s="239">
        <v>4971972</v>
      </c>
      <c r="CR213" s="239">
        <v>0</v>
      </c>
      <c r="CS213" s="239">
        <v>49719722</v>
      </c>
      <c r="CT213" s="239">
        <v>448944</v>
      </c>
      <c r="CU213" s="239">
        <v>359155</v>
      </c>
      <c r="CV213" s="239">
        <v>89788</v>
      </c>
      <c r="CW213" s="239">
        <v>0</v>
      </c>
      <c r="CX213" s="239">
        <v>897887</v>
      </c>
      <c r="CY213" s="239">
        <v>1780583</v>
      </c>
      <c r="CZ213" s="239">
        <v>1424466</v>
      </c>
      <c r="DA213" s="239">
        <v>356116</v>
      </c>
      <c r="DB213" s="239">
        <v>0</v>
      </c>
      <c r="DC213" s="239">
        <v>3561165</v>
      </c>
      <c r="DD213" s="641">
        <v>0.5</v>
      </c>
      <c r="DE213" s="641">
        <v>0.4</v>
      </c>
      <c r="DF213" s="641">
        <v>0.1</v>
      </c>
      <c r="DG213" s="641">
        <v>0</v>
      </c>
      <c r="DH213" s="641">
        <v>1</v>
      </c>
      <c r="DI213" s="214" t="s">
        <v>1190</v>
      </c>
    </row>
    <row r="214" spans="2:113" s="214" customFormat="1" x14ac:dyDescent="0.2">
      <c r="B214" s="609" t="s">
        <v>510</v>
      </c>
      <c r="C214" s="609" t="s">
        <v>509</v>
      </c>
      <c r="D214" s="239">
        <v>7402825</v>
      </c>
      <c r="E214" s="239">
        <v>5922260</v>
      </c>
      <c r="F214" s="239">
        <v>1332508</v>
      </c>
      <c r="G214" s="239">
        <v>148056</v>
      </c>
      <c r="H214" s="239">
        <v>14805649</v>
      </c>
      <c r="I214" s="239">
        <v>0</v>
      </c>
      <c r="J214" s="239">
        <v>0</v>
      </c>
      <c r="K214" s="239">
        <v>7402825</v>
      </c>
      <c r="L214" s="239">
        <v>89974</v>
      </c>
      <c r="M214" s="239">
        <v>89974</v>
      </c>
      <c r="N214" s="239">
        <v>19530</v>
      </c>
      <c r="O214" s="239">
        <v>19530</v>
      </c>
      <c r="P214" s="239">
        <v>32681</v>
      </c>
      <c r="Q214" s="239">
        <v>0</v>
      </c>
      <c r="R214" s="239">
        <v>32681</v>
      </c>
      <c r="S214" s="239">
        <v>0</v>
      </c>
      <c r="T214" s="239">
        <v>0</v>
      </c>
      <c r="U214" s="239">
        <v>0</v>
      </c>
      <c r="V214" s="239">
        <v>0</v>
      </c>
      <c r="W214" s="239">
        <v>247904</v>
      </c>
      <c r="X214" s="239">
        <v>198324</v>
      </c>
      <c r="Y214" s="239">
        <v>44623</v>
      </c>
      <c r="Z214" s="239">
        <v>4958</v>
      </c>
      <c r="AA214" s="239">
        <v>495809</v>
      </c>
      <c r="AB214" s="239">
        <v>-69974</v>
      </c>
      <c r="AC214" s="239">
        <v>-55978</v>
      </c>
      <c r="AD214" s="239">
        <v>-12595</v>
      </c>
      <c r="AE214" s="239">
        <v>-1399</v>
      </c>
      <c r="AF214" s="239">
        <v>-139946</v>
      </c>
      <c r="AG214" s="239">
        <v>-187500</v>
      </c>
      <c r="AH214" s="239">
        <v>-150000</v>
      </c>
      <c r="AI214" s="239">
        <v>-33750</v>
      </c>
      <c r="AJ214" s="239">
        <v>-3750</v>
      </c>
      <c r="AK214" s="239">
        <v>-375000</v>
      </c>
      <c r="AL214" s="239">
        <v>65474</v>
      </c>
      <c r="AM214" s="239">
        <v>52379</v>
      </c>
      <c r="AN214" s="239">
        <v>11785</v>
      </c>
      <c r="AO214" s="239">
        <v>1309</v>
      </c>
      <c r="AP214" s="239">
        <v>130947</v>
      </c>
      <c r="AQ214" s="239">
        <v>-42974</v>
      </c>
      <c r="AR214" s="239">
        <v>-34379</v>
      </c>
      <c r="AS214" s="239">
        <v>-7735</v>
      </c>
      <c r="AT214" s="239">
        <v>-859</v>
      </c>
      <c r="AU214" s="239">
        <v>-85947</v>
      </c>
      <c r="AV214" s="239">
        <v>-165000</v>
      </c>
      <c r="AW214" s="239">
        <v>-132000</v>
      </c>
      <c r="AX214" s="239">
        <v>-29700</v>
      </c>
      <c r="AY214" s="239">
        <v>-3300</v>
      </c>
      <c r="AZ214" s="239">
        <v>-330000</v>
      </c>
      <c r="BA214" s="239">
        <v>-585750</v>
      </c>
      <c r="BB214" s="239">
        <v>-468600</v>
      </c>
      <c r="BC214" s="239">
        <v>-105435</v>
      </c>
      <c r="BD214" s="239">
        <v>-11715</v>
      </c>
      <c r="BE214" s="239">
        <v>-1171500</v>
      </c>
      <c r="BF214" s="239">
        <v>205260</v>
      </c>
      <c r="BG214" s="239">
        <v>164208</v>
      </c>
      <c r="BH214" s="239">
        <v>36947</v>
      </c>
      <c r="BI214" s="239">
        <v>4105</v>
      </c>
      <c r="BJ214" s="239">
        <v>410520</v>
      </c>
      <c r="BK214" s="239">
        <v>-253960</v>
      </c>
      <c r="BL214" s="239">
        <v>-203168</v>
      </c>
      <c r="BM214" s="239">
        <v>-45713</v>
      </c>
      <c r="BN214" s="239">
        <v>-5079</v>
      </c>
      <c r="BO214" s="239">
        <v>-507920</v>
      </c>
      <c r="BP214" s="239">
        <v>-634450</v>
      </c>
      <c r="BQ214" s="239">
        <v>-507560</v>
      </c>
      <c r="BR214" s="239">
        <v>-114201</v>
      </c>
      <c r="BS214" s="239">
        <v>-12689</v>
      </c>
      <c r="BT214" s="239">
        <v>-1268900</v>
      </c>
      <c r="BU214" s="239">
        <v>-459901</v>
      </c>
      <c r="BV214" s="239">
        <v>-367920</v>
      </c>
      <c r="BW214" s="239">
        <v>-82782</v>
      </c>
      <c r="BX214" s="239">
        <v>-9198</v>
      </c>
      <c r="BY214" s="239">
        <v>-919801</v>
      </c>
      <c r="BZ214" s="239">
        <v>-525866</v>
      </c>
      <c r="CA214" s="239">
        <v>-420692</v>
      </c>
      <c r="CB214" s="239">
        <v>-94656</v>
      </c>
      <c r="CC214" s="239">
        <v>-10517</v>
      </c>
      <c r="CD214" s="239">
        <v>-1051731</v>
      </c>
      <c r="CE214" s="239">
        <v>65965</v>
      </c>
      <c r="CF214" s="239">
        <v>52772</v>
      </c>
      <c r="CG214" s="239">
        <v>11874</v>
      </c>
      <c r="CH214" s="239">
        <v>1319</v>
      </c>
      <c r="CI214" s="239">
        <v>131930</v>
      </c>
      <c r="CJ214" s="239">
        <v>7425157</v>
      </c>
      <c r="CK214" s="239">
        <v>5940126</v>
      </c>
      <c r="CL214" s="239">
        <v>1336528</v>
      </c>
      <c r="CM214" s="239">
        <v>148503</v>
      </c>
      <c r="CN214" s="239">
        <v>14850314</v>
      </c>
      <c r="CO214" s="239">
        <v>7402825</v>
      </c>
      <c r="CP214" s="239">
        <v>5922260</v>
      </c>
      <c r="CQ214" s="239">
        <v>1332508</v>
      </c>
      <c r="CR214" s="239">
        <v>148056</v>
      </c>
      <c r="CS214" s="239">
        <v>14805649</v>
      </c>
      <c r="CT214" s="239">
        <v>-22332</v>
      </c>
      <c r="CU214" s="239">
        <v>-17866</v>
      </c>
      <c r="CV214" s="239">
        <v>-4020</v>
      </c>
      <c r="CW214" s="239">
        <v>-447</v>
      </c>
      <c r="CX214" s="239">
        <v>-44665</v>
      </c>
      <c r="CY214" s="239">
        <v>43633</v>
      </c>
      <c r="CZ214" s="239">
        <v>34906</v>
      </c>
      <c r="DA214" s="239">
        <v>7854</v>
      </c>
      <c r="DB214" s="239">
        <v>872</v>
      </c>
      <c r="DC214" s="239">
        <v>87265</v>
      </c>
      <c r="DD214" s="641">
        <v>0.5</v>
      </c>
      <c r="DE214" s="641">
        <v>0.4</v>
      </c>
      <c r="DF214" s="641">
        <v>0.09</v>
      </c>
      <c r="DG214" s="641">
        <v>0.01</v>
      </c>
      <c r="DH214" s="641">
        <v>1</v>
      </c>
      <c r="DI214" s="214" t="s">
        <v>1190</v>
      </c>
    </row>
    <row r="215" spans="2:113" s="214" customFormat="1" x14ac:dyDescent="0.2">
      <c r="B215" s="609" t="s">
        <v>512</v>
      </c>
      <c r="C215" s="609" t="s">
        <v>511</v>
      </c>
      <c r="D215" s="239">
        <v>41497074</v>
      </c>
      <c r="E215" s="239">
        <v>24898244</v>
      </c>
      <c r="F215" s="239">
        <v>16598830</v>
      </c>
      <c r="G215" s="239">
        <v>0</v>
      </c>
      <c r="H215" s="239">
        <v>82994148</v>
      </c>
      <c r="I215" s="239">
        <v>0</v>
      </c>
      <c r="J215" s="239">
        <v>0</v>
      </c>
      <c r="K215" s="239">
        <v>41497074</v>
      </c>
      <c r="L215" s="239">
        <v>292908</v>
      </c>
      <c r="M215" s="239">
        <v>292908</v>
      </c>
      <c r="N215" s="239">
        <v>0</v>
      </c>
      <c r="O215" s="239">
        <v>0</v>
      </c>
      <c r="P215" s="239">
        <v>0</v>
      </c>
      <c r="Q215" s="239">
        <v>0</v>
      </c>
      <c r="R215" s="239">
        <v>0</v>
      </c>
      <c r="S215" s="239">
        <v>0</v>
      </c>
      <c r="T215" s="239">
        <v>0</v>
      </c>
      <c r="U215" s="239">
        <v>0</v>
      </c>
      <c r="V215" s="239">
        <v>0</v>
      </c>
      <c r="W215" s="239">
        <v>1781878</v>
      </c>
      <c r="X215" s="239">
        <v>1069127</v>
      </c>
      <c r="Y215" s="239">
        <v>712751</v>
      </c>
      <c r="Z215" s="239">
        <v>0</v>
      </c>
      <c r="AA215" s="239">
        <v>3563756</v>
      </c>
      <c r="AB215" s="239">
        <v>-1416629</v>
      </c>
      <c r="AC215" s="239">
        <v>-849978</v>
      </c>
      <c r="AD215" s="239">
        <v>-566652</v>
      </c>
      <c r="AE215" s="239">
        <v>0</v>
      </c>
      <c r="AF215" s="239">
        <v>-2833259</v>
      </c>
      <c r="AG215" s="239">
        <v>-37040</v>
      </c>
      <c r="AH215" s="239">
        <v>-22224</v>
      </c>
      <c r="AI215" s="239">
        <v>-14816</v>
      </c>
      <c r="AJ215" s="239">
        <v>0</v>
      </c>
      <c r="AK215" s="239">
        <v>-74080</v>
      </c>
      <c r="AL215" s="239">
        <v>0</v>
      </c>
      <c r="AM215" s="239">
        <v>0</v>
      </c>
      <c r="AN215" s="239">
        <v>0</v>
      </c>
      <c r="AO215" s="239">
        <v>0</v>
      </c>
      <c r="AP215" s="239">
        <v>0</v>
      </c>
      <c r="AQ215" s="239">
        <v>-17026</v>
      </c>
      <c r="AR215" s="239">
        <v>-10216</v>
      </c>
      <c r="AS215" s="239">
        <v>-6810</v>
      </c>
      <c r="AT215" s="239">
        <v>0</v>
      </c>
      <c r="AU215" s="239">
        <v>-34052</v>
      </c>
      <c r="AV215" s="239">
        <v>-54066</v>
      </c>
      <c r="AW215" s="239">
        <v>-32440</v>
      </c>
      <c r="AX215" s="239">
        <v>-21626</v>
      </c>
      <c r="AY215" s="239">
        <v>0</v>
      </c>
      <c r="AZ215" s="239">
        <v>-108132</v>
      </c>
      <c r="BA215" s="239">
        <v>-4921055</v>
      </c>
      <c r="BB215" s="239">
        <v>-2952635</v>
      </c>
      <c r="BC215" s="239">
        <v>-1968423</v>
      </c>
      <c r="BD215" s="239">
        <v>0</v>
      </c>
      <c r="BE215" s="239">
        <v>-9842113</v>
      </c>
      <c r="BF215" s="239">
        <v>1946626</v>
      </c>
      <c r="BG215" s="239">
        <v>1167976</v>
      </c>
      <c r="BH215" s="239">
        <v>778650</v>
      </c>
      <c r="BI215" s="239">
        <v>0</v>
      </c>
      <c r="BJ215" s="239">
        <v>3893252</v>
      </c>
      <c r="BK215" s="239">
        <v>-1569433</v>
      </c>
      <c r="BL215" s="239">
        <v>-941660</v>
      </c>
      <c r="BM215" s="239">
        <v>-627773</v>
      </c>
      <c r="BN215" s="239">
        <v>0</v>
      </c>
      <c r="BO215" s="239">
        <v>-3138866</v>
      </c>
      <c r="BP215" s="239">
        <v>-4543862</v>
      </c>
      <c r="BQ215" s="239">
        <v>-2726319</v>
      </c>
      <c r="BR215" s="239">
        <v>-1817546</v>
      </c>
      <c r="BS215" s="239">
        <v>0</v>
      </c>
      <c r="BT215" s="239">
        <v>-9087727</v>
      </c>
      <c r="BU215" s="239">
        <v>-4115921</v>
      </c>
      <c r="BV215" s="239">
        <v>-2469553</v>
      </c>
      <c r="BW215" s="239">
        <v>-1646369</v>
      </c>
      <c r="BX215" s="239">
        <v>0</v>
      </c>
      <c r="BY215" s="239">
        <v>-8231843</v>
      </c>
      <c r="BZ215" s="239">
        <v>-1583000</v>
      </c>
      <c r="CA215" s="239">
        <v>-949800</v>
      </c>
      <c r="CB215" s="239">
        <v>-633200</v>
      </c>
      <c r="CC215" s="239">
        <v>0</v>
      </c>
      <c r="CD215" s="239">
        <v>-3166000</v>
      </c>
      <c r="CE215" s="239">
        <v>-2532921</v>
      </c>
      <c r="CF215" s="239">
        <v>-1519753</v>
      </c>
      <c r="CG215" s="239">
        <v>-1013169</v>
      </c>
      <c r="CH215" s="239">
        <v>0</v>
      </c>
      <c r="CI215" s="239">
        <v>-5065843</v>
      </c>
      <c r="CJ215" s="239">
        <v>42245231</v>
      </c>
      <c r="CK215" s="239">
        <v>25347139</v>
      </c>
      <c r="CL215" s="239">
        <v>16898092</v>
      </c>
      <c r="CM215" s="239">
        <v>0</v>
      </c>
      <c r="CN215" s="239">
        <v>84490462</v>
      </c>
      <c r="CO215" s="239">
        <v>41497074</v>
      </c>
      <c r="CP215" s="239">
        <v>24898244</v>
      </c>
      <c r="CQ215" s="239">
        <v>16598830</v>
      </c>
      <c r="CR215" s="239">
        <v>0</v>
      </c>
      <c r="CS215" s="239">
        <v>82994148</v>
      </c>
      <c r="CT215" s="239">
        <v>-748157</v>
      </c>
      <c r="CU215" s="239">
        <v>-448895</v>
      </c>
      <c r="CV215" s="239">
        <v>-299262</v>
      </c>
      <c r="CW215" s="239">
        <v>0</v>
      </c>
      <c r="CX215" s="239">
        <v>-1496314</v>
      </c>
      <c r="CY215" s="239">
        <v>-3281078</v>
      </c>
      <c r="CZ215" s="239">
        <v>-1968648</v>
      </c>
      <c r="DA215" s="239">
        <v>-1312431</v>
      </c>
      <c r="DB215" s="239">
        <v>0</v>
      </c>
      <c r="DC215" s="239">
        <v>-6562157</v>
      </c>
      <c r="DD215" s="641">
        <v>0.5</v>
      </c>
      <c r="DE215" s="641">
        <v>0.3</v>
      </c>
      <c r="DF215" s="641">
        <v>0.2</v>
      </c>
      <c r="DG215" s="641">
        <v>0</v>
      </c>
      <c r="DH215" s="641">
        <v>1</v>
      </c>
      <c r="DI215" s="214" t="s">
        <v>1191</v>
      </c>
    </row>
    <row r="216" spans="2:113" s="214" customFormat="1" x14ac:dyDescent="0.2">
      <c r="B216" s="609" t="s">
        <v>514</v>
      </c>
      <c r="C216" s="609" t="s">
        <v>513</v>
      </c>
      <c r="D216" s="239">
        <v>6267693</v>
      </c>
      <c r="E216" s="239">
        <v>5014154</v>
      </c>
      <c r="F216" s="239">
        <v>1128185</v>
      </c>
      <c r="G216" s="239">
        <v>125354</v>
      </c>
      <c r="H216" s="239">
        <v>12535386</v>
      </c>
      <c r="I216" s="239">
        <v>0</v>
      </c>
      <c r="J216" s="239">
        <v>0</v>
      </c>
      <c r="K216" s="239">
        <v>6267693</v>
      </c>
      <c r="L216" s="239">
        <v>97217</v>
      </c>
      <c r="M216" s="239">
        <v>97217</v>
      </c>
      <c r="N216" s="239">
        <v>0</v>
      </c>
      <c r="O216" s="239">
        <v>0</v>
      </c>
      <c r="P216" s="239">
        <v>0</v>
      </c>
      <c r="Q216" s="239">
        <v>0</v>
      </c>
      <c r="R216" s="239">
        <v>0</v>
      </c>
      <c r="S216" s="239">
        <v>0</v>
      </c>
      <c r="T216" s="239">
        <v>0</v>
      </c>
      <c r="U216" s="239">
        <v>0</v>
      </c>
      <c r="V216" s="239">
        <v>0</v>
      </c>
      <c r="W216" s="239">
        <v>165262</v>
      </c>
      <c r="X216" s="239">
        <v>132209</v>
      </c>
      <c r="Y216" s="239">
        <v>29747</v>
      </c>
      <c r="Z216" s="239">
        <v>3305</v>
      </c>
      <c r="AA216" s="239">
        <v>330523</v>
      </c>
      <c r="AB216" s="239">
        <v>-100726</v>
      </c>
      <c r="AC216" s="239">
        <v>-80582</v>
      </c>
      <c r="AD216" s="239">
        <v>-18131</v>
      </c>
      <c r="AE216" s="239">
        <v>-2015</v>
      </c>
      <c r="AF216" s="239">
        <v>-201454</v>
      </c>
      <c r="AG216" s="239">
        <v>-87898</v>
      </c>
      <c r="AH216" s="239">
        <v>-70316</v>
      </c>
      <c r="AI216" s="239">
        <v>-15821</v>
      </c>
      <c r="AJ216" s="239">
        <v>-1758</v>
      </c>
      <c r="AK216" s="239">
        <v>-175793</v>
      </c>
      <c r="AL216" s="239">
        <v>65021</v>
      </c>
      <c r="AM216" s="239">
        <v>52016</v>
      </c>
      <c r="AN216" s="239">
        <v>11704</v>
      </c>
      <c r="AO216" s="239">
        <v>1300</v>
      </c>
      <c r="AP216" s="239">
        <v>130041</v>
      </c>
      <c r="AQ216" s="239">
        <v>-57619</v>
      </c>
      <c r="AR216" s="239">
        <v>-46096</v>
      </c>
      <c r="AS216" s="239">
        <v>-10372</v>
      </c>
      <c r="AT216" s="239">
        <v>-1152</v>
      </c>
      <c r="AU216" s="239">
        <v>-115239</v>
      </c>
      <c r="AV216" s="239">
        <v>-80496</v>
      </c>
      <c r="AW216" s="239">
        <v>-64396</v>
      </c>
      <c r="AX216" s="239">
        <v>-14489</v>
      </c>
      <c r="AY216" s="239">
        <v>-1610</v>
      </c>
      <c r="AZ216" s="239">
        <v>-160991</v>
      </c>
      <c r="BA216" s="239">
        <v>-403118</v>
      </c>
      <c r="BB216" s="239">
        <v>-322494</v>
      </c>
      <c r="BC216" s="239">
        <v>-72561</v>
      </c>
      <c r="BD216" s="239">
        <v>-8062</v>
      </c>
      <c r="BE216" s="239">
        <v>-806235</v>
      </c>
      <c r="BF216" s="239">
        <v>247003</v>
      </c>
      <c r="BG216" s="239">
        <v>197602</v>
      </c>
      <c r="BH216" s="239">
        <v>44460</v>
      </c>
      <c r="BI216" s="239">
        <v>4940</v>
      </c>
      <c r="BJ216" s="239">
        <v>494005</v>
      </c>
      <c r="BK216" s="239">
        <v>-427826</v>
      </c>
      <c r="BL216" s="239">
        <v>-342262</v>
      </c>
      <c r="BM216" s="239">
        <v>-77009</v>
      </c>
      <c r="BN216" s="239">
        <v>-8557</v>
      </c>
      <c r="BO216" s="239">
        <v>-855654</v>
      </c>
      <c r="BP216" s="239">
        <v>-583941</v>
      </c>
      <c r="BQ216" s="239">
        <v>-467154</v>
      </c>
      <c r="BR216" s="239">
        <v>-105110</v>
      </c>
      <c r="BS216" s="239">
        <v>-11679</v>
      </c>
      <c r="BT216" s="239">
        <v>-1167884</v>
      </c>
      <c r="BU216" s="239">
        <v>-612357</v>
      </c>
      <c r="BV216" s="239">
        <v>-489886</v>
      </c>
      <c r="BW216" s="239">
        <v>-110224</v>
      </c>
      <c r="BX216" s="239">
        <v>-12247</v>
      </c>
      <c r="BY216" s="239">
        <v>-1224714</v>
      </c>
      <c r="BZ216" s="239">
        <v>-829475</v>
      </c>
      <c r="CA216" s="239">
        <v>-663580</v>
      </c>
      <c r="CB216" s="239">
        <v>-149305</v>
      </c>
      <c r="CC216" s="239">
        <v>-16589</v>
      </c>
      <c r="CD216" s="239">
        <v>-1658949</v>
      </c>
      <c r="CE216" s="239">
        <v>217118</v>
      </c>
      <c r="CF216" s="239">
        <v>173694</v>
      </c>
      <c r="CG216" s="239">
        <v>39081</v>
      </c>
      <c r="CH216" s="239">
        <v>4342</v>
      </c>
      <c r="CI216" s="239">
        <v>434235</v>
      </c>
      <c r="CJ216" s="239">
        <v>6634836</v>
      </c>
      <c r="CK216" s="239">
        <v>5307869</v>
      </c>
      <c r="CL216" s="239">
        <v>1194270</v>
      </c>
      <c r="CM216" s="239">
        <v>132697</v>
      </c>
      <c r="CN216" s="239">
        <v>13269672</v>
      </c>
      <c r="CO216" s="239">
        <v>6267693</v>
      </c>
      <c r="CP216" s="239">
        <v>5014154</v>
      </c>
      <c r="CQ216" s="239">
        <v>1128185</v>
      </c>
      <c r="CR216" s="239">
        <v>125354</v>
      </c>
      <c r="CS216" s="239">
        <v>12535386</v>
      </c>
      <c r="CT216" s="239">
        <v>-367143</v>
      </c>
      <c r="CU216" s="239">
        <v>-293715</v>
      </c>
      <c r="CV216" s="239">
        <v>-66085</v>
      </c>
      <c r="CW216" s="239">
        <v>-7343</v>
      </c>
      <c r="CX216" s="239">
        <v>-734286</v>
      </c>
      <c r="CY216" s="239">
        <v>-150025</v>
      </c>
      <c r="CZ216" s="239">
        <v>-120021</v>
      </c>
      <c r="DA216" s="239">
        <v>-27004</v>
      </c>
      <c r="DB216" s="239">
        <v>-3001</v>
      </c>
      <c r="DC216" s="239">
        <v>-300051</v>
      </c>
      <c r="DD216" s="641">
        <v>0.5</v>
      </c>
      <c r="DE216" s="641">
        <v>0.4</v>
      </c>
      <c r="DF216" s="641">
        <v>0.09</v>
      </c>
      <c r="DG216" s="641">
        <v>0.01</v>
      </c>
      <c r="DH216" s="641">
        <v>1</v>
      </c>
      <c r="DI216" s="214" t="s">
        <v>1190</v>
      </c>
    </row>
    <row r="217" spans="2:113" s="214" customFormat="1" x14ac:dyDescent="0.2">
      <c r="B217" s="609" t="s">
        <v>516</v>
      </c>
      <c r="C217" s="609" t="s">
        <v>515</v>
      </c>
      <c r="D217" s="239">
        <v>31181677</v>
      </c>
      <c r="E217" s="239">
        <v>30558043</v>
      </c>
      <c r="F217" s="239">
        <v>0</v>
      </c>
      <c r="G217" s="239">
        <v>623634</v>
      </c>
      <c r="H217" s="239">
        <v>62363354</v>
      </c>
      <c r="I217" s="239">
        <v>0</v>
      </c>
      <c r="J217" s="239">
        <v>0</v>
      </c>
      <c r="K217" s="239">
        <v>31181677</v>
      </c>
      <c r="L217" s="239">
        <v>287386</v>
      </c>
      <c r="M217" s="239">
        <v>287386</v>
      </c>
      <c r="N217" s="239">
        <v>0</v>
      </c>
      <c r="O217" s="239">
        <v>0</v>
      </c>
      <c r="P217" s="239">
        <v>674022</v>
      </c>
      <c r="Q217" s="239">
        <v>0</v>
      </c>
      <c r="R217" s="239">
        <v>674022</v>
      </c>
      <c r="S217" s="239">
        <v>0</v>
      </c>
      <c r="T217" s="239">
        <v>0</v>
      </c>
      <c r="U217" s="239">
        <v>0</v>
      </c>
      <c r="V217" s="239">
        <v>0</v>
      </c>
      <c r="W217" s="239">
        <v>904181</v>
      </c>
      <c r="X217" s="239">
        <v>886097</v>
      </c>
      <c r="Y217" s="239">
        <v>0</v>
      </c>
      <c r="Z217" s="239">
        <v>18084</v>
      </c>
      <c r="AA217" s="239">
        <v>1808362</v>
      </c>
      <c r="AB217" s="239">
        <v>-583776</v>
      </c>
      <c r="AC217" s="239">
        <v>-572101</v>
      </c>
      <c r="AD217" s="239">
        <v>0</v>
      </c>
      <c r="AE217" s="239">
        <v>-11676</v>
      </c>
      <c r="AF217" s="239">
        <v>-1167553</v>
      </c>
      <c r="AG217" s="239">
        <v>-445176</v>
      </c>
      <c r="AH217" s="239">
        <v>-436271</v>
      </c>
      <c r="AI217" s="239">
        <v>0</v>
      </c>
      <c r="AJ217" s="239">
        <v>-8903</v>
      </c>
      <c r="AK217" s="239">
        <v>-890350</v>
      </c>
      <c r="AL217" s="239">
        <v>445174</v>
      </c>
      <c r="AM217" s="239">
        <v>436272</v>
      </c>
      <c r="AN217" s="239">
        <v>0</v>
      </c>
      <c r="AO217" s="239">
        <v>8904</v>
      </c>
      <c r="AP217" s="239">
        <v>890350</v>
      </c>
      <c r="AQ217" s="239">
        <v>-349327</v>
      </c>
      <c r="AR217" s="239">
        <v>-342341</v>
      </c>
      <c r="AS217" s="239">
        <v>0</v>
      </c>
      <c r="AT217" s="239">
        <v>-6987</v>
      </c>
      <c r="AU217" s="239">
        <v>-698655</v>
      </c>
      <c r="AV217" s="239">
        <v>-349329</v>
      </c>
      <c r="AW217" s="239">
        <v>-342340</v>
      </c>
      <c r="AX217" s="239">
        <v>0</v>
      </c>
      <c r="AY217" s="239">
        <v>-6986</v>
      </c>
      <c r="AZ217" s="239">
        <v>-698655</v>
      </c>
      <c r="BA217" s="239">
        <v>-4464813</v>
      </c>
      <c r="BB217" s="239">
        <v>-4375517</v>
      </c>
      <c r="BC217" s="239">
        <v>0</v>
      </c>
      <c r="BD217" s="239">
        <v>-89295</v>
      </c>
      <c r="BE217" s="239">
        <v>-8929625</v>
      </c>
      <c r="BF217" s="239">
        <v>1123576</v>
      </c>
      <c r="BG217" s="239">
        <v>1101105</v>
      </c>
      <c r="BH217" s="239">
        <v>0</v>
      </c>
      <c r="BI217" s="239">
        <v>22472</v>
      </c>
      <c r="BJ217" s="239">
        <v>2247153</v>
      </c>
      <c r="BK217" s="239">
        <v>-1606616</v>
      </c>
      <c r="BL217" s="239">
        <v>-1574484</v>
      </c>
      <c r="BM217" s="239">
        <v>0</v>
      </c>
      <c r="BN217" s="239">
        <v>-32132</v>
      </c>
      <c r="BO217" s="239">
        <v>-3213232</v>
      </c>
      <c r="BP217" s="239">
        <v>-4947853</v>
      </c>
      <c r="BQ217" s="239">
        <v>-4848896</v>
      </c>
      <c r="BR217" s="239">
        <v>0</v>
      </c>
      <c r="BS217" s="239">
        <v>-98955</v>
      </c>
      <c r="BT217" s="239">
        <v>-9895704</v>
      </c>
      <c r="BU217" s="239">
        <v>-867828</v>
      </c>
      <c r="BV217" s="239">
        <v>-850472</v>
      </c>
      <c r="BW217" s="239">
        <v>0</v>
      </c>
      <c r="BX217" s="239">
        <v>-17357</v>
      </c>
      <c r="BY217" s="239">
        <v>-1735657</v>
      </c>
      <c r="BZ217" s="239">
        <v>-1184500</v>
      </c>
      <c r="CA217" s="239">
        <v>-1160810</v>
      </c>
      <c r="CB217" s="239">
        <v>0</v>
      </c>
      <c r="CC217" s="239">
        <v>-23690</v>
      </c>
      <c r="CD217" s="239">
        <v>-2369000</v>
      </c>
      <c r="CE217" s="239">
        <v>316672</v>
      </c>
      <c r="CF217" s="239">
        <v>310338</v>
      </c>
      <c r="CG217" s="239">
        <v>0</v>
      </c>
      <c r="CH217" s="239">
        <v>6333</v>
      </c>
      <c r="CI217" s="239">
        <v>633343</v>
      </c>
      <c r="CJ217" s="239">
        <v>31548980</v>
      </c>
      <c r="CK217" s="239">
        <v>30918000</v>
      </c>
      <c r="CL217" s="239">
        <v>0</v>
      </c>
      <c r="CM217" s="239">
        <v>630980</v>
      </c>
      <c r="CN217" s="239">
        <v>63097960</v>
      </c>
      <c r="CO217" s="239">
        <v>31181677</v>
      </c>
      <c r="CP217" s="239">
        <v>30558043</v>
      </c>
      <c r="CQ217" s="239">
        <v>0</v>
      </c>
      <c r="CR217" s="239">
        <v>623634</v>
      </c>
      <c r="CS217" s="239">
        <v>62363354</v>
      </c>
      <c r="CT217" s="239">
        <v>-367303</v>
      </c>
      <c r="CU217" s="239">
        <v>-359957</v>
      </c>
      <c r="CV217" s="239">
        <v>0</v>
      </c>
      <c r="CW217" s="239">
        <v>-7346</v>
      </c>
      <c r="CX217" s="239">
        <v>-734606</v>
      </c>
      <c r="CY217" s="239">
        <v>-50631</v>
      </c>
      <c r="CZ217" s="239">
        <v>-49619</v>
      </c>
      <c r="DA217" s="239">
        <v>0</v>
      </c>
      <c r="DB217" s="239">
        <v>-1013</v>
      </c>
      <c r="DC217" s="239">
        <v>-101263</v>
      </c>
      <c r="DD217" s="641">
        <v>0.5</v>
      </c>
      <c r="DE217" s="641">
        <v>0.49</v>
      </c>
      <c r="DF217" s="641">
        <v>0</v>
      </c>
      <c r="DG217" s="641">
        <v>0.01</v>
      </c>
      <c r="DH217" s="641">
        <v>1</v>
      </c>
      <c r="DI217" s="214" t="s">
        <v>1192</v>
      </c>
    </row>
    <row r="218" spans="2:113" s="214" customFormat="1" x14ac:dyDescent="0.2">
      <c r="B218" s="609" t="s">
        <v>518</v>
      </c>
      <c r="C218" s="609" t="s">
        <v>517</v>
      </c>
      <c r="D218" s="239">
        <v>7653187</v>
      </c>
      <c r="E218" s="239">
        <v>6122550</v>
      </c>
      <c r="F218" s="239">
        <v>1377574</v>
      </c>
      <c r="G218" s="239">
        <v>153064</v>
      </c>
      <c r="H218" s="239">
        <v>15306375</v>
      </c>
      <c r="I218" s="239">
        <v>0</v>
      </c>
      <c r="J218" s="239">
        <v>0</v>
      </c>
      <c r="K218" s="239">
        <v>7653187</v>
      </c>
      <c r="L218" s="239">
        <v>85715</v>
      </c>
      <c r="M218" s="239">
        <v>85715</v>
      </c>
      <c r="N218" s="239">
        <v>0</v>
      </c>
      <c r="O218" s="239">
        <v>0</v>
      </c>
      <c r="P218" s="239">
        <v>35348</v>
      </c>
      <c r="Q218" s="239">
        <v>0</v>
      </c>
      <c r="R218" s="239">
        <v>35348</v>
      </c>
      <c r="S218" s="239">
        <v>0</v>
      </c>
      <c r="T218" s="239">
        <v>0</v>
      </c>
      <c r="U218" s="239">
        <v>0</v>
      </c>
      <c r="V218" s="239">
        <v>0</v>
      </c>
      <c r="W218" s="239">
        <v>148279</v>
      </c>
      <c r="X218" s="239">
        <v>118623</v>
      </c>
      <c r="Y218" s="239">
        <v>26690</v>
      </c>
      <c r="Z218" s="239">
        <v>2966</v>
      </c>
      <c r="AA218" s="239">
        <v>296558</v>
      </c>
      <c r="AB218" s="239">
        <v>-89514</v>
      </c>
      <c r="AC218" s="239">
        <v>-71612</v>
      </c>
      <c r="AD218" s="239">
        <v>-16113</v>
      </c>
      <c r="AE218" s="239">
        <v>-1790</v>
      </c>
      <c r="AF218" s="239">
        <v>-179029</v>
      </c>
      <c r="AG218" s="239">
        <v>-68353</v>
      </c>
      <c r="AH218" s="239">
        <v>-54684</v>
      </c>
      <c r="AI218" s="239">
        <v>-12305</v>
      </c>
      <c r="AJ218" s="239">
        <v>-1367</v>
      </c>
      <c r="AK218" s="239">
        <v>-136709</v>
      </c>
      <c r="AL218" s="239">
        <v>0</v>
      </c>
      <c r="AM218" s="239">
        <v>0</v>
      </c>
      <c r="AN218" s="239">
        <v>0</v>
      </c>
      <c r="AO218" s="239">
        <v>0</v>
      </c>
      <c r="AP218" s="239">
        <v>0</v>
      </c>
      <c r="AQ218" s="239">
        <v>-10623</v>
      </c>
      <c r="AR218" s="239">
        <v>-8498</v>
      </c>
      <c r="AS218" s="239">
        <v>-1912</v>
      </c>
      <c r="AT218" s="239">
        <v>-212</v>
      </c>
      <c r="AU218" s="239">
        <v>-21245</v>
      </c>
      <c r="AV218" s="239">
        <v>-78976</v>
      </c>
      <c r="AW218" s="239">
        <v>-63182</v>
      </c>
      <c r="AX218" s="239">
        <v>-14217</v>
      </c>
      <c r="AY218" s="239">
        <v>-1579</v>
      </c>
      <c r="AZ218" s="239">
        <v>-157954</v>
      </c>
      <c r="BA218" s="239">
        <v>-159461</v>
      </c>
      <c r="BB218" s="239">
        <v>-127569</v>
      </c>
      <c r="BC218" s="239">
        <v>-28703</v>
      </c>
      <c r="BD218" s="239">
        <v>-3190</v>
      </c>
      <c r="BE218" s="239">
        <v>-318923</v>
      </c>
      <c r="BF218" s="239">
        <v>247493</v>
      </c>
      <c r="BG218" s="239">
        <v>197995</v>
      </c>
      <c r="BH218" s="239">
        <v>44549</v>
      </c>
      <c r="BI218" s="239">
        <v>4950</v>
      </c>
      <c r="BJ218" s="239">
        <v>494987</v>
      </c>
      <c r="BK218" s="239">
        <v>-366716</v>
      </c>
      <c r="BL218" s="239">
        <v>-293373</v>
      </c>
      <c r="BM218" s="239">
        <v>-66009</v>
      </c>
      <c r="BN218" s="239">
        <v>-7334</v>
      </c>
      <c r="BO218" s="239">
        <v>-733432</v>
      </c>
      <c r="BP218" s="239">
        <v>-278684</v>
      </c>
      <c r="BQ218" s="239">
        <v>-222947</v>
      </c>
      <c r="BR218" s="239">
        <v>-50163</v>
      </c>
      <c r="BS218" s="239">
        <v>-5574</v>
      </c>
      <c r="BT218" s="239">
        <v>-557368</v>
      </c>
      <c r="BU218" s="239">
        <v>-843754</v>
      </c>
      <c r="BV218" s="239">
        <v>-675004</v>
      </c>
      <c r="BW218" s="239">
        <v>-151876</v>
      </c>
      <c r="BX218" s="239">
        <v>-16875</v>
      </c>
      <c r="BY218" s="239">
        <v>-1687509</v>
      </c>
      <c r="BZ218" s="239">
        <v>-826693</v>
      </c>
      <c r="CA218" s="239">
        <v>-661354</v>
      </c>
      <c r="CB218" s="239">
        <v>-148805</v>
      </c>
      <c r="CC218" s="239">
        <v>-16534</v>
      </c>
      <c r="CD218" s="239">
        <v>-1653386</v>
      </c>
      <c r="CE218" s="239">
        <v>-17061</v>
      </c>
      <c r="CF218" s="239">
        <v>-13650</v>
      </c>
      <c r="CG218" s="239">
        <v>-3071</v>
      </c>
      <c r="CH218" s="239">
        <v>-341</v>
      </c>
      <c r="CI218" s="239">
        <v>-34123</v>
      </c>
      <c r="CJ218" s="239">
        <v>8061554</v>
      </c>
      <c r="CK218" s="239">
        <v>6449244</v>
      </c>
      <c r="CL218" s="239">
        <v>1451080</v>
      </c>
      <c r="CM218" s="239">
        <v>161231</v>
      </c>
      <c r="CN218" s="239">
        <v>16123109</v>
      </c>
      <c r="CO218" s="239">
        <v>7653187</v>
      </c>
      <c r="CP218" s="239">
        <v>6122550</v>
      </c>
      <c r="CQ218" s="239">
        <v>1377574</v>
      </c>
      <c r="CR218" s="239">
        <v>153064</v>
      </c>
      <c r="CS218" s="239">
        <v>15306375</v>
      </c>
      <c r="CT218" s="239">
        <v>-408367</v>
      </c>
      <c r="CU218" s="239">
        <v>-326694</v>
      </c>
      <c r="CV218" s="239">
        <v>-73506</v>
      </c>
      <c r="CW218" s="239">
        <v>-8167</v>
      </c>
      <c r="CX218" s="239">
        <v>-816734</v>
      </c>
      <c r="CY218" s="239">
        <v>-425428</v>
      </c>
      <c r="CZ218" s="239">
        <v>-340344</v>
      </c>
      <c r="DA218" s="239">
        <v>-76577</v>
      </c>
      <c r="DB218" s="239">
        <v>-8508</v>
      </c>
      <c r="DC218" s="239">
        <v>-850857</v>
      </c>
      <c r="DD218" s="641">
        <v>0.5</v>
      </c>
      <c r="DE218" s="641">
        <v>0.4</v>
      </c>
      <c r="DF218" s="641">
        <v>0.09</v>
      </c>
      <c r="DG218" s="641">
        <v>0.01</v>
      </c>
      <c r="DH218" s="641">
        <v>1</v>
      </c>
      <c r="DI218" s="214" t="s">
        <v>1190</v>
      </c>
    </row>
    <row r="219" spans="2:113" s="214" customFormat="1" x14ac:dyDescent="0.2">
      <c r="B219" s="609" t="s">
        <v>520</v>
      </c>
      <c r="C219" s="609" t="s">
        <v>519</v>
      </c>
      <c r="D219" s="239">
        <v>7015785</v>
      </c>
      <c r="E219" s="239">
        <v>5612628</v>
      </c>
      <c r="F219" s="239">
        <v>1262841</v>
      </c>
      <c r="G219" s="239">
        <v>140316</v>
      </c>
      <c r="H219" s="239">
        <v>14031570</v>
      </c>
      <c r="I219" s="239">
        <v>0</v>
      </c>
      <c r="J219" s="239">
        <v>0</v>
      </c>
      <c r="K219" s="239">
        <v>7015785</v>
      </c>
      <c r="L219" s="239">
        <v>99066</v>
      </c>
      <c r="M219" s="239">
        <v>99066</v>
      </c>
      <c r="N219" s="239">
        <v>0</v>
      </c>
      <c r="O219" s="239">
        <v>0</v>
      </c>
      <c r="P219" s="239">
        <v>241714</v>
      </c>
      <c r="Q219" s="239">
        <v>0</v>
      </c>
      <c r="R219" s="239">
        <v>241714</v>
      </c>
      <c r="S219" s="239">
        <v>0</v>
      </c>
      <c r="T219" s="239">
        <v>0</v>
      </c>
      <c r="U219" s="239">
        <v>0</v>
      </c>
      <c r="V219" s="239">
        <v>0</v>
      </c>
      <c r="W219" s="239">
        <v>755515</v>
      </c>
      <c r="X219" s="239">
        <v>604412</v>
      </c>
      <c r="Y219" s="239">
        <v>135993</v>
      </c>
      <c r="Z219" s="239">
        <v>15110</v>
      </c>
      <c r="AA219" s="239">
        <v>1511030</v>
      </c>
      <c r="AB219" s="239">
        <v>-78874</v>
      </c>
      <c r="AC219" s="239">
        <v>-63098</v>
      </c>
      <c r="AD219" s="239">
        <v>-14197</v>
      </c>
      <c r="AE219" s="239">
        <v>-1577</v>
      </c>
      <c r="AF219" s="239">
        <v>-157746</v>
      </c>
      <c r="AG219" s="239">
        <v>-534691</v>
      </c>
      <c r="AH219" s="239">
        <v>-427755</v>
      </c>
      <c r="AI219" s="239">
        <v>-96245</v>
      </c>
      <c r="AJ219" s="239">
        <v>-10694</v>
      </c>
      <c r="AK219" s="239">
        <v>-1069385</v>
      </c>
      <c r="AL219" s="239">
        <v>46383</v>
      </c>
      <c r="AM219" s="239">
        <v>37106</v>
      </c>
      <c r="AN219" s="239">
        <v>8349</v>
      </c>
      <c r="AO219" s="239">
        <v>928</v>
      </c>
      <c r="AP219" s="239">
        <v>92766</v>
      </c>
      <c r="AQ219" s="239">
        <v>-82588</v>
      </c>
      <c r="AR219" s="239">
        <v>-66071</v>
      </c>
      <c r="AS219" s="239">
        <v>-14866</v>
      </c>
      <c r="AT219" s="239">
        <v>-1652</v>
      </c>
      <c r="AU219" s="239">
        <v>-165177</v>
      </c>
      <c r="AV219" s="239">
        <v>-570896</v>
      </c>
      <c r="AW219" s="239">
        <v>-456720</v>
      </c>
      <c r="AX219" s="239">
        <v>-102762</v>
      </c>
      <c r="AY219" s="239">
        <v>-11418</v>
      </c>
      <c r="AZ219" s="239">
        <v>-1141796</v>
      </c>
      <c r="BA219" s="239">
        <v>-1152588</v>
      </c>
      <c r="BB219" s="239">
        <v>-922070</v>
      </c>
      <c r="BC219" s="239">
        <v>-207465</v>
      </c>
      <c r="BD219" s="239">
        <v>-23051</v>
      </c>
      <c r="BE219" s="239">
        <v>-2305174</v>
      </c>
      <c r="BF219" s="239">
        <v>0</v>
      </c>
      <c r="BG219" s="239">
        <v>0</v>
      </c>
      <c r="BH219" s="239">
        <v>0</v>
      </c>
      <c r="BI219" s="239">
        <v>0</v>
      </c>
      <c r="BJ219" s="239">
        <v>0</v>
      </c>
      <c r="BK219" s="239">
        <v>-98908</v>
      </c>
      <c r="BL219" s="239">
        <v>-79126</v>
      </c>
      <c r="BM219" s="239">
        <v>-17803</v>
      </c>
      <c r="BN219" s="239">
        <v>-1978</v>
      </c>
      <c r="BO219" s="239">
        <v>-197815</v>
      </c>
      <c r="BP219" s="239">
        <v>-1251496</v>
      </c>
      <c r="BQ219" s="239">
        <v>-1001196</v>
      </c>
      <c r="BR219" s="239">
        <v>-225268</v>
      </c>
      <c r="BS219" s="239">
        <v>-25029</v>
      </c>
      <c r="BT219" s="239">
        <v>-2502989</v>
      </c>
      <c r="BU219" s="239">
        <v>-1344739</v>
      </c>
      <c r="BV219" s="239">
        <v>-1075791</v>
      </c>
      <c r="BW219" s="239">
        <v>-242053</v>
      </c>
      <c r="BX219" s="239">
        <v>-26895</v>
      </c>
      <c r="BY219" s="239">
        <v>-2689478</v>
      </c>
      <c r="BZ219" s="239">
        <v>-782647</v>
      </c>
      <c r="CA219" s="239">
        <v>-626118</v>
      </c>
      <c r="CB219" s="239">
        <v>-140877</v>
      </c>
      <c r="CC219" s="239">
        <v>-15653</v>
      </c>
      <c r="CD219" s="239">
        <v>-1565295</v>
      </c>
      <c r="CE219" s="239">
        <v>-562092</v>
      </c>
      <c r="CF219" s="239">
        <v>-449673</v>
      </c>
      <c r="CG219" s="239">
        <v>-101176</v>
      </c>
      <c r="CH219" s="239">
        <v>-11242</v>
      </c>
      <c r="CI219" s="239">
        <v>-1124183</v>
      </c>
      <c r="CJ219" s="239">
        <v>6996525</v>
      </c>
      <c r="CK219" s="239">
        <v>5597219</v>
      </c>
      <c r="CL219" s="239">
        <v>1259374</v>
      </c>
      <c r="CM219" s="239">
        <v>139930</v>
      </c>
      <c r="CN219" s="239">
        <v>13993048</v>
      </c>
      <c r="CO219" s="239">
        <v>7015785</v>
      </c>
      <c r="CP219" s="239">
        <v>5612628</v>
      </c>
      <c r="CQ219" s="239">
        <v>1262841</v>
      </c>
      <c r="CR219" s="239">
        <v>140316</v>
      </c>
      <c r="CS219" s="239">
        <v>14031570</v>
      </c>
      <c r="CT219" s="239">
        <v>19260</v>
      </c>
      <c r="CU219" s="239">
        <v>15409</v>
      </c>
      <c r="CV219" s="239">
        <v>3467</v>
      </c>
      <c r="CW219" s="239">
        <v>386</v>
      </c>
      <c r="CX219" s="239">
        <v>38522</v>
      </c>
      <c r="CY219" s="239">
        <v>-542832</v>
      </c>
      <c r="CZ219" s="239">
        <v>-434264</v>
      </c>
      <c r="DA219" s="239">
        <v>-97709</v>
      </c>
      <c r="DB219" s="239">
        <v>-10856</v>
      </c>
      <c r="DC219" s="239">
        <v>-1085661</v>
      </c>
      <c r="DD219" s="641">
        <v>0.5</v>
      </c>
      <c r="DE219" s="641">
        <v>0.4</v>
      </c>
      <c r="DF219" s="641">
        <v>0.09</v>
      </c>
      <c r="DG219" s="641">
        <v>0.01</v>
      </c>
      <c r="DH219" s="641">
        <v>1</v>
      </c>
      <c r="DI219" s="214" t="s">
        <v>1190</v>
      </c>
    </row>
    <row r="220" spans="2:113" s="214" customFormat="1" x14ac:dyDescent="0.2">
      <c r="B220" s="609" t="s">
        <v>522</v>
      </c>
      <c r="C220" s="609" t="s">
        <v>521</v>
      </c>
      <c r="D220" s="239">
        <v>8699796</v>
      </c>
      <c r="E220" s="239">
        <v>6959837</v>
      </c>
      <c r="F220" s="239">
        <v>1565963</v>
      </c>
      <c r="G220" s="239">
        <v>173996</v>
      </c>
      <c r="H220" s="239">
        <v>17399592</v>
      </c>
      <c r="I220" s="239">
        <v>0</v>
      </c>
      <c r="J220" s="239">
        <v>0</v>
      </c>
      <c r="K220" s="239">
        <v>8699796</v>
      </c>
      <c r="L220" s="239">
        <v>146592</v>
      </c>
      <c r="M220" s="239">
        <v>146592</v>
      </c>
      <c r="N220" s="239">
        <v>0</v>
      </c>
      <c r="O220" s="239">
        <v>0</v>
      </c>
      <c r="P220" s="239">
        <v>0</v>
      </c>
      <c r="Q220" s="239">
        <v>0</v>
      </c>
      <c r="R220" s="239">
        <v>0</v>
      </c>
      <c r="S220" s="239">
        <v>0</v>
      </c>
      <c r="T220" s="239">
        <v>0</v>
      </c>
      <c r="U220" s="239">
        <v>0</v>
      </c>
      <c r="V220" s="239">
        <v>0</v>
      </c>
      <c r="W220" s="239">
        <v>369178</v>
      </c>
      <c r="X220" s="239">
        <v>295342</v>
      </c>
      <c r="Y220" s="239">
        <v>66452</v>
      </c>
      <c r="Z220" s="239">
        <v>7384</v>
      </c>
      <c r="AA220" s="239">
        <v>738356</v>
      </c>
      <c r="AB220" s="239">
        <v>-103013</v>
      </c>
      <c r="AC220" s="239">
        <v>-82410</v>
      </c>
      <c r="AD220" s="239">
        <v>-18542</v>
      </c>
      <c r="AE220" s="239">
        <v>-2060</v>
      </c>
      <c r="AF220" s="239">
        <v>-206025</v>
      </c>
      <c r="AG220" s="239">
        <v>-233548.39</v>
      </c>
      <c r="AH220" s="239">
        <v>-186840</v>
      </c>
      <c r="AI220" s="239">
        <v>-42040</v>
      </c>
      <c r="AJ220" s="239">
        <v>-4671</v>
      </c>
      <c r="AK220" s="239">
        <v>-467099.39</v>
      </c>
      <c r="AL220" s="239">
        <v>0</v>
      </c>
      <c r="AM220" s="239">
        <v>0</v>
      </c>
      <c r="AN220" s="239">
        <v>0</v>
      </c>
      <c r="AO220" s="239">
        <v>0</v>
      </c>
      <c r="AP220" s="239">
        <v>0</v>
      </c>
      <c r="AQ220" s="239">
        <v>-15676</v>
      </c>
      <c r="AR220" s="239">
        <v>-12541</v>
      </c>
      <c r="AS220" s="239">
        <v>-2822</v>
      </c>
      <c r="AT220" s="239">
        <v>-314</v>
      </c>
      <c r="AU220" s="239">
        <v>-31353</v>
      </c>
      <c r="AV220" s="239">
        <v>-249224.39</v>
      </c>
      <c r="AW220" s="239">
        <v>-199381</v>
      </c>
      <c r="AX220" s="239">
        <v>-44862</v>
      </c>
      <c r="AY220" s="239">
        <v>-4985</v>
      </c>
      <c r="AZ220" s="239">
        <v>-498452.39</v>
      </c>
      <c r="BA220" s="239">
        <v>-835306</v>
      </c>
      <c r="BB220" s="239">
        <v>-668244</v>
      </c>
      <c r="BC220" s="239">
        <v>-150355</v>
      </c>
      <c r="BD220" s="239">
        <v>-16706</v>
      </c>
      <c r="BE220" s="239">
        <v>-1670611</v>
      </c>
      <c r="BF220" s="239">
        <v>301253</v>
      </c>
      <c r="BG220" s="239">
        <v>241002</v>
      </c>
      <c r="BH220" s="239">
        <v>54225</v>
      </c>
      <c r="BI220" s="239">
        <v>6025</v>
      </c>
      <c r="BJ220" s="239">
        <v>602505</v>
      </c>
      <c r="BK220" s="239">
        <v>-324232</v>
      </c>
      <c r="BL220" s="239">
        <v>-259386</v>
      </c>
      <c r="BM220" s="239">
        <v>-58362</v>
      </c>
      <c r="BN220" s="239">
        <v>-6485</v>
      </c>
      <c r="BO220" s="239">
        <v>-648465</v>
      </c>
      <c r="BP220" s="239">
        <v>-858285</v>
      </c>
      <c r="BQ220" s="239">
        <v>-686628</v>
      </c>
      <c r="BR220" s="239">
        <v>-154492</v>
      </c>
      <c r="BS220" s="239">
        <v>-17166</v>
      </c>
      <c r="BT220" s="239">
        <v>-1716571</v>
      </c>
      <c r="BU220" s="239">
        <v>-419527</v>
      </c>
      <c r="BV220" s="239">
        <v>-335622</v>
      </c>
      <c r="BW220" s="239">
        <v>-75515</v>
      </c>
      <c r="BX220" s="239">
        <v>-8391</v>
      </c>
      <c r="BY220" s="239">
        <v>-839055</v>
      </c>
      <c r="BZ220" s="239">
        <v>-407799</v>
      </c>
      <c r="CA220" s="239">
        <v>-326240</v>
      </c>
      <c r="CB220" s="239">
        <v>-73404</v>
      </c>
      <c r="CC220" s="239">
        <v>-8156</v>
      </c>
      <c r="CD220" s="239">
        <v>-815599</v>
      </c>
      <c r="CE220" s="239">
        <v>-11728</v>
      </c>
      <c r="CF220" s="239">
        <v>-9382</v>
      </c>
      <c r="CG220" s="239">
        <v>-2111</v>
      </c>
      <c r="CH220" s="239">
        <v>-235</v>
      </c>
      <c r="CI220" s="239">
        <v>-23456</v>
      </c>
      <c r="CJ220" s="239">
        <v>8715101</v>
      </c>
      <c r="CK220" s="239">
        <v>6972081</v>
      </c>
      <c r="CL220" s="239">
        <v>1568718</v>
      </c>
      <c r="CM220" s="239">
        <v>174302</v>
      </c>
      <c r="CN220" s="239">
        <v>17430202</v>
      </c>
      <c r="CO220" s="239">
        <v>8699796</v>
      </c>
      <c r="CP220" s="239">
        <v>6959837</v>
      </c>
      <c r="CQ220" s="239">
        <v>1565963</v>
      </c>
      <c r="CR220" s="239">
        <v>173996</v>
      </c>
      <c r="CS220" s="239">
        <v>17399592</v>
      </c>
      <c r="CT220" s="239">
        <v>-15305</v>
      </c>
      <c r="CU220" s="239">
        <v>-12244</v>
      </c>
      <c r="CV220" s="239">
        <v>-2755</v>
      </c>
      <c r="CW220" s="239">
        <v>-306</v>
      </c>
      <c r="CX220" s="239">
        <v>-30610</v>
      </c>
      <c r="CY220" s="239">
        <v>-27033</v>
      </c>
      <c r="CZ220" s="239">
        <v>-21626</v>
      </c>
      <c r="DA220" s="239">
        <v>-4866</v>
      </c>
      <c r="DB220" s="239">
        <v>-541</v>
      </c>
      <c r="DC220" s="239">
        <v>-54066</v>
      </c>
      <c r="DD220" s="641">
        <v>0.5</v>
      </c>
      <c r="DE220" s="641">
        <v>0.4</v>
      </c>
      <c r="DF220" s="641">
        <v>0.09</v>
      </c>
      <c r="DG220" s="641">
        <v>0.01</v>
      </c>
      <c r="DH220" s="641">
        <v>1</v>
      </c>
      <c r="DI220" s="214" t="s">
        <v>1190</v>
      </c>
    </row>
    <row r="221" spans="2:113" s="214" customFormat="1" x14ac:dyDescent="0.2">
      <c r="B221" s="609" t="s">
        <v>524</v>
      </c>
      <c r="C221" s="609" t="s">
        <v>523</v>
      </c>
      <c r="D221" s="239">
        <v>38551915</v>
      </c>
      <c r="E221" s="239">
        <v>37780876</v>
      </c>
      <c r="F221" s="239">
        <v>0</v>
      </c>
      <c r="G221" s="239">
        <v>771038</v>
      </c>
      <c r="H221" s="239">
        <v>77103829</v>
      </c>
      <c r="I221" s="239">
        <v>403870.83264462813</v>
      </c>
      <c r="J221" s="239">
        <v>403870.83264462813</v>
      </c>
      <c r="K221" s="239">
        <v>38148044.167355374</v>
      </c>
      <c r="L221" s="239">
        <v>311541</v>
      </c>
      <c r="M221" s="239">
        <v>311541</v>
      </c>
      <c r="N221" s="239">
        <v>0</v>
      </c>
      <c r="O221" s="239">
        <v>0</v>
      </c>
      <c r="P221" s="239">
        <v>169291</v>
      </c>
      <c r="Q221" s="239">
        <v>0</v>
      </c>
      <c r="R221" s="239">
        <v>169291</v>
      </c>
      <c r="S221" s="239">
        <v>403870.83264462813</v>
      </c>
      <c r="T221" s="239">
        <v>0</v>
      </c>
      <c r="U221" s="239">
        <v>0</v>
      </c>
      <c r="V221" s="239">
        <v>403870.83264462813</v>
      </c>
      <c r="W221" s="239">
        <v>1408502</v>
      </c>
      <c r="X221" s="239">
        <v>1380332</v>
      </c>
      <c r="Y221" s="239">
        <v>0</v>
      </c>
      <c r="Z221" s="239">
        <v>28170</v>
      </c>
      <c r="AA221" s="239">
        <v>2817004</v>
      </c>
      <c r="AB221" s="239">
        <v>-425725</v>
      </c>
      <c r="AC221" s="239">
        <v>-417210</v>
      </c>
      <c r="AD221" s="239">
        <v>0</v>
      </c>
      <c r="AE221" s="239">
        <v>-8514</v>
      </c>
      <c r="AF221" s="239">
        <v>-851449</v>
      </c>
      <c r="AG221" s="239">
        <v>-275797</v>
      </c>
      <c r="AH221" s="239">
        <v>-270280</v>
      </c>
      <c r="AI221" s="239">
        <v>0</v>
      </c>
      <c r="AJ221" s="239">
        <v>-5516</v>
      </c>
      <c r="AK221" s="239">
        <v>-551593</v>
      </c>
      <c r="AL221" s="239">
        <v>275797</v>
      </c>
      <c r="AM221" s="239">
        <v>270282</v>
      </c>
      <c r="AN221" s="239">
        <v>0</v>
      </c>
      <c r="AO221" s="239">
        <v>5516</v>
      </c>
      <c r="AP221" s="239">
        <v>551595</v>
      </c>
      <c r="AQ221" s="239">
        <v>-564624</v>
      </c>
      <c r="AR221" s="239">
        <v>-553333</v>
      </c>
      <c r="AS221" s="239">
        <v>0</v>
      </c>
      <c r="AT221" s="239">
        <v>-11293</v>
      </c>
      <c r="AU221" s="239">
        <v>-1129250</v>
      </c>
      <c r="AV221" s="239">
        <v>-564624</v>
      </c>
      <c r="AW221" s="239">
        <v>-553331</v>
      </c>
      <c r="AX221" s="239">
        <v>0</v>
      </c>
      <c r="AY221" s="239">
        <v>-11293</v>
      </c>
      <c r="AZ221" s="239">
        <v>-1129248</v>
      </c>
      <c r="BA221" s="239">
        <v>-5184662</v>
      </c>
      <c r="BB221" s="239">
        <v>-5080970</v>
      </c>
      <c r="BC221" s="239">
        <v>0</v>
      </c>
      <c r="BD221" s="239">
        <v>-103695</v>
      </c>
      <c r="BE221" s="239">
        <v>-10369327</v>
      </c>
      <c r="BF221" s="239">
        <v>2047444</v>
      </c>
      <c r="BG221" s="239">
        <v>2006496</v>
      </c>
      <c r="BH221" s="239">
        <v>0</v>
      </c>
      <c r="BI221" s="239">
        <v>40949</v>
      </c>
      <c r="BJ221" s="239">
        <v>4094889</v>
      </c>
      <c r="BK221" s="239">
        <v>-155032</v>
      </c>
      <c r="BL221" s="239">
        <v>-151931</v>
      </c>
      <c r="BM221" s="239">
        <v>0</v>
      </c>
      <c r="BN221" s="239">
        <v>-3101</v>
      </c>
      <c r="BO221" s="239">
        <v>-310064</v>
      </c>
      <c r="BP221" s="239">
        <v>-3292250</v>
      </c>
      <c r="BQ221" s="239">
        <v>-3226405</v>
      </c>
      <c r="BR221" s="239">
        <v>0</v>
      </c>
      <c r="BS221" s="239">
        <v>-65847</v>
      </c>
      <c r="BT221" s="239">
        <v>-6584502</v>
      </c>
      <c r="BU221" s="239">
        <v>-963300</v>
      </c>
      <c r="BV221" s="239">
        <v>-944034</v>
      </c>
      <c r="BW221" s="239">
        <v>0</v>
      </c>
      <c r="BX221" s="239">
        <v>-19266</v>
      </c>
      <c r="BY221" s="239">
        <v>-1926600</v>
      </c>
      <c r="BZ221" s="239">
        <v>-857817</v>
      </c>
      <c r="CA221" s="239">
        <v>-840660</v>
      </c>
      <c r="CB221" s="239">
        <v>0</v>
      </c>
      <c r="CC221" s="239">
        <v>-17156</v>
      </c>
      <c r="CD221" s="239">
        <v>-1715633</v>
      </c>
      <c r="CE221" s="239">
        <v>-105483</v>
      </c>
      <c r="CF221" s="239">
        <v>-103374</v>
      </c>
      <c r="CG221" s="239">
        <v>0</v>
      </c>
      <c r="CH221" s="239">
        <v>-2110</v>
      </c>
      <c r="CI221" s="239">
        <v>-210967</v>
      </c>
      <c r="CJ221" s="239">
        <v>36947380</v>
      </c>
      <c r="CK221" s="239">
        <v>36208432</v>
      </c>
      <c r="CL221" s="239">
        <v>0</v>
      </c>
      <c r="CM221" s="239">
        <v>738948</v>
      </c>
      <c r="CN221" s="239">
        <v>73894760</v>
      </c>
      <c r="CO221" s="239">
        <v>38551915</v>
      </c>
      <c r="CP221" s="239">
        <v>37780876</v>
      </c>
      <c r="CQ221" s="239">
        <v>0</v>
      </c>
      <c r="CR221" s="239">
        <v>771038</v>
      </c>
      <c r="CS221" s="239">
        <v>77103829</v>
      </c>
      <c r="CT221" s="239">
        <v>1604535</v>
      </c>
      <c r="CU221" s="239">
        <v>1572444</v>
      </c>
      <c r="CV221" s="239">
        <v>0</v>
      </c>
      <c r="CW221" s="239">
        <v>32090</v>
      </c>
      <c r="CX221" s="239">
        <v>3209069</v>
      </c>
      <c r="CY221" s="239">
        <v>1499052</v>
      </c>
      <c r="CZ221" s="239">
        <v>1469070</v>
      </c>
      <c r="DA221" s="239">
        <v>0</v>
      </c>
      <c r="DB221" s="239">
        <v>29980</v>
      </c>
      <c r="DC221" s="239">
        <v>2998102</v>
      </c>
      <c r="DD221" s="641">
        <v>0.5</v>
      </c>
      <c r="DE221" s="641">
        <v>0.49</v>
      </c>
      <c r="DF221" s="641">
        <v>0</v>
      </c>
      <c r="DG221" s="641">
        <v>0.01</v>
      </c>
      <c r="DH221" s="641">
        <v>1</v>
      </c>
      <c r="DI221" s="214" t="s">
        <v>1192</v>
      </c>
    </row>
    <row r="222" spans="2:113" s="214" customFormat="1" x14ac:dyDescent="0.2">
      <c r="B222" s="609" t="s">
        <v>526</v>
      </c>
      <c r="C222" s="609" t="s">
        <v>525</v>
      </c>
      <c r="D222" s="239">
        <v>23902669</v>
      </c>
      <c r="E222" s="239">
        <v>19122136</v>
      </c>
      <c r="F222" s="239">
        <v>4780534</v>
      </c>
      <c r="G222" s="239">
        <v>0</v>
      </c>
      <c r="H222" s="239">
        <v>47805339</v>
      </c>
      <c r="I222" s="239">
        <v>0</v>
      </c>
      <c r="J222" s="239">
        <v>0</v>
      </c>
      <c r="K222" s="239">
        <v>23902669</v>
      </c>
      <c r="L222" s="239">
        <v>137063</v>
      </c>
      <c r="M222" s="239">
        <v>137063</v>
      </c>
      <c r="N222" s="239">
        <v>0</v>
      </c>
      <c r="O222" s="239">
        <v>0</v>
      </c>
      <c r="P222" s="239">
        <v>0</v>
      </c>
      <c r="Q222" s="239">
        <v>0</v>
      </c>
      <c r="R222" s="239">
        <v>0</v>
      </c>
      <c r="S222" s="239">
        <v>0</v>
      </c>
      <c r="T222" s="239">
        <v>0</v>
      </c>
      <c r="U222" s="239">
        <v>0</v>
      </c>
      <c r="V222" s="239">
        <v>0</v>
      </c>
      <c r="W222" s="239">
        <v>576251</v>
      </c>
      <c r="X222" s="239">
        <v>461001</v>
      </c>
      <c r="Y222" s="239">
        <v>115250</v>
      </c>
      <c r="Z222" s="239">
        <v>0</v>
      </c>
      <c r="AA222" s="239">
        <v>1152502</v>
      </c>
      <c r="AB222" s="239">
        <v>-209339</v>
      </c>
      <c r="AC222" s="239">
        <v>-167471</v>
      </c>
      <c r="AD222" s="239">
        <v>-41868</v>
      </c>
      <c r="AE222" s="239">
        <v>0</v>
      </c>
      <c r="AF222" s="239">
        <v>-418678</v>
      </c>
      <c r="AG222" s="239">
        <v>-114589</v>
      </c>
      <c r="AH222" s="239">
        <v>-91672</v>
      </c>
      <c r="AI222" s="239">
        <v>-22917</v>
      </c>
      <c r="AJ222" s="239">
        <v>0</v>
      </c>
      <c r="AK222" s="239">
        <v>-229178</v>
      </c>
      <c r="AL222" s="239">
        <v>27556</v>
      </c>
      <c r="AM222" s="239">
        <v>22045</v>
      </c>
      <c r="AN222" s="239">
        <v>5511</v>
      </c>
      <c r="AO222" s="239">
        <v>0</v>
      </c>
      <c r="AP222" s="239">
        <v>55112</v>
      </c>
      <c r="AQ222" s="239">
        <v>-23683</v>
      </c>
      <c r="AR222" s="239">
        <v>-18947</v>
      </c>
      <c r="AS222" s="239">
        <v>-4737</v>
      </c>
      <c r="AT222" s="239">
        <v>0</v>
      </c>
      <c r="AU222" s="239">
        <v>-47367</v>
      </c>
      <c r="AV222" s="239">
        <v>-110716</v>
      </c>
      <c r="AW222" s="239">
        <v>-88574</v>
      </c>
      <c r="AX222" s="239">
        <v>-22143</v>
      </c>
      <c r="AY222" s="239">
        <v>0</v>
      </c>
      <c r="AZ222" s="239">
        <v>-221433</v>
      </c>
      <c r="BA222" s="239">
        <v>-1792170</v>
      </c>
      <c r="BB222" s="239">
        <v>-1433736</v>
      </c>
      <c r="BC222" s="239">
        <v>-358434</v>
      </c>
      <c r="BD222" s="239">
        <v>0</v>
      </c>
      <c r="BE222" s="239">
        <v>-3584340</v>
      </c>
      <c r="BF222" s="239">
        <v>375966</v>
      </c>
      <c r="BG222" s="239">
        <v>300772</v>
      </c>
      <c r="BH222" s="239">
        <v>75193</v>
      </c>
      <c r="BI222" s="239">
        <v>0</v>
      </c>
      <c r="BJ222" s="239">
        <v>751931</v>
      </c>
      <c r="BK222" s="239">
        <v>-1055078</v>
      </c>
      <c r="BL222" s="239">
        <v>-844062</v>
      </c>
      <c r="BM222" s="239">
        <v>-211016</v>
      </c>
      <c r="BN222" s="239">
        <v>0</v>
      </c>
      <c r="BO222" s="239">
        <v>-2110156</v>
      </c>
      <c r="BP222" s="239">
        <v>-2471282</v>
      </c>
      <c r="BQ222" s="239">
        <v>-1977026</v>
      </c>
      <c r="BR222" s="239">
        <v>-494257</v>
      </c>
      <c r="BS222" s="239">
        <v>0</v>
      </c>
      <c r="BT222" s="239">
        <v>-4942565</v>
      </c>
      <c r="BU222" s="239">
        <v>-1930979</v>
      </c>
      <c r="BV222" s="239">
        <v>-1544783</v>
      </c>
      <c r="BW222" s="239">
        <v>-386196</v>
      </c>
      <c r="BX222" s="239">
        <v>0</v>
      </c>
      <c r="BY222" s="239">
        <v>-3861958</v>
      </c>
      <c r="BZ222" s="239">
        <v>-1852727</v>
      </c>
      <c r="CA222" s="239">
        <v>-1482182</v>
      </c>
      <c r="CB222" s="239">
        <v>-370546</v>
      </c>
      <c r="CC222" s="239">
        <v>0</v>
      </c>
      <c r="CD222" s="239">
        <v>-3705455</v>
      </c>
      <c r="CE222" s="239">
        <v>-78252</v>
      </c>
      <c r="CF222" s="239">
        <v>-62601</v>
      </c>
      <c r="CG222" s="239">
        <v>-15650</v>
      </c>
      <c r="CH222" s="239">
        <v>0</v>
      </c>
      <c r="CI222" s="239">
        <v>-156503</v>
      </c>
      <c r="CJ222" s="239">
        <v>23719977</v>
      </c>
      <c r="CK222" s="239">
        <v>18975981</v>
      </c>
      <c r="CL222" s="239">
        <v>4743995</v>
      </c>
      <c r="CM222" s="239">
        <v>0</v>
      </c>
      <c r="CN222" s="239">
        <v>47439953</v>
      </c>
      <c r="CO222" s="239">
        <v>23902669</v>
      </c>
      <c r="CP222" s="239">
        <v>19122136</v>
      </c>
      <c r="CQ222" s="239">
        <v>4780534</v>
      </c>
      <c r="CR222" s="239">
        <v>0</v>
      </c>
      <c r="CS222" s="239">
        <v>47805339</v>
      </c>
      <c r="CT222" s="239">
        <v>182692</v>
      </c>
      <c r="CU222" s="239">
        <v>146155</v>
      </c>
      <c r="CV222" s="239">
        <v>36539</v>
      </c>
      <c r="CW222" s="239">
        <v>0</v>
      </c>
      <c r="CX222" s="239">
        <v>365386</v>
      </c>
      <c r="CY222" s="239">
        <v>104440</v>
      </c>
      <c r="CZ222" s="239">
        <v>83554</v>
      </c>
      <c r="DA222" s="239">
        <v>20889</v>
      </c>
      <c r="DB222" s="239">
        <v>0</v>
      </c>
      <c r="DC222" s="239">
        <v>208883</v>
      </c>
      <c r="DD222" s="641">
        <v>0.5</v>
      </c>
      <c r="DE222" s="641">
        <v>0.4</v>
      </c>
      <c r="DF222" s="641">
        <v>0.1</v>
      </c>
      <c r="DG222" s="641">
        <v>0</v>
      </c>
      <c r="DH222" s="641">
        <v>1</v>
      </c>
      <c r="DI222" s="214" t="s">
        <v>1190</v>
      </c>
    </row>
    <row r="223" spans="2:113" s="214" customFormat="1" x14ac:dyDescent="0.2">
      <c r="B223" s="609" t="s">
        <v>528</v>
      </c>
      <c r="C223" s="609" t="s">
        <v>527</v>
      </c>
      <c r="D223" s="239">
        <v>22348689</v>
      </c>
      <c r="E223" s="239">
        <v>17878952</v>
      </c>
      <c r="F223" s="239">
        <v>4469738</v>
      </c>
      <c r="G223" s="239">
        <v>0</v>
      </c>
      <c r="H223" s="239">
        <v>44697379</v>
      </c>
      <c r="I223" s="239">
        <v>0</v>
      </c>
      <c r="J223" s="239">
        <v>0</v>
      </c>
      <c r="K223" s="239">
        <v>22348689</v>
      </c>
      <c r="L223" s="239">
        <v>126790</v>
      </c>
      <c r="M223" s="239">
        <v>126790</v>
      </c>
      <c r="N223" s="239">
        <v>0</v>
      </c>
      <c r="O223" s="239">
        <v>0</v>
      </c>
      <c r="P223" s="239">
        <v>0</v>
      </c>
      <c r="Q223" s="239">
        <v>0</v>
      </c>
      <c r="R223" s="239">
        <v>0</v>
      </c>
      <c r="S223" s="239">
        <v>0</v>
      </c>
      <c r="T223" s="239">
        <v>0</v>
      </c>
      <c r="U223" s="239">
        <v>0</v>
      </c>
      <c r="V223" s="239">
        <v>0</v>
      </c>
      <c r="W223" s="239">
        <v>491950</v>
      </c>
      <c r="X223" s="239">
        <v>393560</v>
      </c>
      <c r="Y223" s="239">
        <v>98390</v>
      </c>
      <c r="Z223" s="239">
        <v>0</v>
      </c>
      <c r="AA223" s="239">
        <v>983900</v>
      </c>
      <c r="AB223" s="239">
        <v>-551650</v>
      </c>
      <c r="AC223" s="239">
        <v>-441320</v>
      </c>
      <c r="AD223" s="239">
        <v>-110330</v>
      </c>
      <c r="AE223" s="239">
        <v>0</v>
      </c>
      <c r="AF223" s="239">
        <v>-1103300</v>
      </c>
      <c r="AG223" s="239">
        <v>-314650</v>
      </c>
      <c r="AH223" s="239">
        <v>-251720</v>
      </c>
      <c r="AI223" s="239">
        <v>-62930</v>
      </c>
      <c r="AJ223" s="239">
        <v>0</v>
      </c>
      <c r="AK223" s="239">
        <v>-629300</v>
      </c>
      <c r="AL223" s="239">
        <v>0</v>
      </c>
      <c r="AM223" s="239">
        <v>0</v>
      </c>
      <c r="AN223" s="239">
        <v>0</v>
      </c>
      <c r="AO223" s="239">
        <v>0</v>
      </c>
      <c r="AP223" s="239">
        <v>0</v>
      </c>
      <c r="AQ223" s="239">
        <v>700</v>
      </c>
      <c r="AR223" s="239">
        <v>560</v>
      </c>
      <c r="AS223" s="239">
        <v>140</v>
      </c>
      <c r="AT223" s="239">
        <v>0</v>
      </c>
      <c r="AU223" s="239">
        <v>1400</v>
      </c>
      <c r="AV223" s="239">
        <v>-313950</v>
      </c>
      <c r="AW223" s="239">
        <v>-251160</v>
      </c>
      <c r="AX223" s="239">
        <v>-62790</v>
      </c>
      <c r="AY223" s="239">
        <v>0</v>
      </c>
      <c r="AZ223" s="239">
        <v>-627900</v>
      </c>
      <c r="BA223" s="239">
        <v>-2911149.06</v>
      </c>
      <c r="BB223" s="239">
        <v>-2328921</v>
      </c>
      <c r="BC223" s="239">
        <v>-582230</v>
      </c>
      <c r="BD223" s="239">
        <v>0</v>
      </c>
      <c r="BE223" s="239">
        <v>-5822300.0600000005</v>
      </c>
      <c r="BF223" s="239">
        <v>0</v>
      </c>
      <c r="BG223" s="239">
        <v>0</v>
      </c>
      <c r="BH223" s="239">
        <v>0</v>
      </c>
      <c r="BI223" s="239">
        <v>0</v>
      </c>
      <c r="BJ223" s="239">
        <v>0</v>
      </c>
      <c r="BK223" s="239">
        <v>-1000000</v>
      </c>
      <c r="BL223" s="239">
        <v>-800000</v>
      </c>
      <c r="BM223" s="239">
        <v>-200000</v>
      </c>
      <c r="BN223" s="239">
        <v>0</v>
      </c>
      <c r="BO223" s="239">
        <v>-2000000</v>
      </c>
      <c r="BP223" s="239">
        <v>-3911149.06</v>
      </c>
      <c r="BQ223" s="239">
        <v>-3128921</v>
      </c>
      <c r="BR223" s="239">
        <v>-782230</v>
      </c>
      <c r="BS223" s="239">
        <v>0</v>
      </c>
      <c r="BT223" s="239">
        <v>-7822300.0600000005</v>
      </c>
      <c r="BU223" s="239">
        <v>-1661850.7800000012</v>
      </c>
      <c r="BV223" s="239">
        <v>-1329481</v>
      </c>
      <c r="BW223" s="239">
        <v>-332370</v>
      </c>
      <c r="BX223" s="239">
        <v>0</v>
      </c>
      <c r="BY223" s="239">
        <v>-3323701.7800000012</v>
      </c>
      <c r="BZ223" s="239">
        <v>-1816731</v>
      </c>
      <c r="CA223" s="239">
        <v>-1453384</v>
      </c>
      <c r="CB223" s="239">
        <v>-363346</v>
      </c>
      <c r="CC223" s="239">
        <v>0</v>
      </c>
      <c r="CD223" s="239">
        <v>-3633461</v>
      </c>
      <c r="CE223" s="239">
        <v>154880.21999999881</v>
      </c>
      <c r="CF223" s="239">
        <v>123903</v>
      </c>
      <c r="CG223" s="239">
        <v>30976</v>
      </c>
      <c r="CH223" s="239">
        <v>0</v>
      </c>
      <c r="CI223" s="239">
        <v>309759.21999999881</v>
      </c>
      <c r="CJ223" s="239">
        <v>21972352</v>
      </c>
      <c r="CK223" s="239">
        <v>17577882</v>
      </c>
      <c r="CL223" s="239">
        <v>4394470</v>
      </c>
      <c r="CM223" s="239">
        <v>0</v>
      </c>
      <c r="CN223" s="239">
        <v>43944704</v>
      </c>
      <c r="CO223" s="239">
        <v>22348689</v>
      </c>
      <c r="CP223" s="239">
        <v>17878952</v>
      </c>
      <c r="CQ223" s="239">
        <v>4469738</v>
      </c>
      <c r="CR223" s="239">
        <v>0</v>
      </c>
      <c r="CS223" s="239">
        <v>44697379</v>
      </c>
      <c r="CT223" s="239">
        <v>376337</v>
      </c>
      <c r="CU223" s="239">
        <v>301070</v>
      </c>
      <c r="CV223" s="239">
        <v>75268</v>
      </c>
      <c r="CW223" s="239">
        <v>0</v>
      </c>
      <c r="CX223" s="239">
        <v>752675</v>
      </c>
      <c r="CY223" s="239">
        <v>531217.21999999881</v>
      </c>
      <c r="CZ223" s="239">
        <v>424973</v>
      </c>
      <c r="DA223" s="239">
        <v>106244</v>
      </c>
      <c r="DB223" s="239">
        <v>0</v>
      </c>
      <c r="DC223" s="239">
        <v>1062434.2199999988</v>
      </c>
      <c r="DD223" s="641">
        <v>0.5</v>
      </c>
      <c r="DE223" s="641">
        <v>0.4</v>
      </c>
      <c r="DF223" s="641">
        <v>0.1</v>
      </c>
      <c r="DG223" s="641">
        <v>0</v>
      </c>
      <c r="DH223" s="641">
        <v>1</v>
      </c>
      <c r="DI223" s="214" t="s">
        <v>1190</v>
      </c>
    </row>
    <row r="224" spans="2:113" s="214" customFormat="1" x14ac:dyDescent="0.2">
      <c r="B224" s="609" t="s">
        <v>530</v>
      </c>
      <c r="C224" s="609" t="s">
        <v>529</v>
      </c>
      <c r="D224" s="239">
        <v>13625792</v>
      </c>
      <c r="E224" s="239">
        <v>10900634</v>
      </c>
      <c r="F224" s="239">
        <v>2452643</v>
      </c>
      <c r="G224" s="239">
        <v>272516</v>
      </c>
      <c r="H224" s="239">
        <v>27251585</v>
      </c>
      <c r="I224" s="239">
        <v>0</v>
      </c>
      <c r="J224" s="239">
        <v>0</v>
      </c>
      <c r="K224" s="239">
        <v>13625792</v>
      </c>
      <c r="L224" s="239">
        <v>111538</v>
      </c>
      <c r="M224" s="239">
        <v>111538</v>
      </c>
      <c r="N224" s="239">
        <v>0</v>
      </c>
      <c r="O224" s="239">
        <v>0</v>
      </c>
      <c r="P224" s="239">
        <v>144846</v>
      </c>
      <c r="Q224" s="239">
        <v>0</v>
      </c>
      <c r="R224" s="239">
        <v>144846</v>
      </c>
      <c r="S224" s="239">
        <v>0</v>
      </c>
      <c r="T224" s="239">
        <v>0</v>
      </c>
      <c r="U224" s="239">
        <v>0</v>
      </c>
      <c r="V224" s="239">
        <v>0</v>
      </c>
      <c r="W224" s="239">
        <v>260862</v>
      </c>
      <c r="X224" s="239">
        <v>208690</v>
      </c>
      <c r="Y224" s="239">
        <v>46955</v>
      </c>
      <c r="Z224" s="239">
        <v>5217</v>
      </c>
      <c r="AA224" s="239">
        <v>521724</v>
      </c>
      <c r="AB224" s="239">
        <v>-361509</v>
      </c>
      <c r="AC224" s="239">
        <v>-289206</v>
      </c>
      <c r="AD224" s="239">
        <v>-65071</v>
      </c>
      <c r="AE224" s="239">
        <v>-7230</v>
      </c>
      <c r="AF224" s="239">
        <v>-723016</v>
      </c>
      <c r="AG224" s="239">
        <v>-284900</v>
      </c>
      <c r="AH224" s="239">
        <v>-227920</v>
      </c>
      <c r="AI224" s="239">
        <v>-51282</v>
      </c>
      <c r="AJ224" s="239">
        <v>-5698</v>
      </c>
      <c r="AK224" s="239">
        <v>-569800</v>
      </c>
      <c r="AL224" s="239">
        <v>124797</v>
      </c>
      <c r="AM224" s="239">
        <v>99837</v>
      </c>
      <c r="AN224" s="239">
        <v>22463</v>
      </c>
      <c r="AO224" s="239">
        <v>2496</v>
      </c>
      <c r="AP224" s="239">
        <v>249593</v>
      </c>
      <c r="AQ224" s="239">
        <v>-30046</v>
      </c>
      <c r="AR224" s="239">
        <v>-24036</v>
      </c>
      <c r="AS224" s="239">
        <v>-5408</v>
      </c>
      <c r="AT224" s="239">
        <v>-601</v>
      </c>
      <c r="AU224" s="239">
        <v>-60091</v>
      </c>
      <c r="AV224" s="239">
        <v>-190149</v>
      </c>
      <c r="AW224" s="239">
        <v>-152119</v>
      </c>
      <c r="AX224" s="239">
        <v>-34227</v>
      </c>
      <c r="AY224" s="239">
        <v>-3803</v>
      </c>
      <c r="AZ224" s="239">
        <v>-380298</v>
      </c>
      <c r="BA224" s="239">
        <v>-1233880</v>
      </c>
      <c r="BB224" s="239">
        <v>-987106</v>
      </c>
      <c r="BC224" s="239">
        <v>-222100</v>
      </c>
      <c r="BD224" s="239">
        <v>-24677</v>
      </c>
      <c r="BE224" s="239">
        <v>-2467763</v>
      </c>
      <c r="BF224" s="239">
        <v>222848</v>
      </c>
      <c r="BG224" s="239">
        <v>178279</v>
      </c>
      <c r="BH224" s="239">
        <v>40113</v>
      </c>
      <c r="BI224" s="239">
        <v>4457</v>
      </c>
      <c r="BJ224" s="239">
        <v>445697</v>
      </c>
      <c r="BK224" s="239">
        <v>-841701</v>
      </c>
      <c r="BL224" s="239">
        <v>-673360</v>
      </c>
      <c r="BM224" s="239">
        <v>-151506</v>
      </c>
      <c r="BN224" s="239">
        <v>-16834</v>
      </c>
      <c r="BO224" s="239">
        <v>-1683401</v>
      </c>
      <c r="BP224" s="239">
        <v>-1852733</v>
      </c>
      <c r="BQ224" s="239">
        <v>-1482187</v>
      </c>
      <c r="BR224" s="239">
        <v>-333493</v>
      </c>
      <c r="BS224" s="239">
        <v>-37054</v>
      </c>
      <c r="BT224" s="239">
        <v>-3705467</v>
      </c>
      <c r="BU224" s="239">
        <v>-302875</v>
      </c>
      <c r="BV224" s="239">
        <v>-242300</v>
      </c>
      <c r="BW224" s="239">
        <v>-54518</v>
      </c>
      <c r="BX224" s="239">
        <v>-6058</v>
      </c>
      <c r="BY224" s="239">
        <v>-605751</v>
      </c>
      <c r="BZ224" s="239">
        <v>-327509</v>
      </c>
      <c r="CA224" s="239">
        <v>-262007</v>
      </c>
      <c r="CB224" s="239">
        <v>-58952</v>
      </c>
      <c r="CC224" s="239">
        <v>-6550</v>
      </c>
      <c r="CD224" s="239">
        <v>-655018</v>
      </c>
      <c r="CE224" s="239">
        <v>24634</v>
      </c>
      <c r="CF224" s="239">
        <v>19707</v>
      </c>
      <c r="CG224" s="239">
        <v>4434</v>
      </c>
      <c r="CH224" s="239">
        <v>492</v>
      </c>
      <c r="CI224" s="239">
        <v>49267</v>
      </c>
      <c r="CJ224" s="239">
        <v>13390380</v>
      </c>
      <c r="CK224" s="239">
        <v>10712305</v>
      </c>
      <c r="CL224" s="239">
        <v>2410269</v>
      </c>
      <c r="CM224" s="239">
        <v>267808</v>
      </c>
      <c r="CN224" s="239">
        <v>26780762</v>
      </c>
      <c r="CO224" s="239">
        <v>13625792</v>
      </c>
      <c r="CP224" s="239">
        <v>10900634</v>
      </c>
      <c r="CQ224" s="239">
        <v>2452643</v>
      </c>
      <c r="CR224" s="239">
        <v>272516</v>
      </c>
      <c r="CS224" s="239">
        <v>27251585</v>
      </c>
      <c r="CT224" s="239">
        <v>235412</v>
      </c>
      <c r="CU224" s="239">
        <v>188329</v>
      </c>
      <c r="CV224" s="239">
        <v>42374</v>
      </c>
      <c r="CW224" s="239">
        <v>4708</v>
      </c>
      <c r="CX224" s="239">
        <v>470823</v>
      </c>
      <c r="CY224" s="239">
        <v>260046</v>
      </c>
      <c r="CZ224" s="239">
        <v>208036</v>
      </c>
      <c r="DA224" s="239">
        <v>46808</v>
      </c>
      <c r="DB224" s="239">
        <v>5200</v>
      </c>
      <c r="DC224" s="239">
        <v>520090</v>
      </c>
      <c r="DD224" s="641">
        <v>0.5</v>
      </c>
      <c r="DE224" s="641">
        <v>0.4</v>
      </c>
      <c r="DF224" s="641">
        <v>0.09</v>
      </c>
      <c r="DG224" s="641">
        <v>0.01</v>
      </c>
      <c r="DH224" s="641">
        <v>1</v>
      </c>
      <c r="DI224" s="214" t="s">
        <v>1190</v>
      </c>
    </row>
    <row r="225" spans="2:113" s="214" customFormat="1" x14ac:dyDescent="0.2">
      <c r="B225" s="609" t="s">
        <v>532</v>
      </c>
      <c r="C225" s="609" t="s">
        <v>531</v>
      </c>
      <c r="D225" s="239">
        <v>23301409</v>
      </c>
      <c r="E225" s="239">
        <v>18641128</v>
      </c>
      <c r="F225" s="239">
        <v>4194254</v>
      </c>
      <c r="G225" s="239">
        <v>466028</v>
      </c>
      <c r="H225" s="239">
        <v>46602819</v>
      </c>
      <c r="I225" s="239">
        <v>0</v>
      </c>
      <c r="J225" s="239">
        <v>0</v>
      </c>
      <c r="K225" s="239">
        <v>23301409</v>
      </c>
      <c r="L225" s="239">
        <v>121838</v>
      </c>
      <c r="M225" s="239">
        <v>121838</v>
      </c>
      <c r="N225" s="239">
        <v>0</v>
      </c>
      <c r="O225" s="239">
        <v>0</v>
      </c>
      <c r="P225" s="239">
        <v>0</v>
      </c>
      <c r="Q225" s="239">
        <v>0</v>
      </c>
      <c r="R225" s="239">
        <v>0</v>
      </c>
      <c r="S225" s="239">
        <v>0</v>
      </c>
      <c r="T225" s="239">
        <v>0</v>
      </c>
      <c r="U225" s="239">
        <v>0</v>
      </c>
      <c r="V225" s="239">
        <v>0</v>
      </c>
      <c r="W225" s="239">
        <v>761865</v>
      </c>
      <c r="X225" s="239">
        <v>609492</v>
      </c>
      <c r="Y225" s="239">
        <v>137136</v>
      </c>
      <c r="Z225" s="239">
        <v>15237</v>
      </c>
      <c r="AA225" s="239">
        <v>1523730</v>
      </c>
      <c r="AB225" s="239">
        <v>-673401</v>
      </c>
      <c r="AC225" s="239">
        <v>-538721</v>
      </c>
      <c r="AD225" s="239">
        <v>-121212</v>
      </c>
      <c r="AE225" s="239">
        <v>-13468</v>
      </c>
      <c r="AF225" s="239">
        <v>-1346802</v>
      </c>
      <c r="AG225" s="239">
        <v>-381825.73</v>
      </c>
      <c r="AH225" s="239">
        <v>-305461</v>
      </c>
      <c r="AI225" s="239">
        <v>-68730</v>
      </c>
      <c r="AJ225" s="239">
        <v>-7638</v>
      </c>
      <c r="AK225" s="239">
        <v>-763654.73</v>
      </c>
      <c r="AL225" s="239">
        <v>130144</v>
      </c>
      <c r="AM225" s="239">
        <v>104115</v>
      </c>
      <c r="AN225" s="239">
        <v>23426</v>
      </c>
      <c r="AO225" s="239">
        <v>2603</v>
      </c>
      <c r="AP225" s="239">
        <v>260288</v>
      </c>
      <c r="AQ225" s="239">
        <v>-136185</v>
      </c>
      <c r="AR225" s="239">
        <v>-108948</v>
      </c>
      <c r="AS225" s="239">
        <v>-24513</v>
      </c>
      <c r="AT225" s="239">
        <v>-2724</v>
      </c>
      <c r="AU225" s="239">
        <v>-272370</v>
      </c>
      <c r="AV225" s="239">
        <v>-387866.73</v>
      </c>
      <c r="AW225" s="239">
        <v>-310294</v>
      </c>
      <c r="AX225" s="239">
        <v>-69817</v>
      </c>
      <c r="AY225" s="239">
        <v>-7759</v>
      </c>
      <c r="AZ225" s="239">
        <v>-775736.73</v>
      </c>
      <c r="BA225" s="239">
        <v>-2996513</v>
      </c>
      <c r="BB225" s="239">
        <v>-2397213</v>
      </c>
      <c r="BC225" s="239">
        <v>-539373</v>
      </c>
      <c r="BD225" s="239">
        <v>-59931</v>
      </c>
      <c r="BE225" s="239">
        <v>-5993030</v>
      </c>
      <c r="BF225" s="239">
        <v>259196</v>
      </c>
      <c r="BG225" s="239">
        <v>207357</v>
      </c>
      <c r="BH225" s="239">
        <v>46655</v>
      </c>
      <c r="BI225" s="239">
        <v>5184</v>
      </c>
      <c r="BJ225" s="239">
        <v>518392</v>
      </c>
      <c r="BK225" s="239">
        <v>-685234</v>
      </c>
      <c r="BL225" s="239">
        <v>-548187</v>
      </c>
      <c r="BM225" s="239">
        <v>-123342</v>
      </c>
      <c r="BN225" s="239">
        <v>-13705</v>
      </c>
      <c r="BO225" s="239">
        <v>-1370468</v>
      </c>
      <c r="BP225" s="239">
        <v>-3422551</v>
      </c>
      <c r="BQ225" s="239">
        <v>-2738043</v>
      </c>
      <c r="BR225" s="239">
        <v>-616060</v>
      </c>
      <c r="BS225" s="239">
        <v>-68452</v>
      </c>
      <c r="BT225" s="239">
        <v>-6845106</v>
      </c>
      <c r="BU225" s="239">
        <v>-932138</v>
      </c>
      <c r="BV225" s="239">
        <v>-745711</v>
      </c>
      <c r="BW225" s="239">
        <v>-167785</v>
      </c>
      <c r="BX225" s="239">
        <v>-18643</v>
      </c>
      <c r="BY225" s="239">
        <v>-1864277</v>
      </c>
      <c r="BZ225" s="239">
        <v>-451081</v>
      </c>
      <c r="CA225" s="239">
        <v>-360864</v>
      </c>
      <c r="CB225" s="239">
        <v>-81194</v>
      </c>
      <c r="CC225" s="239">
        <v>-9022</v>
      </c>
      <c r="CD225" s="239">
        <v>-902161</v>
      </c>
      <c r="CE225" s="239">
        <v>-481057</v>
      </c>
      <c r="CF225" s="239">
        <v>-384847</v>
      </c>
      <c r="CG225" s="239">
        <v>-86591</v>
      </c>
      <c r="CH225" s="239">
        <v>-9621</v>
      </c>
      <c r="CI225" s="239">
        <v>-962116</v>
      </c>
      <c r="CJ225" s="239">
        <v>23772461</v>
      </c>
      <c r="CK225" s="239">
        <v>19017969</v>
      </c>
      <c r="CL225" s="239">
        <v>4279043</v>
      </c>
      <c r="CM225" s="239">
        <v>475449</v>
      </c>
      <c r="CN225" s="239">
        <v>47544922</v>
      </c>
      <c r="CO225" s="239">
        <v>23301409</v>
      </c>
      <c r="CP225" s="239">
        <v>18641128</v>
      </c>
      <c r="CQ225" s="239">
        <v>4194254</v>
      </c>
      <c r="CR225" s="239">
        <v>466028</v>
      </c>
      <c r="CS225" s="239">
        <v>46602819</v>
      </c>
      <c r="CT225" s="239">
        <v>-471052</v>
      </c>
      <c r="CU225" s="239">
        <v>-376841</v>
      </c>
      <c r="CV225" s="239">
        <v>-84789</v>
      </c>
      <c r="CW225" s="239">
        <v>-9421</v>
      </c>
      <c r="CX225" s="239">
        <v>-942103</v>
      </c>
      <c r="CY225" s="239">
        <v>-952109</v>
      </c>
      <c r="CZ225" s="239">
        <v>-761688</v>
      </c>
      <c r="DA225" s="239">
        <v>-171380</v>
      </c>
      <c r="DB225" s="239">
        <v>-19042</v>
      </c>
      <c r="DC225" s="239">
        <v>-1904219</v>
      </c>
      <c r="DD225" s="641">
        <v>0.5</v>
      </c>
      <c r="DE225" s="641">
        <v>0.4</v>
      </c>
      <c r="DF225" s="641">
        <v>0.09</v>
      </c>
      <c r="DG225" s="641">
        <v>0.01</v>
      </c>
      <c r="DH225" s="641">
        <v>1</v>
      </c>
      <c r="DI225" s="214" t="s">
        <v>1190</v>
      </c>
    </row>
    <row r="226" spans="2:113" s="214" customFormat="1" x14ac:dyDescent="0.2">
      <c r="B226" s="609" t="s">
        <v>534</v>
      </c>
      <c r="C226" s="609" t="s">
        <v>533</v>
      </c>
      <c r="D226" s="239">
        <v>5308874</v>
      </c>
      <c r="E226" s="239">
        <v>5202697</v>
      </c>
      <c r="F226" s="239">
        <v>0</v>
      </c>
      <c r="G226" s="239">
        <v>106177</v>
      </c>
      <c r="H226" s="239">
        <v>10617748</v>
      </c>
      <c r="I226" s="239">
        <v>0</v>
      </c>
      <c r="J226" s="239">
        <v>0</v>
      </c>
      <c r="K226" s="239">
        <v>5308874</v>
      </c>
      <c r="L226" s="239">
        <v>57455</v>
      </c>
      <c r="M226" s="239">
        <v>57455</v>
      </c>
      <c r="N226" s="239">
        <v>0</v>
      </c>
      <c r="O226" s="239">
        <v>0</v>
      </c>
      <c r="P226" s="239">
        <v>35908</v>
      </c>
      <c r="Q226" s="239">
        <v>0</v>
      </c>
      <c r="R226" s="239">
        <v>35908</v>
      </c>
      <c r="S226" s="239">
        <v>0</v>
      </c>
      <c r="T226" s="239">
        <v>0</v>
      </c>
      <c r="U226" s="239">
        <v>0</v>
      </c>
      <c r="V226" s="239">
        <v>0</v>
      </c>
      <c r="W226" s="239">
        <v>57264</v>
      </c>
      <c r="X226" s="239">
        <v>56118</v>
      </c>
      <c r="Y226" s="239">
        <v>0</v>
      </c>
      <c r="Z226" s="239">
        <v>1145</v>
      </c>
      <c r="AA226" s="239">
        <v>114527</v>
      </c>
      <c r="AB226" s="239">
        <v>-731</v>
      </c>
      <c r="AC226" s="239">
        <v>-716</v>
      </c>
      <c r="AD226" s="239">
        <v>0</v>
      </c>
      <c r="AE226" s="239">
        <v>-15</v>
      </c>
      <c r="AF226" s="239">
        <v>-1462</v>
      </c>
      <c r="AG226" s="239">
        <v>-34123</v>
      </c>
      <c r="AH226" s="239">
        <v>-33441</v>
      </c>
      <c r="AI226" s="239">
        <v>0</v>
      </c>
      <c r="AJ226" s="239">
        <v>-682</v>
      </c>
      <c r="AK226" s="239">
        <v>-68246</v>
      </c>
      <c r="AL226" s="239">
        <v>5067</v>
      </c>
      <c r="AM226" s="239">
        <v>4965</v>
      </c>
      <c r="AN226" s="239">
        <v>0</v>
      </c>
      <c r="AO226" s="239">
        <v>101</v>
      </c>
      <c r="AP226" s="239">
        <v>10133</v>
      </c>
      <c r="AQ226" s="239">
        <v>-5067</v>
      </c>
      <c r="AR226" s="239">
        <v>-4965</v>
      </c>
      <c r="AS226" s="239">
        <v>0</v>
      </c>
      <c r="AT226" s="239">
        <v>-101</v>
      </c>
      <c r="AU226" s="239">
        <v>-10133</v>
      </c>
      <c r="AV226" s="239">
        <v>-34123</v>
      </c>
      <c r="AW226" s="239">
        <v>-33441</v>
      </c>
      <c r="AX226" s="239">
        <v>0</v>
      </c>
      <c r="AY226" s="239">
        <v>-682</v>
      </c>
      <c r="AZ226" s="239">
        <v>-68246</v>
      </c>
      <c r="BA226" s="239">
        <v>-252488.40000000002</v>
      </c>
      <c r="BB226" s="239">
        <v>-247438</v>
      </c>
      <c r="BC226" s="239">
        <v>0</v>
      </c>
      <c r="BD226" s="239">
        <v>-5049</v>
      </c>
      <c r="BE226" s="239">
        <v>-504975.4</v>
      </c>
      <c r="BF226" s="239">
        <v>22573</v>
      </c>
      <c r="BG226" s="239">
        <v>22122</v>
      </c>
      <c r="BH226" s="239">
        <v>0</v>
      </c>
      <c r="BI226" s="239">
        <v>451</v>
      </c>
      <c r="BJ226" s="239">
        <v>45146</v>
      </c>
      <c r="BK226" s="239">
        <v>-40350</v>
      </c>
      <c r="BL226" s="239">
        <v>-39543</v>
      </c>
      <c r="BM226" s="239">
        <v>0</v>
      </c>
      <c r="BN226" s="239">
        <v>-807</v>
      </c>
      <c r="BO226" s="239">
        <v>-80700</v>
      </c>
      <c r="BP226" s="239">
        <v>-270265.40000000002</v>
      </c>
      <c r="BQ226" s="239">
        <v>-264859</v>
      </c>
      <c r="BR226" s="239">
        <v>0</v>
      </c>
      <c r="BS226" s="239">
        <v>-5405</v>
      </c>
      <c r="BT226" s="239">
        <v>-540529.4</v>
      </c>
      <c r="BU226" s="239">
        <v>69074</v>
      </c>
      <c r="BV226" s="239">
        <v>67694</v>
      </c>
      <c r="BW226" s="239">
        <v>0</v>
      </c>
      <c r="BX226" s="239">
        <v>1382</v>
      </c>
      <c r="BY226" s="239">
        <v>138150</v>
      </c>
      <c r="BZ226" s="239">
        <v>82278</v>
      </c>
      <c r="CA226" s="239">
        <v>80633</v>
      </c>
      <c r="CB226" s="239">
        <v>0</v>
      </c>
      <c r="CC226" s="239">
        <v>1646</v>
      </c>
      <c r="CD226" s="239">
        <v>164557</v>
      </c>
      <c r="CE226" s="239">
        <v>-13204</v>
      </c>
      <c r="CF226" s="239">
        <v>-12939</v>
      </c>
      <c r="CG226" s="239">
        <v>0</v>
      </c>
      <c r="CH226" s="239">
        <v>-264</v>
      </c>
      <c r="CI226" s="239">
        <v>-26407</v>
      </c>
      <c r="CJ226" s="239">
        <v>5290822</v>
      </c>
      <c r="CK226" s="239">
        <v>5185005</v>
      </c>
      <c r="CL226" s="239">
        <v>0</v>
      </c>
      <c r="CM226" s="239">
        <v>105816</v>
      </c>
      <c r="CN226" s="239">
        <v>10581643</v>
      </c>
      <c r="CO226" s="239">
        <v>5308874</v>
      </c>
      <c r="CP226" s="239">
        <v>5202697</v>
      </c>
      <c r="CQ226" s="239">
        <v>0</v>
      </c>
      <c r="CR226" s="239">
        <v>106177</v>
      </c>
      <c r="CS226" s="239">
        <v>10617748</v>
      </c>
      <c r="CT226" s="239">
        <v>18052</v>
      </c>
      <c r="CU226" s="239">
        <v>17692</v>
      </c>
      <c r="CV226" s="239">
        <v>0</v>
      </c>
      <c r="CW226" s="239">
        <v>361</v>
      </c>
      <c r="CX226" s="239">
        <v>36105</v>
      </c>
      <c r="CY226" s="239">
        <v>4848</v>
      </c>
      <c r="CZ226" s="239">
        <v>4753</v>
      </c>
      <c r="DA226" s="239">
        <v>0</v>
      </c>
      <c r="DB226" s="239">
        <v>97</v>
      </c>
      <c r="DC226" s="239">
        <v>9698</v>
      </c>
      <c r="DD226" s="641">
        <v>0.5</v>
      </c>
      <c r="DE226" s="641">
        <v>0.49</v>
      </c>
      <c r="DF226" s="641">
        <v>0</v>
      </c>
      <c r="DG226" s="641">
        <v>0.01</v>
      </c>
      <c r="DH226" s="641">
        <v>1</v>
      </c>
      <c r="DI226" s="214" t="s">
        <v>747</v>
      </c>
    </row>
    <row r="227" spans="2:113" s="214" customFormat="1" x14ac:dyDescent="0.2">
      <c r="B227" s="609" t="s">
        <v>536</v>
      </c>
      <c r="C227" s="609" t="s">
        <v>535</v>
      </c>
      <c r="D227" s="239">
        <v>8174544</v>
      </c>
      <c r="E227" s="239">
        <v>6539636</v>
      </c>
      <c r="F227" s="239">
        <v>1471418</v>
      </c>
      <c r="G227" s="239">
        <v>163491</v>
      </c>
      <c r="H227" s="239">
        <v>16349089</v>
      </c>
      <c r="I227" s="239">
        <v>0</v>
      </c>
      <c r="J227" s="239">
        <v>0</v>
      </c>
      <c r="K227" s="239">
        <v>8174544</v>
      </c>
      <c r="L227" s="239">
        <v>110406</v>
      </c>
      <c r="M227" s="239">
        <v>110406</v>
      </c>
      <c r="N227" s="239">
        <v>0</v>
      </c>
      <c r="O227" s="239">
        <v>0</v>
      </c>
      <c r="P227" s="239">
        <v>40891</v>
      </c>
      <c r="Q227" s="239">
        <v>0</v>
      </c>
      <c r="R227" s="239">
        <v>40891</v>
      </c>
      <c r="S227" s="239">
        <v>0</v>
      </c>
      <c r="T227" s="239">
        <v>0</v>
      </c>
      <c r="U227" s="239">
        <v>0</v>
      </c>
      <c r="V227" s="239">
        <v>0</v>
      </c>
      <c r="W227" s="239">
        <v>63112</v>
      </c>
      <c r="X227" s="239">
        <v>50489</v>
      </c>
      <c r="Y227" s="239">
        <v>11360</v>
      </c>
      <c r="Z227" s="239">
        <v>1262</v>
      </c>
      <c r="AA227" s="239">
        <v>126223</v>
      </c>
      <c r="AB227" s="239">
        <v>-87001</v>
      </c>
      <c r="AC227" s="239">
        <v>-69600</v>
      </c>
      <c r="AD227" s="239">
        <v>-15660</v>
      </c>
      <c r="AE227" s="239">
        <v>-1740</v>
      </c>
      <c r="AF227" s="239">
        <v>-174001</v>
      </c>
      <c r="AG227" s="239">
        <v>-50000</v>
      </c>
      <c r="AH227" s="239">
        <v>-40000</v>
      </c>
      <c r="AI227" s="239">
        <v>-9000</v>
      </c>
      <c r="AJ227" s="239">
        <v>-1000</v>
      </c>
      <c r="AK227" s="239">
        <v>-100000</v>
      </c>
      <c r="AL227" s="239">
        <v>11030</v>
      </c>
      <c r="AM227" s="239">
        <v>8825</v>
      </c>
      <c r="AN227" s="239">
        <v>1986</v>
      </c>
      <c r="AO227" s="239">
        <v>221</v>
      </c>
      <c r="AP227" s="239">
        <v>22062</v>
      </c>
      <c r="AQ227" s="239">
        <v>8970</v>
      </c>
      <c r="AR227" s="239">
        <v>7175</v>
      </c>
      <c r="AS227" s="239">
        <v>1614</v>
      </c>
      <c r="AT227" s="239">
        <v>179</v>
      </c>
      <c r="AU227" s="239">
        <v>17938</v>
      </c>
      <c r="AV227" s="239">
        <v>-30000</v>
      </c>
      <c r="AW227" s="239">
        <v>-24000</v>
      </c>
      <c r="AX227" s="239">
        <v>-5400</v>
      </c>
      <c r="AY227" s="239">
        <v>-600</v>
      </c>
      <c r="AZ227" s="239">
        <v>-60000</v>
      </c>
      <c r="BA227" s="239">
        <v>-803500</v>
      </c>
      <c r="BB227" s="239">
        <v>-642800</v>
      </c>
      <c r="BC227" s="239">
        <v>-144630</v>
      </c>
      <c r="BD227" s="239">
        <v>-16070</v>
      </c>
      <c r="BE227" s="239">
        <v>-1607000</v>
      </c>
      <c r="BF227" s="239">
        <v>482909</v>
      </c>
      <c r="BG227" s="239">
        <v>386326</v>
      </c>
      <c r="BH227" s="239">
        <v>86923</v>
      </c>
      <c r="BI227" s="239">
        <v>9658</v>
      </c>
      <c r="BJ227" s="239">
        <v>965816</v>
      </c>
      <c r="BK227" s="239">
        <v>-606909</v>
      </c>
      <c r="BL227" s="239">
        <v>-485526</v>
      </c>
      <c r="BM227" s="239">
        <v>-109243</v>
      </c>
      <c r="BN227" s="239">
        <v>-12138</v>
      </c>
      <c r="BO227" s="239">
        <v>-1213816</v>
      </c>
      <c r="BP227" s="239">
        <v>-927500</v>
      </c>
      <c r="BQ227" s="239">
        <v>-742000</v>
      </c>
      <c r="BR227" s="239">
        <v>-166950</v>
      </c>
      <c r="BS227" s="239">
        <v>-18550</v>
      </c>
      <c r="BT227" s="239">
        <v>-1855000</v>
      </c>
      <c r="BU227" s="239">
        <v>-7920</v>
      </c>
      <c r="BV227" s="239">
        <v>-6335</v>
      </c>
      <c r="BW227" s="239">
        <v>-1425</v>
      </c>
      <c r="BX227" s="239">
        <v>-158</v>
      </c>
      <c r="BY227" s="239">
        <v>-15838</v>
      </c>
      <c r="BZ227" s="239">
        <v>2032</v>
      </c>
      <c r="CA227" s="239">
        <v>1626</v>
      </c>
      <c r="CB227" s="239">
        <v>366</v>
      </c>
      <c r="CC227" s="239">
        <v>41</v>
      </c>
      <c r="CD227" s="239">
        <v>4065</v>
      </c>
      <c r="CE227" s="239">
        <v>-9952</v>
      </c>
      <c r="CF227" s="239">
        <v>-7961</v>
      </c>
      <c r="CG227" s="239">
        <v>-1791</v>
      </c>
      <c r="CH227" s="239">
        <v>-199</v>
      </c>
      <c r="CI227" s="239">
        <v>-19903</v>
      </c>
      <c r="CJ227" s="239">
        <v>8460101</v>
      </c>
      <c r="CK227" s="239">
        <v>6768080</v>
      </c>
      <c r="CL227" s="239">
        <v>1522818</v>
      </c>
      <c r="CM227" s="239">
        <v>169202</v>
      </c>
      <c r="CN227" s="239">
        <v>16920201</v>
      </c>
      <c r="CO227" s="239">
        <v>8174544</v>
      </c>
      <c r="CP227" s="239">
        <v>6539636</v>
      </c>
      <c r="CQ227" s="239">
        <v>1471418</v>
      </c>
      <c r="CR227" s="239">
        <v>163491</v>
      </c>
      <c r="CS227" s="239">
        <v>16349089</v>
      </c>
      <c r="CT227" s="239">
        <v>-285557</v>
      </c>
      <c r="CU227" s="239">
        <v>-228444</v>
      </c>
      <c r="CV227" s="239">
        <v>-51400</v>
      </c>
      <c r="CW227" s="239">
        <v>-5711</v>
      </c>
      <c r="CX227" s="239">
        <v>-571112</v>
      </c>
      <c r="CY227" s="239">
        <v>-295509</v>
      </c>
      <c r="CZ227" s="239">
        <v>-236405</v>
      </c>
      <c r="DA227" s="239">
        <v>-53191</v>
      </c>
      <c r="DB227" s="239">
        <v>-5910</v>
      </c>
      <c r="DC227" s="239">
        <v>-591015</v>
      </c>
      <c r="DD227" s="641">
        <v>0.5</v>
      </c>
      <c r="DE227" s="641">
        <v>0.4</v>
      </c>
      <c r="DF227" s="641">
        <v>0.09</v>
      </c>
      <c r="DG227" s="641">
        <v>0.01</v>
      </c>
      <c r="DH227" s="641">
        <v>1</v>
      </c>
      <c r="DI227" s="214" t="s">
        <v>1190</v>
      </c>
    </row>
    <row r="228" spans="2:113" s="214" customFormat="1" x14ac:dyDescent="0.2">
      <c r="B228" s="609" t="s">
        <v>538</v>
      </c>
      <c r="C228" s="609" t="s">
        <v>537</v>
      </c>
      <c r="D228" s="239">
        <v>46053885</v>
      </c>
      <c r="E228" s="239">
        <v>45132808</v>
      </c>
      <c r="F228" s="239">
        <v>0</v>
      </c>
      <c r="G228" s="239">
        <v>921078</v>
      </c>
      <c r="H228" s="239">
        <v>92107771</v>
      </c>
      <c r="I228" s="239">
        <v>0</v>
      </c>
      <c r="J228" s="239">
        <v>0</v>
      </c>
      <c r="K228" s="239">
        <v>46053885</v>
      </c>
      <c r="L228" s="239">
        <v>447971</v>
      </c>
      <c r="M228" s="239">
        <v>447971</v>
      </c>
      <c r="N228" s="239">
        <v>0</v>
      </c>
      <c r="O228" s="239">
        <v>0</v>
      </c>
      <c r="P228" s="239">
        <v>0</v>
      </c>
      <c r="Q228" s="239">
        <v>0</v>
      </c>
      <c r="R228" s="239">
        <v>0</v>
      </c>
      <c r="S228" s="239">
        <v>0</v>
      </c>
      <c r="T228" s="239">
        <v>0</v>
      </c>
      <c r="U228" s="239">
        <v>0</v>
      </c>
      <c r="V228" s="239">
        <v>0</v>
      </c>
      <c r="W228" s="239">
        <v>14008040</v>
      </c>
      <c r="X228" s="239">
        <v>13727879</v>
      </c>
      <c r="Y228" s="239">
        <v>0</v>
      </c>
      <c r="Z228" s="239">
        <v>280161</v>
      </c>
      <c r="AA228" s="239">
        <v>28016080</v>
      </c>
      <c r="AB228" s="239">
        <v>-3168701</v>
      </c>
      <c r="AC228" s="239">
        <v>-3105326</v>
      </c>
      <c r="AD228" s="239">
        <v>0</v>
      </c>
      <c r="AE228" s="239">
        <v>-63374</v>
      </c>
      <c r="AF228" s="239">
        <v>-6337401</v>
      </c>
      <c r="AG228" s="239">
        <v>-7817488</v>
      </c>
      <c r="AH228" s="239">
        <v>-7661142</v>
      </c>
      <c r="AI228" s="239">
        <v>0</v>
      </c>
      <c r="AJ228" s="239">
        <v>-156351</v>
      </c>
      <c r="AK228" s="239">
        <v>-15634981</v>
      </c>
      <c r="AL228" s="239">
        <v>2579727</v>
      </c>
      <c r="AM228" s="239">
        <v>2528132</v>
      </c>
      <c r="AN228" s="239">
        <v>0</v>
      </c>
      <c r="AO228" s="239">
        <v>51595</v>
      </c>
      <c r="AP228" s="239">
        <v>5159454</v>
      </c>
      <c r="AQ228" s="239">
        <v>-1674117</v>
      </c>
      <c r="AR228" s="239">
        <v>-1640634</v>
      </c>
      <c r="AS228" s="239">
        <v>0</v>
      </c>
      <c r="AT228" s="239">
        <v>-33482</v>
      </c>
      <c r="AU228" s="239">
        <v>-3348233</v>
      </c>
      <c r="AV228" s="239">
        <v>-6911878</v>
      </c>
      <c r="AW228" s="239">
        <v>-6773644</v>
      </c>
      <c r="AX228" s="239">
        <v>0</v>
      </c>
      <c r="AY228" s="239">
        <v>-138238</v>
      </c>
      <c r="AZ228" s="239">
        <v>-13823760</v>
      </c>
      <c r="BA228" s="239">
        <v>-6825722</v>
      </c>
      <c r="BB228" s="239">
        <v>-6689210</v>
      </c>
      <c r="BC228" s="239">
        <v>0</v>
      </c>
      <c r="BD228" s="239">
        <v>-136514</v>
      </c>
      <c r="BE228" s="239">
        <v>-13651446</v>
      </c>
      <c r="BF228" s="239">
        <v>2317408</v>
      </c>
      <c r="BG228" s="239">
        <v>2271059</v>
      </c>
      <c r="BH228" s="239">
        <v>0</v>
      </c>
      <c r="BI228" s="239">
        <v>46348</v>
      </c>
      <c r="BJ228" s="239">
        <v>4634815</v>
      </c>
      <c r="BK228" s="239">
        <v>-3046021</v>
      </c>
      <c r="BL228" s="239">
        <v>-2985101</v>
      </c>
      <c r="BM228" s="239">
        <v>0</v>
      </c>
      <c r="BN228" s="239">
        <v>-60920</v>
      </c>
      <c r="BO228" s="239">
        <v>-6092042</v>
      </c>
      <c r="BP228" s="239">
        <v>-7554335</v>
      </c>
      <c r="BQ228" s="239">
        <v>-7403252</v>
      </c>
      <c r="BR228" s="239">
        <v>0</v>
      </c>
      <c r="BS228" s="239">
        <v>-151086</v>
      </c>
      <c r="BT228" s="239">
        <v>-15108673</v>
      </c>
      <c r="BU228" s="239">
        <v>-3307683</v>
      </c>
      <c r="BV228" s="239">
        <v>-3241529</v>
      </c>
      <c r="BW228" s="239">
        <v>0</v>
      </c>
      <c r="BX228" s="239">
        <v>-66154</v>
      </c>
      <c r="BY228" s="239">
        <v>-6615366</v>
      </c>
      <c r="BZ228" s="239">
        <v>-3571428</v>
      </c>
      <c r="CA228" s="239">
        <v>-3500000</v>
      </c>
      <c r="CB228" s="239">
        <v>0</v>
      </c>
      <c r="CC228" s="239">
        <v>-71429</v>
      </c>
      <c r="CD228" s="239">
        <v>-7142857</v>
      </c>
      <c r="CE228" s="239">
        <v>263745</v>
      </c>
      <c r="CF228" s="239">
        <v>258471</v>
      </c>
      <c r="CG228" s="239">
        <v>0</v>
      </c>
      <c r="CH228" s="239">
        <v>5275</v>
      </c>
      <c r="CI228" s="239">
        <v>527491</v>
      </c>
      <c r="CJ228" s="239">
        <v>47702131</v>
      </c>
      <c r="CK228" s="239">
        <v>46748088</v>
      </c>
      <c r="CL228" s="239">
        <v>0</v>
      </c>
      <c r="CM228" s="239">
        <v>954043</v>
      </c>
      <c r="CN228" s="239">
        <v>95404262</v>
      </c>
      <c r="CO228" s="239">
        <v>46053885</v>
      </c>
      <c r="CP228" s="239">
        <v>45132808</v>
      </c>
      <c r="CQ228" s="239">
        <v>0</v>
      </c>
      <c r="CR228" s="239">
        <v>921078</v>
      </c>
      <c r="CS228" s="239">
        <v>92107771</v>
      </c>
      <c r="CT228" s="239">
        <v>-1648246</v>
      </c>
      <c r="CU228" s="239">
        <v>-1615280</v>
      </c>
      <c r="CV228" s="239">
        <v>0</v>
      </c>
      <c r="CW228" s="239">
        <v>-32965</v>
      </c>
      <c r="CX228" s="239">
        <v>-3296491</v>
      </c>
      <c r="CY228" s="239">
        <v>-1384501</v>
      </c>
      <c r="CZ228" s="239">
        <v>-1356809</v>
      </c>
      <c r="DA228" s="239">
        <v>0</v>
      </c>
      <c r="DB228" s="239">
        <v>-27690</v>
      </c>
      <c r="DC228" s="239">
        <v>-2769000</v>
      </c>
      <c r="DD228" s="641">
        <v>0.5</v>
      </c>
      <c r="DE228" s="641">
        <v>0.49</v>
      </c>
      <c r="DF228" s="641">
        <v>0</v>
      </c>
      <c r="DG228" s="641">
        <v>0.01</v>
      </c>
      <c r="DH228" s="641">
        <v>1</v>
      </c>
      <c r="DI228" s="214" t="s">
        <v>1192</v>
      </c>
    </row>
    <row r="229" spans="2:113" s="214" customFormat="1" x14ac:dyDescent="0.2">
      <c r="B229" s="609" t="s">
        <v>540</v>
      </c>
      <c r="C229" s="609" t="s">
        <v>539</v>
      </c>
      <c r="D229" s="239">
        <v>50515017</v>
      </c>
      <c r="E229" s="239">
        <v>49504717</v>
      </c>
      <c r="F229" s="239">
        <v>0</v>
      </c>
      <c r="G229" s="239">
        <v>1010300</v>
      </c>
      <c r="H229" s="239">
        <v>101030034</v>
      </c>
      <c r="I229" s="239">
        <v>0</v>
      </c>
      <c r="J229" s="239">
        <v>0</v>
      </c>
      <c r="K229" s="239">
        <v>50515017</v>
      </c>
      <c r="L229" s="239">
        <v>452663</v>
      </c>
      <c r="M229" s="239">
        <v>452663</v>
      </c>
      <c r="N229" s="239">
        <v>0</v>
      </c>
      <c r="O229" s="239">
        <v>0</v>
      </c>
      <c r="P229" s="239">
        <v>0</v>
      </c>
      <c r="Q229" s="239">
        <v>0</v>
      </c>
      <c r="R229" s="239">
        <v>0</v>
      </c>
      <c r="S229" s="239">
        <v>0</v>
      </c>
      <c r="T229" s="239">
        <v>0</v>
      </c>
      <c r="U229" s="239">
        <v>0</v>
      </c>
      <c r="V229" s="239">
        <v>0</v>
      </c>
      <c r="W229" s="239">
        <v>2258865</v>
      </c>
      <c r="X229" s="239">
        <v>2213688</v>
      </c>
      <c r="Y229" s="239">
        <v>0</v>
      </c>
      <c r="Z229" s="239">
        <v>45177</v>
      </c>
      <c r="AA229" s="239">
        <v>4517730</v>
      </c>
      <c r="AB229" s="239">
        <v>-390765</v>
      </c>
      <c r="AC229" s="239">
        <v>-382950</v>
      </c>
      <c r="AD229" s="239">
        <v>0</v>
      </c>
      <c r="AE229" s="239">
        <v>-7815</v>
      </c>
      <c r="AF229" s="239">
        <v>-781530</v>
      </c>
      <c r="AG229" s="239">
        <v>-750873</v>
      </c>
      <c r="AH229" s="239">
        <v>-735857</v>
      </c>
      <c r="AI229" s="239">
        <v>0</v>
      </c>
      <c r="AJ229" s="239">
        <v>-15017</v>
      </c>
      <c r="AK229" s="239">
        <v>-1501747</v>
      </c>
      <c r="AL229" s="239">
        <v>1512636</v>
      </c>
      <c r="AM229" s="239">
        <v>1482383</v>
      </c>
      <c r="AN229" s="239">
        <v>0</v>
      </c>
      <c r="AO229" s="239">
        <v>30253</v>
      </c>
      <c r="AP229" s="239">
        <v>3025272</v>
      </c>
      <c r="AQ229" s="239">
        <v>-1428659</v>
      </c>
      <c r="AR229" s="239">
        <v>-1400085</v>
      </c>
      <c r="AS229" s="239">
        <v>0</v>
      </c>
      <c r="AT229" s="239">
        <v>-28573</v>
      </c>
      <c r="AU229" s="239">
        <v>-2857317</v>
      </c>
      <c r="AV229" s="239">
        <v>-666896</v>
      </c>
      <c r="AW229" s="239">
        <v>-653559</v>
      </c>
      <c r="AX229" s="239">
        <v>0</v>
      </c>
      <c r="AY229" s="239">
        <v>-13337</v>
      </c>
      <c r="AZ229" s="239">
        <v>-1333792</v>
      </c>
      <c r="BA229" s="239">
        <v>-1074991</v>
      </c>
      <c r="BB229" s="239">
        <v>-1053490</v>
      </c>
      <c r="BC229" s="239">
        <v>0</v>
      </c>
      <c r="BD229" s="239">
        <v>-21500</v>
      </c>
      <c r="BE229" s="239">
        <v>-2149981</v>
      </c>
      <c r="BF229" s="239">
        <v>0</v>
      </c>
      <c r="BG229" s="239">
        <v>0</v>
      </c>
      <c r="BH229" s="239">
        <v>0</v>
      </c>
      <c r="BI229" s="239">
        <v>0</v>
      </c>
      <c r="BJ229" s="239">
        <v>0</v>
      </c>
      <c r="BK229" s="239">
        <v>171262</v>
      </c>
      <c r="BL229" s="239">
        <v>167836</v>
      </c>
      <c r="BM229" s="239">
        <v>0</v>
      </c>
      <c r="BN229" s="239">
        <v>3425</v>
      </c>
      <c r="BO229" s="239">
        <v>342523</v>
      </c>
      <c r="BP229" s="239">
        <v>-903729</v>
      </c>
      <c r="BQ229" s="239">
        <v>-885654</v>
      </c>
      <c r="BR229" s="239">
        <v>0</v>
      </c>
      <c r="BS229" s="239">
        <v>-18075</v>
      </c>
      <c r="BT229" s="239">
        <v>-1807458</v>
      </c>
      <c r="BU229" s="239">
        <v>-3678107</v>
      </c>
      <c r="BV229" s="239">
        <v>-3604544</v>
      </c>
      <c r="BW229" s="239">
        <v>0</v>
      </c>
      <c r="BX229" s="239">
        <v>-73562</v>
      </c>
      <c r="BY229" s="239">
        <v>-7356213</v>
      </c>
      <c r="BZ229" s="239">
        <v>-1670339</v>
      </c>
      <c r="CA229" s="239">
        <v>-1636932</v>
      </c>
      <c r="CB229" s="239">
        <v>0</v>
      </c>
      <c r="CC229" s="239">
        <v>-33407</v>
      </c>
      <c r="CD229" s="239">
        <v>-3340678</v>
      </c>
      <c r="CE229" s="239">
        <v>-2007768</v>
      </c>
      <c r="CF229" s="239">
        <v>-1967612</v>
      </c>
      <c r="CG229" s="239">
        <v>0</v>
      </c>
      <c r="CH229" s="239">
        <v>-40155</v>
      </c>
      <c r="CI229" s="239">
        <v>-4015535</v>
      </c>
      <c r="CJ229" s="239">
        <v>52724134</v>
      </c>
      <c r="CK229" s="239">
        <v>51669651</v>
      </c>
      <c r="CL229" s="239">
        <v>0</v>
      </c>
      <c r="CM229" s="239">
        <v>1054483</v>
      </c>
      <c r="CN229" s="239">
        <v>105448268</v>
      </c>
      <c r="CO229" s="239">
        <v>50515017</v>
      </c>
      <c r="CP229" s="239">
        <v>49504717</v>
      </c>
      <c r="CQ229" s="239">
        <v>0</v>
      </c>
      <c r="CR229" s="239">
        <v>1010300</v>
      </c>
      <c r="CS229" s="239">
        <v>101030034</v>
      </c>
      <c r="CT229" s="239">
        <v>-2209117</v>
      </c>
      <c r="CU229" s="239">
        <v>-2164934</v>
      </c>
      <c r="CV229" s="239">
        <v>0</v>
      </c>
      <c r="CW229" s="239">
        <v>-44183</v>
      </c>
      <c r="CX229" s="239">
        <v>-4418234</v>
      </c>
      <c r="CY229" s="239">
        <v>-4216885</v>
      </c>
      <c r="CZ229" s="239">
        <v>-4132546</v>
      </c>
      <c r="DA229" s="239">
        <v>0</v>
      </c>
      <c r="DB229" s="239">
        <v>-84338</v>
      </c>
      <c r="DC229" s="239">
        <v>-8433769</v>
      </c>
      <c r="DD229" s="641">
        <v>0.5</v>
      </c>
      <c r="DE229" s="641">
        <v>0.49</v>
      </c>
      <c r="DF229" s="641">
        <v>0</v>
      </c>
      <c r="DG229" s="641">
        <v>0.01</v>
      </c>
      <c r="DH229" s="641">
        <v>1</v>
      </c>
      <c r="DI229" s="214" t="s">
        <v>1192</v>
      </c>
    </row>
    <row r="230" spans="2:113" s="214" customFormat="1" x14ac:dyDescent="0.2">
      <c r="B230" s="609" t="s">
        <v>542</v>
      </c>
      <c r="C230" s="609" t="s">
        <v>541</v>
      </c>
      <c r="D230" s="239">
        <v>16896671</v>
      </c>
      <c r="E230" s="239">
        <v>13517336</v>
      </c>
      <c r="F230" s="239">
        <v>3041401</v>
      </c>
      <c r="G230" s="239">
        <v>337933</v>
      </c>
      <c r="H230" s="239">
        <v>33793341</v>
      </c>
      <c r="I230" s="239">
        <v>0</v>
      </c>
      <c r="J230" s="239">
        <v>0</v>
      </c>
      <c r="K230" s="239">
        <v>16896671</v>
      </c>
      <c r="L230" s="239">
        <v>257962</v>
      </c>
      <c r="M230" s="239">
        <v>257962</v>
      </c>
      <c r="N230" s="239">
        <v>0</v>
      </c>
      <c r="O230" s="239">
        <v>0</v>
      </c>
      <c r="P230" s="239">
        <v>0</v>
      </c>
      <c r="Q230" s="239">
        <v>0</v>
      </c>
      <c r="R230" s="239">
        <v>0</v>
      </c>
      <c r="S230" s="239">
        <v>0</v>
      </c>
      <c r="T230" s="239">
        <v>0</v>
      </c>
      <c r="U230" s="239">
        <v>0</v>
      </c>
      <c r="V230" s="239">
        <v>0</v>
      </c>
      <c r="W230" s="239">
        <v>755237</v>
      </c>
      <c r="X230" s="239">
        <v>604190</v>
      </c>
      <c r="Y230" s="239">
        <v>135943</v>
      </c>
      <c r="Z230" s="239">
        <v>15105</v>
      </c>
      <c r="AA230" s="239">
        <v>1510475</v>
      </c>
      <c r="AB230" s="239">
        <v>-541829</v>
      </c>
      <c r="AC230" s="239">
        <v>-433463</v>
      </c>
      <c r="AD230" s="239">
        <v>-97529</v>
      </c>
      <c r="AE230" s="239">
        <v>-10837</v>
      </c>
      <c r="AF230" s="239">
        <v>-1083658</v>
      </c>
      <c r="AG230" s="239">
        <v>-368570</v>
      </c>
      <c r="AH230" s="239">
        <v>-294856</v>
      </c>
      <c r="AI230" s="239">
        <v>-66343</v>
      </c>
      <c r="AJ230" s="239">
        <v>-7371</v>
      </c>
      <c r="AK230" s="239">
        <v>-737140</v>
      </c>
      <c r="AL230" s="239">
        <v>165232</v>
      </c>
      <c r="AM230" s="239">
        <v>132186</v>
      </c>
      <c r="AN230" s="239">
        <v>29742</v>
      </c>
      <c r="AO230" s="239">
        <v>3305</v>
      </c>
      <c r="AP230" s="239">
        <v>330465</v>
      </c>
      <c r="AQ230" s="239">
        <v>-216014</v>
      </c>
      <c r="AR230" s="239">
        <v>-172811</v>
      </c>
      <c r="AS230" s="239">
        <v>-38883</v>
      </c>
      <c r="AT230" s="239">
        <v>-4320</v>
      </c>
      <c r="AU230" s="239">
        <v>-432028</v>
      </c>
      <c r="AV230" s="239">
        <v>-419352</v>
      </c>
      <c r="AW230" s="239">
        <v>-335481</v>
      </c>
      <c r="AX230" s="239">
        <v>-75484</v>
      </c>
      <c r="AY230" s="239">
        <v>-8386</v>
      </c>
      <c r="AZ230" s="239">
        <v>-838703</v>
      </c>
      <c r="BA230" s="239">
        <v>-1883359</v>
      </c>
      <c r="BB230" s="239">
        <v>-1506688</v>
      </c>
      <c r="BC230" s="239">
        <v>-339004</v>
      </c>
      <c r="BD230" s="239">
        <v>-37668</v>
      </c>
      <c r="BE230" s="239">
        <v>-3766719</v>
      </c>
      <c r="BF230" s="239">
        <v>760198</v>
      </c>
      <c r="BG230" s="239">
        <v>608158</v>
      </c>
      <c r="BH230" s="239">
        <v>136836</v>
      </c>
      <c r="BI230" s="239">
        <v>15204</v>
      </c>
      <c r="BJ230" s="239">
        <v>1520396</v>
      </c>
      <c r="BK230" s="239">
        <v>-589125</v>
      </c>
      <c r="BL230" s="239">
        <v>-471299</v>
      </c>
      <c r="BM230" s="239">
        <v>-106042</v>
      </c>
      <c r="BN230" s="239">
        <v>-11782</v>
      </c>
      <c r="BO230" s="239">
        <v>-1178248</v>
      </c>
      <c r="BP230" s="239">
        <v>-1712286</v>
      </c>
      <c r="BQ230" s="239">
        <v>-1369829</v>
      </c>
      <c r="BR230" s="239">
        <v>-308210</v>
      </c>
      <c r="BS230" s="239">
        <v>-34246</v>
      </c>
      <c r="BT230" s="239">
        <v>-3424571</v>
      </c>
      <c r="BU230" s="239">
        <v>-59757</v>
      </c>
      <c r="BV230" s="239">
        <v>-47805</v>
      </c>
      <c r="BW230" s="239">
        <v>-10756</v>
      </c>
      <c r="BX230" s="239">
        <v>-1195</v>
      </c>
      <c r="BY230" s="239">
        <v>-119513</v>
      </c>
      <c r="BZ230" s="239">
        <v>33317</v>
      </c>
      <c r="CA230" s="239">
        <v>26653</v>
      </c>
      <c r="CB230" s="239">
        <v>5997</v>
      </c>
      <c r="CC230" s="239">
        <v>666</v>
      </c>
      <c r="CD230" s="239">
        <v>66633</v>
      </c>
      <c r="CE230" s="239">
        <v>-93074</v>
      </c>
      <c r="CF230" s="239">
        <v>-74458</v>
      </c>
      <c r="CG230" s="239">
        <v>-16753</v>
      </c>
      <c r="CH230" s="239">
        <v>-1861</v>
      </c>
      <c r="CI230" s="239">
        <v>-186146</v>
      </c>
      <c r="CJ230" s="239">
        <v>16528176</v>
      </c>
      <c r="CK230" s="239">
        <v>13222541</v>
      </c>
      <c r="CL230" s="239">
        <v>2975072</v>
      </c>
      <c r="CM230" s="239">
        <v>330564</v>
      </c>
      <c r="CN230" s="239">
        <v>33056353</v>
      </c>
      <c r="CO230" s="239">
        <v>16896671</v>
      </c>
      <c r="CP230" s="239">
        <v>13517336</v>
      </c>
      <c r="CQ230" s="239">
        <v>3041401</v>
      </c>
      <c r="CR230" s="239">
        <v>337933</v>
      </c>
      <c r="CS230" s="239">
        <v>33793341</v>
      </c>
      <c r="CT230" s="239">
        <v>368495</v>
      </c>
      <c r="CU230" s="239">
        <v>294795</v>
      </c>
      <c r="CV230" s="239">
        <v>66329</v>
      </c>
      <c r="CW230" s="239">
        <v>7369</v>
      </c>
      <c r="CX230" s="239">
        <v>736988</v>
      </c>
      <c r="CY230" s="239">
        <v>275421</v>
      </c>
      <c r="CZ230" s="239">
        <v>220337</v>
      </c>
      <c r="DA230" s="239">
        <v>49576</v>
      </c>
      <c r="DB230" s="239">
        <v>5508</v>
      </c>
      <c r="DC230" s="239">
        <v>550842</v>
      </c>
      <c r="DD230" s="641">
        <v>0.5</v>
      </c>
      <c r="DE230" s="641">
        <v>0.4</v>
      </c>
      <c r="DF230" s="641">
        <v>0.09</v>
      </c>
      <c r="DG230" s="641">
        <v>0.01</v>
      </c>
      <c r="DH230" s="641">
        <v>1</v>
      </c>
      <c r="DI230" s="214" t="s">
        <v>1190</v>
      </c>
    </row>
    <row r="231" spans="2:113" s="214" customFormat="1" x14ac:dyDescent="0.2">
      <c r="B231" s="609" t="s">
        <v>544</v>
      </c>
      <c r="C231" s="609" t="s">
        <v>543</v>
      </c>
      <c r="D231" s="239">
        <v>19474789</v>
      </c>
      <c r="E231" s="239">
        <v>15579831</v>
      </c>
      <c r="F231" s="239">
        <v>3505462</v>
      </c>
      <c r="G231" s="239">
        <v>389496</v>
      </c>
      <c r="H231" s="239">
        <v>38949578</v>
      </c>
      <c r="I231" s="239">
        <v>0</v>
      </c>
      <c r="J231" s="239">
        <v>0</v>
      </c>
      <c r="K231" s="239">
        <v>19474789</v>
      </c>
      <c r="L231" s="239">
        <v>161084</v>
      </c>
      <c r="M231" s="239">
        <v>161084</v>
      </c>
      <c r="N231" s="239">
        <v>0</v>
      </c>
      <c r="O231" s="239">
        <v>0</v>
      </c>
      <c r="P231" s="239">
        <v>227233</v>
      </c>
      <c r="Q231" s="239">
        <v>0</v>
      </c>
      <c r="R231" s="239">
        <v>227233</v>
      </c>
      <c r="S231" s="239">
        <v>0</v>
      </c>
      <c r="T231" s="239">
        <v>0</v>
      </c>
      <c r="U231" s="239">
        <v>0</v>
      </c>
      <c r="V231" s="239">
        <v>0</v>
      </c>
      <c r="W231" s="239">
        <v>426791</v>
      </c>
      <c r="X231" s="239">
        <v>341432</v>
      </c>
      <c r="Y231" s="239">
        <v>76822</v>
      </c>
      <c r="Z231" s="239">
        <v>8536</v>
      </c>
      <c r="AA231" s="239">
        <v>853581</v>
      </c>
      <c r="AB231" s="239">
        <v>-937781</v>
      </c>
      <c r="AC231" s="239">
        <v>-750225</v>
      </c>
      <c r="AD231" s="239">
        <v>-168801</v>
      </c>
      <c r="AE231" s="239">
        <v>-18756</v>
      </c>
      <c r="AF231" s="239">
        <v>-1875563</v>
      </c>
      <c r="AG231" s="239">
        <v>-132458</v>
      </c>
      <c r="AH231" s="239">
        <v>-105967</v>
      </c>
      <c r="AI231" s="239">
        <v>-23842</v>
      </c>
      <c r="AJ231" s="239">
        <v>-2650</v>
      </c>
      <c r="AK231" s="239">
        <v>-264917</v>
      </c>
      <c r="AL231" s="239">
        <v>68316</v>
      </c>
      <c r="AM231" s="239">
        <v>54653</v>
      </c>
      <c r="AN231" s="239">
        <v>12297</v>
      </c>
      <c r="AO231" s="239">
        <v>1366</v>
      </c>
      <c r="AP231" s="239">
        <v>136632</v>
      </c>
      <c r="AQ231" s="239">
        <v>-126456</v>
      </c>
      <c r="AR231" s="239">
        <v>-101165</v>
      </c>
      <c r="AS231" s="239">
        <v>-22762</v>
      </c>
      <c r="AT231" s="239">
        <v>-2529</v>
      </c>
      <c r="AU231" s="239">
        <v>-252912</v>
      </c>
      <c r="AV231" s="239">
        <v>-190598</v>
      </c>
      <c r="AW231" s="239">
        <v>-152479</v>
      </c>
      <c r="AX231" s="239">
        <v>-34307</v>
      </c>
      <c r="AY231" s="239">
        <v>-3813</v>
      </c>
      <c r="AZ231" s="239">
        <v>-381197</v>
      </c>
      <c r="BA231" s="239">
        <v>-2178734</v>
      </c>
      <c r="BB231" s="239">
        <v>-1742988</v>
      </c>
      <c r="BC231" s="239">
        <v>-392173</v>
      </c>
      <c r="BD231" s="239">
        <v>-43575</v>
      </c>
      <c r="BE231" s="239">
        <v>-4357470</v>
      </c>
      <c r="BF231" s="239">
        <v>900696</v>
      </c>
      <c r="BG231" s="239">
        <v>720556</v>
      </c>
      <c r="BH231" s="239">
        <v>162125</v>
      </c>
      <c r="BI231" s="239">
        <v>18014</v>
      </c>
      <c r="BJ231" s="239">
        <v>1801391</v>
      </c>
      <c r="BK231" s="239">
        <v>-538010</v>
      </c>
      <c r="BL231" s="239">
        <v>-430408</v>
      </c>
      <c r="BM231" s="239">
        <v>-96842</v>
      </c>
      <c r="BN231" s="239">
        <v>-10760</v>
      </c>
      <c r="BO231" s="239">
        <v>-1076020</v>
      </c>
      <c r="BP231" s="239">
        <v>-1816048</v>
      </c>
      <c r="BQ231" s="239">
        <v>-1452840</v>
      </c>
      <c r="BR231" s="239">
        <v>-326890</v>
      </c>
      <c r="BS231" s="239">
        <v>-36321</v>
      </c>
      <c r="BT231" s="239">
        <v>-3632099</v>
      </c>
      <c r="BU231" s="239">
        <v>-382011</v>
      </c>
      <c r="BV231" s="239">
        <v>-305609</v>
      </c>
      <c r="BW231" s="239">
        <v>-68762</v>
      </c>
      <c r="BX231" s="239">
        <v>-7640</v>
      </c>
      <c r="BY231" s="239">
        <v>-764022</v>
      </c>
      <c r="BZ231" s="239">
        <v>-94619</v>
      </c>
      <c r="CA231" s="239">
        <v>-75695</v>
      </c>
      <c r="CB231" s="239">
        <v>-17031</v>
      </c>
      <c r="CC231" s="239">
        <v>-1892</v>
      </c>
      <c r="CD231" s="239">
        <v>-189237</v>
      </c>
      <c r="CE231" s="239">
        <v>-287392</v>
      </c>
      <c r="CF231" s="239">
        <v>-229914</v>
      </c>
      <c r="CG231" s="239">
        <v>-51731</v>
      </c>
      <c r="CH231" s="239">
        <v>-5748</v>
      </c>
      <c r="CI231" s="239">
        <v>-574785</v>
      </c>
      <c r="CJ231" s="239">
        <v>19167315</v>
      </c>
      <c r="CK231" s="239">
        <v>15333852</v>
      </c>
      <c r="CL231" s="239">
        <v>3450117</v>
      </c>
      <c r="CM231" s="239">
        <v>383346</v>
      </c>
      <c r="CN231" s="239">
        <v>38334630</v>
      </c>
      <c r="CO231" s="239">
        <v>19474789</v>
      </c>
      <c r="CP231" s="239">
        <v>15579831</v>
      </c>
      <c r="CQ231" s="239">
        <v>3505462</v>
      </c>
      <c r="CR231" s="239">
        <v>389496</v>
      </c>
      <c r="CS231" s="239">
        <v>38949578</v>
      </c>
      <c r="CT231" s="239">
        <v>307474</v>
      </c>
      <c r="CU231" s="239">
        <v>245979</v>
      </c>
      <c r="CV231" s="239">
        <v>55345</v>
      </c>
      <c r="CW231" s="239">
        <v>6150</v>
      </c>
      <c r="CX231" s="239">
        <v>614948</v>
      </c>
      <c r="CY231" s="239">
        <v>20082</v>
      </c>
      <c r="CZ231" s="239">
        <v>16065</v>
      </c>
      <c r="DA231" s="239">
        <v>3614</v>
      </c>
      <c r="DB231" s="239">
        <v>402</v>
      </c>
      <c r="DC231" s="239">
        <v>40163</v>
      </c>
      <c r="DD231" s="641">
        <v>0.5</v>
      </c>
      <c r="DE231" s="641">
        <v>0.4</v>
      </c>
      <c r="DF231" s="641">
        <v>0.09</v>
      </c>
      <c r="DG231" s="641">
        <v>0.01</v>
      </c>
      <c r="DH231" s="641">
        <v>1</v>
      </c>
      <c r="DI231" s="214" t="s">
        <v>1190</v>
      </c>
    </row>
    <row r="232" spans="2:113" s="214" customFormat="1" x14ac:dyDescent="0.2">
      <c r="B232" s="609" t="s">
        <v>546</v>
      </c>
      <c r="C232" s="609" t="s">
        <v>545</v>
      </c>
      <c r="D232" s="239">
        <v>33040457</v>
      </c>
      <c r="E232" s="239">
        <v>32379647</v>
      </c>
      <c r="F232" s="239">
        <v>0</v>
      </c>
      <c r="G232" s="239">
        <v>660809</v>
      </c>
      <c r="H232" s="239">
        <v>66080913</v>
      </c>
      <c r="I232" s="239">
        <v>0</v>
      </c>
      <c r="J232" s="239">
        <v>0</v>
      </c>
      <c r="K232" s="239">
        <v>33040457</v>
      </c>
      <c r="L232" s="239">
        <v>328553</v>
      </c>
      <c r="M232" s="239">
        <v>328553</v>
      </c>
      <c r="N232" s="239">
        <v>0</v>
      </c>
      <c r="O232" s="239">
        <v>0</v>
      </c>
      <c r="P232" s="239">
        <v>0</v>
      </c>
      <c r="Q232" s="239">
        <v>0</v>
      </c>
      <c r="R232" s="239">
        <v>0</v>
      </c>
      <c r="S232" s="239">
        <v>0</v>
      </c>
      <c r="T232" s="239">
        <v>0</v>
      </c>
      <c r="U232" s="239">
        <v>0</v>
      </c>
      <c r="V232" s="239">
        <v>0</v>
      </c>
      <c r="W232" s="239">
        <v>1043121</v>
      </c>
      <c r="X232" s="239">
        <v>1022259</v>
      </c>
      <c r="Y232" s="239">
        <v>0</v>
      </c>
      <c r="Z232" s="239">
        <v>20862</v>
      </c>
      <c r="AA232" s="239">
        <v>2086242</v>
      </c>
      <c r="AB232" s="239">
        <v>-776119</v>
      </c>
      <c r="AC232" s="239">
        <v>-760596</v>
      </c>
      <c r="AD232" s="239">
        <v>0</v>
      </c>
      <c r="AE232" s="239">
        <v>-15522</v>
      </c>
      <c r="AF232" s="239">
        <v>-1552237</v>
      </c>
      <c r="AG232" s="239">
        <v>-435050</v>
      </c>
      <c r="AH232" s="239">
        <v>-426349</v>
      </c>
      <c r="AI232" s="239">
        <v>0</v>
      </c>
      <c r="AJ232" s="239">
        <v>-8701</v>
      </c>
      <c r="AK232" s="239">
        <v>-870100</v>
      </c>
      <c r="AL232" s="239">
        <v>411755</v>
      </c>
      <c r="AM232" s="239">
        <v>403519</v>
      </c>
      <c r="AN232" s="239">
        <v>0</v>
      </c>
      <c r="AO232" s="239">
        <v>8235</v>
      </c>
      <c r="AP232" s="239">
        <v>823509</v>
      </c>
      <c r="AQ232" s="239">
        <v>-614455</v>
      </c>
      <c r="AR232" s="239">
        <v>-602165</v>
      </c>
      <c r="AS232" s="239">
        <v>0</v>
      </c>
      <c r="AT232" s="239">
        <v>-12289</v>
      </c>
      <c r="AU232" s="239">
        <v>-1228909</v>
      </c>
      <c r="AV232" s="239">
        <v>-637750</v>
      </c>
      <c r="AW232" s="239">
        <v>-624995</v>
      </c>
      <c r="AX232" s="239">
        <v>0</v>
      </c>
      <c r="AY232" s="239">
        <v>-12755</v>
      </c>
      <c r="AZ232" s="239">
        <v>-1275500</v>
      </c>
      <c r="BA232" s="239">
        <v>-7963950</v>
      </c>
      <c r="BB232" s="239">
        <v>-7804671</v>
      </c>
      <c r="BC232" s="239">
        <v>0</v>
      </c>
      <c r="BD232" s="239">
        <v>-159279</v>
      </c>
      <c r="BE232" s="239">
        <v>-15927900</v>
      </c>
      <c r="BF232" s="239">
        <v>1134327</v>
      </c>
      <c r="BG232" s="239">
        <v>1111640</v>
      </c>
      <c r="BH232" s="239">
        <v>0</v>
      </c>
      <c r="BI232" s="239">
        <v>22687</v>
      </c>
      <c r="BJ232" s="239">
        <v>2268654</v>
      </c>
      <c r="BK232" s="239">
        <v>-3223377</v>
      </c>
      <c r="BL232" s="239">
        <v>-3158909</v>
      </c>
      <c r="BM232" s="239">
        <v>0</v>
      </c>
      <c r="BN232" s="239">
        <v>-64468</v>
      </c>
      <c r="BO232" s="239">
        <v>-6446754</v>
      </c>
      <c r="BP232" s="239">
        <v>-10053000</v>
      </c>
      <c r="BQ232" s="239">
        <v>-9851940</v>
      </c>
      <c r="BR232" s="239">
        <v>0</v>
      </c>
      <c r="BS232" s="239">
        <v>-201060</v>
      </c>
      <c r="BT232" s="239">
        <v>-20106000</v>
      </c>
      <c r="BU232" s="239">
        <v>213578</v>
      </c>
      <c r="BV232" s="239">
        <v>209306</v>
      </c>
      <c r="BW232" s="239">
        <v>0</v>
      </c>
      <c r="BX232" s="239">
        <v>4272</v>
      </c>
      <c r="BY232" s="239">
        <v>427156</v>
      </c>
      <c r="BZ232" s="239">
        <v>1432268</v>
      </c>
      <c r="CA232" s="239">
        <v>1403622</v>
      </c>
      <c r="CB232" s="239">
        <v>0</v>
      </c>
      <c r="CC232" s="239">
        <v>28645</v>
      </c>
      <c r="CD232" s="239">
        <v>2864535</v>
      </c>
      <c r="CE232" s="239">
        <v>-1218690</v>
      </c>
      <c r="CF232" s="239">
        <v>-1194316</v>
      </c>
      <c r="CG232" s="239">
        <v>0</v>
      </c>
      <c r="CH232" s="239">
        <v>-24373</v>
      </c>
      <c r="CI232" s="239">
        <v>-2437379</v>
      </c>
      <c r="CJ232" s="239">
        <v>33648021</v>
      </c>
      <c r="CK232" s="239">
        <v>32975060</v>
      </c>
      <c r="CL232" s="239">
        <v>0</v>
      </c>
      <c r="CM232" s="239">
        <v>672960</v>
      </c>
      <c r="CN232" s="239">
        <v>67296041</v>
      </c>
      <c r="CO232" s="239">
        <v>33040457</v>
      </c>
      <c r="CP232" s="239">
        <v>32379647</v>
      </c>
      <c r="CQ232" s="239">
        <v>0</v>
      </c>
      <c r="CR232" s="239">
        <v>660809</v>
      </c>
      <c r="CS232" s="239">
        <v>66080913</v>
      </c>
      <c r="CT232" s="239">
        <v>-607564</v>
      </c>
      <c r="CU232" s="239">
        <v>-595413</v>
      </c>
      <c r="CV232" s="239">
        <v>0</v>
      </c>
      <c r="CW232" s="239">
        <v>-12151</v>
      </c>
      <c r="CX232" s="239">
        <v>-1215128</v>
      </c>
      <c r="CY232" s="239">
        <v>-1826254</v>
      </c>
      <c r="CZ232" s="239">
        <v>-1789729</v>
      </c>
      <c r="DA232" s="239">
        <v>0</v>
      </c>
      <c r="DB232" s="239">
        <v>-36524</v>
      </c>
      <c r="DC232" s="239">
        <v>-3652507</v>
      </c>
      <c r="DD232" s="641">
        <v>0.5</v>
      </c>
      <c r="DE232" s="641">
        <v>0.49</v>
      </c>
      <c r="DF232" s="641">
        <v>0</v>
      </c>
      <c r="DG232" s="641">
        <v>0.01</v>
      </c>
      <c r="DH232" s="641">
        <v>1</v>
      </c>
      <c r="DI232" s="214" t="s">
        <v>1192</v>
      </c>
    </row>
    <row r="233" spans="2:113" s="214" customFormat="1" x14ac:dyDescent="0.2">
      <c r="B233" s="609" t="s">
        <v>548</v>
      </c>
      <c r="C233" s="609" t="s">
        <v>547</v>
      </c>
      <c r="D233" s="239">
        <v>17202322</v>
      </c>
      <c r="E233" s="239">
        <v>13761858</v>
      </c>
      <c r="F233" s="239">
        <v>3096418</v>
      </c>
      <c r="G233" s="239">
        <v>344046</v>
      </c>
      <c r="H233" s="239">
        <v>34404644</v>
      </c>
      <c r="I233" s="239">
        <v>0</v>
      </c>
      <c r="J233" s="239">
        <v>0</v>
      </c>
      <c r="K233" s="239">
        <v>17202322</v>
      </c>
      <c r="L233" s="239">
        <v>118443</v>
      </c>
      <c r="M233" s="239">
        <v>118443</v>
      </c>
      <c r="N233" s="239">
        <v>0</v>
      </c>
      <c r="O233" s="239">
        <v>0</v>
      </c>
      <c r="P233" s="239">
        <v>6421601</v>
      </c>
      <c r="Q233" s="239">
        <v>0</v>
      </c>
      <c r="R233" s="239">
        <v>6421601</v>
      </c>
      <c r="S233" s="239">
        <v>0</v>
      </c>
      <c r="T233" s="239">
        <v>0</v>
      </c>
      <c r="U233" s="239">
        <v>0</v>
      </c>
      <c r="V233" s="239">
        <v>0</v>
      </c>
      <c r="W233" s="239">
        <v>580547</v>
      </c>
      <c r="X233" s="239">
        <v>464438</v>
      </c>
      <c r="Y233" s="239">
        <v>104498</v>
      </c>
      <c r="Z233" s="239">
        <v>11611</v>
      </c>
      <c r="AA233" s="239">
        <v>1161094</v>
      </c>
      <c r="AB233" s="239">
        <v>-297616</v>
      </c>
      <c r="AC233" s="239">
        <v>-238093</v>
      </c>
      <c r="AD233" s="239">
        <v>-53571</v>
      </c>
      <c r="AE233" s="239">
        <v>-5952</v>
      </c>
      <c r="AF233" s="239">
        <v>-595232</v>
      </c>
      <c r="AG233" s="239">
        <v>-271161</v>
      </c>
      <c r="AH233" s="239">
        <v>-216930</v>
      </c>
      <c r="AI233" s="239">
        <v>-48809</v>
      </c>
      <c r="AJ233" s="239">
        <v>-5423</v>
      </c>
      <c r="AK233" s="239">
        <v>-542323</v>
      </c>
      <c r="AL233" s="239">
        <v>121680</v>
      </c>
      <c r="AM233" s="239">
        <v>97345</v>
      </c>
      <c r="AN233" s="239">
        <v>21903</v>
      </c>
      <c r="AO233" s="239">
        <v>2434</v>
      </c>
      <c r="AP233" s="239">
        <v>243362</v>
      </c>
      <c r="AQ233" s="239">
        <v>-64169</v>
      </c>
      <c r="AR233" s="239">
        <v>-51336</v>
      </c>
      <c r="AS233" s="239">
        <v>-11551</v>
      </c>
      <c r="AT233" s="239">
        <v>-1283</v>
      </c>
      <c r="AU233" s="239">
        <v>-128339</v>
      </c>
      <c r="AV233" s="239">
        <v>-213650</v>
      </c>
      <c r="AW233" s="239">
        <v>-170921</v>
      </c>
      <c r="AX233" s="239">
        <v>-38457</v>
      </c>
      <c r="AY233" s="239">
        <v>-4272</v>
      </c>
      <c r="AZ233" s="239">
        <v>-427300</v>
      </c>
      <c r="BA233" s="239">
        <v>-2035462</v>
      </c>
      <c r="BB233" s="239">
        <v>-1628371</v>
      </c>
      <c r="BC233" s="239">
        <v>-366383</v>
      </c>
      <c r="BD233" s="239">
        <v>-40710</v>
      </c>
      <c r="BE233" s="239">
        <v>-4070926</v>
      </c>
      <c r="BF233" s="239">
        <v>880874</v>
      </c>
      <c r="BG233" s="239">
        <v>704698</v>
      </c>
      <c r="BH233" s="239">
        <v>158557</v>
      </c>
      <c r="BI233" s="239">
        <v>17617</v>
      </c>
      <c r="BJ233" s="239">
        <v>1761746</v>
      </c>
      <c r="BK233" s="239">
        <v>-752709</v>
      </c>
      <c r="BL233" s="239">
        <v>-602166</v>
      </c>
      <c r="BM233" s="239">
        <v>-135487</v>
      </c>
      <c r="BN233" s="239">
        <v>-15054</v>
      </c>
      <c r="BO233" s="239">
        <v>-1505416</v>
      </c>
      <c r="BP233" s="239">
        <v>-1907297</v>
      </c>
      <c r="BQ233" s="239">
        <v>-1525839</v>
      </c>
      <c r="BR233" s="239">
        <v>-343313</v>
      </c>
      <c r="BS233" s="239">
        <v>-38147</v>
      </c>
      <c r="BT233" s="239">
        <v>-3814596</v>
      </c>
      <c r="BU233" s="239">
        <v>-5347574</v>
      </c>
      <c r="BV233" s="239">
        <v>-4278058</v>
      </c>
      <c r="BW233" s="239">
        <v>-962563</v>
      </c>
      <c r="BX233" s="239">
        <v>-106951</v>
      </c>
      <c r="BY233" s="239">
        <v>-10695146</v>
      </c>
      <c r="BZ233" s="239">
        <v>-3708643</v>
      </c>
      <c r="CA233" s="239">
        <v>-2966914</v>
      </c>
      <c r="CB233" s="239">
        <v>-667556</v>
      </c>
      <c r="CC233" s="239">
        <v>-74173</v>
      </c>
      <c r="CD233" s="239">
        <v>-7417286</v>
      </c>
      <c r="CE233" s="239">
        <v>-1638931</v>
      </c>
      <c r="CF233" s="239">
        <v>-1311144</v>
      </c>
      <c r="CG233" s="239">
        <v>-295007</v>
      </c>
      <c r="CH233" s="239">
        <v>-32778</v>
      </c>
      <c r="CI233" s="239">
        <v>-3277860</v>
      </c>
      <c r="CJ233" s="239">
        <v>16305911</v>
      </c>
      <c r="CK233" s="239">
        <v>13044729</v>
      </c>
      <c r="CL233" s="239">
        <v>2935064</v>
      </c>
      <c r="CM233" s="239">
        <v>326118</v>
      </c>
      <c r="CN233" s="239">
        <v>32611822</v>
      </c>
      <c r="CO233" s="239">
        <v>17202322</v>
      </c>
      <c r="CP233" s="239">
        <v>13761858</v>
      </c>
      <c r="CQ233" s="239">
        <v>3096418</v>
      </c>
      <c r="CR233" s="239">
        <v>344046</v>
      </c>
      <c r="CS233" s="239">
        <v>34404644</v>
      </c>
      <c r="CT233" s="239">
        <v>896411</v>
      </c>
      <c r="CU233" s="239">
        <v>717129</v>
      </c>
      <c r="CV233" s="239">
        <v>161354</v>
      </c>
      <c r="CW233" s="239">
        <v>17928</v>
      </c>
      <c r="CX233" s="239">
        <v>1792822</v>
      </c>
      <c r="CY233" s="239">
        <v>-742520</v>
      </c>
      <c r="CZ233" s="239">
        <v>-594015</v>
      </c>
      <c r="DA233" s="239">
        <v>-133653</v>
      </c>
      <c r="DB233" s="239">
        <v>-14850</v>
      </c>
      <c r="DC233" s="239">
        <v>-1485038</v>
      </c>
      <c r="DD233" s="641">
        <v>0.5</v>
      </c>
      <c r="DE233" s="641">
        <v>0.4</v>
      </c>
      <c r="DF233" s="641">
        <v>0.09</v>
      </c>
      <c r="DG233" s="641">
        <v>0.01</v>
      </c>
      <c r="DH233" s="641">
        <v>1</v>
      </c>
      <c r="DI233" s="214" t="s">
        <v>1190</v>
      </c>
    </row>
    <row r="234" spans="2:113" s="214" customFormat="1" x14ac:dyDescent="0.2">
      <c r="B234" s="609" t="s">
        <v>550</v>
      </c>
      <c r="C234" s="609" t="s">
        <v>549</v>
      </c>
      <c r="D234" s="239">
        <v>18050259</v>
      </c>
      <c r="E234" s="239">
        <v>14440208</v>
      </c>
      <c r="F234" s="239">
        <v>3249047</v>
      </c>
      <c r="G234" s="239">
        <v>361005</v>
      </c>
      <c r="H234" s="239">
        <v>36100519</v>
      </c>
      <c r="I234" s="239">
        <v>0</v>
      </c>
      <c r="J234" s="239">
        <v>0</v>
      </c>
      <c r="K234" s="239">
        <v>18050259</v>
      </c>
      <c r="L234" s="239">
        <v>165079</v>
      </c>
      <c r="M234" s="239">
        <v>165079</v>
      </c>
      <c r="N234" s="239">
        <v>0</v>
      </c>
      <c r="O234" s="239">
        <v>0</v>
      </c>
      <c r="P234" s="239">
        <v>0</v>
      </c>
      <c r="Q234" s="239">
        <v>0</v>
      </c>
      <c r="R234" s="239">
        <v>0</v>
      </c>
      <c r="S234" s="239">
        <v>0</v>
      </c>
      <c r="T234" s="239">
        <v>0</v>
      </c>
      <c r="U234" s="239">
        <v>0</v>
      </c>
      <c r="V234" s="239">
        <v>0</v>
      </c>
      <c r="W234" s="239">
        <v>868350</v>
      </c>
      <c r="X234" s="239">
        <v>694680</v>
      </c>
      <c r="Y234" s="239">
        <v>156303</v>
      </c>
      <c r="Z234" s="239">
        <v>17367</v>
      </c>
      <c r="AA234" s="239">
        <v>1736700</v>
      </c>
      <c r="AB234" s="239">
        <v>-757768</v>
      </c>
      <c r="AC234" s="239">
        <v>-606214</v>
      </c>
      <c r="AD234" s="239">
        <v>-136398</v>
      </c>
      <c r="AE234" s="239">
        <v>-15155</v>
      </c>
      <c r="AF234" s="239">
        <v>-1515535</v>
      </c>
      <c r="AG234" s="239">
        <v>-406100</v>
      </c>
      <c r="AH234" s="239">
        <v>-324880</v>
      </c>
      <c r="AI234" s="239">
        <v>-73098</v>
      </c>
      <c r="AJ234" s="239">
        <v>-8122</v>
      </c>
      <c r="AK234" s="239">
        <v>-812200</v>
      </c>
      <c r="AL234" s="239">
        <v>109793</v>
      </c>
      <c r="AM234" s="239">
        <v>87834</v>
      </c>
      <c r="AN234" s="239">
        <v>19763</v>
      </c>
      <c r="AO234" s="239">
        <v>2196</v>
      </c>
      <c r="AP234" s="239">
        <v>219586</v>
      </c>
      <c r="AQ234" s="239">
        <v>-97143</v>
      </c>
      <c r="AR234" s="239">
        <v>-77714</v>
      </c>
      <c r="AS234" s="239">
        <v>-17486</v>
      </c>
      <c r="AT234" s="239">
        <v>-1943</v>
      </c>
      <c r="AU234" s="239">
        <v>-194286</v>
      </c>
      <c r="AV234" s="239">
        <v>-393450</v>
      </c>
      <c r="AW234" s="239">
        <v>-314760</v>
      </c>
      <c r="AX234" s="239">
        <v>-70821</v>
      </c>
      <c r="AY234" s="239">
        <v>-7869</v>
      </c>
      <c r="AZ234" s="239">
        <v>-786900</v>
      </c>
      <c r="BA234" s="239">
        <v>-3169794</v>
      </c>
      <c r="BB234" s="239">
        <v>-2535836</v>
      </c>
      <c r="BC234" s="239">
        <v>-570564</v>
      </c>
      <c r="BD234" s="239">
        <v>-63396</v>
      </c>
      <c r="BE234" s="239">
        <v>-6339590</v>
      </c>
      <c r="BF234" s="239">
        <v>358067</v>
      </c>
      <c r="BG234" s="239">
        <v>286454</v>
      </c>
      <c r="BH234" s="239">
        <v>64452</v>
      </c>
      <c r="BI234" s="239">
        <v>7161</v>
      </c>
      <c r="BJ234" s="239">
        <v>716134</v>
      </c>
      <c r="BK234" s="239">
        <v>-274117</v>
      </c>
      <c r="BL234" s="239">
        <v>-219293</v>
      </c>
      <c r="BM234" s="239">
        <v>-49341</v>
      </c>
      <c r="BN234" s="239">
        <v>-5482</v>
      </c>
      <c r="BO234" s="239">
        <v>-548233</v>
      </c>
      <c r="BP234" s="239">
        <v>-3085844</v>
      </c>
      <c r="BQ234" s="239">
        <v>-2468675</v>
      </c>
      <c r="BR234" s="239">
        <v>-555453</v>
      </c>
      <c r="BS234" s="239">
        <v>-61717</v>
      </c>
      <c r="BT234" s="239">
        <v>-6171689</v>
      </c>
      <c r="BU234" s="239">
        <v>-1601977</v>
      </c>
      <c r="BV234" s="239">
        <v>-1281582</v>
      </c>
      <c r="BW234" s="239">
        <v>-288356</v>
      </c>
      <c r="BX234" s="239">
        <v>-32040</v>
      </c>
      <c r="BY234" s="239">
        <v>-3203955</v>
      </c>
      <c r="BZ234" s="239">
        <v>-1683373</v>
      </c>
      <c r="CA234" s="239">
        <v>-1346698</v>
      </c>
      <c r="CB234" s="239">
        <v>-303007</v>
      </c>
      <c r="CC234" s="239">
        <v>-33667</v>
      </c>
      <c r="CD234" s="239">
        <v>-3366745</v>
      </c>
      <c r="CE234" s="239">
        <v>81396</v>
      </c>
      <c r="CF234" s="239">
        <v>65116</v>
      </c>
      <c r="CG234" s="239">
        <v>14651</v>
      </c>
      <c r="CH234" s="239">
        <v>1627</v>
      </c>
      <c r="CI234" s="239">
        <v>162790</v>
      </c>
      <c r="CJ234" s="239">
        <v>18367592</v>
      </c>
      <c r="CK234" s="239">
        <v>14694074</v>
      </c>
      <c r="CL234" s="239">
        <v>3306167</v>
      </c>
      <c r="CM234" s="239">
        <v>367352</v>
      </c>
      <c r="CN234" s="239">
        <v>36735185</v>
      </c>
      <c r="CO234" s="239">
        <v>18050259</v>
      </c>
      <c r="CP234" s="239">
        <v>14440208</v>
      </c>
      <c r="CQ234" s="239">
        <v>3249047</v>
      </c>
      <c r="CR234" s="239">
        <v>361005</v>
      </c>
      <c r="CS234" s="239">
        <v>36100519</v>
      </c>
      <c r="CT234" s="239">
        <v>-317333</v>
      </c>
      <c r="CU234" s="239">
        <v>-253866</v>
      </c>
      <c r="CV234" s="239">
        <v>-57120</v>
      </c>
      <c r="CW234" s="239">
        <v>-6347</v>
      </c>
      <c r="CX234" s="239">
        <v>-634666</v>
      </c>
      <c r="CY234" s="239">
        <v>-235937</v>
      </c>
      <c r="CZ234" s="239">
        <v>-188750</v>
      </c>
      <c r="DA234" s="239">
        <v>-42469</v>
      </c>
      <c r="DB234" s="239">
        <v>-4720</v>
      </c>
      <c r="DC234" s="239">
        <v>-471876</v>
      </c>
      <c r="DD234" s="641">
        <v>0.5</v>
      </c>
      <c r="DE234" s="641">
        <v>0.4</v>
      </c>
      <c r="DF234" s="641">
        <v>0.09</v>
      </c>
      <c r="DG234" s="641">
        <v>0.01</v>
      </c>
      <c r="DH234" s="641">
        <v>1</v>
      </c>
      <c r="DI234" s="214" t="s">
        <v>1190</v>
      </c>
    </row>
    <row r="235" spans="2:113" s="214" customFormat="1" x14ac:dyDescent="0.2">
      <c r="B235" s="609" t="s">
        <v>552</v>
      </c>
      <c r="C235" s="609" t="s">
        <v>551</v>
      </c>
      <c r="D235" s="239">
        <v>103767618</v>
      </c>
      <c r="E235" s="239">
        <v>101692266</v>
      </c>
      <c r="F235" s="239">
        <v>0</v>
      </c>
      <c r="G235" s="239">
        <v>2075352</v>
      </c>
      <c r="H235" s="239">
        <v>207535236</v>
      </c>
      <c r="I235" s="239">
        <v>55795.454545454544</v>
      </c>
      <c r="J235" s="239">
        <v>55795.454545454544</v>
      </c>
      <c r="K235" s="239">
        <v>103711822.54545455</v>
      </c>
      <c r="L235" s="239">
        <v>777710</v>
      </c>
      <c r="M235" s="239">
        <v>777710</v>
      </c>
      <c r="N235" s="239">
        <v>783107</v>
      </c>
      <c r="O235" s="239">
        <v>783107</v>
      </c>
      <c r="P235" s="239">
        <v>1068550</v>
      </c>
      <c r="Q235" s="239">
        <v>0</v>
      </c>
      <c r="R235" s="239">
        <v>1068550</v>
      </c>
      <c r="S235" s="239">
        <v>55795.454545454544</v>
      </c>
      <c r="T235" s="239">
        <v>0</v>
      </c>
      <c r="U235" s="239">
        <v>0</v>
      </c>
      <c r="V235" s="239">
        <v>55795.454545454544</v>
      </c>
      <c r="W235" s="239">
        <v>6912423</v>
      </c>
      <c r="X235" s="239">
        <v>6774175</v>
      </c>
      <c r="Y235" s="239">
        <v>0</v>
      </c>
      <c r="Z235" s="239">
        <v>138248</v>
      </c>
      <c r="AA235" s="239">
        <v>13824846</v>
      </c>
      <c r="AB235" s="239">
        <v>-2439205</v>
      </c>
      <c r="AC235" s="239">
        <v>-2390421</v>
      </c>
      <c r="AD235" s="239">
        <v>0</v>
      </c>
      <c r="AE235" s="239">
        <v>-48784</v>
      </c>
      <c r="AF235" s="239">
        <v>-4878410</v>
      </c>
      <c r="AG235" s="239">
        <v>-3760500</v>
      </c>
      <c r="AH235" s="239">
        <v>-3685290</v>
      </c>
      <c r="AI235" s="239">
        <v>0</v>
      </c>
      <c r="AJ235" s="239">
        <v>-75210</v>
      </c>
      <c r="AK235" s="239">
        <v>-7521000</v>
      </c>
      <c r="AL235" s="239">
        <v>712452</v>
      </c>
      <c r="AM235" s="239">
        <v>698203</v>
      </c>
      <c r="AN235" s="239">
        <v>0</v>
      </c>
      <c r="AO235" s="239">
        <v>14249</v>
      </c>
      <c r="AP235" s="239">
        <v>1424904</v>
      </c>
      <c r="AQ235" s="239">
        <v>-1853785</v>
      </c>
      <c r="AR235" s="239">
        <v>-1816709</v>
      </c>
      <c r="AS235" s="239">
        <v>0</v>
      </c>
      <c r="AT235" s="239">
        <v>-37076</v>
      </c>
      <c r="AU235" s="239">
        <v>-3707570</v>
      </c>
      <c r="AV235" s="239">
        <v>-4901833</v>
      </c>
      <c r="AW235" s="239">
        <v>-4803796</v>
      </c>
      <c r="AX235" s="239">
        <v>0</v>
      </c>
      <c r="AY235" s="239">
        <v>-98037</v>
      </c>
      <c r="AZ235" s="239">
        <v>-9803666</v>
      </c>
      <c r="BA235" s="239">
        <v>-11948103</v>
      </c>
      <c r="BB235" s="239">
        <v>-11709142</v>
      </c>
      <c r="BC235" s="239">
        <v>0</v>
      </c>
      <c r="BD235" s="239">
        <v>-238962</v>
      </c>
      <c r="BE235" s="239">
        <v>-23896207</v>
      </c>
      <c r="BF235" s="239">
        <v>3750688</v>
      </c>
      <c r="BG235" s="239">
        <v>3675675</v>
      </c>
      <c r="BH235" s="239">
        <v>0</v>
      </c>
      <c r="BI235" s="239">
        <v>75014</v>
      </c>
      <c r="BJ235" s="239">
        <v>7501377</v>
      </c>
      <c r="BK235" s="239">
        <v>-5421694</v>
      </c>
      <c r="BL235" s="239">
        <v>-5313260</v>
      </c>
      <c r="BM235" s="239">
        <v>0</v>
      </c>
      <c r="BN235" s="239">
        <v>-108434</v>
      </c>
      <c r="BO235" s="239">
        <v>-10843388</v>
      </c>
      <c r="BP235" s="239">
        <v>-13619109</v>
      </c>
      <c r="BQ235" s="239">
        <v>-13346727</v>
      </c>
      <c r="BR235" s="239">
        <v>0</v>
      </c>
      <c r="BS235" s="239">
        <v>-272382</v>
      </c>
      <c r="BT235" s="239">
        <v>-27238218</v>
      </c>
      <c r="BU235" s="239">
        <v>-8640014</v>
      </c>
      <c r="BV235" s="239">
        <v>-8467214</v>
      </c>
      <c r="BW235" s="239">
        <v>0</v>
      </c>
      <c r="BX235" s="239">
        <v>-172800</v>
      </c>
      <c r="BY235" s="239">
        <v>-17280028</v>
      </c>
      <c r="BZ235" s="239">
        <v>-4992848</v>
      </c>
      <c r="CA235" s="239">
        <v>-4892991</v>
      </c>
      <c r="CB235" s="239">
        <v>0</v>
      </c>
      <c r="CC235" s="239">
        <v>-99857</v>
      </c>
      <c r="CD235" s="239">
        <v>-9985696</v>
      </c>
      <c r="CE235" s="239">
        <v>-3647166</v>
      </c>
      <c r="CF235" s="239">
        <v>-3574223</v>
      </c>
      <c r="CG235" s="239">
        <v>0</v>
      </c>
      <c r="CH235" s="239">
        <v>-72943</v>
      </c>
      <c r="CI235" s="239">
        <v>-7294332</v>
      </c>
      <c r="CJ235" s="239">
        <v>107564488</v>
      </c>
      <c r="CK235" s="239">
        <v>105413199</v>
      </c>
      <c r="CL235" s="239">
        <v>0</v>
      </c>
      <c r="CM235" s="239">
        <v>2151290</v>
      </c>
      <c r="CN235" s="239">
        <v>215128977</v>
      </c>
      <c r="CO235" s="239">
        <v>103767618</v>
      </c>
      <c r="CP235" s="239">
        <v>101692266</v>
      </c>
      <c r="CQ235" s="239">
        <v>0</v>
      </c>
      <c r="CR235" s="239">
        <v>2075352</v>
      </c>
      <c r="CS235" s="239">
        <v>207535236</v>
      </c>
      <c r="CT235" s="239">
        <v>-3796870</v>
      </c>
      <c r="CU235" s="239">
        <v>-3720933</v>
      </c>
      <c r="CV235" s="239">
        <v>0</v>
      </c>
      <c r="CW235" s="239">
        <v>-75938</v>
      </c>
      <c r="CX235" s="239">
        <v>-7593741</v>
      </c>
      <c r="CY235" s="239">
        <v>-7444036</v>
      </c>
      <c r="CZ235" s="239">
        <v>-7295156</v>
      </c>
      <c r="DA235" s="239">
        <v>0</v>
      </c>
      <c r="DB235" s="239">
        <v>-148881</v>
      </c>
      <c r="DC235" s="239">
        <v>-14888073</v>
      </c>
      <c r="DD235" s="641">
        <v>0.5</v>
      </c>
      <c r="DE235" s="641">
        <v>0.49</v>
      </c>
      <c r="DF235" s="641">
        <v>0</v>
      </c>
      <c r="DG235" s="641">
        <v>0.01</v>
      </c>
      <c r="DH235" s="641">
        <v>1</v>
      </c>
      <c r="DI235" s="214" t="s">
        <v>1192</v>
      </c>
    </row>
    <row r="236" spans="2:113" s="214" customFormat="1" x14ac:dyDescent="0.2">
      <c r="B236" s="609" t="s">
        <v>554</v>
      </c>
      <c r="C236" s="609" t="s">
        <v>553</v>
      </c>
      <c r="D236" s="239">
        <v>14226841</v>
      </c>
      <c r="E236" s="239">
        <v>11381474</v>
      </c>
      <c r="F236" s="239">
        <v>2560832</v>
      </c>
      <c r="G236" s="239">
        <v>284537</v>
      </c>
      <c r="H236" s="239">
        <v>28453684</v>
      </c>
      <c r="I236" s="239">
        <v>0</v>
      </c>
      <c r="J236" s="239">
        <v>0</v>
      </c>
      <c r="K236" s="239">
        <v>14226841</v>
      </c>
      <c r="L236" s="239">
        <v>149886</v>
      </c>
      <c r="M236" s="239">
        <v>149886</v>
      </c>
      <c r="N236" s="239">
        <v>0</v>
      </c>
      <c r="O236" s="239">
        <v>0</v>
      </c>
      <c r="P236" s="239">
        <v>0</v>
      </c>
      <c r="Q236" s="239">
        <v>0</v>
      </c>
      <c r="R236" s="239">
        <v>0</v>
      </c>
      <c r="S236" s="239">
        <v>0</v>
      </c>
      <c r="T236" s="239">
        <v>0</v>
      </c>
      <c r="U236" s="239">
        <v>0</v>
      </c>
      <c r="V236" s="239">
        <v>0</v>
      </c>
      <c r="W236" s="239">
        <v>366418</v>
      </c>
      <c r="X236" s="239">
        <v>293134</v>
      </c>
      <c r="Y236" s="239">
        <v>65955</v>
      </c>
      <c r="Z236" s="239">
        <v>7328</v>
      </c>
      <c r="AA236" s="239">
        <v>732835</v>
      </c>
      <c r="AB236" s="239">
        <v>-322183</v>
      </c>
      <c r="AC236" s="239">
        <v>-257746</v>
      </c>
      <c r="AD236" s="239">
        <v>-57993</v>
      </c>
      <c r="AE236" s="239">
        <v>-6444</v>
      </c>
      <c r="AF236" s="239">
        <v>-644366</v>
      </c>
      <c r="AG236" s="239">
        <v>-119882</v>
      </c>
      <c r="AH236" s="239">
        <v>-95905</v>
      </c>
      <c r="AI236" s="239">
        <v>-21579</v>
      </c>
      <c r="AJ236" s="239">
        <v>-2397</v>
      </c>
      <c r="AK236" s="239">
        <v>-239763</v>
      </c>
      <c r="AL236" s="239">
        <v>67828</v>
      </c>
      <c r="AM236" s="239">
        <v>54263</v>
      </c>
      <c r="AN236" s="239">
        <v>12209</v>
      </c>
      <c r="AO236" s="239">
        <v>1357</v>
      </c>
      <c r="AP236" s="239">
        <v>135657</v>
      </c>
      <c r="AQ236" s="239">
        <v>-71250</v>
      </c>
      <c r="AR236" s="239">
        <v>-57000</v>
      </c>
      <c r="AS236" s="239">
        <v>-12825</v>
      </c>
      <c r="AT236" s="239">
        <v>-1425</v>
      </c>
      <c r="AU236" s="239">
        <v>-142500</v>
      </c>
      <c r="AV236" s="239">
        <v>-123304</v>
      </c>
      <c r="AW236" s="239">
        <v>-98642</v>
      </c>
      <c r="AX236" s="239">
        <v>-22195</v>
      </c>
      <c r="AY236" s="239">
        <v>-2465</v>
      </c>
      <c r="AZ236" s="239">
        <v>-246606</v>
      </c>
      <c r="BA236" s="239">
        <v>-1596831</v>
      </c>
      <c r="BB236" s="239">
        <v>-1277466</v>
      </c>
      <c r="BC236" s="239">
        <v>-287430</v>
      </c>
      <c r="BD236" s="239">
        <v>-31937</v>
      </c>
      <c r="BE236" s="239">
        <v>-3193664</v>
      </c>
      <c r="BF236" s="239">
        <v>461603</v>
      </c>
      <c r="BG236" s="239">
        <v>369282</v>
      </c>
      <c r="BH236" s="239">
        <v>83088</v>
      </c>
      <c r="BI236" s="239">
        <v>9232</v>
      </c>
      <c r="BJ236" s="239">
        <v>923205</v>
      </c>
      <c r="BK236" s="239">
        <v>-466050</v>
      </c>
      <c r="BL236" s="239">
        <v>-372840</v>
      </c>
      <c r="BM236" s="239">
        <v>-83889</v>
      </c>
      <c r="BN236" s="239">
        <v>-9321</v>
      </c>
      <c r="BO236" s="239">
        <v>-932100</v>
      </c>
      <c r="BP236" s="239">
        <v>-1601278</v>
      </c>
      <c r="BQ236" s="239">
        <v>-1281024</v>
      </c>
      <c r="BR236" s="239">
        <v>-288231</v>
      </c>
      <c r="BS236" s="239">
        <v>-32026</v>
      </c>
      <c r="BT236" s="239">
        <v>-3202559</v>
      </c>
      <c r="BU236" s="239">
        <v>-151508</v>
      </c>
      <c r="BV236" s="239">
        <v>-121206</v>
      </c>
      <c r="BW236" s="239">
        <v>-27271</v>
      </c>
      <c r="BX236" s="239">
        <v>-3030</v>
      </c>
      <c r="BY236" s="239">
        <v>-303015</v>
      </c>
      <c r="BZ236" s="239">
        <v>116745</v>
      </c>
      <c r="CA236" s="239">
        <v>93396</v>
      </c>
      <c r="CB236" s="239">
        <v>21014</v>
      </c>
      <c r="CC236" s="239">
        <v>2335</v>
      </c>
      <c r="CD236" s="239">
        <v>233490</v>
      </c>
      <c r="CE236" s="239">
        <v>-268253</v>
      </c>
      <c r="CF236" s="239">
        <v>-214602</v>
      </c>
      <c r="CG236" s="239">
        <v>-48285</v>
      </c>
      <c r="CH236" s="239">
        <v>-5365</v>
      </c>
      <c r="CI236" s="239">
        <v>-536505</v>
      </c>
      <c r="CJ236" s="239">
        <v>14029326</v>
      </c>
      <c r="CK236" s="239">
        <v>11223461</v>
      </c>
      <c r="CL236" s="239">
        <v>2525279</v>
      </c>
      <c r="CM236" s="239">
        <v>280587</v>
      </c>
      <c r="CN236" s="239">
        <v>28058653</v>
      </c>
      <c r="CO236" s="239">
        <v>14226841</v>
      </c>
      <c r="CP236" s="239">
        <v>11381474</v>
      </c>
      <c r="CQ236" s="239">
        <v>2560832</v>
      </c>
      <c r="CR236" s="239">
        <v>284537</v>
      </c>
      <c r="CS236" s="239">
        <v>28453684</v>
      </c>
      <c r="CT236" s="239">
        <v>197515</v>
      </c>
      <c r="CU236" s="239">
        <v>158013</v>
      </c>
      <c r="CV236" s="239">
        <v>35553</v>
      </c>
      <c r="CW236" s="239">
        <v>3950</v>
      </c>
      <c r="CX236" s="239">
        <v>395031</v>
      </c>
      <c r="CY236" s="239">
        <v>-70738</v>
      </c>
      <c r="CZ236" s="239">
        <v>-56589</v>
      </c>
      <c r="DA236" s="239">
        <v>-12732</v>
      </c>
      <c r="DB236" s="239">
        <v>-1415</v>
      </c>
      <c r="DC236" s="239">
        <v>-141474</v>
      </c>
      <c r="DD236" s="641">
        <v>0.5</v>
      </c>
      <c r="DE236" s="641">
        <v>0.4</v>
      </c>
      <c r="DF236" s="641">
        <v>0.09</v>
      </c>
      <c r="DG236" s="641">
        <v>0.01</v>
      </c>
      <c r="DH236" s="641">
        <v>1</v>
      </c>
      <c r="DI236" s="214" t="s">
        <v>1190</v>
      </c>
    </row>
    <row r="237" spans="2:113" s="214" customFormat="1" x14ac:dyDescent="0.2">
      <c r="B237" s="609" t="s">
        <v>556</v>
      </c>
      <c r="C237" s="609" t="s">
        <v>555</v>
      </c>
      <c r="D237" s="239">
        <v>40012072</v>
      </c>
      <c r="E237" s="239">
        <v>39211830</v>
      </c>
      <c r="F237" s="239">
        <v>0</v>
      </c>
      <c r="G237" s="239">
        <v>800241</v>
      </c>
      <c r="H237" s="239">
        <v>80024143</v>
      </c>
      <c r="I237" s="239">
        <v>0</v>
      </c>
      <c r="J237" s="239">
        <v>0</v>
      </c>
      <c r="K237" s="239">
        <v>40012072</v>
      </c>
      <c r="L237" s="239">
        <v>462718</v>
      </c>
      <c r="M237" s="239">
        <v>462718</v>
      </c>
      <c r="N237" s="239">
        <v>0</v>
      </c>
      <c r="O237" s="239">
        <v>0</v>
      </c>
      <c r="P237" s="239">
        <v>481243</v>
      </c>
      <c r="Q237" s="239">
        <v>0</v>
      </c>
      <c r="R237" s="239">
        <v>481243</v>
      </c>
      <c r="S237" s="239">
        <v>0</v>
      </c>
      <c r="T237" s="239">
        <v>0</v>
      </c>
      <c r="U237" s="239">
        <v>0</v>
      </c>
      <c r="V237" s="239">
        <v>0</v>
      </c>
      <c r="W237" s="239">
        <v>1809510</v>
      </c>
      <c r="X237" s="239">
        <v>1773320</v>
      </c>
      <c r="Y237" s="239">
        <v>0</v>
      </c>
      <c r="Z237" s="239">
        <v>36190</v>
      </c>
      <c r="AA237" s="239">
        <v>3619020</v>
      </c>
      <c r="AB237" s="239">
        <v>-1681780</v>
      </c>
      <c r="AC237" s="239">
        <v>-1648144</v>
      </c>
      <c r="AD237" s="239">
        <v>0</v>
      </c>
      <c r="AE237" s="239">
        <v>-33636</v>
      </c>
      <c r="AF237" s="239">
        <v>-3363560</v>
      </c>
      <c r="AG237" s="239">
        <v>-854341</v>
      </c>
      <c r="AH237" s="239">
        <v>-837255</v>
      </c>
      <c r="AI237" s="239">
        <v>0</v>
      </c>
      <c r="AJ237" s="239">
        <v>-17086</v>
      </c>
      <c r="AK237" s="239">
        <v>-1708682</v>
      </c>
      <c r="AL237" s="239">
        <v>119231</v>
      </c>
      <c r="AM237" s="239">
        <v>116847</v>
      </c>
      <c r="AN237" s="239">
        <v>0</v>
      </c>
      <c r="AO237" s="239">
        <v>2385</v>
      </c>
      <c r="AP237" s="239">
        <v>238463</v>
      </c>
      <c r="AQ237" s="239">
        <v>-169757</v>
      </c>
      <c r="AR237" s="239">
        <v>-166362</v>
      </c>
      <c r="AS237" s="239">
        <v>0</v>
      </c>
      <c r="AT237" s="239">
        <v>-3395</v>
      </c>
      <c r="AU237" s="239">
        <v>-339514</v>
      </c>
      <c r="AV237" s="239">
        <v>-904867</v>
      </c>
      <c r="AW237" s="239">
        <v>-886770</v>
      </c>
      <c r="AX237" s="239">
        <v>0</v>
      </c>
      <c r="AY237" s="239">
        <v>-18096</v>
      </c>
      <c r="AZ237" s="239">
        <v>-1809733</v>
      </c>
      <c r="BA237" s="239">
        <v>-4663861</v>
      </c>
      <c r="BB237" s="239">
        <v>-4570583</v>
      </c>
      <c r="BC237" s="239">
        <v>0</v>
      </c>
      <c r="BD237" s="239">
        <v>-93278</v>
      </c>
      <c r="BE237" s="239">
        <v>-9327722</v>
      </c>
      <c r="BF237" s="239">
        <v>1163022</v>
      </c>
      <c r="BG237" s="239">
        <v>1139762</v>
      </c>
      <c r="BH237" s="239">
        <v>0</v>
      </c>
      <c r="BI237" s="239">
        <v>23260</v>
      </c>
      <c r="BJ237" s="239">
        <v>2326044</v>
      </c>
      <c r="BK237" s="239">
        <v>108584</v>
      </c>
      <c r="BL237" s="239">
        <v>106413</v>
      </c>
      <c r="BM237" s="239">
        <v>0</v>
      </c>
      <c r="BN237" s="239">
        <v>2172</v>
      </c>
      <c r="BO237" s="239">
        <v>217169</v>
      </c>
      <c r="BP237" s="239">
        <v>-3392255</v>
      </c>
      <c r="BQ237" s="239">
        <v>-3324408</v>
      </c>
      <c r="BR237" s="239">
        <v>0</v>
      </c>
      <c r="BS237" s="239">
        <v>-67846</v>
      </c>
      <c r="BT237" s="239">
        <v>-6784509</v>
      </c>
      <c r="BU237" s="239">
        <v>-7961140</v>
      </c>
      <c r="BV237" s="239">
        <v>-7801917</v>
      </c>
      <c r="BW237" s="239">
        <v>0</v>
      </c>
      <c r="BX237" s="239">
        <v>-159223</v>
      </c>
      <c r="BY237" s="239">
        <v>-15922280</v>
      </c>
      <c r="BZ237" s="239">
        <v>-9610105</v>
      </c>
      <c r="CA237" s="239">
        <v>-9417903</v>
      </c>
      <c r="CB237" s="239">
        <v>0</v>
      </c>
      <c r="CC237" s="239">
        <v>-192202</v>
      </c>
      <c r="CD237" s="239">
        <v>-19220210</v>
      </c>
      <c r="CE237" s="239">
        <v>1648965</v>
      </c>
      <c r="CF237" s="239">
        <v>1615986</v>
      </c>
      <c r="CG237" s="239">
        <v>0</v>
      </c>
      <c r="CH237" s="239">
        <v>32979</v>
      </c>
      <c r="CI237" s="239">
        <v>3297930</v>
      </c>
      <c r="CJ237" s="239">
        <v>39537486</v>
      </c>
      <c r="CK237" s="239">
        <v>38746737</v>
      </c>
      <c r="CL237" s="239">
        <v>0</v>
      </c>
      <c r="CM237" s="239">
        <v>790750</v>
      </c>
      <c r="CN237" s="239">
        <v>79074973</v>
      </c>
      <c r="CO237" s="239">
        <v>40012072</v>
      </c>
      <c r="CP237" s="239">
        <v>39211830</v>
      </c>
      <c r="CQ237" s="239">
        <v>0</v>
      </c>
      <c r="CR237" s="239">
        <v>800241</v>
      </c>
      <c r="CS237" s="239">
        <v>80024143</v>
      </c>
      <c r="CT237" s="239">
        <v>474586</v>
      </c>
      <c r="CU237" s="239">
        <v>465093</v>
      </c>
      <c r="CV237" s="239">
        <v>0</v>
      </c>
      <c r="CW237" s="239">
        <v>9491</v>
      </c>
      <c r="CX237" s="239">
        <v>949170</v>
      </c>
      <c r="CY237" s="239">
        <v>2123551</v>
      </c>
      <c r="CZ237" s="239">
        <v>2081079</v>
      </c>
      <c r="DA237" s="239">
        <v>0</v>
      </c>
      <c r="DB237" s="239">
        <v>42470</v>
      </c>
      <c r="DC237" s="239">
        <v>4247100</v>
      </c>
      <c r="DD237" s="641">
        <v>0.5</v>
      </c>
      <c r="DE237" s="641">
        <v>0.49</v>
      </c>
      <c r="DF237" s="641">
        <v>0</v>
      </c>
      <c r="DG237" s="641">
        <v>0.01</v>
      </c>
      <c r="DH237" s="641">
        <v>1</v>
      </c>
      <c r="DI237" s="214" t="s">
        <v>747</v>
      </c>
    </row>
    <row r="238" spans="2:113" s="214" customFormat="1" x14ac:dyDescent="0.2">
      <c r="B238" s="609" t="s">
        <v>558</v>
      </c>
      <c r="C238" s="609" t="s">
        <v>557</v>
      </c>
      <c r="D238" s="239">
        <v>48801679</v>
      </c>
      <c r="E238" s="239">
        <v>47825646</v>
      </c>
      <c r="F238" s="239">
        <v>0</v>
      </c>
      <c r="G238" s="239">
        <v>976034</v>
      </c>
      <c r="H238" s="239">
        <v>97603359</v>
      </c>
      <c r="I238" s="239">
        <v>0</v>
      </c>
      <c r="J238" s="239">
        <v>0</v>
      </c>
      <c r="K238" s="239">
        <v>48801679</v>
      </c>
      <c r="L238" s="239">
        <v>210222</v>
      </c>
      <c r="M238" s="239">
        <v>210222</v>
      </c>
      <c r="N238" s="239">
        <v>0</v>
      </c>
      <c r="O238" s="239">
        <v>0</v>
      </c>
      <c r="P238" s="239">
        <v>0</v>
      </c>
      <c r="Q238" s="239">
        <v>0</v>
      </c>
      <c r="R238" s="239">
        <v>0</v>
      </c>
      <c r="S238" s="239">
        <v>0</v>
      </c>
      <c r="T238" s="239">
        <v>0</v>
      </c>
      <c r="U238" s="239">
        <v>0</v>
      </c>
      <c r="V238" s="239">
        <v>0</v>
      </c>
      <c r="W238" s="239">
        <v>2020792</v>
      </c>
      <c r="X238" s="239">
        <v>1980377</v>
      </c>
      <c r="Y238" s="239">
        <v>0</v>
      </c>
      <c r="Z238" s="239">
        <v>40416</v>
      </c>
      <c r="AA238" s="239">
        <v>4041585</v>
      </c>
      <c r="AB238" s="239">
        <v>-298405</v>
      </c>
      <c r="AC238" s="239">
        <v>-292437</v>
      </c>
      <c r="AD238" s="239">
        <v>0</v>
      </c>
      <c r="AE238" s="239">
        <v>-5968</v>
      </c>
      <c r="AF238" s="239">
        <v>-596810</v>
      </c>
      <c r="AG238" s="239">
        <v>-1173923.8999999999</v>
      </c>
      <c r="AH238" s="239">
        <v>-1150447</v>
      </c>
      <c r="AI238" s="239">
        <v>0</v>
      </c>
      <c r="AJ238" s="239">
        <v>-23479</v>
      </c>
      <c r="AK238" s="239">
        <v>-2347849.9</v>
      </c>
      <c r="AL238" s="239">
        <v>663441</v>
      </c>
      <c r="AM238" s="239">
        <v>650173</v>
      </c>
      <c r="AN238" s="239">
        <v>0</v>
      </c>
      <c r="AO238" s="239">
        <v>13269</v>
      </c>
      <c r="AP238" s="239">
        <v>1326883</v>
      </c>
      <c r="AQ238" s="239">
        <v>-545773</v>
      </c>
      <c r="AR238" s="239">
        <v>-534858</v>
      </c>
      <c r="AS238" s="239">
        <v>0</v>
      </c>
      <c r="AT238" s="239">
        <v>-10915</v>
      </c>
      <c r="AU238" s="239">
        <v>-1091546</v>
      </c>
      <c r="AV238" s="239">
        <v>-1056255.8999999999</v>
      </c>
      <c r="AW238" s="239">
        <v>-1035132</v>
      </c>
      <c r="AX238" s="239">
        <v>0</v>
      </c>
      <c r="AY238" s="239">
        <v>-21125</v>
      </c>
      <c r="AZ238" s="239">
        <v>-2112512.9</v>
      </c>
      <c r="BA238" s="239">
        <v>-937995</v>
      </c>
      <c r="BB238" s="239">
        <v>-919236</v>
      </c>
      <c r="BC238" s="239">
        <v>0</v>
      </c>
      <c r="BD238" s="239">
        <v>-18760</v>
      </c>
      <c r="BE238" s="239">
        <v>-1875991</v>
      </c>
      <c r="BF238" s="239">
        <v>844401</v>
      </c>
      <c r="BG238" s="239">
        <v>827512</v>
      </c>
      <c r="BH238" s="239">
        <v>0</v>
      </c>
      <c r="BI238" s="239">
        <v>16888</v>
      </c>
      <c r="BJ238" s="239">
        <v>1688801</v>
      </c>
      <c r="BK238" s="239">
        <v>-936636</v>
      </c>
      <c r="BL238" s="239">
        <v>-917903</v>
      </c>
      <c r="BM238" s="239">
        <v>0</v>
      </c>
      <c r="BN238" s="239">
        <v>-18733</v>
      </c>
      <c r="BO238" s="239">
        <v>-1873272</v>
      </c>
      <c r="BP238" s="239">
        <v>-1030230</v>
      </c>
      <c r="BQ238" s="239">
        <v>-1009627</v>
      </c>
      <c r="BR238" s="239">
        <v>0</v>
      </c>
      <c r="BS238" s="239">
        <v>-20605</v>
      </c>
      <c r="BT238" s="239">
        <v>-2060462</v>
      </c>
      <c r="BU238" s="239">
        <v>-361391</v>
      </c>
      <c r="BV238" s="239">
        <v>-354163</v>
      </c>
      <c r="BW238" s="239">
        <v>0</v>
      </c>
      <c r="BX238" s="239">
        <v>-7228</v>
      </c>
      <c r="BY238" s="239">
        <v>-722782</v>
      </c>
      <c r="BZ238" s="239">
        <v>37242</v>
      </c>
      <c r="CA238" s="239">
        <v>36497</v>
      </c>
      <c r="CB238" s="239">
        <v>0</v>
      </c>
      <c r="CC238" s="239">
        <v>745</v>
      </c>
      <c r="CD238" s="239">
        <v>74484</v>
      </c>
      <c r="CE238" s="239">
        <v>-398633</v>
      </c>
      <c r="CF238" s="239">
        <v>-390660</v>
      </c>
      <c r="CG238" s="239">
        <v>0</v>
      </c>
      <c r="CH238" s="239">
        <v>-7973</v>
      </c>
      <c r="CI238" s="239">
        <v>-797266</v>
      </c>
      <c r="CJ238" s="239">
        <v>49355993</v>
      </c>
      <c r="CK238" s="239">
        <v>48368873</v>
      </c>
      <c r="CL238" s="239">
        <v>0</v>
      </c>
      <c r="CM238" s="239">
        <v>987120</v>
      </c>
      <c r="CN238" s="239">
        <v>98711986</v>
      </c>
      <c r="CO238" s="239">
        <v>48801679</v>
      </c>
      <c r="CP238" s="239">
        <v>47825646</v>
      </c>
      <c r="CQ238" s="239">
        <v>0</v>
      </c>
      <c r="CR238" s="239">
        <v>976034</v>
      </c>
      <c r="CS238" s="239">
        <v>97603359</v>
      </c>
      <c r="CT238" s="239">
        <v>-554314</v>
      </c>
      <c r="CU238" s="239">
        <v>-543227</v>
      </c>
      <c r="CV238" s="239">
        <v>0</v>
      </c>
      <c r="CW238" s="239">
        <v>-11086</v>
      </c>
      <c r="CX238" s="239">
        <v>-1108627</v>
      </c>
      <c r="CY238" s="239">
        <v>-952947</v>
      </c>
      <c r="CZ238" s="239">
        <v>-933887</v>
      </c>
      <c r="DA238" s="239">
        <v>0</v>
      </c>
      <c r="DB238" s="239">
        <v>-19059</v>
      </c>
      <c r="DC238" s="239">
        <v>-1905893</v>
      </c>
      <c r="DD238" s="641">
        <v>0.5</v>
      </c>
      <c r="DE238" s="641">
        <v>0.49</v>
      </c>
      <c r="DF238" s="641">
        <v>0</v>
      </c>
      <c r="DG238" s="641">
        <v>0.01</v>
      </c>
      <c r="DH238" s="641">
        <v>1</v>
      </c>
      <c r="DI238" s="214" t="s">
        <v>747</v>
      </c>
    </row>
    <row r="239" spans="2:113" s="214" customFormat="1" x14ac:dyDescent="0.2">
      <c r="B239" s="609" t="s">
        <v>560</v>
      </c>
      <c r="C239" s="609" t="s">
        <v>559</v>
      </c>
      <c r="D239" s="239">
        <v>55899145</v>
      </c>
      <c r="E239" s="239">
        <v>54781163</v>
      </c>
      <c r="F239" s="239">
        <v>0</v>
      </c>
      <c r="G239" s="239">
        <v>1117983</v>
      </c>
      <c r="H239" s="239">
        <v>111798291</v>
      </c>
      <c r="I239" s="239">
        <v>0</v>
      </c>
      <c r="J239" s="239">
        <v>0</v>
      </c>
      <c r="K239" s="239">
        <v>55899145</v>
      </c>
      <c r="L239" s="239">
        <v>252068</v>
      </c>
      <c r="M239" s="239">
        <v>252068</v>
      </c>
      <c r="N239" s="239">
        <v>0</v>
      </c>
      <c r="O239" s="239">
        <v>0</v>
      </c>
      <c r="P239" s="239">
        <v>0</v>
      </c>
      <c r="Q239" s="239">
        <v>0</v>
      </c>
      <c r="R239" s="239">
        <v>0</v>
      </c>
      <c r="S239" s="239">
        <v>0</v>
      </c>
      <c r="T239" s="239">
        <v>0</v>
      </c>
      <c r="U239" s="239">
        <v>0</v>
      </c>
      <c r="V239" s="239">
        <v>0</v>
      </c>
      <c r="W239" s="239">
        <v>1670449</v>
      </c>
      <c r="X239" s="239">
        <v>1637041</v>
      </c>
      <c r="Y239" s="239">
        <v>0</v>
      </c>
      <c r="Z239" s="239">
        <v>33409</v>
      </c>
      <c r="AA239" s="239">
        <v>3340899</v>
      </c>
      <c r="AB239" s="239">
        <v>-2665073</v>
      </c>
      <c r="AC239" s="239">
        <v>-2611772</v>
      </c>
      <c r="AD239" s="239">
        <v>0</v>
      </c>
      <c r="AE239" s="239">
        <v>-53301</v>
      </c>
      <c r="AF239" s="239">
        <v>-5330146</v>
      </c>
      <c r="AG239" s="239">
        <v>-888377</v>
      </c>
      <c r="AH239" s="239">
        <v>-870609</v>
      </c>
      <c r="AI239" s="239">
        <v>0</v>
      </c>
      <c r="AJ239" s="239">
        <v>-17768</v>
      </c>
      <c r="AK239" s="239">
        <v>-1776754</v>
      </c>
      <c r="AL239" s="239">
        <v>178453</v>
      </c>
      <c r="AM239" s="239">
        <v>174884</v>
      </c>
      <c r="AN239" s="239">
        <v>0</v>
      </c>
      <c r="AO239" s="239">
        <v>3569</v>
      </c>
      <c r="AP239" s="239">
        <v>356906</v>
      </c>
      <c r="AQ239" s="239">
        <v>-304657</v>
      </c>
      <c r="AR239" s="239">
        <v>-298563</v>
      </c>
      <c r="AS239" s="239">
        <v>0</v>
      </c>
      <c r="AT239" s="239">
        <v>-6093</v>
      </c>
      <c r="AU239" s="239">
        <v>-609313</v>
      </c>
      <c r="AV239" s="239">
        <v>-1014581</v>
      </c>
      <c r="AW239" s="239">
        <v>-994288</v>
      </c>
      <c r="AX239" s="239">
        <v>0</v>
      </c>
      <c r="AY239" s="239">
        <v>-20292</v>
      </c>
      <c r="AZ239" s="239">
        <v>-2029161</v>
      </c>
      <c r="BA239" s="239">
        <v>-5964310</v>
      </c>
      <c r="BB239" s="239">
        <v>-5845024</v>
      </c>
      <c r="BC239" s="239">
        <v>0</v>
      </c>
      <c r="BD239" s="239">
        <v>-119287</v>
      </c>
      <c r="BE239" s="239">
        <v>-11928621</v>
      </c>
      <c r="BF239" s="239">
        <v>3510890</v>
      </c>
      <c r="BG239" s="239">
        <v>3440672</v>
      </c>
      <c r="BH239" s="239">
        <v>0</v>
      </c>
      <c r="BI239" s="239">
        <v>70218</v>
      </c>
      <c r="BJ239" s="239">
        <v>7021780</v>
      </c>
      <c r="BK239" s="239">
        <v>-4255106</v>
      </c>
      <c r="BL239" s="239">
        <v>-4170003</v>
      </c>
      <c r="BM239" s="239">
        <v>0</v>
      </c>
      <c r="BN239" s="239">
        <v>-85102</v>
      </c>
      <c r="BO239" s="239">
        <v>-8510211</v>
      </c>
      <c r="BP239" s="239">
        <v>-6708526</v>
      </c>
      <c r="BQ239" s="239">
        <v>-6574355</v>
      </c>
      <c r="BR239" s="239">
        <v>0</v>
      </c>
      <c r="BS239" s="239">
        <v>-134171</v>
      </c>
      <c r="BT239" s="239">
        <v>-13417052</v>
      </c>
      <c r="BU239" s="239">
        <v>-3113874</v>
      </c>
      <c r="BV239" s="239">
        <v>-3051596</v>
      </c>
      <c r="BW239" s="239">
        <v>0</v>
      </c>
      <c r="BX239" s="239">
        <v>-62277</v>
      </c>
      <c r="BY239" s="239">
        <v>-6227747</v>
      </c>
      <c r="BZ239" s="239">
        <v>-3161483.5</v>
      </c>
      <c r="CA239" s="239">
        <v>-3098255</v>
      </c>
      <c r="CB239" s="239">
        <v>0</v>
      </c>
      <c r="CC239" s="239">
        <v>-63230</v>
      </c>
      <c r="CD239" s="239">
        <v>-6322968.5</v>
      </c>
      <c r="CE239" s="239">
        <v>47609.5</v>
      </c>
      <c r="CF239" s="239">
        <v>46659</v>
      </c>
      <c r="CG239" s="239">
        <v>0</v>
      </c>
      <c r="CH239" s="239">
        <v>953</v>
      </c>
      <c r="CI239" s="239">
        <v>95221.5</v>
      </c>
      <c r="CJ239" s="239">
        <v>60105654</v>
      </c>
      <c r="CK239" s="239">
        <v>58903541</v>
      </c>
      <c r="CL239" s="239">
        <v>0</v>
      </c>
      <c r="CM239" s="239">
        <v>1202113</v>
      </c>
      <c r="CN239" s="239">
        <v>120211308</v>
      </c>
      <c r="CO239" s="239">
        <v>55899145</v>
      </c>
      <c r="CP239" s="239">
        <v>54781163</v>
      </c>
      <c r="CQ239" s="239">
        <v>0</v>
      </c>
      <c r="CR239" s="239">
        <v>1117983</v>
      </c>
      <c r="CS239" s="239">
        <v>111798291</v>
      </c>
      <c r="CT239" s="239">
        <v>-4206509</v>
      </c>
      <c r="CU239" s="239">
        <v>-4122378</v>
      </c>
      <c r="CV239" s="239">
        <v>0</v>
      </c>
      <c r="CW239" s="239">
        <v>-84130</v>
      </c>
      <c r="CX239" s="239">
        <v>-8413017</v>
      </c>
      <c r="CY239" s="239">
        <v>-4158899.5</v>
      </c>
      <c r="CZ239" s="239">
        <v>-4075719</v>
      </c>
      <c r="DA239" s="239">
        <v>0</v>
      </c>
      <c r="DB239" s="239">
        <v>-83177</v>
      </c>
      <c r="DC239" s="239">
        <v>-8317795.5</v>
      </c>
      <c r="DD239" s="641">
        <v>0.5</v>
      </c>
      <c r="DE239" s="641">
        <v>0.49</v>
      </c>
      <c r="DF239" s="641">
        <v>0</v>
      </c>
      <c r="DG239" s="641">
        <v>0.01</v>
      </c>
      <c r="DH239" s="641">
        <v>1</v>
      </c>
      <c r="DI239" s="214" t="s">
        <v>1192</v>
      </c>
    </row>
    <row r="240" spans="2:113" s="214" customFormat="1" x14ac:dyDescent="0.2">
      <c r="B240" s="609" t="s">
        <v>562</v>
      </c>
      <c r="C240" s="609" t="s">
        <v>561</v>
      </c>
      <c r="D240" s="239">
        <v>15424553</v>
      </c>
      <c r="E240" s="239">
        <v>12339642</v>
      </c>
      <c r="F240" s="239">
        <v>2776419</v>
      </c>
      <c r="G240" s="239">
        <v>308491</v>
      </c>
      <c r="H240" s="239">
        <v>30849105</v>
      </c>
      <c r="I240" s="239">
        <v>0</v>
      </c>
      <c r="J240" s="239">
        <v>0</v>
      </c>
      <c r="K240" s="239">
        <v>15424553</v>
      </c>
      <c r="L240" s="239">
        <v>97762</v>
      </c>
      <c r="M240" s="239">
        <v>97762</v>
      </c>
      <c r="N240" s="239">
        <v>0</v>
      </c>
      <c r="O240" s="239">
        <v>0</v>
      </c>
      <c r="P240" s="239">
        <v>0</v>
      </c>
      <c r="Q240" s="239">
        <v>0</v>
      </c>
      <c r="R240" s="239">
        <v>0</v>
      </c>
      <c r="S240" s="239">
        <v>0</v>
      </c>
      <c r="T240" s="239">
        <v>0</v>
      </c>
      <c r="U240" s="239">
        <v>0</v>
      </c>
      <c r="V240" s="239">
        <v>0</v>
      </c>
      <c r="W240" s="239">
        <v>668628</v>
      </c>
      <c r="X240" s="239">
        <v>534903</v>
      </c>
      <c r="Y240" s="239">
        <v>120353</v>
      </c>
      <c r="Z240" s="239">
        <v>13373</v>
      </c>
      <c r="AA240" s="239">
        <v>1337257</v>
      </c>
      <c r="AB240" s="239">
        <v>-226966</v>
      </c>
      <c r="AC240" s="239">
        <v>-181573</v>
      </c>
      <c r="AD240" s="239">
        <v>-40854</v>
      </c>
      <c r="AE240" s="239">
        <v>-4539</v>
      </c>
      <c r="AF240" s="239">
        <v>-453932</v>
      </c>
      <c r="AG240" s="239">
        <v>-258000</v>
      </c>
      <c r="AH240" s="239">
        <v>-206400</v>
      </c>
      <c r="AI240" s="239">
        <v>-46440</v>
      </c>
      <c r="AJ240" s="239">
        <v>-5160</v>
      </c>
      <c r="AK240" s="239">
        <v>-516000</v>
      </c>
      <c r="AL240" s="239">
        <v>23278</v>
      </c>
      <c r="AM240" s="239">
        <v>18622</v>
      </c>
      <c r="AN240" s="239">
        <v>4190</v>
      </c>
      <c r="AO240" s="239">
        <v>466</v>
      </c>
      <c r="AP240" s="239">
        <v>46556</v>
      </c>
      <c r="AQ240" s="239">
        <v>-101278</v>
      </c>
      <c r="AR240" s="239">
        <v>-81022</v>
      </c>
      <c r="AS240" s="239">
        <v>-18230</v>
      </c>
      <c r="AT240" s="239">
        <v>-2026</v>
      </c>
      <c r="AU240" s="239">
        <v>-202556</v>
      </c>
      <c r="AV240" s="239">
        <v>-336000</v>
      </c>
      <c r="AW240" s="239">
        <v>-268800</v>
      </c>
      <c r="AX240" s="239">
        <v>-60480</v>
      </c>
      <c r="AY240" s="239">
        <v>-6720</v>
      </c>
      <c r="AZ240" s="239">
        <v>-672000</v>
      </c>
      <c r="BA240" s="239">
        <v>-1949858</v>
      </c>
      <c r="BB240" s="239">
        <v>-1559887</v>
      </c>
      <c r="BC240" s="239">
        <v>-350974</v>
      </c>
      <c r="BD240" s="239">
        <v>-38997</v>
      </c>
      <c r="BE240" s="239">
        <v>-3899716</v>
      </c>
      <c r="BF240" s="239">
        <v>59726</v>
      </c>
      <c r="BG240" s="239">
        <v>47781</v>
      </c>
      <c r="BH240" s="239">
        <v>10751</v>
      </c>
      <c r="BI240" s="239">
        <v>1195</v>
      </c>
      <c r="BJ240" s="239">
        <v>119453</v>
      </c>
      <c r="BK240" s="239">
        <v>-195464</v>
      </c>
      <c r="BL240" s="239">
        <v>-156371</v>
      </c>
      <c r="BM240" s="239">
        <v>-35183</v>
      </c>
      <c r="BN240" s="239">
        <v>-3909</v>
      </c>
      <c r="BO240" s="239">
        <v>-390927</v>
      </c>
      <c r="BP240" s="239">
        <v>-2085596</v>
      </c>
      <c r="BQ240" s="239">
        <v>-1668477</v>
      </c>
      <c r="BR240" s="239">
        <v>-375406</v>
      </c>
      <c r="BS240" s="239">
        <v>-41711</v>
      </c>
      <c r="BT240" s="239">
        <v>-4171190</v>
      </c>
      <c r="BU240" s="239">
        <v>-2131716</v>
      </c>
      <c r="BV240" s="239">
        <v>-1705373</v>
      </c>
      <c r="BW240" s="239">
        <v>-383709</v>
      </c>
      <c r="BX240" s="239">
        <v>-42634</v>
      </c>
      <c r="BY240" s="239">
        <v>-4263432</v>
      </c>
      <c r="BZ240" s="239">
        <v>-2287774</v>
      </c>
      <c r="CA240" s="239">
        <v>-1830220</v>
      </c>
      <c r="CB240" s="239">
        <v>-411800</v>
      </c>
      <c r="CC240" s="239">
        <v>-45756</v>
      </c>
      <c r="CD240" s="239">
        <v>-4575550</v>
      </c>
      <c r="CE240" s="239">
        <v>156058</v>
      </c>
      <c r="CF240" s="239">
        <v>124847</v>
      </c>
      <c r="CG240" s="239">
        <v>28091</v>
      </c>
      <c r="CH240" s="239">
        <v>3122</v>
      </c>
      <c r="CI240" s="239">
        <v>312118</v>
      </c>
      <c r="CJ240" s="239">
        <v>16496164</v>
      </c>
      <c r="CK240" s="239">
        <v>13196932</v>
      </c>
      <c r="CL240" s="239">
        <v>2969310</v>
      </c>
      <c r="CM240" s="239">
        <v>329923</v>
      </c>
      <c r="CN240" s="239">
        <v>32992329</v>
      </c>
      <c r="CO240" s="239">
        <v>15424553</v>
      </c>
      <c r="CP240" s="239">
        <v>12339642</v>
      </c>
      <c r="CQ240" s="239">
        <v>2776419</v>
      </c>
      <c r="CR240" s="239">
        <v>308491</v>
      </c>
      <c r="CS240" s="239">
        <v>30849105</v>
      </c>
      <c r="CT240" s="239">
        <v>-1071611</v>
      </c>
      <c r="CU240" s="239">
        <v>-857290</v>
      </c>
      <c r="CV240" s="239">
        <v>-192891</v>
      </c>
      <c r="CW240" s="239">
        <v>-21432</v>
      </c>
      <c r="CX240" s="239">
        <v>-2143224</v>
      </c>
      <c r="CY240" s="239">
        <v>-915553</v>
      </c>
      <c r="CZ240" s="239">
        <v>-732443</v>
      </c>
      <c r="DA240" s="239">
        <v>-164800</v>
      </c>
      <c r="DB240" s="239">
        <v>-18310</v>
      </c>
      <c r="DC240" s="239">
        <v>-1831106</v>
      </c>
      <c r="DD240" s="641">
        <v>0.5</v>
      </c>
      <c r="DE240" s="641">
        <v>0.4</v>
      </c>
      <c r="DF240" s="641">
        <v>0.09</v>
      </c>
      <c r="DG240" s="641">
        <v>0.01</v>
      </c>
      <c r="DH240" s="641">
        <v>1</v>
      </c>
      <c r="DI240" s="214" t="s">
        <v>1190</v>
      </c>
    </row>
    <row r="241" spans="2:113" s="214" customFormat="1" x14ac:dyDescent="0.2">
      <c r="B241" s="609" t="s">
        <v>564</v>
      </c>
      <c r="C241" s="609" t="s">
        <v>563</v>
      </c>
      <c r="D241" s="239">
        <v>38145479</v>
      </c>
      <c r="E241" s="239">
        <v>30516383</v>
      </c>
      <c r="F241" s="239">
        <v>6866186</v>
      </c>
      <c r="G241" s="239">
        <v>762910</v>
      </c>
      <c r="H241" s="239">
        <v>76290958</v>
      </c>
      <c r="I241" s="239">
        <v>0</v>
      </c>
      <c r="J241" s="239">
        <v>0</v>
      </c>
      <c r="K241" s="239">
        <v>38145479</v>
      </c>
      <c r="L241" s="239">
        <v>223204</v>
      </c>
      <c r="M241" s="239">
        <v>223204</v>
      </c>
      <c r="N241" s="239">
        <v>500157</v>
      </c>
      <c r="O241" s="239">
        <v>500157</v>
      </c>
      <c r="P241" s="239">
        <v>1009805</v>
      </c>
      <c r="Q241" s="239">
        <v>0</v>
      </c>
      <c r="R241" s="239">
        <v>1009805</v>
      </c>
      <c r="S241" s="239">
        <v>0</v>
      </c>
      <c r="T241" s="239">
        <v>0</v>
      </c>
      <c r="U241" s="239">
        <v>0</v>
      </c>
      <c r="V241" s="239">
        <v>0</v>
      </c>
      <c r="W241" s="239">
        <v>165779</v>
      </c>
      <c r="X241" s="239">
        <v>132624</v>
      </c>
      <c r="Y241" s="239">
        <v>29840</v>
      </c>
      <c r="Z241" s="239">
        <v>3316</v>
      </c>
      <c r="AA241" s="239">
        <v>331559</v>
      </c>
      <c r="AB241" s="239">
        <v>-1247733</v>
      </c>
      <c r="AC241" s="239">
        <v>-998186</v>
      </c>
      <c r="AD241" s="239">
        <v>-224592</v>
      </c>
      <c r="AE241" s="239">
        <v>-24955</v>
      </c>
      <c r="AF241" s="239">
        <v>-2495466</v>
      </c>
      <c r="AG241" s="239">
        <v>-58076</v>
      </c>
      <c r="AH241" s="239">
        <v>-46459</v>
      </c>
      <c r="AI241" s="239">
        <v>-10453</v>
      </c>
      <c r="AJ241" s="239">
        <v>-1162</v>
      </c>
      <c r="AK241" s="239">
        <v>-116150</v>
      </c>
      <c r="AL241" s="239">
        <v>28886</v>
      </c>
      <c r="AM241" s="239">
        <v>23109</v>
      </c>
      <c r="AN241" s="239">
        <v>5199</v>
      </c>
      <c r="AO241" s="239">
        <v>578</v>
      </c>
      <c r="AP241" s="239">
        <v>57772</v>
      </c>
      <c r="AQ241" s="239">
        <v>-70811</v>
      </c>
      <c r="AR241" s="239">
        <v>-56649</v>
      </c>
      <c r="AS241" s="239">
        <v>-12746</v>
      </c>
      <c r="AT241" s="239">
        <v>-1416</v>
      </c>
      <c r="AU241" s="239">
        <v>-141622</v>
      </c>
      <c r="AV241" s="239">
        <v>-100001</v>
      </c>
      <c r="AW241" s="239">
        <v>-79999</v>
      </c>
      <c r="AX241" s="239">
        <v>-18000</v>
      </c>
      <c r="AY241" s="239">
        <v>-2000</v>
      </c>
      <c r="AZ241" s="239">
        <v>-200000</v>
      </c>
      <c r="BA241" s="239">
        <v>-3347047</v>
      </c>
      <c r="BB241" s="239">
        <v>-2677642</v>
      </c>
      <c r="BC241" s="239">
        <v>-602470</v>
      </c>
      <c r="BD241" s="239">
        <v>-66942</v>
      </c>
      <c r="BE241" s="239">
        <v>-6694101</v>
      </c>
      <c r="BF241" s="239">
        <v>1420406</v>
      </c>
      <c r="BG241" s="239">
        <v>1136325</v>
      </c>
      <c r="BH241" s="239">
        <v>255673</v>
      </c>
      <c r="BI241" s="239">
        <v>28408</v>
      </c>
      <c r="BJ241" s="239">
        <v>2840812</v>
      </c>
      <c r="BK241" s="239">
        <v>-1607442</v>
      </c>
      <c r="BL241" s="239">
        <v>-1285953</v>
      </c>
      <c r="BM241" s="239">
        <v>-289339</v>
      </c>
      <c r="BN241" s="239">
        <v>-32149</v>
      </c>
      <c r="BO241" s="239">
        <v>-3214883</v>
      </c>
      <c r="BP241" s="239">
        <v>-3534083</v>
      </c>
      <c r="BQ241" s="239">
        <v>-2827270</v>
      </c>
      <c r="BR241" s="239">
        <v>-636136</v>
      </c>
      <c r="BS241" s="239">
        <v>-70683</v>
      </c>
      <c r="BT241" s="239">
        <v>-7068172</v>
      </c>
      <c r="BU241" s="239">
        <v>-802098</v>
      </c>
      <c r="BV241" s="239">
        <v>-641679</v>
      </c>
      <c r="BW241" s="239">
        <v>-144378</v>
      </c>
      <c r="BX241" s="239">
        <v>-16042</v>
      </c>
      <c r="BY241" s="239">
        <v>-1604197</v>
      </c>
      <c r="BZ241" s="239">
        <v>-191474</v>
      </c>
      <c r="CA241" s="239">
        <v>-153178</v>
      </c>
      <c r="CB241" s="239">
        <v>-34465</v>
      </c>
      <c r="CC241" s="239">
        <v>-3829</v>
      </c>
      <c r="CD241" s="239">
        <v>-382946</v>
      </c>
      <c r="CE241" s="239">
        <v>-610624</v>
      </c>
      <c r="CF241" s="239">
        <v>-488501</v>
      </c>
      <c r="CG241" s="239">
        <v>-109913</v>
      </c>
      <c r="CH241" s="239">
        <v>-12213</v>
      </c>
      <c r="CI241" s="239">
        <v>-1221251</v>
      </c>
      <c r="CJ241" s="239">
        <v>36295273</v>
      </c>
      <c r="CK241" s="239">
        <v>29036218</v>
      </c>
      <c r="CL241" s="239">
        <v>6533149</v>
      </c>
      <c r="CM241" s="239">
        <v>725905</v>
      </c>
      <c r="CN241" s="239">
        <v>72590545</v>
      </c>
      <c r="CO241" s="239">
        <v>38145479</v>
      </c>
      <c r="CP241" s="239">
        <v>30516383</v>
      </c>
      <c r="CQ241" s="239">
        <v>6866186</v>
      </c>
      <c r="CR241" s="239">
        <v>762910</v>
      </c>
      <c r="CS241" s="239">
        <v>76290958</v>
      </c>
      <c r="CT241" s="239">
        <v>1850206</v>
      </c>
      <c r="CU241" s="239">
        <v>1480165</v>
      </c>
      <c r="CV241" s="239">
        <v>333037</v>
      </c>
      <c r="CW241" s="239">
        <v>37005</v>
      </c>
      <c r="CX241" s="239">
        <v>3700413</v>
      </c>
      <c r="CY241" s="239">
        <v>1239582</v>
      </c>
      <c r="CZ241" s="239">
        <v>991664</v>
      </c>
      <c r="DA241" s="239">
        <v>223124</v>
      </c>
      <c r="DB241" s="239">
        <v>24792</v>
      </c>
      <c r="DC241" s="239">
        <v>2479162</v>
      </c>
      <c r="DD241" s="641">
        <v>0.5</v>
      </c>
      <c r="DE241" s="641">
        <v>0.4</v>
      </c>
      <c r="DF241" s="641">
        <v>0.09</v>
      </c>
      <c r="DG241" s="641">
        <v>0.01</v>
      </c>
      <c r="DH241" s="641">
        <v>1</v>
      </c>
      <c r="DI241" s="214" t="s">
        <v>1190</v>
      </c>
    </row>
    <row r="242" spans="2:113" s="214" customFormat="1" x14ac:dyDescent="0.2">
      <c r="B242" s="609" t="s">
        <v>566</v>
      </c>
      <c r="C242" s="609" t="s">
        <v>565</v>
      </c>
      <c r="D242" s="239">
        <v>11571449</v>
      </c>
      <c r="E242" s="239">
        <v>9257159</v>
      </c>
      <c r="F242" s="239">
        <v>2082861</v>
      </c>
      <c r="G242" s="239">
        <v>231429</v>
      </c>
      <c r="H242" s="239">
        <v>23142898</v>
      </c>
      <c r="I242" s="239">
        <v>0</v>
      </c>
      <c r="J242" s="239">
        <v>0</v>
      </c>
      <c r="K242" s="239">
        <v>11571449</v>
      </c>
      <c r="L242" s="239">
        <v>91482</v>
      </c>
      <c r="M242" s="239">
        <v>91482</v>
      </c>
      <c r="N242" s="239">
        <v>0</v>
      </c>
      <c r="O242" s="239">
        <v>0</v>
      </c>
      <c r="P242" s="239">
        <v>0</v>
      </c>
      <c r="Q242" s="239">
        <v>0</v>
      </c>
      <c r="R242" s="239">
        <v>0</v>
      </c>
      <c r="S242" s="239">
        <v>0</v>
      </c>
      <c r="T242" s="239">
        <v>0</v>
      </c>
      <c r="U242" s="239">
        <v>0</v>
      </c>
      <c r="V242" s="239">
        <v>0</v>
      </c>
      <c r="W242" s="239">
        <v>1093909</v>
      </c>
      <c r="X242" s="239">
        <v>875126</v>
      </c>
      <c r="Y242" s="239">
        <v>196903</v>
      </c>
      <c r="Z242" s="239">
        <v>21878</v>
      </c>
      <c r="AA242" s="239">
        <v>2187816</v>
      </c>
      <c r="AB242" s="239">
        <v>-387114</v>
      </c>
      <c r="AC242" s="239">
        <v>-309691</v>
      </c>
      <c r="AD242" s="239">
        <v>-69680</v>
      </c>
      <c r="AE242" s="239">
        <v>-7742</v>
      </c>
      <c r="AF242" s="239">
        <v>-774227</v>
      </c>
      <c r="AG242" s="239">
        <v>-576511</v>
      </c>
      <c r="AH242" s="239">
        <v>-461210</v>
      </c>
      <c r="AI242" s="239">
        <v>-103773</v>
      </c>
      <c r="AJ242" s="239">
        <v>-11531</v>
      </c>
      <c r="AK242" s="239">
        <v>-1153025</v>
      </c>
      <c r="AL242" s="239">
        <v>68484</v>
      </c>
      <c r="AM242" s="239">
        <v>54787</v>
      </c>
      <c r="AN242" s="239">
        <v>12327</v>
      </c>
      <c r="AO242" s="239">
        <v>1370</v>
      </c>
      <c r="AP242" s="239">
        <v>136968</v>
      </c>
      <c r="AQ242" s="239">
        <v>-113015</v>
      </c>
      <c r="AR242" s="239">
        <v>-90412</v>
      </c>
      <c r="AS242" s="239">
        <v>-20343</v>
      </c>
      <c r="AT242" s="239">
        <v>-2260</v>
      </c>
      <c r="AU242" s="239">
        <v>-226030</v>
      </c>
      <c r="AV242" s="239">
        <v>-621042</v>
      </c>
      <c r="AW242" s="239">
        <v>-496835</v>
      </c>
      <c r="AX242" s="239">
        <v>-111789</v>
      </c>
      <c r="AY242" s="239">
        <v>-12421</v>
      </c>
      <c r="AZ242" s="239">
        <v>-1242087</v>
      </c>
      <c r="BA242" s="239">
        <v>-1085057</v>
      </c>
      <c r="BB242" s="239">
        <v>-868046</v>
      </c>
      <c r="BC242" s="239">
        <v>-195310</v>
      </c>
      <c r="BD242" s="239">
        <v>-21702</v>
      </c>
      <c r="BE242" s="239">
        <v>-2170115</v>
      </c>
      <c r="BF242" s="239">
        <v>270536</v>
      </c>
      <c r="BG242" s="239">
        <v>216428</v>
      </c>
      <c r="BH242" s="239">
        <v>48696</v>
      </c>
      <c r="BI242" s="239">
        <v>5411</v>
      </c>
      <c r="BJ242" s="239">
        <v>541071</v>
      </c>
      <c r="BK242" s="239">
        <v>-426322</v>
      </c>
      <c r="BL242" s="239">
        <v>-341057</v>
      </c>
      <c r="BM242" s="239">
        <v>-76738</v>
      </c>
      <c r="BN242" s="239">
        <v>-8526</v>
      </c>
      <c r="BO242" s="239">
        <v>-852643</v>
      </c>
      <c r="BP242" s="239">
        <v>-1240843</v>
      </c>
      <c r="BQ242" s="239">
        <v>-992675</v>
      </c>
      <c r="BR242" s="239">
        <v>-223352</v>
      </c>
      <c r="BS242" s="239">
        <v>-24817</v>
      </c>
      <c r="BT242" s="239">
        <v>-2481687</v>
      </c>
      <c r="BU242" s="239">
        <v>-199872</v>
      </c>
      <c r="BV242" s="239">
        <v>-159898</v>
      </c>
      <c r="BW242" s="239">
        <v>-35977</v>
      </c>
      <c r="BX242" s="239">
        <v>-3997</v>
      </c>
      <c r="BY242" s="239">
        <v>-399744</v>
      </c>
      <c r="BZ242" s="239">
        <v>274152</v>
      </c>
      <c r="CA242" s="239">
        <v>219322</v>
      </c>
      <c r="CB242" s="239">
        <v>49347</v>
      </c>
      <c r="CC242" s="239">
        <v>5483</v>
      </c>
      <c r="CD242" s="239">
        <v>548304</v>
      </c>
      <c r="CE242" s="239">
        <v>-474024</v>
      </c>
      <c r="CF242" s="239">
        <v>-379220</v>
      </c>
      <c r="CG242" s="239">
        <v>-85324</v>
      </c>
      <c r="CH242" s="239">
        <v>-9480</v>
      </c>
      <c r="CI242" s="239">
        <v>-948048</v>
      </c>
      <c r="CJ242" s="239">
        <v>11767098</v>
      </c>
      <c r="CK242" s="239">
        <v>9413679</v>
      </c>
      <c r="CL242" s="239">
        <v>2118078</v>
      </c>
      <c r="CM242" s="239">
        <v>235342</v>
      </c>
      <c r="CN242" s="239">
        <v>23534197</v>
      </c>
      <c r="CO242" s="239">
        <v>11571449</v>
      </c>
      <c r="CP242" s="239">
        <v>9257159</v>
      </c>
      <c r="CQ242" s="239">
        <v>2082861</v>
      </c>
      <c r="CR242" s="239">
        <v>231429</v>
      </c>
      <c r="CS242" s="239">
        <v>23142898</v>
      </c>
      <c r="CT242" s="239">
        <v>-195649</v>
      </c>
      <c r="CU242" s="239">
        <v>-156520</v>
      </c>
      <c r="CV242" s="239">
        <v>-35217</v>
      </c>
      <c r="CW242" s="239">
        <v>-3913</v>
      </c>
      <c r="CX242" s="239">
        <v>-391299</v>
      </c>
      <c r="CY242" s="239">
        <v>-669673</v>
      </c>
      <c r="CZ242" s="239">
        <v>-535740</v>
      </c>
      <c r="DA242" s="239">
        <v>-120541</v>
      </c>
      <c r="DB242" s="239">
        <v>-13393</v>
      </c>
      <c r="DC242" s="239">
        <v>-1339347</v>
      </c>
      <c r="DD242" s="641">
        <v>0.5</v>
      </c>
      <c r="DE242" s="641">
        <v>0.4</v>
      </c>
      <c r="DF242" s="641">
        <v>0.09</v>
      </c>
      <c r="DG242" s="641">
        <v>0.01</v>
      </c>
      <c r="DH242" s="641">
        <v>1</v>
      </c>
      <c r="DI242" s="214" t="s">
        <v>1190</v>
      </c>
    </row>
    <row r="243" spans="2:113" s="214" customFormat="1" x14ac:dyDescent="0.2">
      <c r="B243" s="609" t="s">
        <v>568</v>
      </c>
      <c r="C243" s="609" t="s">
        <v>567</v>
      </c>
      <c r="D243" s="239">
        <v>67376632</v>
      </c>
      <c r="E243" s="239">
        <v>66029100</v>
      </c>
      <c r="F243" s="239">
        <v>0</v>
      </c>
      <c r="G243" s="239">
        <v>1347533</v>
      </c>
      <c r="H243" s="239">
        <v>134753265</v>
      </c>
      <c r="I243" s="239">
        <v>0</v>
      </c>
      <c r="J243" s="239">
        <v>0</v>
      </c>
      <c r="K243" s="239">
        <v>67376632</v>
      </c>
      <c r="L243" s="239">
        <v>336111</v>
      </c>
      <c r="M243" s="239">
        <v>336111</v>
      </c>
      <c r="N243" s="239">
        <v>4617815</v>
      </c>
      <c r="O243" s="239">
        <v>4617815</v>
      </c>
      <c r="P243" s="239">
        <v>239306</v>
      </c>
      <c r="Q243" s="239">
        <v>0</v>
      </c>
      <c r="R243" s="239">
        <v>239306</v>
      </c>
      <c r="S243" s="239">
        <v>0</v>
      </c>
      <c r="T243" s="239">
        <v>0</v>
      </c>
      <c r="U243" s="239">
        <v>0</v>
      </c>
      <c r="V243" s="239">
        <v>0</v>
      </c>
      <c r="W243" s="239">
        <v>412418</v>
      </c>
      <c r="X243" s="239">
        <v>404169</v>
      </c>
      <c r="Y243" s="239">
        <v>0</v>
      </c>
      <c r="Z243" s="239">
        <v>8248</v>
      </c>
      <c r="AA243" s="239">
        <v>824835</v>
      </c>
      <c r="AB243" s="239">
        <v>-1244131</v>
      </c>
      <c r="AC243" s="239">
        <v>-1219249</v>
      </c>
      <c r="AD243" s="239">
        <v>0</v>
      </c>
      <c r="AE243" s="239">
        <v>-24883</v>
      </c>
      <c r="AF243" s="239">
        <v>-2488263</v>
      </c>
      <c r="AG243" s="239">
        <v>-151560</v>
      </c>
      <c r="AH243" s="239">
        <v>-148529</v>
      </c>
      <c r="AI243" s="239">
        <v>0</v>
      </c>
      <c r="AJ243" s="239">
        <v>-3031</v>
      </c>
      <c r="AK243" s="239">
        <v>-303120</v>
      </c>
      <c r="AL243" s="239">
        <v>151560</v>
      </c>
      <c r="AM243" s="239">
        <v>148529</v>
      </c>
      <c r="AN243" s="239">
        <v>0</v>
      </c>
      <c r="AO243" s="239">
        <v>3031</v>
      </c>
      <c r="AP243" s="239">
        <v>303120</v>
      </c>
      <c r="AQ243" s="239">
        <v>-163556</v>
      </c>
      <c r="AR243" s="239">
        <v>-160285</v>
      </c>
      <c r="AS243" s="239">
        <v>0</v>
      </c>
      <c r="AT243" s="239">
        <v>-3271</v>
      </c>
      <c r="AU243" s="239">
        <v>-327112</v>
      </c>
      <c r="AV243" s="239">
        <v>-163556</v>
      </c>
      <c r="AW243" s="239">
        <v>-160285</v>
      </c>
      <c r="AX243" s="239">
        <v>0</v>
      </c>
      <c r="AY243" s="239">
        <v>-3271</v>
      </c>
      <c r="AZ243" s="239">
        <v>-327112</v>
      </c>
      <c r="BA243" s="239">
        <v>-9723270</v>
      </c>
      <c r="BB243" s="239">
        <v>-9528804</v>
      </c>
      <c r="BC243" s="239">
        <v>0</v>
      </c>
      <c r="BD243" s="239">
        <v>-194466</v>
      </c>
      <c r="BE243" s="239">
        <v>-19446540</v>
      </c>
      <c r="BF243" s="239">
        <v>2372959</v>
      </c>
      <c r="BG243" s="239">
        <v>2325499</v>
      </c>
      <c r="BH243" s="239">
        <v>0</v>
      </c>
      <c r="BI243" s="239">
        <v>47459</v>
      </c>
      <c r="BJ243" s="239">
        <v>4745917</v>
      </c>
      <c r="BK243" s="239">
        <v>-1397681</v>
      </c>
      <c r="BL243" s="239">
        <v>-1369727</v>
      </c>
      <c r="BM243" s="239">
        <v>0</v>
      </c>
      <c r="BN243" s="239">
        <v>-27954</v>
      </c>
      <c r="BO243" s="239">
        <v>-2795362</v>
      </c>
      <c r="BP243" s="239">
        <v>-8747992</v>
      </c>
      <c r="BQ243" s="239">
        <v>-8573032</v>
      </c>
      <c r="BR243" s="239">
        <v>0</v>
      </c>
      <c r="BS243" s="239">
        <v>-174961</v>
      </c>
      <c r="BT243" s="239">
        <v>-17495985</v>
      </c>
      <c r="BU243" s="239">
        <v>-8509376</v>
      </c>
      <c r="BV243" s="239">
        <v>-8339189</v>
      </c>
      <c r="BW243" s="239">
        <v>0</v>
      </c>
      <c r="BX243" s="239">
        <v>-170188</v>
      </c>
      <c r="BY243" s="239">
        <v>-17018753</v>
      </c>
      <c r="BZ243" s="239">
        <v>-6231015</v>
      </c>
      <c r="CA243" s="239">
        <v>-6106395</v>
      </c>
      <c r="CB243" s="239">
        <v>0</v>
      </c>
      <c r="CC243" s="239">
        <v>-124620</v>
      </c>
      <c r="CD243" s="239">
        <v>-12462030</v>
      </c>
      <c r="CE243" s="239">
        <v>-2278361</v>
      </c>
      <c r="CF243" s="239">
        <v>-2232794</v>
      </c>
      <c r="CG243" s="239">
        <v>0</v>
      </c>
      <c r="CH243" s="239">
        <v>-45568</v>
      </c>
      <c r="CI243" s="239">
        <v>-4556723</v>
      </c>
      <c r="CJ243" s="239">
        <v>71920229</v>
      </c>
      <c r="CK243" s="239">
        <v>70481824</v>
      </c>
      <c r="CL243" s="239">
        <v>0</v>
      </c>
      <c r="CM243" s="239">
        <v>1438405</v>
      </c>
      <c r="CN243" s="239">
        <v>143840458</v>
      </c>
      <c r="CO243" s="239">
        <v>67376632</v>
      </c>
      <c r="CP243" s="239">
        <v>66029100</v>
      </c>
      <c r="CQ243" s="239">
        <v>0</v>
      </c>
      <c r="CR243" s="239">
        <v>1347533</v>
      </c>
      <c r="CS243" s="239">
        <v>134753265</v>
      </c>
      <c r="CT243" s="239">
        <v>-4543597</v>
      </c>
      <c r="CU243" s="239">
        <v>-4452724</v>
      </c>
      <c r="CV243" s="239">
        <v>0</v>
      </c>
      <c r="CW243" s="239">
        <v>-90872</v>
      </c>
      <c r="CX243" s="239">
        <v>-9087193</v>
      </c>
      <c r="CY243" s="239">
        <v>-6821958</v>
      </c>
      <c r="CZ243" s="239">
        <v>-6685518</v>
      </c>
      <c r="DA243" s="239">
        <v>0</v>
      </c>
      <c r="DB243" s="239">
        <v>-136440</v>
      </c>
      <c r="DC243" s="239">
        <v>-13643916</v>
      </c>
      <c r="DD243" s="641">
        <v>0.5</v>
      </c>
      <c r="DE243" s="641">
        <v>0.49</v>
      </c>
      <c r="DF243" s="641">
        <v>0</v>
      </c>
      <c r="DG243" s="641">
        <v>0.01</v>
      </c>
      <c r="DH243" s="641">
        <v>1</v>
      </c>
      <c r="DI243" s="214" t="s">
        <v>747</v>
      </c>
    </row>
    <row r="244" spans="2:113" s="214" customFormat="1" x14ac:dyDescent="0.2">
      <c r="B244" s="609" t="s">
        <v>570</v>
      </c>
      <c r="C244" s="609" t="s">
        <v>569</v>
      </c>
      <c r="D244" s="239">
        <v>28303221</v>
      </c>
      <c r="E244" s="239">
        <v>22642577</v>
      </c>
      <c r="F244" s="239">
        <v>5094580</v>
      </c>
      <c r="G244" s="239">
        <v>566064</v>
      </c>
      <c r="H244" s="239">
        <v>56606442</v>
      </c>
      <c r="I244" s="239">
        <v>0</v>
      </c>
      <c r="J244" s="239">
        <v>0</v>
      </c>
      <c r="K244" s="239">
        <v>28303221</v>
      </c>
      <c r="L244" s="239">
        <v>208295</v>
      </c>
      <c r="M244" s="239">
        <v>208295</v>
      </c>
      <c r="N244" s="239">
        <v>0</v>
      </c>
      <c r="O244" s="239">
        <v>0</v>
      </c>
      <c r="P244" s="239">
        <v>0</v>
      </c>
      <c r="Q244" s="239">
        <v>0</v>
      </c>
      <c r="R244" s="239">
        <v>0</v>
      </c>
      <c r="S244" s="239">
        <v>0</v>
      </c>
      <c r="T244" s="239">
        <v>0</v>
      </c>
      <c r="U244" s="239">
        <v>0</v>
      </c>
      <c r="V244" s="239">
        <v>0</v>
      </c>
      <c r="W244" s="239">
        <v>1286189</v>
      </c>
      <c r="X244" s="239">
        <v>1028951</v>
      </c>
      <c r="Y244" s="239">
        <v>231514</v>
      </c>
      <c r="Z244" s="239">
        <v>25724</v>
      </c>
      <c r="AA244" s="239">
        <v>2572378</v>
      </c>
      <c r="AB244" s="239">
        <v>-326411</v>
      </c>
      <c r="AC244" s="239">
        <v>-261128</v>
      </c>
      <c r="AD244" s="239">
        <v>-58754</v>
      </c>
      <c r="AE244" s="239">
        <v>-6528</v>
      </c>
      <c r="AF244" s="239">
        <v>-652821</v>
      </c>
      <c r="AG244" s="239">
        <v>-183142</v>
      </c>
      <c r="AH244" s="239">
        <v>-146513</v>
      </c>
      <c r="AI244" s="239">
        <v>-32965</v>
      </c>
      <c r="AJ244" s="239">
        <v>-3663</v>
      </c>
      <c r="AK244" s="239">
        <v>-366283</v>
      </c>
      <c r="AL244" s="239">
        <v>34391</v>
      </c>
      <c r="AM244" s="239">
        <v>27512</v>
      </c>
      <c r="AN244" s="239">
        <v>6190</v>
      </c>
      <c r="AO244" s="239">
        <v>688</v>
      </c>
      <c r="AP244" s="239">
        <v>68781</v>
      </c>
      <c r="AQ244" s="239">
        <v>-170369</v>
      </c>
      <c r="AR244" s="239">
        <v>-136295</v>
      </c>
      <c r="AS244" s="239">
        <v>-30666</v>
      </c>
      <c r="AT244" s="239">
        <v>-3407</v>
      </c>
      <c r="AU244" s="239">
        <v>-340737</v>
      </c>
      <c r="AV244" s="239">
        <v>-319120</v>
      </c>
      <c r="AW244" s="239">
        <v>-255296</v>
      </c>
      <c r="AX244" s="239">
        <v>-57441</v>
      </c>
      <c r="AY244" s="239">
        <v>-6382</v>
      </c>
      <c r="AZ244" s="239">
        <v>-638239</v>
      </c>
      <c r="BA244" s="239">
        <v>-14515630</v>
      </c>
      <c r="BB244" s="239">
        <v>-11612504</v>
      </c>
      <c r="BC244" s="239">
        <v>-2612814</v>
      </c>
      <c r="BD244" s="239">
        <v>-290313</v>
      </c>
      <c r="BE244" s="239">
        <v>-29031261</v>
      </c>
      <c r="BF244" s="239">
        <v>13735087</v>
      </c>
      <c r="BG244" s="239">
        <v>10988070</v>
      </c>
      <c r="BH244" s="239">
        <v>2472316</v>
      </c>
      <c r="BI244" s="239">
        <v>274702</v>
      </c>
      <c r="BJ244" s="239">
        <v>27470175</v>
      </c>
      <c r="BK244" s="239">
        <v>-167798</v>
      </c>
      <c r="BL244" s="239">
        <v>-134238</v>
      </c>
      <c r="BM244" s="239">
        <v>-30204</v>
      </c>
      <c r="BN244" s="239">
        <v>-3356</v>
      </c>
      <c r="BO244" s="239">
        <v>-335596</v>
      </c>
      <c r="BP244" s="239">
        <v>-948341</v>
      </c>
      <c r="BQ244" s="239">
        <v>-758672</v>
      </c>
      <c r="BR244" s="239">
        <v>-170702</v>
      </c>
      <c r="BS244" s="239">
        <v>-18967</v>
      </c>
      <c r="BT244" s="239">
        <v>-1896682</v>
      </c>
      <c r="BU244" s="239">
        <v>-13039645</v>
      </c>
      <c r="BV244" s="239">
        <v>-10431716</v>
      </c>
      <c r="BW244" s="239">
        <v>-2347136</v>
      </c>
      <c r="BX244" s="239">
        <v>-260793</v>
      </c>
      <c r="BY244" s="239">
        <v>-26079290</v>
      </c>
      <c r="BZ244" s="239">
        <v>-291531</v>
      </c>
      <c r="CA244" s="239">
        <v>-233225</v>
      </c>
      <c r="CB244" s="239">
        <v>-52476</v>
      </c>
      <c r="CC244" s="239">
        <v>-5831</v>
      </c>
      <c r="CD244" s="239">
        <v>-583063</v>
      </c>
      <c r="CE244" s="239">
        <v>-12748114</v>
      </c>
      <c r="CF244" s="239">
        <v>-10198491</v>
      </c>
      <c r="CG244" s="239">
        <v>-2294660</v>
      </c>
      <c r="CH244" s="239">
        <v>-254962</v>
      </c>
      <c r="CI244" s="239">
        <v>-25496227</v>
      </c>
      <c r="CJ244" s="239">
        <v>15264811</v>
      </c>
      <c r="CK244" s="239">
        <v>12211848</v>
      </c>
      <c r="CL244" s="239">
        <v>2747666</v>
      </c>
      <c r="CM244" s="239">
        <v>305296</v>
      </c>
      <c r="CN244" s="239">
        <v>30529621</v>
      </c>
      <c r="CO244" s="239">
        <v>28303221</v>
      </c>
      <c r="CP244" s="239">
        <v>22642577</v>
      </c>
      <c r="CQ244" s="239">
        <v>5094580</v>
      </c>
      <c r="CR244" s="239">
        <v>566064</v>
      </c>
      <c r="CS244" s="239">
        <v>56606442</v>
      </c>
      <c r="CT244" s="239">
        <v>13038410</v>
      </c>
      <c r="CU244" s="239">
        <v>10430729</v>
      </c>
      <c r="CV244" s="239">
        <v>2346914</v>
      </c>
      <c r="CW244" s="239">
        <v>260768</v>
      </c>
      <c r="CX244" s="239">
        <v>26076821</v>
      </c>
      <c r="CY244" s="239">
        <v>290296</v>
      </c>
      <c r="CZ244" s="239">
        <v>232238</v>
      </c>
      <c r="DA244" s="239">
        <v>52254</v>
      </c>
      <c r="DB244" s="239">
        <v>5806</v>
      </c>
      <c r="DC244" s="239">
        <v>580594</v>
      </c>
      <c r="DD244" s="641">
        <v>0.5</v>
      </c>
      <c r="DE244" s="641">
        <v>0.4</v>
      </c>
      <c r="DF244" s="641">
        <v>0.09</v>
      </c>
      <c r="DG244" s="641">
        <v>0.01</v>
      </c>
      <c r="DH244" s="641">
        <v>1</v>
      </c>
      <c r="DI244" s="214" t="s">
        <v>1190</v>
      </c>
    </row>
    <row r="245" spans="2:113" s="214" customFormat="1" x14ac:dyDescent="0.2">
      <c r="B245" s="609" t="s">
        <v>572</v>
      </c>
      <c r="C245" s="609" t="s">
        <v>571</v>
      </c>
      <c r="D245" s="239">
        <v>11632125</v>
      </c>
      <c r="E245" s="239">
        <v>9305700</v>
      </c>
      <c r="F245" s="239">
        <v>2326425</v>
      </c>
      <c r="G245" s="239">
        <v>0</v>
      </c>
      <c r="H245" s="239">
        <v>23264250</v>
      </c>
      <c r="I245" s="239">
        <v>0</v>
      </c>
      <c r="J245" s="239">
        <v>0</v>
      </c>
      <c r="K245" s="239">
        <v>11632125</v>
      </c>
      <c r="L245" s="239">
        <v>111638</v>
      </c>
      <c r="M245" s="239">
        <v>111638</v>
      </c>
      <c r="N245" s="239">
        <v>0</v>
      </c>
      <c r="O245" s="239">
        <v>0</v>
      </c>
      <c r="P245" s="239">
        <v>242898</v>
      </c>
      <c r="Q245" s="239">
        <v>0</v>
      </c>
      <c r="R245" s="239">
        <v>242898</v>
      </c>
      <c r="S245" s="239">
        <v>0</v>
      </c>
      <c r="T245" s="239">
        <v>0</v>
      </c>
      <c r="U245" s="239">
        <v>0</v>
      </c>
      <c r="V245" s="239">
        <v>0</v>
      </c>
      <c r="W245" s="239">
        <v>616342</v>
      </c>
      <c r="X245" s="239">
        <v>493074</v>
      </c>
      <c r="Y245" s="239">
        <v>123268</v>
      </c>
      <c r="Z245" s="239">
        <v>0</v>
      </c>
      <c r="AA245" s="239">
        <v>1232684</v>
      </c>
      <c r="AB245" s="239">
        <v>-426706</v>
      </c>
      <c r="AC245" s="239">
        <v>-341365</v>
      </c>
      <c r="AD245" s="239">
        <v>-85341</v>
      </c>
      <c r="AE245" s="239">
        <v>0</v>
      </c>
      <c r="AF245" s="239">
        <v>-853412</v>
      </c>
      <c r="AG245" s="239">
        <v>-194000</v>
      </c>
      <c r="AH245" s="239">
        <v>-155200</v>
      </c>
      <c r="AI245" s="239">
        <v>-38799</v>
      </c>
      <c r="AJ245" s="239">
        <v>0</v>
      </c>
      <c r="AK245" s="239">
        <v>-387999</v>
      </c>
      <c r="AL245" s="239">
        <v>101022</v>
      </c>
      <c r="AM245" s="239">
        <v>80818</v>
      </c>
      <c r="AN245" s="239">
        <v>20204</v>
      </c>
      <c r="AO245" s="239">
        <v>0</v>
      </c>
      <c r="AP245" s="239">
        <v>202044</v>
      </c>
      <c r="AQ245" s="239">
        <v>-71022</v>
      </c>
      <c r="AR245" s="239">
        <v>-56818</v>
      </c>
      <c r="AS245" s="239">
        <v>-14204</v>
      </c>
      <c r="AT245" s="239">
        <v>0</v>
      </c>
      <c r="AU245" s="239">
        <v>-142044</v>
      </c>
      <c r="AV245" s="239">
        <v>-164000</v>
      </c>
      <c r="AW245" s="239">
        <v>-131200</v>
      </c>
      <c r="AX245" s="239">
        <v>-32799</v>
      </c>
      <c r="AY245" s="239">
        <v>0</v>
      </c>
      <c r="AZ245" s="239">
        <v>-327999</v>
      </c>
      <c r="BA245" s="239">
        <v>-2102745</v>
      </c>
      <c r="BB245" s="239">
        <v>-1682197</v>
      </c>
      <c r="BC245" s="239">
        <v>-420549</v>
      </c>
      <c r="BD245" s="239">
        <v>0</v>
      </c>
      <c r="BE245" s="239">
        <v>-4205491</v>
      </c>
      <c r="BF245" s="239">
        <v>74172</v>
      </c>
      <c r="BG245" s="239">
        <v>59338</v>
      </c>
      <c r="BH245" s="239">
        <v>14835</v>
      </c>
      <c r="BI245" s="239">
        <v>0</v>
      </c>
      <c r="BJ245" s="239">
        <v>148345</v>
      </c>
      <c r="BK245" s="239">
        <v>-260513</v>
      </c>
      <c r="BL245" s="239">
        <v>-208411</v>
      </c>
      <c r="BM245" s="239">
        <v>-52103</v>
      </c>
      <c r="BN245" s="239">
        <v>0</v>
      </c>
      <c r="BO245" s="239">
        <v>-521027</v>
      </c>
      <c r="BP245" s="239">
        <v>-2289086</v>
      </c>
      <c r="BQ245" s="239">
        <v>-1831270</v>
      </c>
      <c r="BR245" s="239">
        <v>-457817</v>
      </c>
      <c r="BS245" s="239">
        <v>0</v>
      </c>
      <c r="BT245" s="239">
        <v>-4578173</v>
      </c>
      <c r="BU245" s="239">
        <v>-1072514</v>
      </c>
      <c r="BV245" s="239">
        <v>-858011</v>
      </c>
      <c r="BW245" s="239">
        <v>-214503</v>
      </c>
      <c r="BX245" s="239">
        <v>0</v>
      </c>
      <c r="BY245" s="239">
        <v>-2145028</v>
      </c>
      <c r="BZ245" s="239">
        <v>-1212553</v>
      </c>
      <c r="CA245" s="239">
        <v>-970042</v>
      </c>
      <c r="CB245" s="239">
        <v>-242511</v>
      </c>
      <c r="CC245" s="239">
        <v>0</v>
      </c>
      <c r="CD245" s="239">
        <v>-2425106</v>
      </c>
      <c r="CE245" s="239">
        <v>140039</v>
      </c>
      <c r="CF245" s="239">
        <v>112031</v>
      </c>
      <c r="CG245" s="239">
        <v>28008</v>
      </c>
      <c r="CH245" s="239">
        <v>0</v>
      </c>
      <c r="CI245" s="239">
        <v>280078</v>
      </c>
      <c r="CJ245" s="239">
        <v>12818354</v>
      </c>
      <c r="CK245" s="239">
        <v>10254683</v>
      </c>
      <c r="CL245" s="239">
        <v>2563671</v>
      </c>
      <c r="CM245" s="239">
        <v>0</v>
      </c>
      <c r="CN245" s="239">
        <v>25636708</v>
      </c>
      <c r="CO245" s="239">
        <v>11632125</v>
      </c>
      <c r="CP245" s="239">
        <v>9305700</v>
      </c>
      <c r="CQ245" s="239">
        <v>2326425</v>
      </c>
      <c r="CR245" s="239">
        <v>0</v>
      </c>
      <c r="CS245" s="239">
        <v>23264250</v>
      </c>
      <c r="CT245" s="239">
        <v>-1186229</v>
      </c>
      <c r="CU245" s="239">
        <v>-948983</v>
      </c>
      <c r="CV245" s="239">
        <v>-237246</v>
      </c>
      <c r="CW245" s="239">
        <v>0</v>
      </c>
      <c r="CX245" s="239">
        <v>-2372458</v>
      </c>
      <c r="CY245" s="239">
        <v>-1046190</v>
      </c>
      <c r="CZ245" s="239">
        <v>-836952</v>
      </c>
      <c r="DA245" s="239">
        <v>-209238</v>
      </c>
      <c r="DB245" s="239">
        <v>0</v>
      </c>
      <c r="DC245" s="239">
        <v>-2092380</v>
      </c>
      <c r="DD245" s="641">
        <v>0.5</v>
      </c>
      <c r="DE245" s="641">
        <v>0.4</v>
      </c>
      <c r="DF245" s="641">
        <v>0.1</v>
      </c>
      <c r="DG245" s="641">
        <v>0</v>
      </c>
      <c r="DH245" s="641">
        <v>1</v>
      </c>
      <c r="DI245" s="214" t="s">
        <v>1190</v>
      </c>
    </row>
    <row r="246" spans="2:113" s="214" customFormat="1" x14ac:dyDescent="0.2">
      <c r="B246" s="609" t="s">
        <v>574</v>
      </c>
      <c r="C246" s="609" t="s">
        <v>573</v>
      </c>
      <c r="D246" s="239">
        <v>20523878</v>
      </c>
      <c r="E246" s="239">
        <v>16419102</v>
      </c>
      <c r="F246" s="239">
        <v>4104776</v>
      </c>
      <c r="G246" s="239">
        <v>0</v>
      </c>
      <c r="H246" s="239">
        <v>41047756</v>
      </c>
      <c r="I246" s="239">
        <v>0</v>
      </c>
      <c r="J246" s="239">
        <v>0</v>
      </c>
      <c r="K246" s="239">
        <v>20523878</v>
      </c>
      <c r="L246" s="239">
        <v>178909</v>
      </c>
      <c r="M246" s="239">
        <v>178909</v>
      </c>
      <c r="N246" s="239">
        <v>0</v>
      </c>
      <c r="O246" s="239">
        <v>0</v>
      </c>
      <c r="P246" s="239">
        <v>21517</v>
      </c>
      <c r="Q246" s="239">
        <v>0</v>
      </c>
      <c r="R246" s="239">
        <v>21517</v>
      </c>
      <c r="S246" s="239">
        <v>0</v>
      </c>
      <c r="T246" s="239">
        <v>0</v>
      </c>
      <c r="U246" s="239">
        <v>0</v>
      </c>
      <c r="V246" s="239">
        <v>0</v>
      </c>
      <c r="W246" s="239">
        <v>760899</v>
      </c>
      <c r="X246" s="239">
        <v>608720</v>
      </c>
      <c r="Y246" s="239">
        <v>152180</v>
      </c>
      <c r="Z246" s="239">
        <v>0</v>
      </c>
      <c r="AA246" s="239">
        <v>1521799</v>
      </c>
      <c r="AB246" s="239">
        <v>-969637</v>
      </c>
      <c r="AC246" s="239">
        <v>-775709</v>
      </c>
      <c r="AD246" s="239">
        <v>-193927</v>
      </c>
      <c r="AE246" s="239">
        <v>0</v>
      </c>
      <c r="AF246" s="239">
        <v>-1939273</v>
      </c>
      <c r="AG246" s="239">
        <v>-287500</v>
      </c>
      <c r="AH246" s="239">
        <v>-230000</v>
      </c>
      <c r="AI246" s="239">
        <v>-57500</v>
      </c>
      <c r="AJ246" s="239">
        <v>0</v>
      </c>
      <c r="AK246" s="239">
        <v>-575000</v>
      </c>
      <c r="AL246" s="239">
        <v>0</v>
      </c>
      <c r="AM246" s="239">
        <v>0</v>
      </c>
      <c r="AN246" s="239">
        <v>0</v>
      </c>
      <c r="AO246" s="239">
        <v>0</v>
      </c>
      <c r="AP246" s="239">
        <v>0</v>
      </c>
      <c r="AQ246" s="239">
        <v>-35000</v>
      </c>
      <c r="AR246" s="239">
        <v>-28000</v>
      </c>
      <c r="AS246" s="239">
        <v>-7000</v>
      </c>
      <c r="AT246" s="239">
        <v>0</v>
      </c>
      <c r="AU246" s="239">
        <v>-70000</v>
      </c>
      <c r="AV246" s="239">
        <v>-322500</v>
      </c>
      <c r="AW246" s="239">
        <v>-258000</v>
      </c>
      <c r="AX246" s="239">
        <v>-64500</v>
      </c>
      <c r="AY246" s="239">
        <v>0</v>
      </c>
      <c r="AZ246" s="239">
        <v>-645000</v>
      </c>
      <c r="BA246" s="239">
        <v>-1230252</v>
      </c>
      <c r="BB246" s="239">
        <v>-984202</v>
      </c>
      <c r="BC246" s="239">
        <v>-246051</v>
      </c>
      <c r="BD246" s="239">
        <v>0</v>
      </c>
      <c r="BE246" s="239">
        <v>-2460505</v>
      </c>
      <c r="BF246" s="239">
        <v>261067</v>
      </c>
      <c r="BG246" s="239">
        <v>208854</v>
      </c>
      <c r="BH246" s="239">
        <v>52214</v>
      </c>
      <c r="BI246" s="239">
        <v>0</v>
      </c>
      <c r="BJ246" s="239">
        <v>522135</v>
      </c>
      <c r="BK246" s="239">
        <v>-664079</v>
      </c>
      <c r="BL246" s="239">
        <v>-531264</v>
      </c>
      <c r="BM246" s="239">
        <v>-132816</v>
      </c>
      <c r="BN246" s="239">
        <v>0</v>
      </c>
      <c r="BO246" s="239">
        <v>-1328159</v>
      </c>
      <c r="BP246" s="239">
        <v>-1633264</v>
      </c>
      <c r="BQ246" s="239">
        <v>-1306612</v>
      </c>
      <c r="BR246" s="239">
        <v>-326653</v>
      </c>
      <c r="BS246" s="239">
        <v>0</v>
      </c>
      <c r="BT246" s="239">
        <v>-3266529</v>
      </c>
      <c r="BU246" s="239">
        <v>-2028269</v>
      </c>
      <c r="BV246" s="239">
        <v>-1622615</v>
      </c>
      <c r="BW246" s="239">
        <v>-405654</v>
      </c>
      <c r="BX246" s="239">
        <v>0</v>
      </c>
      <c r="BY246" s="239">
        <v>-4056538</v>
      </c>
      <c r="BZ246" s="239">
        <v>-939743</v>
      </c>
      <c r="CA246" s="239">
        <v>-751794</v>
      </c>
      <c r="CB246" s="239">
        <v>-187949</v>
      </c>
      <c r="CC246" s="239">
        <v>0</v>
      </c>
      <c r="CD246" s="239">
        <v>-1879486</v>
      </c>
      <c r="CE246" s="239">
        <v>-1088526</v>
      </c>
      <c r="CF246" s="239">
        <v>-870821</v>
      </c>
      <c r="CG246" s="239">
        <v>-217705</v>
      </c>
      <c r="CH246" s="239">
        <v>0</v>
      </c>
      <c r="CI246" s="239">
        <v>-2177052</v>
      </c>
      <c r="CJ246" s="239">
        <v>20670924</v>
      </c>
      <c r="CK246" s="239">
        <v>16536739</v>
      </c>
      <c r="CL246" s="239">
        <v>4134185</v>
      </c>
      <c r="CM246" s="239">
        <v>0</v>
      </c>
      <c r="CN246" s="239">
        <v>41341848</v>
      </c>
      <c r="CO246" s="239">
        <v>20523878</v>
      </c>
      <c r="CP246" s="239">
        <v>16419102</v>
      </c>
      <c r="CQ246" s="239">
        <v>4104776</v>
      </c>
      <c r="CR246" s="239">
        <v>0</v>
      </c>
      <c r="CS246" s="239">
        <v>41047756</v>
      </c>
      <c r="CT246" s="239">
        <v>-147046</v>
      </c>
      <c r="CU246" s="239">
        <v>-117637</v>
      </c>
      <c r="CV246" s="239">
        <v>-29409</v>
      </c>
      <c r="CW246" s="239">
        <v>0</v>
      </c>
      <c r="CX246" s="239">
        <v>-294092</v>
      </c>
      <c r="CY246" s="239">
        <v>-1235572</v>
      </c>
      <c r="CZ246" s="239">
        <v>-988458</v>
      </c>
      <c r="DA246" s="239">
        <v>-247114</v>
      </c>
      <c r="DB246" s="239">
        <v>0</v>
      </c>
      <c r="DC246" s="239">
        <v>-2471144</v>
      </c>
      <c r="DD246" s="641">
        <v>0.5</v>
      </c>
      <c r="DE246" s="641">
        <v>0.4</v>
      </c>
      <c r="DF246" s="641">
        <v>0.1</v>
      </c>
      <c r="DG246" s="641">
        <v>0</v>
      </c>
      <c r="DH246" s="641">
        <v>1</v>
      </c>
      <c r="DI246" s="214" t="s">
        <v>1190</v>
      </c>
    </row>
    <row r="247" spans="2:113" s="214" customFormat="1" x14ac:dyDescent="0.2">
      <c r="B247" s="609" t="s">
        <v>576</v>
      </c>
      <c r="C247" s="609" t="s">
        <v>575</v>
      </c>
      <c r="D247" s="239">
        <v>19854547</v>
      </c>
      <c r="E247" s="239">
        <v>15883638</v>
      </c>
      <c r="F247" s="239">
        <v>3970909</v>
      </c>
      <c r="G247" s="239">
        <v>0</v>
      </c>
      <c r="H247" s="239">
        <v>39709094</v>
      </c>
      <c r="I247" s="239">
        <v>0</v>
      </c>
      <c r="J247" s="239">
        <v>0</v>
      </c>
      <c r="K247" s="239">
        <v>19854547</v>
      </c>
      <c r="L247" s="239">
        <v>301317</v>
      </c>
      <c r="M247" s="239">
        <v>301317</v>
      </c>
      <c r="N247" s="239">
        <v>0</v>
      </c>
      <c r="O247" s="239">
        <v>0</v>
      </c>
      <c r="P247" s="239">
        <v>0</v>
      </c>
      <c r="Q247" s="239">
        <v>0</v>
      </c>
      <c r="R247" s="239">
        <v>0</v>
      </c>
      <c r="S247" s="239">
        <v>0</v>
      </c>
      <c r="T247" s="239">
        <v>0</v>
      </c>
      <c r="U247" s="239">
        <v>0</v>
      </c>
      <c r="V247" s="239">
        <v>0</v>
      </c>
      <c r="W247" s="239">
        <v>630631</v>
      </c>
      <c r="X247" s="239">
        <v>504505</v>
      </c>
      <c r="Y247" s="239">
        <v>126126</v>
      </c>
      <c r="Z247" s="239">
        <v>0</v>
      </c>
      <c r="AA247" s="239">
        <v>1261262</v>
      </c>
      <c r="AB247" s="239">
        <v>-334337</v>
      </c>
      <c r="AC247" s="239">
        <v>-267470</v>
      </c>
      <c r="AD247" s="239">
        <v>-66867</v>
      </c>
      <c r="AE247" s="239">
        <v>0</v>
      </c>
      <c r="AF247" s="239">
        <v>-668674</v>
      </c>
      <c r="AG247" s="239">
        <v>-386728.86</v>
      </c>
      <c r="AH247" s="239">
        <v>-309384</v>
      </c>
      <c r="AI247" s="239">
        <v>-77345</v>
      </c>
      <c r="AJ247" s="239">
        <v>0</v>
      </c>
      <c r="AK247" s="239">
        <v>-773457.86</v>
      </c>
      <c r="AL247" s="239">
        <v>148404</v>
      </c>
      <c r="AM247" s="239">
        <v>118723</v>
      </c>
      <c r="AN247" s="239">
        <v>29681</v>
      </c>
      <c r="AO247" s="239">
        <v>0</v>
      </c>
      <c r="AP247" s="239">
        <v>296808</v>
      </c>
      <c r="AQ247" s="239">
        <v>-84766</v>
      </c>
      <c r="AR247" s="239">
        <v>-67812</v>
      </c>
      <c r="AS247" s="239">
        <v>-16953</v>
      </c>
      <c r="AT247" s="239">
        <v>0</v>
      </c>
      <c r="AU247" s="239">
        <v>-169531</v>
      </c>
      <c r="AV247" s="239">
        <v>-323090.86</v>
      </c>
      <c r="AW247" s="239">
        <v>-258473</v>
      </c>
      <c r="AX247" s="239">
        <v>-64617</v>
      </c>
      <c r="AY247" s="239">
        <v>0</v>
      </c>
      <c r="AZ247" s="239">
        <v>-646180.86</v>
      </c>
      <c r="BA247" s="239">
        <v>-890500</v>
      </c>
      <c r="BB247" s="239">
        <v>-712400</v>
      </c>
      <c r="BC247" s="239">
        <v>-178100</v>
      </c>
      <c r="BD247" s="239">
        <v>0</v>
      </c>
      <c r="BE247" s="239">
        <v>-1781000</v>
      </c>
      <c r="BF247" s="239">
        <v>890500</v>
      </c>
      <c r="BG247" s="239">
        <v>712400</v>
      </c>
      <c r="BH247" s="239">
        <v>178100</v>
      </c>
      <c r="BI247" s="239">
        <v>0</v>
      </c>
      <c r="BJ247" s="239">
        <v>1781000</v>
      </c>
      <c r="BK247" s="239">
        <v>-1110450</v>
      </c>
      <c r="BL247" s="239">
        <v>-888360</v>
      </c>
      <c r="BM247" s="239">
        <v>-222090</v>
      </c>
      <c r="BN247" s="239">
        <v>0</v>
      </c>
      <c r="BO247" s="239">
        <v>-2220900</v>
      </c>
      <c r="BP247" s="239">
        <v>-1110450</v>
      </c>
      <c r="BQ247" s="239">
        <v>-888360</v>
      </c>
      <c r="BR247" s="239">
        <v>-222090</v>
      </c>
      <c r="BS247" s="239">
        <v>0</v>
      </c>
      <c r="BT247" s="239">
        <v>-2220900</v>
      </c>
      <c r="BU247" s="239">
        <v>-1108790</v>
      </c>
      <c r="BV247" s="239">
        <v>-887032</v>
      </c>
      <c r="BW247" s="239">
        <v>-221758</v>
      </c>
      <c r="BX247" s="239">
        <v>0</v>
      </c>
      <c r="BY247" s="239">
        <v>-2217580</v>
      </c>
      <c r="BZ247" s="239">
        <v>-1088352</v>
      </c>
      <c r="CA247" s="239">
        <v>-870682</v>
      </c>
      <c r="CB247" s="239">
        <v>-217670</v>
      </c>
      <c r="CC247" s="239">
        <v>0</v>
      </c>
      <c r="CD247" s="239">
        <v>-2176704</v>
      </c>
      <c r="CE247" s="239">
        <v>-20438</v>
      </c>
      <c r="CF247" s="239">
        <v>-16350</v>
      </c>
      <c r="CG247" s="239">
        <v>-4088</v>
      </c>
      <c r="CH247" s="239">
        <v>0</v>
      </c>
      <c r="CI247" s="239">
        <v>-40876</v>
      </c>
      <c r="CJ247" s="239">
        <v>20996246</v>
      </c>
      <c r="CK247" s="239">
        <v>16796996</v>
      </c>
      <c r="CL247" s="239">
        <v>4199249</v>
      </c>
      <c r="CM247" s="239">
        <v>0</v>
      </c>
      <c r="CN247" s="239">
        <v>41992491</v>
      </c>
      <c r="CO247" s="239">
        <v>19854547</v>
      </c>
      <c r="CP247" s="239">
        <v>15883638</v>
      </c>
      <c r="CQ247" s="239">
        <v>3970909</v>
      </c>
      <c r="CR247" s="239">
        <v>0</v>
      </c>
      <c r="CS247" s="239">
        <v>39709094</v>
      </c>
      <c r="CT247" s="239">
        <v>-1141699</v>
      </c>
      <c r="CU247" s="239">
        <v>-913358</v>
      </c>
      <c r="CV247" s="239">
        <v>-228340</v>
      </c>
      <c r="CW247" s="239">
        <v>0</v>
      </c>
      <c r="CX247" s="239">
        <v>-2283397</v>
      </c>
      <c r="CY247" s="239">
        <v>-1162137</v>
      </c>
      <c r="CZ247" s="239">
        <v>-929708</v>
      </c>
      <c r="DA247" s="239">
        <v>-232428</v>
      </c>
      <c r="DB247" s="239">
        <v>0</v>
      </c>
      <c r="DC247" s="239">
        <v>-2324273</v>
      </c>
      <c r="DD247" s="641">
        <v>0.5</v>
      </c>
      <c r="DE247" s="641">
        <v>0.4</v>
      </c>
      <c r="DF247" s="641">
        <v>0.1</v>
      </c>
      <c r="DG247" s="641">
        <v>0</v>
      </c>
      <c r="DH247" s="641">
        <v>1</v>
      </c>
      <c r="DI247" s="214" t="s">
        <v>1190</v>
      </c>
    </row>
    <row r="248" spans="2:113" s="214" customFormat="1" x14ac:dyDescent="0.2">
      <c r="B248" s="609" t="s">
        <v>578</v>
      </c>
      <c r="C248" s="609" t="s">
        <v>577</v>
      </c>
      <c r="D248" s="239">
        <v>14795335</v>
      </c>
      <c r="E248" s="239">
        <v>11836268</v>
      </c>
      <c r="F248" s="239">
        <v>2959067</v>
      </c>
      <c r="G248" s="239">
        <v>0</v>
      </c>
      <c r="H248" s="239">
        <v>29590670</v>
      </c>
      <c r="I248" s="239">
        <v>121638.14876033057</v>
      </c>
      <c r="J248" s="239">
        <v>121638.14876033057</v>
      </c>
      <c r="K248" s="239">
        <v>14673696.85123967</v>
      </c>
      <c r="L248" s="239">
        <v>161387</v>
      </c>
      <c r="M248" s="239">
        <v>161387</v>
      </c>
      <c r="N248" s="239">
        <v>0</v>
      </c>
      <c r="O248" s="239">
        <v>0</v>
      </c>
      <c r="P248" s="239">
        <v>160655</v>
      </c>
      <c r="Q248" s="239">
        <v>0</v>
      </c>
      <c r="R248" s="239">
        <v>160655</v>
      </c>
      <c r="S248" s="239">
        <v>121638.14876033057</v>
      </c>
      <c r="T248" s="239">
        <v>0</v>
      </c>
      <c r="U248" s="239">
        <v>0</v>
      </c>
      <c r="V248" s="239">
        <v>121638.14876033057</v>
      </c>
      <c r="W248" s="239">
        <v>829596</v>
      </c>
      <c r="X248" s="239">
        <v>663677</v>
      </c>
      <c r="Y248" s="239">
        <v>165919</v>
      </c>
      <c r="Z248" s="239">
        <v>0</v>
      </c>
      <c r="AA248" s="239">
        <v>1659192</v>
      </c>
      <c r="AB248" s="239">
        <v>-143389</v>
      </c>
      <c r="AC248" s="239">
        <v>-114712</v>
      </c>
      <c r="AD248" s="239">
        <v>-28678</v>
      </c>
      <c r="AE248" s="239">
        <v>0</v>
      </c>
      <c r="AF248" s="239">
        <v>-286779</v>
      </c>
      <c r="AG248" s="239">
        <v>-161446</v>
      </c>
      <c r="AH248" s="239">
        <v>-129158</v>
      </c>
      <c r="AI248" s="239">
        <v>-32290</v>
      </c>
      <c r="AJ248" s="239">
        <v>0</v>
      </c>
      <c r="AK248" s="239">
        <v>-322894</v>
      </c>
      <c r="AL248" s="239">
        <v>18022</v>
      </c>
      <c r="AM248" s="239">
        <v>14418</v>
      </c>
      <c r="AN248" s="239">
        <v>3604</v>
      </c>
      <c r="AO248" s="239">
        <v>0</v>
      </c>
      <c r="AP248" s="239">
        <v>36044</v>
      </c>
      <c r="AQ248" s="239">
        <v>-111409</v>
      </c>
      <c r="AR248" s="239">
        <v>-89128</v>
      </c>
      <c r="AS248" s="239">
        <v>-22282</v>
      </c>
      <c r="AT248" s="239">
        <v>0</v>
      </c>
      <c r="AU248" s="239">
        <v>-222819</v>
      </c>
      <c r="AV248" s="239">
        <v>-254833</v>
      </c>
      <c r="AW248" s="239">
        <v>-203868</v>
      </c>
      <c r="AX248" s="239">
        <v>-50968</v>
      </c>
      <c r="AY248" s="239">
        <v>0</v>
      </c>
      <c r="AZ248" s="239">
        <v>-509669</v>
      </c>
      <c r="BA248" s="239">
        <v>-1238972</v>
      </c>
      <c r="BB248" s="239">
        <v>-991177</v>
      </c>
      <c r="BC248" s="239">
        <v>-247794</v>
      </c>
      <c r="BD248" s="239">
        <v>0</v>
      </c>
      <c r="BE248" s="239">
        <v>-2477943</v>
      </c>
      <c r="BF248" s="239">
        <v>280057</v>
      </c>
      <c r="BG248" s="239">
        <v>224045</v>
      </c>
      <c r="BH248" s="239">
        <v>56011</v>
      </c>
      <c r="BI248" s="239">
        <v>0</v>
      </c>
      <c r="BJ248" s="239">
        <v>560113</v>
      </c>
      <c r="BK248" s="239">
        <v>-807414</v>
      </c>
      <c r="BL248" s="239">
        <v>-645931</v>
      </c>
      <c r="BM248" s="239">
        <v>-161483</v>
      </c>
      <c r="BN248" s="239">
        <v>0</v>
      </c>
      <c r="BO248" s="239">
        <v>-1614828</v>
      </c>
      <c r="BP248" s="239">
        <v>-1766329</v>
      </c>
      <c r="BQ248" s="239">
        <v>-1413063</v>
      </c>
      <c r="BR248" s="239">
        <v>-353266</v>
      </c>
      <c r="BS248" s="239">
        <v>0</v>
      </c>
      <c r="BT248" s="239">
        <v>-3532658</v>
      </c>
      <c r="BU248" s="239">
        <v>-1098913</v>
      </c>
      <c r="BV248" s="239">
        <v>-879131</v>
      </c>
      <c r="BW248" s="239">
        <v>-219783</v>
      </c>
      <c r="BX248" s="239">
        <v>0</v>
      </c>
      <c r="BY248" s="239">
        <v>-2197827</v>
      </c>
      <c r="BZ248" s="239">
        <v>-952614</v>
      </c>
      <c r="CA248" s="239">
        <v>-762092</v>
      </c>
      <c r="CB248" s="239">
        <v>-190523</v>
      </c>
      <c r="CC248" s="239">
        <v>0</v>
      </c>
      <c r="CD248" s="239">
        <v>-1905229</v>
      </c>
      <c r="CE248" s="239">
        <v>-146299</v>
      </c>
      <c r="CF248" s="239">
        <v>-117039</v>
      </c>
      <c r="CG248" s="239">
        <v>-29260</v>
      </c>
      <c r="CH248" s="239">
        <v>0</v>
      </c>
      <c r="CI248" s="239">
        <v>-292598</v>
      </c>
      <c r="CJ248" s="239">
        <v>15676261</v>
      </c>
      <c r="CK248" s="239">
        <v>12541008</v>
      </c>
      <c r="CL248" s="239">
        <v>3135252</v>
      </c>
      <c r="CM248" s="239">
        <v>0</v>
      </c>
      <c r="CN248" s="239">
        <v>31352521</v>
      </c>
      <c r="CO248" s="239">
        <v>14795335</v>
      </c>
      <c r="CP248" s="239">
        <v>11836268</v>
      </c>
      <c r="CQ248" s="239">
        <v>2959067</v>
      </c>
      <c r="CR248" s="239">
        <v>0</v>
      </c>
      <c r="CS248" s="239">
        <v>29590670</v>
      </c>
      <c r="CT248" s="239">
        <v>-880926</v>
      </c>
      <c r="CU248" s="239">
        <v>-704740</v>
      </c>
      <c r="CV248" s="239">
        <v>-176185</v>
      </c>
      <c r="CW248" s="239">
        <v>0</v>
      </c>
      <c r="CX248" s="239">
        <v>-1761851</v>
      </c>
      <c r="CY248" s="239">
        <v>-1027225</v>
      </c>
      <c r="CZ248" s="239">
        <v>-821779</v>
      </c>
      <c r="DA248" s="239">
        <v>-205445</v>
      </c>
      <c r="DB248" s="239">
        <v>0</v>
      </c>
      <c r="DC248" s="239">
        <v>-2054449</v>
      </c>
      <c r="DD248" s="641">
        <v>0.5</v>
      </c>
      <c r="DE248" s="641">
        <v>0.4</v>
      </c>
      <c r="DF248" s="641">
        <v>0.1</v>
      </c>
      <c r="DG248" s="641">
        <v>0</v>
      </c>
      <c r="DH248" s="641">
        <v>1</v>
      </c>
      <c r="DI248" s="214" t="s">
        <v>1190</v>
      </c>
    </row>
    <row r="249" spans="2:113" s="214" customFormat="1" x14ac:dyDescent="0.2">
      <c r="B249" s="609" t="s">
        <v>580</v>
      </c>
      <c r="C249" s="609" t="s">
        <v>579</v>
      </c>
      <c r="D249" s="239">
        <v>11324336</v>
      </c>
      <c r="E249" s="239">
        <v>9059468</v>
      </c>
      <c r="F249" s="239">
        <v>2264867</v>
      </c>
      <c r="G249" s="239">
        <v>0</v>
      </c>
      <c r="H249" s="239">
        <v>22648671</v>
      </c>
      <c r="I249" s="239">
        <v>0</v>
      </c>
      <c r="J249" s="239">
        <v>0</v>
      </c>
      <c r="K249" s="239">
        <v>11324336</v>
      </c>
      <c r="L249" s="239">
        <v>106539</v>
      </c>
      <c r="M249" s="239">
        <v>106539</v>
      </c>
      <c r="N249" s="239">
        <v>0</v>
      </c>
      <c r="O249" s="239">
        <v>0</v>
      </c>
      <c r="P249" s="239">
        <v>363983</v>
      </c>
      <c r="Q249" s="239">
        <v>0</v>
      </c>
      <c r="R249" s="239">
        <v>363983</v>
      </c>
      <c r="S249" s="239">
        <v>0</v>
      </c>
      <c r="T249" s="239">
        <v>0</v>
      </c>
      <c r="U249" s="239">
        <v>0</v>
      </c>
      <c r="V249" s="239">
        <v>0</v>
      </c>
      <c r="W249" s="239">
        <v>486027</v>
      </c>
      <c r="X249" s="239">
        <v>388822</v>
      </c>
      <c r="Y249" s="239">
        <v>97205</v>
      </c>
      <c r="Z249" s="239">
        <v>0</v>
      </c>
      <c r="AA249" s="239">
        <v>972054</v>
      </c>
      <c r="AB249" s="239">
        <v>-572813</v>
      </c>
      <c r="AC249" s="239">
        <v>-458250</v>
      </c>
      <c r="AD249" s="239">
        <v>-114563</v>
      </c>
      <c r="AE249" s="239">
        <v>0</v>
      </c>
      <c r="AF249" s="239">
        <v>-1145626</v>
      </c>
      <c r="AG249" s="239">
        <v>-204526.67</v>
      </c>
      <c r="AH249" s="239">
        <v>-163619</v>
      </c>
      <c r="AI249" s="239">
        <v>-40905</v>
      </c>
      <c r="AJ249" s="239">
        <v>0</v>
      </c>
      <c r="AK249" s="239">
        <v>-409050.67</v>
      </c>
      <c r="AL249" s="239">
        <v>0</v>
      </c>
      <c r="AM249" s="239">
        <v>0</v>
      </c>
      <c r="AN249" s="239">
        <v>0</v>
      </c>
      <c r="AO249" s="239">
        <v>0</v>
      </c>
      <c r="AP249" s="239">
        <v>0</v>
      </c>
      <c r="AQ249" s="239">
        <v>-99025</v>
      </c>
      <c r="AR249" s="239">
        <v>-79220</v>
      </c>
      <c r="AS249" s="239">
        <v>-19805</v>
      </c>
      <c r="AT249" s="239">
        <v>0</v>
      </c>
      <c r="AU249" s="239">
        <v>-198050</v>
      </c>
      <c r="AV249" s="239">
        <v>-303551.67000000004</v>
      </c>
      <c r="AW249" s="239">
        <v>-242839</v>
      </c>
      <c r="AX249" s="239">
        <v>-60710</v>
      </c>
      <c r="AY249" s="239">
        <v>0</v>
      </c>
      <c r="AZ249" s="239">
        <v>-607100.66999999993</v>
      </c>
      <c r="BA249" s="239">
        <v>-1427978</v>
      </c>
      <c r="BB249" s="239">
        <v>-1142383</v>
      </c>
      <c r="BC249" s="239">
        <v>-285596</v>
      </c>
      <c r="BD249" s="239">
        <v>0</v>
      </c>
      <c r="BE249" s="239">
        <v>-2855957</v>
      </c>
      <c r="BF249" s="239">
        <v>495203</v>
      </c>
      <c r="BG249" s="239">
        <v>396162</v>
      </c>
      <c r="BH249" s="239">
        <v>99041</v>
      </c>
      <c r="BI249" s="239">
        <v>0</v>
      </c>
      <c r="BJ249" s="239">
        <v>990406</v>
      </c>
      <c r="BK249" s="239">
        <v>-387541</v>
      </c>
      <c r="BL249" s="239">
        <v>-310032</v>
      </c>
      <c r="BM249" s="239">
        <v>-77508</v>
      </c>
      <c r="BN249" s="239">
        <v>0</v>
      </c>
      <c r="BO249" s="239">
        <v>-775081</v>
      </c>
      <c r="BP249" s="239">
        <v>-1320316</v>
      </c>
      <c r="BQ249" s="239">
        <v>-1056253</v>
      </c>
      <c r="BR249" s="239">
        <v>-264063</v>
      </c>
      <c r="BS249" s="239">
        <v>0</v>
      </c>
      <c r="BT249" s="239">
        <v>-2640632</v>
      </c>
      <c r="BU249" s="239">
        <v>-983673</v>
      </c>
      <c r="BV249" s="239">
        <v>-786938</v>
      </c>
      <c r="BW249" s="239">
        <v>-196735</v>
      </c>
      <c r="BX249" s="239">
        <v>0</v>
      </c>
      <c r="BY249" s="239">
        <v>-1967346</v>
      </c>
      <c r="BZ249" s="239">
        <v>-797106</v>
      </c>
      <c r="CA249" s="239">
        <v>-637685</v>
      </c>
      <c r="CB249" s="239">
        <v>-159421</v>
      </c>
      <c r="CC249" s="239">
        <v>0</v>
      </c>
      <c r="CD249" s="239">
        <v>-1594212</v>
      </c>
      <c r="CE249" s="239">
        <v>-186567</v>
      </c>
      <c r="CF249" s="239">
        <v>-149253</v>
      </c>
      <c r="CG249" s="239">
        <v>-37314</v>
      </c>
      <c r="CH249" s="239">
        <v>0</v>
      </c>
      <c r="CI249" s="239">
        <v>-373134</v>
      </c>
      <c r="CJ249" s="239">
        <v>11307233</v>
      </c>
      <c r="CK249" s="239">
        <v>9045786</v>
      </c>
      <c r="CL249" s="239">
        <v>2261447</v>
      </c>
      <c r="CM249" s="239">
        <v>0</v>
      </c>
      <c r="CN249" s="239">
        <v>22614466</v>
      </c>
      <c r="CO249" s="239">
        <v>11324336</v>
      </c>
      <c r="CP249" s="239">
        <v>9059468</v>
      </c>
      <c r="CQ249" s="239">
        <v>2264867</v>
      </c>
      <c r="CR249" s="239">
        <v>0</v>
      </c>
      <c r="CS249" s="239">
        <v>22648671</v>
      </c>
      <c r="CT249" s="239">
        <v>17103</v>
      </c>
      <c r="CU249" s="239">
        <v>13682</v>
      </c>
      <c r="CV249" s="239">
        <v>3420</v>
      </c>
      <c r="CW249" s="239">
        <v>0</v>
      </c>
      <c r="CX249" s="239">
        <v>34205</v>
      </c>
      <c r="CY249" s="239">
        <v>-169464</v>
      </c>
      <c r="CZ249" s="239">
        <v>-135571</v>
      </c>
      <c r="DA249" s="239">
        <v>-33894</v>
      </c>
      <c r="DB249" s="239">
        <v>0</v>
      </c>
      <c r="DC249" s="239">
        <v>-338929</v>
      </c>
      <c r="DD249" s="641">
        <v>0.5</v>
      </c>
      <c r="DE249" s="641">
        <v>0.4</v>
      </c>
      <c r="DF249" s="641">
        <v>0.1</v>
      </c>
      <c r="DG249" s="641">
        <v>0</v>
      </c>
      <c r="DH249" s="641">
        <v>1</v>
      </c>
      <c r="DI249" s="214" t="s">
        <v>1190</v>
      </c>
    </row>
    <row r="250" spans="2:113" s="214" customFormat="1" x14ac:dyDescent="0.2">
      <c r="B250" s="609" t="s">
        <v>582</v>
      </c>
      <c r="C250" s="609" t="s">
        <v>581</v>
      </c>
      <c r="D250" s="239">
        <v>21342805</v>
      </c>
      <c r="E250" s="239">
        <v>17074244</v>
      </c>
      <c r="F250" s="239">
        <v>4268561</v>
      </c>
      <c r="G250" s="239">
        <v>0</v>
      </c>
      <c r="H250" s="239">
        <v>42685610</v>
      </c>
      <c r="I250" s="239">
        <v>0</v>
      </c>
      <c r="J250" s="239">
        <v>0</v>
      </c>
      <c r="K250" s="239">
        <v>21342805</v>
      </c>
      <c r="L250" s="239">
        <v>185761</v>
      </c>
      <c r="M250" s="239">
        <v>185761</v>
      </c>
      <c r="N250" s="239">
        <v>49058</v>
      </c>
      <c r="O250" s="239">
        <v>49058</v>
      </c>
      <c r="P250" s="239">
        <v>187803</v>
      </c>
      <c r="Q250" s="239">
        <v>0</v>
      </c>
      <c r="R250" s="239">
        <v>187803</v>
      </c>
      <c r="S250" s="239">
        <v>0</v>
      </c>
      <c r="T250" s="239">
        <v>0</v>
      </c>
      <c r="U250" s="239">
        <v>0</v>
      </c>
      <c r="V250" s="239">
        <v>0</v>
      </c>
      <c r="W250" s="239">
        <v>976324</v>
      </c>
      <c r="X250" s="239">
        <v>781059</v>
      </c>
      <c r="Y250" s="239">
        <v>195265</v>
      </c>
      <c r="Z250" s="239">
        <v>0</v>
      </c>
      <c r="AA250" s="239">
        <v>1952648</v>
      </c>
      <c r="AB250" s="239">
        <v>-716765</v>
      </c>
      <c r="AC250" s="239">
        <v>-573412</v>
      </c>
      <c r="AD250" s="239">
        <v>-143353</v>
      </c>
      <c r="AE250" s="239">
        <v>0</v>
      </c>
      <c r="AF250" s="239">
        <v>-1433530</v>
      </c>
      <c r="AG250" s="239">
        <v>-652320</v>
      </c>
      <c r="AH250" s="239">
        <v>-521856</v>
      </c>
      <c r="AI250" s="239">
        <v>-130464</v>
      </c>
      <c r="AJ250" s="239">
        <v>0</v>
      </c>
      <c r="AK250" s="239">
        <v>-1304640</v>
      </c>
      <c r="AL250" s="239">
        <v>124729</v>
      </c>
      <c r="AM250" s="239">
        <v>99784</v>
      </c>
      <c r="AN250" s="239">
        <v>24946</v>
      </c>
      <c r="AO250" s="239">
        <v>0</v>
      </c>
      <c r="AP250" s="239">
        <v>249459</v>
      </c>
      <c r="AQ250" s="239">
        <v>-45309</v>
      </c>
      <c r="AR250" s="239">
        <v>-36248</v>
      </c>
      <c r="AS250" s="239">
        <v>-9062</v>
      </c>
      <c r="AT250" s="239">
        <v>0</v>
      </c>
      <c r="AU250" s="239">
        <v>-90619</v>
      </c>
      <c r="AV250" s="239">
        <v>-572900</v>
      </c>
      <c r="AW250" s="239">
        <v>-458320</v>
      </c>
      <c r="AX250" s="239">
        <v>-114580</v>
      </c>
      <c r="AY250" s="239">
        <v>0</v>
      </c>
      <c r="AZ250" s="239">
        <v>-1145800</v>
      </c>
      <c r="BA250" s="239">
        <v>-1897389</v>
      </c>
      <c r="BB250" s="239">
        <v>-1517912</v>
      </c>
      <c r="BC250" s="239">
        <v>-379479</v>
      </c>
      <c r="BD250" s="239">
        <v>0</v>
      </c>
      <c r="BE250" s="239">
        <v>-3794780</v>
      </c>
      <c r="BF250" s="239">
        <v>659341</v>
      </c>
      <c r="BG250" s="239">
        <v>527472</v>
      </c>
      <c r="BH250" s="239">
        <v>131868</v>
      </c>
      <c r="BI250" s="239">
        <v>0</v>
      </c>
      <c r="BJ250" s="239">
        <v>1318681</v>
      </c>
      <c r="BK250" s="239">
        <v>-376856</v>
      </c>
      <c r="BL250" s="239">
        <v>-301484</v>
      </c>
      <c r="BM250" s="239">
        <v>-75371</v>
      </c>
      <c r="BN250" s="239">
        <v>0</v>
      </c>
      <c r="BO250" s="239">
        <v>-753711</v>
      </c>
      <c r="BP250" s="239">
        <v>-1614904</v>
      </c>
      <c r="BQ250" s="239">
        <v>-1291924</v>
      </c>
      <c r="BR250" s="239">
        <v>-322982</v>
      </c>
      <c r="BS250" s="239">
        <v>0</v>
      </c>
      <c r="BT250" s="239">
        <v>-3229810</v>
      </c>
      <c r="BU250" s="239">
        <v>-1462502</v>
      </c>
      <c r="BV250" s="239">
        <v>-1170002</v>
      </c>
      <c r="BW250" s="239">
        <v>-292500</v>
      </c>
      <c r="BX250" s="239">
        <v>0</v>
      </c>
      <c r="BY250" s="239">
        <v>-2925004</v>
      </c>
      <c r="BZ250" s="239">
        <v>-1476037</v>
      </c>
      <c r="CA250" s="239">
        <v>-1180830</v>
      </c>
      <c r="CB250" s="239">
        <v>-295207</v>
      </c>
      <c r="CC250" s="239">
        <v>0</v>
      </c>
      <c r="CD250" s="239">
        <v>-2952074</v>
      </c>
      <c r="CE250" s="239">
        <v>13535</v>
      </c>
      <c r="CF250" s="239">
        <v>10828</v>
      </c>
      <c r="CG250" s="239">
        <v>2707</v>
      </c>
      <c r="CH250" s="239">
        <v>0</v>
      </c>
      <c r="CI250" s="239">
        <v>27070</v>
      </c>
      <c r="CJ250" s="239">
        <v>21595783</v>
      </c>
      <c r="CK250" s="239">
        <v>17276627</v>
      </c>
      <c r="CL250" s="239">
        <v>4319157</v>
      </c>
      <c r="CM250" s="239">
        <v>0</v>
      </c>
      <c r="CN250" s="239">
        <v>43191567</v>
      </c>
      <c r="CO250" s="239">
        <v>21342805</v>
      </c>
      <c r="CP250" s="239">
        <v>17074244</v>
      </c>
      <c r="CQ250" s="239">
        <v>4268561</v>
      </c>
      <c r="CR250" s="239">
        <v>0</v>
      </c>
      <c r="CS250" s="239">
        <v>42685610</v>
      </c>
      <c r="CT250" s="239">
        <v>-252978</v>
      </c>
      <c r="CU250" s="239">
        <v>-202383</v>
      </c>
      <c r="CV250" s="239">
        <v>-50596</v>
      </c>
      <c r="CW250" s="239">
        <v>0</v>
      </c>
      <c r="CX250" s="239">
        <v>-505957</v>
      </c>
      <c r="CY250" s="239">
        <v>-239443</v>
      </c>
      <c r="CZ250" s="239">
        <v>-191555</v>
      </c>
      <c r="DA250" s="239">
        <v>-47889</v>
      </c>
      <c r="DB250" s="239">
        <v>0</v>
      </c>
      <c r="DC250" s="239">
        <v>-478887</v>
      </c>
      <c r="DD250" s="641">
        <v>0.5</v>
      </c>
      <c r="DE250" s="641">
        <v>0.4</v>
      </c>
      <c r="DF250" s="641">
        <v>0.1</v>
      </c>
      <c r="DG250" s="641">
        <v>0</v>
      </c>
      <c r="DH250" s="641">
        <v>1</v>
      </c>
      <c r="DI250" s="214" t="s">
        <v>1190</v>
      </c>
    </row>
    <row r="251" spans="2:113" s="214" customFormat="1" x14ac:dyDescent="0.2">
      <c r="B251" s="609" t="s">
        <v>584</v>
      </c>
      <c r="C251" s="609" t="s">
        <v>583</v>
      </c>
      <c r="D251" s="239">
        <v>19797536</v>
      </c>
      <c r="E251" s="239">
        <v>15838029</v>
      </c>
      <c r="F251" s="239">
        <v>3563556</v>
      </c>
      <c r="G251" s="239">
        <v>395951</v>
      </c>
      <c r="H251" s="239">
        <v>39595072</v>
      </c>
      <c r="I251" s="239">
        <v>0</v>
      </c>
      <c r="J251" s="239">
        <v>0</v>
      </c>
      <c r="K251" s="239">
        <v>19797536</v>
      </c>
      <c r="L251" s="239">
        <v>127679</v>
      </c>
      <c r="M251" s="239">
        <v>127679</v>
      </c>
      <c r="N251" s="239">
        <v>0</v>
      </c>
      <c r="O251" s="239">
        <v>0</v>
      </c>
      <c r="P251" s="239">
        <v>0</v>
      </c>
      <c r="Q251" s="239">
        <v>0</v>
      </c>
      <c r="R251" s="239">
        <v>0</v>
      </c>
      <c r="S251" s="239">
        <v>0</v>
      </c>
      <c r="T251" s="239">
        <v>0</v>
      </c>
      <c r="U251" s="239">
        <v>0</v>
      </c>
      <c r="V251" s="239">
        <v>0</v>
      </c>
      <c r="W251" s="239">
        <v>577179</v>
      </c>
      <c r="X251" s="239">
        <v>461744</v>
      </c>
      <c r="Y251" s="239">
        <v>103892</v>
      </c>
      <c r="Z251" s="239">
        <v>11544</v>
      </c>
      <c r="AA251" s="239">
        <v>1154359</v>
      </c>
      <c r="AB251" s="239">
        <v>-385704</v>
      </c>
      <c r="AC251" s="239">
        <v>-308564</v>
      </c>
      <c r="AD251" s="239">
        <v>-69427</v>
      </c>
      <c r="AE251" s="239">
        <v>-7714</v>
      </c>
      <c r="AF251" s="239">
        <v>-771409</v>
      </c>
      <c r="AG251" s="239">
        <v>-307055</v>
      </c>
      <c r="AH251" s="239">
        <v>-245640</v>
      </c>
      <c r="AI251" s="239">
        <v>-55269</v>
      </c>
      <c r="AJ251" s="239">
        <v>-6140</v>
      </c>
      <c r="AK251" s="239">
        <v>-614104</v>
      </c>
      <c r="AL251" s="239">
        <v>97581</v>
      </c>
      <c r="AM251" s="239">
        <v>78064</v>
      </c>
      <c r="AN251" s="239">
        <v>17564</v>
      </c>
      <c r="AO251" s="239">
        <v>1952</v>
      </c>
      <c r="AP251" s="239">
        <v>195161</v>
      </c>
      <c r="AQ251" s="239">
        <v>-48975</v>
      </c>
      <c r="AR251" s="239">
        <v>-39180</v>
      </c>
      <c r="AS251" s="239">
        <v>-8815</v>
      </c>
      <c r="AT251" s="239">
        <v>-979</v>
      </c>
      <c r="AU251" s="239">
        <v>-97949</v>
      </c>
      <c r="AV251" s="239">
        <v>-258449</v>
      </c>
      <c r="AW251" s="239">
        <v>-206756</v>
      </c>
      <c r="AX251" s="239">
        <v>-46520</v>
      </c>
      <c r="AY251" s="239">
        <v>-5167</v>
      </c>
      <c r="AZ251" s="239">
        <v>-516892</v>
      </c>
      <c r="BA251" s="239">
        <v>-1650000</v>
      </c>
      <c r="BB251" s="239">
        <v>-1320000</v>
      </c>
      <c r="BC251" s="239">
        <v>-297000</v>
      </c>
      <c r="BD251" s="239">
        <v>-33000</v>
      </c>
      <c r="BE251" s="239">
        <v>-3300000</v>
      </c>
      <c r="BF251" s="239">
        <v>253092</v>
      </c>
      <c r="BG251" s="239">
        <v>202474</v>
      </c>
      <c r="BH251" s="239">
        <v>45557</v>
      </c>
      <c r="BI251" s="239">
        <v>5062</v>
      </c>
      <c r="BJ251" s="239">
        <v>506185</v>
      </c>
      <c r="BK251" s="239">
        <v>-103092</v>
      </c>
      <c r="BL251" s="239">
        <v>-82474</v>
      </c>
      <c r="BM251" s="239">
        <v>-18557</v>
      </c>
      <c r="BN251" s="239">
        <v>-2062</v>
      </c>
      <c r="BO251" s="239">
        <v>-206185</v>
      </c>
      <c r="BP251" s="239">
        <v>-1500000</v>
      </c>
      <c r="BQ251" s="239">
        <v>-1200000</v>
      </c>
      <c r="BR251" s="239">
        <v>-270000</v>
      </c>
      <c r="BS251" s="239">
        <v>-30000</v>
      </c>
      <c r="BT251" s="239">
        <v>-3000000</v>
      </c>
      <c r="BU251" s="239">
        <v>387942</v>
      </c>
      <c r="BV251" s="239">
        <v>310353</v>
      </c>
      <c r="BW251" s="239">
        <v>69829</v>
      </c>
      <c r="BX251" s="239">
        <v>7759</v>
      </c>
      <c r="BY251" s="239">
        <v>775883</v>
      </c>
      <c r="BZ251" s="239">
        <v>382057</v>
      </c>
      <c r="CA251" s="239">
        <v>305646</v>
      </c>
      <c r="CB251" s="239">
        <v>68770</v>
      </c>
      <c r="CC251" s="239">
        <v>7641</v>
      </c>
      <c r="CD251" s="239">
        <v>764114</v>
      </c>
      <c r="CE251" s="239">
        <v>5885</v>
      </c>
      <c r="CF251" s="239">
        <v>4707</v>
      </c>
      <c r="CG251" s="239">
        <v>1059</v>
      </c>
      <c r="CH251" s="239">
        <v>118</v>
      </c>
      <c r="CI251" s="239">
        <v>11769</v>
      </c>
      <c r="CJ251" s="239">
        <v>19472623</v>
      </c>
      <c r="CK251" s="239">
        <v>15578098</v>
      </c>
      <c r="CL251" s="239">
        <v>3505072</v>
      </c>
      <c r="CM251" s="239">
        <v>389452</v>
      </c>
      <c r="CN251" s="239">
        <v>38945245</v>
      </c>
      <c r="CO251" s="239">
        <v>19797536</v>
      </c>
      <c r="CP251" s="239">
        <v>15838029</v>
      </c>
      <c r="CQ251" s="239">
        <v>3563556</v>
      </c>
      <c r="CR251" s="239">
        <v>395951</v>
      </c>
      <c r="CS251" s="239">
        <v>39595072</v>
      </c>
      <c r="CT251" s="239">
        <v>324913</v>
      </c>
      <c r="CU251" s="239">
        <v>259931</v>
      </c>
      <c r="CV251" s="239">
        <v>58484</v>
      </c>
      <c r="CW251" s="239">
        <v>6499</v>
      </c>
      <c r="CX251" s="239">
        <v>649827</v>
      </c>
      <c r="CY251" s="239">
        <v>330798</v>
      </c>
      <c r="CZ251" s="239">
        <v>264638</v>
      </c>
      <c r="DA251" s="239">
        <v>59543</v>
      </c>
      <c r="DB251" s="239">
        <v>6617</v>
      </c>
      <c r="DC251" s="239">
        <v>661596</v>
      </c>
      <c r="DD251" s="641">
        <v>0.5</v>
      </c>
      <c r="DE251" s="641">
        <v>0.4</v>
      </c>
      <c r="DF251" s="641">
        <v>0.09</v>
      </c>
      <c r="DG251" s="641">
        <v>0.01</v>
      </c>
      <c r="DH251" s="641">
        <v>1</v>
      </c>
      <c r="DI251" s="214" t="s">
        <v>1190</v>
      </c>
    </row>
    <row r="252" spans="2:113" s="214" customFormat="1" x14ac:dyDescent="0.2">
      <c r="B252" s="609" t="s">
        <v>586</v>
      </c>
      <c r="C252" s="609" t="s">
        <v>585</v>
      </c>
      <c r="D252" s="239">
        <v>22402631</v>
      </c>
      <c r="E252" s="239">
        <v>17922105</v>
      </c>
      <c r="F252" s="239">
        <v>4032474</v>
      </c>
      <c r="G252" s="239">
        <v>448053</v>
      </c>
      <c r="H252" s="239">
        <v>44805263</v>
      </c>
      <c r="I252" s="239">
        <v>0</v>
      </c>
      <c r="J252" s="239">
        <v>0</v>
      </c>
      <c r="K252" s="239">
        <v>22402631</v>
      </c>
      <c r="L252" s="239">
        <v>224152</v>
      </c>
      <c r="M252" s="239">
        <v>224152</v>
      </c>
      <c r="N252" s="239">
        <v>0</v>
      </c>
      <c r="O252" s="239">
        <v>0</v>
      </c>
      <c r="P252" s="239">
        <v>306877</v>
      </c>
      <c r="Q252" s="239">
        <v>0</v>
      </c>
      <c r="R252" s="239">
        <v>306877</v>
      </c>
      <c r="S252" s="239">
        <v>0</v>
      </c>
      <c r="T252" s="239">
        <v>0</v>
      </c>
      <c r="U252" s="239">
        <v>0</v>
      </c>
      <c r="V252" s="239">
        <v>0</v>
      </c>
      <c r="W252" s="239">
        <v>1124347</v>
      </c>
      <c r="X252" s="239">
        <v>899478</v>
      </c>
      <c r="Y252" s="239">
        <v>202382</v>
      </c>
      <c r="Z252" s="239">
        <v>22487</v>
      </c>
      <c r="AA252" s="239">
        <v>2248694</v>
      </c>
      <c r="AB252" s="239">
        <v>-395799</v>
      </c>
      <c r="AC252" s="239">
        <v>-316639</v>
      </c>
      <c r="AD252" s="239">
        <v>-71244</v>
      </c>
      <c r="AE252" s="239">
        <v>-7916</v>
      </c>
      <c r="AF252" s="239">
        <v>-791598</v>
      </c>
      <c r="AG252" s="239">
        <v>-726501</v>
      </c>
      <c r="AH252" s="239">
        <v>-581199</v>
      </c>
      <c r="AI252" s="239">
        <v>-130770</v>
      </c>
      <c r="AJ252" s="239">
        <v>-14530</v>
      </c>
      <c r="AK252" s="239">
        <v>-1453000</v>
      </c>
      <c r="AL252" s="239">
        <v>377697</v>
      </c>
      <c r="AM252" s="239">
        <v>302158</v>
      </c>
      <c r="AN252" s="239">
        <v>67985</v>
      </c>
      <c r="AO252" s="239">
        <v>7554</v>
      </c>
      <c r="AP252" s="239">
        <v>755394</v>
      </c>
      <c r="AQ252" s="239">
        <v>-194997</v>
      </c>
      <c r="AR252" s="239">
        <v>-155998</v>
      </c>
      <c r="AS252" s="239">
        <v>-35099</v>
      </c>
      <c r="AT252" s="239">
        <v>-3900</v>
      </c>
      <c r="AU252" s="239">
        <v>-389994</v>
      </c>
      <c r="AV252" s="239">
        <v>-543801</v>
      </c>
      <c r="AW252" s="239">
        <v>-435039</v>
      </c>
      <c r="AX252" s="239">
        <v>-97884</v>
      </c>
      <c r="AY252" s="239">
        <v>-10876</v>
      </c>
      <c r="AZ252" s="239">
        <v>-1087600</v>
      </c>
      <c r="BA252" s="239">
        <v>-2491427.6</v>
      </c>
      <c r="BB252" s="239">
        <v>-1993140</v>
      </c>
      <c r="BC252" s="239">
        <v>-448455</v>
      </c>
      <c r="BD252" s="239">
        <v>-49827</v>
      </c>
      <c r="BE252" s="239">
        <v>-4982849.5999999996</v>
      </c>
      <c r="BF252" s="239">
        <v>253581</v>
      </c>
      <c r="BG252" s="239">
        <v>202865</v>
      </c>
      <c r="BH252" s="239">
        <v>45645</v>
      </c>
      <c r="BI252" s="239">
        <v>5072</v>
      </c>
      <c r="BJ252" s="239">
        <v>507163</v>
      </c>
      <c r="BK252" s="239">
        <v>-146641</v>
      </c>
      <c r="BL252" s="239">
        <v>-117314</v>
      </c>
      <c r="BM252" s="239">
        <v>-26396</v>
      </c>
      <c r="BN252" s="239">
        <v>-2933</v>
      </c>
      <c r="BO252" s="239">
        <v>-293284</v>
      </c>
      <c r="BP252" s="239">
        <v>-2384487.6</v>
      </c>
      <c r="BQ252" s="239">
        <v>-1907589</v>
      </c>
      <c r="BR252" s="239">
        <v>-429206</v>
      </c>
      <c r="BS252" s="239">
        <v>-47688</v>
      </c>
      <c r="BT252" s="239">
        <v>-4768970.5999999996</v>
      </c>
      <c r="BU252" s="239">
        <v>-4095120</v>
      </c>
      <c r="BV252" s="239">
        <v>-3276095</v>
      </c>
      <c r="BW252" s="239">
        <v>-737121</v>
      </c>
      <c r="BX252" s="239">
        <v>-81902</v>
      </c>
      <c r="BY252" s="239">
        <v>-8190238</v>
      </c>
      <c r="BZ252" s="239">
        <v>-4331435</v>
      </c>
      <c r="CA252" s="239">
        <v>-3465148</v>
      </c>
      <c r="CB252" s="239">
        <v>-779658</v>
      </c>
      <c r="CC252" s="239">
        <v>-86629</v>
      </c>
      <c r="CD252" s="239">
        <v>-8662870</v>
      </c>
      <c r="CE252" s="239">
        <v>236315</v>
      </c>
      <c r="CF252" s="239">
        <v>189053</v>
      </c>
      <c r="CG252" s="239">
        <v>42537</v>
      </c>
      <c r="CH252" s="239">
        <v>4727</v>
      </c>
      <c r="CI252" s="239">
        <v>472632</v>
      </c>
      <c r="CJ252" s="239">
        <v>21903303</v>
      </c>
      <c r="CK252" s="239">
        <v>17522642</v>
      </c>
      <c r="CL252" s="239">
        <v>3942595</v>
      </c>
      <c r="CM252" s="239">
        <v>438066</v>
      </c>
      <c r="CN252" s="239">
        <v>43806606</v>
      </c>
      <c r="CO252" s="239">
        <v>22402631</v>
      </c>
      <c r="CP252" s="239">
        <v>17922105</v>
      </c>
      <c r="CQ252" s="239">
        <v>4032474</v>
      </c>
      <c r="CR252" s="239">
        <v>448053</v>
      </c>
      <c r="CS252" s="239">
        <v>44805263</v>
      </c>
      <c r="CT252" s="239">
        <v>499328</v>
      </c>
      <c r="CU252" s="239">
        <v>399463</v>
      </c>
      <c r="CV252" s="239">
        <v>89879</v>
      </c>
      <c r="CW252" s="239">
        <v>9987</v>
      </c>
      <c r="CX252" s="239">
        <v>998657</v>
      </c>
      <c r="CY252" s="239">
        <v>735643</v>
      </c>
      <c r="CZ252" s="239">
        <v>588516</v>
      </c>
      <c r="DA252" s="239">
        <v>132416</v>
      </c>
      <c r="DB252" s="239">
        <v>14714</v>
      </c>
      <c r="DC252" s="239">
        <v>1471289</v>
      </c>
      <c r="DD252" s="641">
        <v>0.5</v>
      </c>
      <c r="DE252" s="641">
        <v>0.4</v>
      </c>
      <c r="DF252" s="641">
        <v>0.09</v>
      </c>
      <c r="DG252" s="641">
        <v>0.01</v>
      </c>
      <c r="DH252" s="641">
        <v>1</v>
      </c>
      <c r="DI252" s="214" t="s">
        <v>1190</v>
      </c>
    </row>
    <row r="253" spans="2:113" s="214" customFormat="1" x14ac:dyDescent="0.2">
      <c r="B253" s="609" t="s">
        <v>588</v>
      </c>
      <c r="C253" s="609" t="s">
        <v>587</v>
      </c>
      <c r="D253" s="239">
        <v>10906231</v>
      </c>
      <c r="E253" s="239">
        <v>8724984</v>
      </c>
      <c r="F253" s="239">
        <v>1963121</v>
      </c>
      <c r="G253" s="239">
        <v>218125</v>
      </c>
      <c r="H253" s="239">
        <v>21812461</v>
      </c>
      <c r="I253" s="239">
        <v>107961.16115702479</v>
      </c>
      <c r="J253" s="239">
        <v>107961.16115702479</v>
      </c>
      <c r="K253" s="239">
        <v>10798269.838842975</v>
      </c>
      <c r="L253" s="239">
        <v>104360</v>
      </c>
      <c r="M253" s="239">
        <v>104360</v>
      </c>
      <c r="N253" s="239">
        <v>2699665</v>
      </c>
      <c r="O253" s="239">
        <v>2699665</v>
      </c>
      <c r="P253" s="239">
        <v>37654</v>
      </c>
      <c r="Q253" s="239">
        <v>217437</v>
      </c>
      <c r="R253" s="239">
        <v>255091</v>
      </c>
      <c r="S253" s="239">
        <v>107961.16115702479</v>
      </c>
      <c r="T253" s="239">
        <v>0</v>
      </c>
      <c r="U253" s="239">
        <v>0</v>
      </c>
      <c r="V253" s="239">
        <v>107961.16115702479</v>
      </c>
      <c r="W253" s="239">
        <v>464561</v>
      </c>
      <c r="X253" s="239">
        <v>371648</v>
      </c>
      <c r="Y253" s="239">
        <v>83621</v>
      </c>
      <c r="Z253" s="239">
        <v>9291</v>
      </c>
      <c r="AA253" s="239">
        <v>929121</v>
      </c>
      <c r="AB253" s="239">
        <v>-100056</v>
      </c>
      <c r="AC253" s="239">
        <v>-80044</v>
      </c>
      <c r="AD253" s="239">
        <v>-18010</v>
      </c>
      <c r="AE253" s="239">
        <v>-2001</v>
      </c>
      <c r="AF253" s="239">
        <v>-200111</v>
      </c>
      <c r="AG253" s="239">
        <v>-293500</v>
      </c>
      <c r="AH253" s="239">
        <v>-234800</v>
      </c>
      <c r="AI253" s="239">
        <v>-52830</v>
      </c>
      <c r="AJ253" s="239">
        <v>-5870</v>
      </c>
      <c r="AK253" s="239">
        <v>-587000</v>
      </c>
      <c r="AL253" s="239">
        <v>58792</v>
      </c>
      <c r="AM253" s="239">
        <v>47033</v>
      </c>
      <c r="AN253" s="239">
        <v>10582</v>
      </c>
      <c r="AO253" s="239">
        <v>1176</v>
      </c>
      <c r="AP253" s="239">
        <v>117583</v>
      </c>
      <c r="AQ253" s="239">
        <v>-31792</v>
      </c>
      <c r="AR253" s="239">
        <v>-25433</v>
      </c>
      <c r="AS253" s="239">
        <v>-5722</v>
      </c>
      <c r="AT253" s="239">
        <v>-636</v>
      </c>
      <c r="AU253" s="239">
        <v>-63583</v>
      </c>
      <c r="AV253" s="239">
        <v>-266500</v>
      </c>
      <c r="AW253" s="239">
        <v>-213200</v>
      </c>
      <c r="AX253" s="239">
        <v>-47970</v>
      </c>
      <c r="AY253" s="239">
        <v>-5330</v>
      </c>
      <c r="AZ253" s="239">
        <v>-533000</v>
      </c>
      <c r="BA253" s="239">
        <v>-1505000</v>
      </c>
      <c r="BB253" s="239">
        <v>-1204000</v>
      </c>
      <c r="BC253" s="239">
        <v>-270900</v>
      </c>
      <c r="BD253" s="239">
        <v>-30100</v>
      </c>
      <c r="BE253" s="239">
        <v>-3010000</v>
      </c>
      <c r="BF253" s="239">
        <v>614741</v>
      </c>
      <c r="BG253" s="239">
        <v>491792</v>
      </c>
      <c r="BH253" s="239">
        <v>110653</v>
      </c>
      <c r="BI253" s="239">
        <v>12295</v>
      </c>
      <c r="BJ253" s="239">
        <v>1229481</v>
      </c>
      <c r="BK253" s="239">
        <v>-545741</v>
      </c>
      <c r="BL253" s="239">
        <v>-436592</v>
      </c>
      <c r="BM253" s="239">
        <v>-98233</v>
      </c>
      <c r="BN253" s="239">
        <v>-10915</v>
      </c>
      <c r="BO253" s="239">
        <v>-1091481</v>
      </c>
      <c r="BP253" s="239">
        <v>-1436000</v>
      </c>
      <c r="BQ253" s="239">
        <v>-1148800</v>
      </c>
      <c r="BR253" s="239">
        <v>-258480</v>
      </c>
      <c r="BS253" s="239">
        <v>-28720</v>
      </c>
      <c r="BT253" s="239">
        <v>-2872000</v>
      </c>
      <c r="BU253" s="239">
        <v>-1920925</v>
      </c>
      <c r="BV253" s="239">
        <v>-1536741</v>
      </c>
      <c r="BW253" s="239">
        <v>-345767</v>
      </c>
      <c r="BX253" s="239">
        <v>-38419</v>
      </c>
      <c r="BY253" s="239">
        <v>-3841852</v>
      </c>
      <c r="BZ253" s="239">
        <v>-1692546</v>
      </c>
      <c r="CA253" s="239">
        <v>-1354037</v>
      </c>
      <c r="CB253" s="239">
        <v>-304658</v>
      </c>
      <c r="CC253" s="239">
        <v>-33851</v>
      </c>
      <c r="CD253" s="239">
        <v>-3385092</v>
      </c>
      <c r="CE253" s="239">
        <v>-228379</v>
      </c>
      <c r="CF253" s="239">
        <v>-182704</v>
      </c>
      <c r="CG253" s="239">
        <v>-41109</v>
      </c>
      <c r="CH253" s="239">
        <v>-4568</v>
      </c>
      <c r="CI253" s="239">
        <v>-456760</v>
      </c>
      <c r="CJ253" s="239">
        <v>11109972</v>
      </c>
      <c r="CK253" s="239">
        <v>8887978</v>
      </c>
      <c r="CL253" s="239">
        <v>1999795</v>
      </c>
      <c r="CM253" s="239">
        <v>222199</v>
      </c>
      <c r="CN253" s="239">
        <v>22219944</v>
      </c>
      <c r="CO253" s="239">
        <v>10906231</v>
      </c>
      <c r="CP253" s="239">
        <v>8724984</v>
      </c>
      <c r="CQ253" s="239">
        <v>1963121</v>
      </c>
      <c r="CR253" s="239">
        <v>218125</v>
      </c>
      <c r="CS253" s="239">
        <v>21812461</v>
      </c>
      <c r="CT253" s="239">
        <v>-203741</v>
      </c>
      <c r="CU253" s="239">
        <v>-162994</v>
      </c>
      <c r="CV253" s="239">
        <v>-36674</v>
      </c>
      <c r="CW253" s="239">
        <v>-4074</v>
      </c>
      <c r="CX253" s="239">
        <v>-407483</v>
      </c>
      <c r="CY253" s="239">
        <v>-432120</v>
      </c>
      <c r="CZ253" s="239">
        <v>-345698</v>
      </c>
      <c r="DA253" s="239">
        <v>-77783</v>
      </c>
      <c r="DB253" s="239">
        <v>-8642</v>
      </c>
      <c r="DC253" s="239">
        <v>-864243</v>
      </c>
      <c r="DD253" s="641">
        <v>0.5</v>
      </c>
      <c r="DE253" s="641">
        <v>0.4</v>
      </c>
      <c r="DF253" s="641">
        <v>0.09</v>
      </c>
      <c r="DG253" s="641">
        <v>0.01</v>
      </c>
      <c r="DH253" s="641">
        <v>1</v>
      </c>
      <c r="DI253" s="214" t="s">
        <v>1190</v>
      </c>
    </row>
    <row r="254" spans="2:113" s="214" customFormat="1" x14ac:dyDescent="0.2">
      <c r="B254" s="609" t="s">
        <v>590</v>
      </c>
      <c r="C254" s="609" t="s">
        <v>589</v>
      </c>
      <c r="D254" s="239">
        <v>15457471</v>
      </c>
      <c r="E254" s="239">
        <v>15148321</v>
      </c>
      <c r="F254" s="239">
        <v>0</v>
      </c>
      <c r="G254" s="239">
        <v>309149</v>
      </c>
      <c r="H254" s="239">
        <v>30914941</v>
      </c>
      <c r="I254" s="239">
        <v>0</v>
      </c>
      <c r="J254" s="239">
        <v>0</v>
      </c>
      <c r="K254" s="239">
        <v>15457471</v>
      </c>
      <c r="L254" s="239">
        <v>153992</v>
      </c>
      <c r="M254" s="239">
        <v>153992</v>
      </c>
      <c r="N254" s="239">
        <v>0</v>
      </c>
      <c r="O254" s="239">
        <v>0</v>
      </c>
      <c r="P254" s="239">
        <v>0</v>
      </c>
      <c r="Q254" s="239">
        <v>0</v>
      </c>
      <c r="R254" s="239">
        <v>0</v>
      </c>
      <c r="S254" s="239">
        <v>0</v>
      </c>
      <c r="T254" s="239">
        <v>0</v>
      </c>
      <c r="U254" s="239">
        <v>0</v>
      </c>
      <c r="V254" s="239">
        <v>0</v>
      </c>
      <c r="W254" s="239">
        <v>866915</v>
      </c>
      <c r="X254" s="239">
        <v>849576</v>
      </c>
      <c r="Y254" s="239">
        <v>0</v>
      </c>
      <c r="Z254" s="239">
        <v>17338</v>
      </c>
      <c r="AA254" s="239">
        <v>1733829</v>
      </c>
      <c r="AB254" s="239">
        <v>-444046</v>
      </c>
      <c r="AC254" s="239">
        <v>-435166</v>
      </c>
      <c r="AD254" s="239">
        <v>0</v>
      </c>
      <c r="AE254" s="239">
        <v>-8881</v>
      </c>
      <c r="AF254" s="239">
        <v>-888093</v>
      </c>
      <c r="AG254" s="239">
        <v>-345891.93</v>
      </c>
      <c r="AH254" s="239">
        <v>-338974</v>
      </c>
      <c r="AI254" s="239">
        <v>0</v>
      </c>
      <c r="AJ254" s="239">
        <v>-6917</v>
      </c>
      <c r="AK254" s="239">
        <v>-691782.93</v>
      </c>
      <c r="AL254" s="239">
        <v>88953</v>
      </c>
      <c r="AM254" s="239">
        <v>87173</v>
      </c>
      <c r="AN254" s="239">
        <v>0</v>
      </c>
      <c r="AO254" s="239">
        <v>1779</v>
      </c>
      <c r="AP254" s="239">
        <v>177905</v>
      </c>
      <c r="AQ254" s="239">
        <v>-116282</v>
      </c>
      <c r="AR254" s="239">
        <v>-113957</v>
      </c>
      <c r="AS254" s="239">
        <v>0</v>
      </c>
      <c r="AT254" s="239">
        <v>-2326</v>
      </c>
      <c r="AU254" s="239">
        <v>-232565</v>
      </c>
      <c r="AV254" s="239">
        <v>-373220.93</v>
      </c>
      <c r="AW254" s="239">
        <v>-365758</v>
      </c>
      <c r="AX254" s="239">
        <v>0</v>
      </c>
      <c r="AY254" s="239">
        <v>-7464</v>
      </c>
      <c r="AZ254" s="239">
        <v>-746442.93</v>
      </c>
      <c r="BA254" s="239">
        <v>-850713</v>
      </c>
      <c r="BB254" s="239">
        <v>-833697</v>
      </c>
      <c r="BC254" s="239">
        <v>0</v>
      </c>
      <c r="BD254" s="239">
        <v>-17015</v>
      </c>
      <c r="BE254" s="239">
        <v>-1701425</v>
      </c>
      <c r="BF254" s="239">
        <v>427035</v>
      </c>
      <c r="BG254" s="239">
        <v>418495</v>
      </c>
      <c r="BH254" s="239">
        <v>0</v>
      </c>
      <c r="BI254" s="239">
        <v>8541</v>
      </c>
      <c r="BJ254" s="239">
        <v>854071</v>
      </c>
      <c r="BK254" s="239">
        <v>-548972</v>
      </c>
      <c r="BL254" s="239">
        <v>-537993</v>
      </c>
      <c r="BM254" s="239">
        <v>0</v>
      </c>
      <c r="BN254" s="239">
        <v>-10979</v>
      </c>
      <c r="BO254" s="239">
        <v>-1097944</v>
      </c>
      <c r="BP254" s="239">
        <v>-972650</v>
      </c>
      <c r="BQ254" s="239">
        <v>-953195</v>
      </c>
      <c r="BR254" s="239">
        <v>0</v>
      </c>
      <c r="BS254" s="239">
        <v>-19453</v>
      </c>
      <c r="BT254" s="239">
        <v>-1945298</v>
      </c>
      <c r="BU254" s="239">
        <v>-591274</v>
      </c>
      <c r="BV254" s="239">
        <v>-579449</v>
      </c>
      <c r="BW254" s="239">
        <v>0</v>
      </c>
      <c r="BX254" s="239">
        <v>-11825</v>
      </c>
      <c r="BY254" s="239">
        <v>-1182548</v>
      </c>
      <c r="BZ254" s="239">
        <v>-265745</v>
      </c>
      <c r="CA254" s="239">
        <v>-260430</v>
      </c>
      <c r="CB254" s="239">
        <v>0</v>
      </c>
      <c r="CC254" s="239">
        <v>-5315</v>
      </c>
      <c r="CD254" s="239">
        <v>-531490</v>
      </c>
      <c r="CE254" s="239">
        <v>-325529</v>
      </c>
      <c r="CF254" s="239">
        <v>-319019</v>
      </c>
      <c r="CG254" s="239">
        <v>0</v>
      </c>
      <c r="CH254" s="239">
        <v>-6510</v>
      </c>
      <c r="CI254" s="239">
        <v>-651058</v>
      </c>
      <c r="CJ254" s="239">
        <v>15736047</v>
      </c>
      <c r="CK254" s="239">
        <v>15421327</v>
      </c>
      <c r="CL254" s="239">
        <v>0</v>
      </c>
      <c r="CM254" s="239">
        <v>314721</v>
      </c>
      <c r="CN254" s="239">
        <v>31472095</v>
      </c>
      <c r="CO254" s="239">
        <v>15457471</v>
      </c>
      <c r="CP254" s="239">
        <v>15148321</v>
      </c>
      <c r="CQ254" s="239">
        <v>0</v>
      </c>
      <c r="CR254" s="239">
        <v>309149</v>
      </c>
      <c r="CS254" s="239">
        <v>30914941</v>
      </c>
      <c r="CT254" s="239">
        <v>-278576</v>
      </c>
      <c r="CU254" s="239">
        <v>-273006</v>
      </c>
      <c r="CV254" s="239">
        <v>0</v>
      </c>
      <c r="CW254" s="239">
        <v>-5572</v>
      </c>
      <c r="CX254" s="239">
        <v>-557154</v>
      </c>
      <c r="CY254" s="239">
        <v>-604105</v>
      </c>
      <c r="CZ254" s="239">
        <v>-592025</v>
      </c>
      <c r="DA254" s="239">
        <v>0</v>
      </c>
      <c r="DB254" s="239">
        <v>-12082</v>
      </c>
      <c r="DC254" s="239">
        <v>-1208212</v>
      </c>
      <c r="DD254" s="641">
        <v>0.5</v>
      </c>
      <c r="DE254" s="641">
        <v>0.49</v>
      </c>
      <c r="DF254" s="641">
        <v>0</v>
      </c>
      <c r="DG254" s="641">
        <v>0.01</v>
      </c>
      <c r="DH254" s="641">
        <v>1</v>
      </c>
      <c r="DI254" s="214" t="s">
        <v>1192</v>
      </c>
    </row>
    <row r="255" spans="2:113" s="214" customFormat="1" x14ac:dyDescent="0.2">
      <c r="B255" s="609" t="s">
        <v>592</v>
      </c>
      <c r="C255" s="609" t="s">
        <v>591</v>
      </c>
      <c r="D255" s="239">
        <v>50695825</v>
      </c>
      <c r="E255" s="239">
        <v>49681908</v>
      </c>
      <c r="F255" s="239">
        <v>0</v>
      </c>
      <c r="G255" s="239">
        <v>1013916</v>
      </c>
      <c r="H255" s="239">
        <v>101391649</v>
      </c>
      <c r="I255" s="239">
        <v>0</v>
      </c>
      <c r="J255" s="239">
        <v>0</v>
      </c>
      <c r="K255" s="239">
        <v>50695825</v>
      </c>
      <c r="L255" s="239">
        <v>315452</v>
      </c>
      <c r="M255" s="239">
        <v>315452</v>
      </c>
      <c r="N255" s="239">
        <v>0</v>
      </c>
      <c r="O255" s="239">
        <v>0</v>
      </c>
      <c r="P255" s="239">
        <v>0</v>
      </c>
      <c r="Q255" s="239">
        <v>0</v>
      </c>
      <c r="R255" s="239">
        <v>0</v>
      </c>
      <c r="S255" s="239">
        <v>0</v>
      </c>
      <c r="T255" s="239">
        <v>0</v>
      </c>
      <c r="U255" s="239">
        <v>0</v>
      </c>
      <c r="V255" s="239">
        <v>0</v>
      </c>
      <c r="W255" s="239">
        <v>2795278</v>
      </c>
      <c r="X255" s="239">
        <v>2739373</v>
      </c>
      <c r="Y255" s="239">
        <v>0</v>
      </c>
      <c r="Z255" s="239">
        <v>55906</v>
      </c>
      <c r="AA255" s="239">
        <v>5590557</v>
      </c>
      <c r="AB255" s="239">
        <v>-1454769</v>
      </c>
      <c r="AC255" s="239">
        <v>-1425674</v>
      </c>
      <c r="AD255" s="239">
        <v>0</v>
      </c>
      <c r="AE255" s="239">
        <v>-29095</v>
      </c>
      <c r="AF255" s="239">
        <v>-2909538</v>
      </c>
      <c r="AG255" s="239">
        <v>-939179</v>
      </c>
      <c r="AH255" s="239">
        <v>-920395.46</v>
      </c>
      <c r="AI255" s="239">
        <v>0</v>
      </c>
      <c r="AJ255" s="239">
        <v>-18783.54</v>
      </c>
      <c r="AK255" s="239">
        <v>-1878358</v>
      </c>
      <c r="AL255" s="239">
        <v>526760</v>
      </c>
      <c r="AM255" s="239">
        <v>516225</v>
      </c>
      <c r="AN255" s="239">
        <v>0</v>
      </c>
      <c r="AO255" s="239">
        <v>10535</v>
      </c>
      <c r="AP255" s="239">
        <v>1053520</v>
      </c>
      <c r="AQ255" s="239">
        <v>-1228776</v>
      </c>
      <c r="AR255" s="239">
        <v>-1204200</v>
      </c>
      <c r="AS255" s="239">
        <v>0</v>
      </c>
      <c r="AT255" s="239">
        <v>-24576</v>
      </c>
      <c r="AU255" s="239">
        <v>-2457552</v>
      </c>
      <c r="AV255" s="239">
        <v>-1641195</v>
      </c>
      <c r="AW255" s="239">
        <v>-1608370.46</v>
      </c>
      <c r="AX255" s="239">
        <v>0</v>
      </c>
      <c r="AY255" s="239">
        <v>-32824.54</v>
      </c>
      <c r="AZ255" s="239">
        <v>-3282390</v>
      </c>
      <c r="BA255" s="239">
        <v>-8539040</v>
      </c>
      <c r="BB255" s="239">
        <v>-8368258</v>
      </c>
      <c r="BC255" s="239">
        <v>0</v>
      </c>
      <c r="BD255" s="239">
        <v>-170781</v>
      </c>
      <c r="BE255" s="239">
        <v>-17078079</v>
      </c>
      <c r="BF255" s="239">
        <v>2975664</v>
      </c>
      <c r="BG255" s="239">
        <v>2916150</v>
      </c>
      <c r="BH255" s="239">
        <v>0</v>
      </c>
      <c r="BI255" s="239">
        <v>59513</v>
      </c>
      <c r="BJ255" s="239">
        <v>5951327</v>
      </c>
      <c r="BK255" s="239">
        <v>-3848390</v>
      </c>
      <c r="BL255" s="239">
        <v>-3771423</v>
      </c>
      <c r="BM255" s="239">
        <v>0</v>
      </c>
      <c r="BN255" s="239">
        <v>-76968</v>
      </c>
      <c r="BO255" s="239">
        <v>-7696781</v>
      </c>
      <c r="BP255" s="239">
        <v>-9411766</v>
      </c>
      <c r="BQ255" s="239">
        <v>-9223531</v>
      </c>
      <c r="BR255" s="239">
        <v>0</v>
      </c>
      <c r="BS255" s="239">
        <v>-188236</v>
      </c>
      <c r="BT255" s="239">
        <v>-18823533</v>
      </c>
      <c r="BU255" s="239">
        <v>3913706</v>
      </c>
      <c r="BV255" s="239">
        <v>3835432</v>
      </c>
      <c r="BW255" s="239">
        <v>0</v>
      </c>
      <c r="BX255" s="239">
        <v>78274</v>
      </c>
      <c r="BY255" s="239">
        <v>7827412</v>
      </c>
      <c r="BZ255" s="239">
        <v>3072653</v>
      </c>
      <c r="CA255" s="239">
        <v>3011199</v>
      </c>
      <c r="CB255" s="239">
        <v>0</v>
      </c>
      <c r="CC255" s="239">
        <v>61453</v>
      </c>
      <c r="CD255" s="239">
        <v>6145305</v>
      </c>
      <c r="CE255" s="239">
        <v>841053</v>
      </c>
      <c r="CF255" s="239">
        <v>824233</v>
      </c>
      <c r="CG255" s="239">
        <v>0</v>
      </c>
      <c r="CH255" s="239">
        <v>16821</v>
      </c>
      <c r="CI255" s="239">
        <v>1682107</v>
      </c>
      <c r="CJ255" s="239">
        <v>48449279</v>
      </c>
      <c r="CK255" s="239">
        <v>47480294</v>
      </c>
      <c r="CL255" s="239">
        <v>0</v>
      </c>
      <c r="CM255" s="239">
        <v>968986</v>
      </c>
      <c r="CN255" s="239">
        <v>96898559</v>
      </c>
      <c r="CO255" s="239">
        <v>50695825</v>
      </c>
      <c r="CP255" s="239">
        <v>49681908</v>
      </c>
      <c r="CQ255" s="239">
        <v>0</v>
      </c>
      <c r="CR255" s="239">
        <v>1013916</v>
      </c>
      <c r="CS255" s="239">
        <v>101391649</v>
      </c>
      <c r="CT255" s="239">
        <v>2246546</v>
      </c>
      <c r="CU255" s="239">
        <v>2201614</v>
      </c>
      <c r="CV255" s="239">
        <v>0</v>
      </c>
      <c r="CW255" s="239">
        <v>44930</v>
      </c>
      <c r="CX255" s="239">
        <v>4493090</v>
      </c>
      <c r="CY255" s="239">
        <v>3087599</v>
      </c>
      <c r="CZ255" s="239">
        <v>3025847</v>
      </c>
      <c r="DA255" s="239">
        <v>0</v>
      </c>
      <c r="DB255" s="239">
        <v>61751</v>
      </c>
      <c r="DC255" s="239">
        <v>6175197</v>
      </c>
      <c r="DD255" s="641">
        <v>0.5</v>
      </c>
      <c r="DE255" s="641">
        <v>0.49</v>
      </c>
      <c r="DF255" s="641">
        <v>0</v>
      </c>
      <c r="DG255" s="641">
        <v>0.01</v>
      </c>
      <c r="DH255" s="641">
        <v>1</v>
      </c>
      <c r="DI255" s="214" t="s">
        <v>747</v>
      </c>
    </row>
    <row r="256" spans="2:113" s="214" customFormat="1" x14ac:dyDescent="0.2">
      <c r="B256" s="609" t="s">
        <v>594</v>
      </c>
      <c r="C256" s="609" t="s">
        <v>593</v>
      </c>
      <c r="D256" s="239">
        <v>23258333</v>
      </c>
      <c r="E256" s="239">
        <v>22793166</v>
      </c>
      <c r="F256" s="239">
        <v>0</v>
      </c>
      <c r="G256" s="239">
        <v>465167</v>
      </c>
      <c r="H256" s="239">
        <v>46516666</v>
      </c>
      <c r="I256" s="239">
        <v>0</v>
      </c>
      <c r="J256" s="239">
        <v>0</v>
      </c>
      <c r="K256" s="239">
        <v>23258333</v>
      </c>
      <c r="L256" s="239">
        <v>238425</v>
      </c>
      <c r="M256" s="239">
        <v>238425</v>
      </c>
      <c r="N256" s="239">
        <v>0</v>
      </c>
      <c r="O256" s="239">
        <v>0</v>
      </c>
      <c r="P256" s="239">
        <v>0</v>
      </c>
      <c r="Q256" s="239">
        <v>0</v>
      </c>
      <c r="R256" s="239">
        <v>0</v>
      </c>
      <c r="S256" s="239">
        <v>0</v>
      </c>
      <c r="T256" s="239">
        <v>0</v>
      </c>
      <c r="U256" s="239">
        <v>0</v>
      </c>
      <c r="V256" s="239">
        <v>0</v>
      </c>
      <c r="W256" s="239">
        <v>864301</v>
      </c>
      <c r="X256" s="239">
        <v>847015</v>
      </c>
      <c r="Y256" s="239">
        <v>0</v>
      </c>
      <c r="Z256" s="239">
        <v>17286</v>
      </c>
      <c r="AA256" s="239">
        <v>1728602</v>
      </c>
      <c r="AB256" s="239">
        <v>-714717</v>
      </c>
      <c r="AC256" s="239">
        <v>-700422</v>
      </c>
      <c r="AD256" s="239">
        <v>0</v>
      </c>
      <c r="AE256" s="239">
        <v>-14294</v>
      </c>
      <c r="AF256" s="239">
        <v>-1429433</v>
      </c>
      <c r="AG256" s="239">
        <v>-333711.99</v>
      </c>
      <c r="AH256" s="239">
        <v>-327038</v>
      </c>
      <c r="AI256" s="239">
        <v>0</v>
      </c>
      <c r="AJ256" s="239">
        <v>-6674</v>
      </c>
      <c r="AK256" s="239">
        <v>-667423.99</v>
      </c>
      <c r="AL256" s="239">
        <v>183542</v>
      </c>
      <c r="AM256" s="239">
        <v>179872</v>
      </c>
      <c r="AN256" s="239">
        <v>0</v>
      </c>
      <c r="AO256" s="239">
        <v>3671</v>
      </c>
      <c r="AP256" s="239">
        <v>367085</v>
      </c>
      <c r="AQ256" s="239">
        <v>-210512</v>
      </c>
      <c r="AR256" s="239">
        <v>-206302</v>
      </c>
      <c r="AS256" s="239">
        <v>0</v>
      </c>
      <c r="AT256" s="239">
        <v>-4210</v>
      </c>
      <c r="AU256" s="239">
        <v>-421024</v>
      </c>
      <c r="AV256" s="239">
        <v>-360681.99</v>
      </c>
      <c r="AW256" s="239">
        <v>-353468</v>
      </c>
      <c r="AX256" s="239">
        <v>0</v>
      </c>
      <c r="AY256" s="239">
        <v>-7213</v>
      </c>
      <c r="AZ256" s="239">
        <v>-721362.99</v>
      </c>
      <c r="BA256" s="239">
        <v>-1916385.2</v>
      </c>
      <c r="BB256" s="239">
        <v>-1878057</v>
      </c>
      <c r="BC256" s="239">
        <v>0</v>
      </c>
      <c r="BD256" s="239">
        <v>-38327</v>
      </c>
      <c r="BE256" s="239">
        <v>-3832769.2</v>
      </c>
      <c r="BF256" s="239">
        <v>374685</v>
      </c>
      <c r="BG256" s="239">
        <v>367191</v>
      </c>
      <c r="BH256" s="239">
        <v>0</v>
      </c>
      <c r="BI256" s="239">
        <v>7494</v>
      </c>
      <c r="BJ256" s="239">
        <v>749370</v>
      </c>
      <c r="BK256" s="239">
        <v>-754454</v>
      </c>
      <c r="BL256" s="239">
        <v>-739365</v>
      </c>
      <c r="BM256" s="239">
        <v>0</v>
      </c>
      <c r="BN256" s="239">
        <v>-15089</v>
      </c>
      <c r="BO256" s="239">
        <v>-1508908</v>
      </c>
      <c r="BP256" s="239">
        <v>-2296154.2000000002</v>
      </c>
      <c r="BQ256" s="239">
        <v>-2250231</v>
      </c>
      <c r="BR256" s="239">
        <v>0</v>
      </c>
      <c r="BS256" s="239">
        <v>-45922</v>
      </c>
      <c r="BT256" s="239">
        <v>-4592307.2</v>
      </c>
      <c r="BU256" s="239">
        <v>-1869902</v>
      </c>
      <c r="BV256" s="239">
        <v>-1832504</v>
      </c>
      <c r="BW256" s="239">
        <v>0</v>
      </c>
      <c r="BX256" s="239">
        <v>-37398</v>
      </c>
      <c r="BY256" s="239">
        <v>-3739804</v>
      </c>
      <c r="BZ256" s="239">
        <v>86733</v>
      </c>
      <c r="CA256" s="239">
        <v>84999</v>
      </c>
      <c r="CB256" s="239">
        <v>0</v>
      </c>
      <c r="CC256" s="239">
        <v>1735</v>
      </c>
      <c r="CD256" s="239">
        <v>173467</v>
      </c>
      <c r="CE256" s="239">
        <v>-1956635</v>
      </c>
      <c r="CF256" s="239">
        <v>-1917503</v>
      </c>
      <c r="CG256" s="239">
        <v>0</v>
      </c>
      <c r="CH256" s="239">
        <v>-39133</v>
      </c>
      <c r="CI256" s="239">
        <v>-3913271</v>
      </c>
      <c r="CJ256" s="239">
        <v>23851709</v>
      </c>
      <c r="CK256" s="239">
        <v>23374674</v>
      </c>
      <c r="CL256" s="239">
        <v>0</v>
      </c>
      <c r="CM256" s="239">
        <v>477034</v>
      </c>
      <c r="CN256" s="239">
        <v>47703417</v>
      </c>
      <c r="CO256" s="239">
        <v>23258333</v>
      </c>
      <c r="CP256" s="239">
        <v>22793166</v>
      </c>
      <c r="CQ256" s="239">
        <v>0</v>
      </c>
      <c r="CR256" s="239">
        <v>465167</v>
      </c>
      <c r="CS256" s="239">
        <v>46516666</v>
      </c>
      <c r="CT256" s="239">
        <v>-593376</v>
      </c>
      <c r="CU256" s="239">
        <v>-581508</v>
      </c>
      <c r="CV256" s="239">
        <v>0</v>
      </c>
      <c r="CW256" s="239">
        <v>-11867</v>
      </c>
      <c r="CX256" s="239">
        <v>-1186751</v>
      </c>
      <c r="CY256" s="239">
        <v>-2550011</v>
      </c>
      <c r="CZ256" s="239">
        <v>-2499011</v>
      </c>
      <c r="DA256" s="239">
        <v>0</v>
      </c>
      <c r="DB256" s="239">
        <v>-51000</v>
      </c>
      <c r="DC256" s="239">
        <v>-5100022</v>
      </c>
      <c r="DD256" s="641">
        <v>0.5</v>
      </c>
      <c r="DE256" s="641">
        <v>0.49</v>
      </c>
      <c r="DF256" s="641">
        <v>0</v>
      </c>
      <c r="DG256" s="641">
        <v>0.01</v>
      </c>
      <c r="DH256" s="641">
        <v>1</v>
      </c>
      <c r="DI256" s="214" t="s">
        <v>747</v>
      </c>
    </row>
    <row r="257" spans="2:113" s="214" customFormat="1" x14ac:dyDescent="0.2">
      <c r="B257" s="609" t="s">
        <v>596</v>
      </c>
      <c r="C257" s="609" t="s">
        <v>595</v>
      </c>
      <c r="D257" s="239">
        <v>115569916</v>
      </c>
      <c r="E257" s="239">
        <v>69341950</v>
      </c>
      <c r="F257" s="239">
        <v>46227967</v>
      </c>
      <c r="G257" s="239">
        <v>0</v>
      </c>
      <c r="H257" s="239">
        <v>231139833</v>
      </c>
      <c r="I257" s="239">
        <v>0</v>
      </c>
      <c r="J257" s="239">
        <v>0</v>
      </c>
      <c r="K257" s="239">
        <v>115569916</v>
      </c>
      <c r="L257" s="239">
        <v>659318</v>
      </c>
      <c r="M257" s="239">
        <v>659318</v>
      </c>
      <c r="N257" s="239">
        <v>0</v>
      </c>
      <c r="O257" s="239">
        <v>0</v>
      </c>
      <c r="P257" s="239">
        <v>0</v>
      </c>
      <c r="Q257" s="239">
        <v>0</v>
      </c>
      <c r="R257" s="239">
        <v>0</v>
      </c>
      <c r="S257" s="239">
        <v>0</v>
      </c>
      <c r="T257" s="239">
        <v>0</v>
      </c>
      <c r="U257" s="239">
        <v>0</v>
      </c>
      <c r="V257" s="239">
        <v>0</v>
      </c>
      <c r="W257" s="239">
        <v>16817834</v>
      </c>
      <c r="X257" s="239">
        <v>10090700</v>
      </c>
      <c r="Y257" s="239">
        <v>6727133</v>
      </c>
      <c r="Z257" s="239">
        <v>0</v>
      </c>
      <c r="AA257" s="239">
        <v>33635667</v>
      </c>
      <c r="AB257" s="239">
        <v>-8719184</v>
      </c>
      <c r="AC257" s="239">
        <v>-5231511</v>
      </c>
      <c r="AD257" s="239">
        <v>-3487674</v>
      </c>
      <c r="AE257" s="239">
        <v>0</v>
      </c>
      <c r="AF257" s="239">
        <v>-17438369</v>
      </c>
      <c r="AG257" s="239">
        <v>-1865962</v>
      </c>
      <c r="AH257" s="239">
        <v>-1119575.8</v>
      </c>
      <c r="AI257" s="239">
        <v>-746384</v>
      </c>
      <c r="AJ257" s="239">
        <v>0</v>
      </c>
      <c r="AK257" s="239">
        <v>-3731922</v>
      </c>
      <c r="AL257" s="239">
        <v>734349</v>
      </c>
      <c r="AM257" s="239">
        <v>440609</v>
      </c>
      <c r="AN257" s="239">
        <v>293739</v>
      </c>
      <c r="AO257" s="239">
        <v>0</v>
      </c>
      <c r="AP257" s="239">
        <v>1468697</v>
      </c>
      <c r="AQ257" s="239">
        <v>-1710339</v>
      </c>
      <c r="AR257" s="239">
        <v>-1026203</v>
      </c>
      <c r="AS257" s="239">
        <v>-684135</v>
      </c>
      <c r="AT257" s="239">
        <v>0</v>
      </c>
      <c r="AU257" s="239">
        <v>-3420677</v>
      </c>
      <c r="AV257" s="239">
        <v>-2841952</v>
      </c>
      <c r="AW257" s="239">
        <v>-1705169.8</v>
      </c>
      <c r="AX257" s="239">
        <v>-1136780</v>
      </c>
      <c r="AY257" s="239">
        <v>0</v>
      </c>
      <c r="AZ257" s="239">
        <v>-5683902</v>
      </c>
      <c r="BA257" s="239">
        <v>-9629343</v>
      </c>
      <c r="BB257" s="239">
        <v>-5777606</v>
      </c>
      <c r="BC257" s="239">
        <v>-3851737</v>
      </c>
      <c r="BD257" s="239">
        <v>0</v>
      </c>
      <c r="BE257" s="239">
        <v>-19258686</v>
      </c>
      <c r="BF257" s="239">
        <v>3135474</v>
      </c>
      <c r="BG257" s="239">
        <v>1881284</v>
      </c>
      <c r="BH257" s="239">
        <v>1254190</v>
      </c>
      <c r="BI257" s="239">
        <v>0</v>
      </c>
      <c r="BJ257" s="239">
        <v>6270948</v>
      </c>
      <c r="BK257" s="239">
        <v>-13671024</v>
      </c>
      <c r="BL257" s="239">
        <v>-8202615</v>
      </c>
      <c r="BM257" s="239">
        <v>-5468410</v>
      </c>
      <c r="BN257" s="239">
        <v>0</v>
      </c>
      <c r="BO257" s="239">
        <v>-27342049</v>
      </c>
      <c r="BP257" s="239">
        <v>-20164893</v>
      </c>
      <c r="BQ257" s="239">
        <v>-12098937</v>
      </c>
      <c r="BR257" s="239">
        <v>-8065957</v>
      </c>
      <c r="BS257" s="239">
        <v>0</v>
      </c>
      <c r="BT257" s="239">
        <v>-40329787</v>
      </c>
      <c r="BU257" s="239">
        <v>-6827187</v>
      </c>
      <c r="BV257" s="239">
        <v>-4096313</v>
      </c>
      <c r="BW257" s="239">
        <v>-2730875</v>
      </c>
      <c r="BX257" s="239">
        <v>0</v>
      </c>
      <c r="BY257" s="239">
        <v>-13654375</v>
      </c>
      <c r="BZ257" s="239">
        <v>-7303651</v>
      </c>
      <c r="CA257" s="239">
        <v>-4382191</v>
      </c>
      <c r="CB257" s="239">
        <v>-2921461</v>
      </c>
      <c r="CC257" s="239">
        <v>0</v>
      </c>
      <c r="CD257" s="239">
        <v>-14607303</v>
      </c>
      <c r="CE257" s="239">
        <v>476464</v>
      </c>
      <c r="CF257" s="239">
        <v>285878</v>
      </c>
      <c r="CG257" s="239">
        <v>190586</v>
      </c>
      <c r="CH257" s="239">
        <v>0</v>
      </c>
      <c r="CI257" s="239">
        <v>952928</v>
      </c>
      <c r="CJ257" s="239">
        <v>115192076</v>
      </c>
      <c r="CK257" s="239">
        <v>69115246</v>
      </c>
      <c r="CL257" s="239">
        <v>46076830</v>
      </c>
      <c r="CM257" s="239">
        <v>0</v>
      </c>
      <c r="CN257" s="239">
        <v>230384152</v>
      </c>
      <c r="CO257" s="239">
        <v>115569916</v>
      </c>
      <c r="CP257" s="239">
        <v>69341950</v>
      </c>
      <c r="CQ257" s="239">
        <v>46227967</v>
      </c>
      <c r="CR257" s="239">
        <v>0</v>
      </c>
      <c r="CS257" s="239">
        <v>231139833</v>
      </c>
      <c r="CT257" s="239">
        <v>377840</v>
      </c>
      <c r="CU257" s="239">
        <v>226704</v>
      </c>
      <c r="CV257" s="239">
        <v>151137</v>
      </c>
      <c r="CW257" s="239">
        <v>0</v>
      </c>
      <c r="CX257" s="239">
        <v>755681</v>
      </c>
      <c r="CY257" s="239">
        <v>854304</v>
      </c>
      <c r="CZ257" s="239">
        <v>512582</v>
      </c>
      <c r="DA257" s="239">
        <v>341723</v>
      </c>
      <c r="DB257" s="239">
        <v>0</v>
      </c>
      <c r="DC257" s="239">
        <v>1708609</v>
      </c>
      <c r="DD257" s="641">
        <v>0.5</v>
      </c>
      <c r="DE257" s="641">
        <v>0.3</v>
      </c>
      <c r="DF257" s="641">
        <v>0.2</v>
      </c>
      <c r="DG257" s="641">
        <v>0</v>
      </c>
      <c r="DH257" s="641">
        <v>1</v>
      </c>
      <c r="DI257" s="214" t="s">
        <v>1193</v>
      </c>
    </row>
    <row r="258" spans="2:113" s="214" customFormat="1" x14ac:dyDescent="0.2">
      <c r="B258" s="609" t="s">
        <v>598</v>
      </c>
      <c r="C258" s="609" t="s">
        <v>597</v>
      </c>
      <c r="D258" s="239">
        <v>21475752</v>
      </c>
      <c r="E258" s="239">
        <v>17180602</v>
      </c>
      <c r="F258" s="239">
        <v>4295150</v>
      </c>
      <c r="G258" s="239">
        <v>0</v>
      </c>
      <c r="H258" s="239">
        <v>42951504</v>
      </c>
      <c r="I258" s="239">
        <v>0</v>
      </c>
      <c r="J258" s="239">
        <v>0</v>
      </c>
      <c r="K258" s="239">
        <v>21475752</v>
      </c>
      <c r="L258" s="239">
        <v>128984</v>
      </c>
      <c r="M258" s="239">
        <v>128984</v>
      </c>
      <c r="N258" s="239">
        <v>0</v>
      </c>
      <c r="O258" s="239">
        <v>0</v>
      </c>
      <c r="P258" s="239">
        <v>0</v>
      </c>
      <c r="Q258" s="239">
        <v>0</v>
      </c>
      <c r="R258" s="239">
        <v>0</v>
      </c>
      <c r="S258" s="239">
        <v>0</v>
      </c>
      <c r="T258" s="239">
        <v>0</v>
      </c>
      <c r="U258" s="239">
        <v>0</v>
      </c>
      <c r="V258" s="239">
        <v>0</v>
      </c>
      <c r="W258" s="239">
        <v>478627</v>
      </c>
      <c r="X258" s="239">
        <v>382901</v>
      </c>
      <c r="Y258" s="239">
        <v>95725</v>
      </c>
      <c r="Z258" s="239">
        <v>0</v>
      </c>
      <c r="AA258" s="239">
        <v>957253</v>
      </c>
      <c r="AB258" s="239">
        <v>-1177327</v>
      </c>
      <c r="AC258" s="239">
        <v>-941861</v>
      </c>
      <c r="AD258" s="239">
        <v>-235465</v>
      </c>
      <c r="AE258" s="239">
        <v>0</v>
      </c>
      <c r="AF258" s="239">
        <v>-2354653</v>
      </c>
      <c r="AG258" s="239">
        <v>-452667.5</v>
      </c>
      <c r="AH258" s="239">
        <v>-362134</v>
      </c>
      <c r="AI258" s="239">
        <v>-90533.5</v>
      </c>
      <c r="AJ258" s="239">
        <v>0</v>
      </c>
      <c r="AK258" s="239">
        <v>-905335</v>
      </c>
      <c r="AL258" s="239">
        <v>428944</v>
      </c>
      <c r="AM258" s="239">
        <v>343156</v>
      </c>
      <c r="AN258" s="239">
        <v>85789</v>
      </c>
      <c r="AO258" s="239">
        <v>0</v>
      </c>
      <c r="AP258" s="239">
        <v>857889</v>
      </c>
      <c r="AQ258" s="239">
        <v>-280000</v>
      </c>
      <c r="AR258" s="239">
        <v>-224000</v>
      </c>
      <c r="AS258" s="239">
        <v>-56000</v>
      </c>
      <c r="AT258" s="239">
        <v>0</v>
      </c>
      <c r="AU258" s="239">
        <v>-560000</v>
      </c>
      <c r="AV258" s="239">
        <v>-303723.5</v>
      </c>
      <c r="AW258" s="239">
        <v>-242978</v>
      </c>
      <c r="AX258" s="239">
        <v>-60744.5</v>
      </c>
      <c r="AY258" s="239">
        <v>0</v>
      </c>
      <c r="AZ258" s="239">
        <v>-607446</v>
      </c>
      <c r="BA258" s="239">
        <v>-2269561</v>
      </c>
      <c r="BB258" s="239">
        <v>-1815647</v>
      </c>
      <c r="BC258" s="239">
        <v>-453911</v>
      </c>
      <c r="BD258" s="239">
        <v>0</v>
      </c>
      <c r="BE258" s="239">
        <v>-4539119</v>
      </c>
      <c r="BF258" s="239">
        <v>399089</v>
      </c>
      <c r="BG258" s="239">
        <v>319271</v>
      </c>
      <c r="BH258" s="239">
        <v>79818</v>
      </c>
      <c r="BI258" s="239">
        <v>0</v>
      </c>
      <c r="BJ258" s="239">
        <v>798178</v>
      </c>
      <c r="BK258" s="239">
        <v>328726</v>
      </c>
      <c r="BL258" s="239">
        <v>262980</v>
      </c>
      <c r="BM258" s="239">
        <v>65745</v>
      </c>
      <c r="BN258" s="239">
        <v>0</v>
      </c>
      <c r="BO258" s="239">
        <v>657451</v>
      </c>
      <c r="BP258" s="239">
        <v>-1541746</v>
      </c>
      <c r="BQ258" s="239">
        <v>-1233396</v>
      </c>
      <c r="BR258" s="239">
        <v>-308348</v>
      </c>
      <c r="BS258" s="239">
        <v>0</v>
      </c>
      <c r="BT258" s="239">
        <v>-3083490</v>
      </c>
      <c r="BU258" s="239">
        <v>-3075290</v>
      </c>
      <c r="BV258" s="239">
        <v>-2460232</v>
      </c>
      <c r="BW258" s="239">
        <v>-615058</v>
      </c>
      <c r="BX258" s="239">
        <v>0</v>
      </c>
      <c r="BY258" s="239">
        <v>-6150580</v>
      </c>
      <c r="BZ258" s="239">
        <v>-4405896</v>
      </c>
      <c r="CA258" s="239">
        <v>-3524717</v>
      </c>
      <c r="CB258" s="239">
        <v>-881179</v>
      </c>
      <c r="CC258" s="239">
        <v>0</v>
      </c>
      <c r="CD258" s="239">
        <v>-8811792</v>
      </c>
      <c r="CE258" s="239">
        <v>1330606</v>
      </c>
      <c r="CF258" s="239">
        <v>1064485</v>
      </c>
      <c r="CG258" s="239">
        <v>266121</v>
      </c>
      <c r="CH258" s="239">
        <v>0</v>
      </c>
      <c r="CI258" s="239">
        <v>2661212</v>
      </c>
      <c r="CJ258" s="239">
        <v>22768246</v>
      </c>
      <c r="CK258" s="239">
        <v>18214596</v>
      </c>
      <c r="CL258" s="239">
        <v>4553649</v>
      </c>
      <c r="CM258" s="239">
        <v>0</v>
      </c>
      <c r="CN258" s="239">
        <v>45536491</v>
      </c>
      <c r="CO258" s="239">
        <v>21475752</v>
      </c>
      <c r="CP258" s="239">
        <v>17180602</v>
      </c>
      <c r="CQ258" s="239">
        <v>4295150</v>
      </c>
      <c r="CR258" s="239">
        <v>0</v>
      </c>
      <c r="CS258" s="239">
        <v>42951504</v>
      </c>
      <c r="CT258" s="239">
        <v>-1292494</v>
      </c>
      <c r="CU258" s="239">
        <v>-1033994</v>
      </c>
      <c r="CV258" s="239">
        <v>-258499</v>
      </c>
      <c r="CW258" s="239">
        <v>0</v>
      </c>
      <c r="CX258" s="239">
        <v>-2584987</v>
      </c>
      <c r="CY258" s="239">
        <v>38112</v>
      </c>
      <c r="CZ258" s="239">
        <v>30491</v>
      </c>
      <c r="DA258" s="239">
        <v>7622</v>
      </c>
      <c r="DB258" s="239">
        <v>0</v>
      </c>
      <c r="DC258" s="239">
        <v>76225</v>
      </c>
      <c r="DD258" s="641">
        <v>0.5</v>
      </c>
      <c r="DE258" s="641">
        <v>0.4</v>
      </c>
      <c r="DF258" s="641">
        <v>0.1</v>
      </c>
      <c r="DG258" s="641">
        <v>0</v>
      </c>
      <c r="DH258" s="641">
        <v>1</v>
      </c>
      <c r="DI258" s="214" t="s">
        <v>1190</v>
      </c>
    </row>
    <row r="259" spans="2:113" s="214" customFormat="1" x14ac:dyDescent="0.2">
      <c r="B259" s="609" t="s">
        <v>600</v>
      </c>
      <c r="C259" s="609" t="s">
        <v>599</v>
      </c>
      <c r="D259" s="239">
        <v>30256942</v>
      </c>
      <c r="E259" s="239">
        <v>24205554</v>
      </c>
      <c r="F259" s="239">
        <v>6051389</v>
      </c>
      <c r="G259" s="239">
        <v>0</v>
      </c>
      <c r="H259" s="239">
        <v>60513885</v>
      </c>
      <c r="I259" s="239">
        <v>0</v>
      </c>
      <c r="J259" s="239">
        <v>0</v>
      </c>
      <c r="K259" s="239">
        <v>30256942</v>
      </c>
      <c r="L259" s="239">
        <v>194644</v>
      </c>
      <c r="M259" s="239">
        <v>194644</v>
      </c>
      <c r="N259" s="239">
        <v>0</v>
      </c>
      <c r="O259" s="239">
        <v>0</v>
      </c>
      <c r="P259" s="239">
        <v>0</v>
      </c>
      <c r="Q259" s="239">
        <v>0</v>
      </c>
      <c r="R259" s="239">
        <v>0</v>
      </c>
      <c r="S259" s="239">
        <v>0</v>
      </c>
      <c r="T259" s="239">
        <v>0</v>
      </c>
      <c r="U259" s="239">
        <v>0</v>
      </c>
      <c r="V259" s="239">
        <v>0</v>
      </c>
      <c r="W259" s="239">
        <v>1234183</v>
      </c>
      <c r="X259" s="239">
        <v>987347</v>
      </c>
      <c r="Y259" s="239">
        <v>246837</v>
      </c>
      <c r="Z259" s="239">
        <v>0</v>
      </c>
      <c r="AA259" s="239">
        <v>2468367</v>
      </c>
      <c r="AB259" s="239">
        <v>-641002</v>
      </c>
      <c r="AC259" s="239">
        <v>-512802</v>
      </c>
      <c r="AD259" s="239">
        <v>-128201</v>
      </c>
      <c r="AE259" s="239">
        <v>0</v>
      </c>
      <c r="AF259" s="239">
        <v>-1282005</v>
      </c>
      <c r="AG259" s="239">
        <v>-757500</v>
      </c>
      <c r="AH259" s="239">
        <v>-606000</v>
      </c>
      <c r="AI259" s="239">
        <v>-151500</v>
      </c>
      <c r="AJ259" s="239">
        <v>0</v>
      </c>
      <c r="AK259" s="239">
        <v>-1515000</v>
      </c>
      <c r="AL259" s="239">
        <v>0</v>
      </c>
      <c r="AM259" s="239">
        <v>0</v>
      </c>
      <c r="AN259" s="239">
        <v>0</v>
      </c>
      <c r="AO259" s="239">
        <v>0</v>
      </c>
      <c r="AP259" s="239">
        <v>0</v>
      </c>
      <c r="AQ259" s="239">
        <v>-42000</v>
      </c>
      <c r="AR259" s="239">
        <v>-33600</v>
      </c>
      <c r="AS259" s="239">
        <v>-8400</v>
      </c>
      <c r="AT259" s="239">
        <v>0</v>
      </c>
      <c r="AU259" s="239">
        <v>-84000</v>
      </c>
      <c r="AV259" s="239">
        <v>-799500</v>
      </c>
      <c r="AW259" s="239">
        <v>-639600</v>
      </c>
      <c r="AX259" s="239">
        <v>-159900</v>
      </c>
      <c r="AY259" s="239">
        <v>0</v>
      </c>
      <c r="AZ259" s="239">
        <v>-1599000</v>
      </c>
      <c r="BA259" s="239">
        <v>-4616523.8</v>
      </c>
      <c r="BB259" s="239">
        <v>-3693219</v>
      </c>
      <c r="BC259" s="239">
        <v>-923306</v>
      </c>
      <c r="BD259" s="239">
        <v>0</v>
      </c>
      <c r="BE259" s="239">
        <v>-9233048.8000000007</v>
      </c>
      <c r="BF259" s="239">
        <v>1266333</v>
      </c>
      <c r="BG259" s="239">
        <v>1013067</v>
      </c>
      <c r="BH259" s="239">
        <v>253267</v>
      </c>
      <c r="BI259" s="239">
        <v>0</v>
      </c>
      <c r="BJ259" s="239">
        <v>2532667</v>
      </c>
      <c r="BK259" s="239">
        <v>-1509809</v>
      </c>
      <c r="BL259" s="239">
        <v>-1207848</v>
      </c>
      <c r="BM259" s="239">
        <v>-301962</v>
      </c>
      <c r="BN259" s="239">
        <v>0</v>
      </c>
      <c r="BO259" s="239">
        <v>-3019619</v>
      </c>
      <c r="BP259" s="239">
        <v>-4859999.8</v>
      </c>
      <c r="BQ259" s="239">
        <v>-3888000</v>
      </c>
      <c r="BR259" s="239">
        <v>-972001</v>
      </c>
      <c r="BS259" s="239">
        <v>0</v>
      </c>
      <c r="BT259" s="239">
        <v>-9720000.8000000007</v>
      </c>
      <c r="BU259" s="239">
        <v>-3329302</v>
      </c>
      <c r="BV259" s="239">
        <v>-2663442</v>
      </c>
      <c r="BW259" s="239">
        <v>-665861</v>
      </c>
      <c r="BX259" s="239">
        <v>0</v>
      </c>
      <c r="BY259" s="239">
        <v>-6658605</v>
      </c>
      <c r="BZ259" s="239">
        <v>-2003006</v>
      </c>
      <c r="CA259" s="239">
        <v>-1602404</v>
      </c>
      <c r="CB259" s="239">
        <v>-400601</v>
      </c>
      <c r="CC259" s="239">
        <v>0</v>
      </c>
      <c r="CD259" s="239">
        <v>-4006011</v>
      </c>
      <c r="CE259" s="239">
        <v>-1326296</v>
      </c>
      <c r="CF259" s="239">
        <v>-1061038</v>
      </c>
      <c r="CG259" s="239">
        <v>-265260</v>
      </c>
      <c r="CH259" s="239">
        <v>0</v>
      </c>
      <c r="CI259" s="239">
        <v>-2652594</v>
      </c>
      <c r="CJ259" s="239">
        <v>32052023</v>
      </c>
      <c r="CK259" s="239">
        <v>25641618</v>
      </c>
      <c r="CL259" s="239">
        <v>6410405</v>
      </c>
      <c r="CM259" s="239">
        <v>0</v>
      </c>
      <c r="CN259" s="239">
        <v>64104046</v>
      </c>
      <c r="CO259" s="239">
        <v>30256942</v>
      </c>
      <c r="CP259" s="239">
        <v>24205554</v>
      </c>
      <c r="CQ259" s="239">
        <v>6051389</v>
      </c>
      <c r="CR259" s="239">
        <v>0</v>
      </c>
      <c r="CS259" s="239">
        <v>60513885</v>
      </c>
      <c r="CT259" s="239">
        <v>-1795081</v>
      </c>
      <c r="CU259" s="239">
        <v>-1436064</v>
      </c>
      <c r="CV259" s="239">
        <v>-359016</v>
      </c>
      <c r="CW259" s="239">
        <v>0</v>
      </c>
      <c r="CX259" s="239">
        <v>-3590161</v>
      </c>
      <c r="CY259" s="239">
        <v>-3121377</v>
      </c>
      <c r="CZ259" s="239">
        <v>-2497102</v>
      </c>
      <c r="DA259" s="239">
        <v>-624276</v>
      </c>
      <c r="DB259" s="239">
        <v>0</v>
      </c>
      <c r="DC259" s="239">
        <v>-6242755</v>
      </c>
      <c r="DD259" s="641">
        <v>0.5</v>
      </c>
      <c r="DE259" s="641">
        <v>0.4</v>
      </c>
      <c r="DF259" s="641">
        <v>0.1</v>
      </c>
      <c r="DG259" s="641">
        <v>0</v>
      </c>
      <c r="DH259" s="641">
        <v>1</v>
      </c>
      <c r="DI259" s="214" t="s">
        <v>1190</v>
      </c>
    </row>
    <row r="260" spans="2:113" s="214" customFormat="1" x14ac:dyDescent="0.2">
      <c r="B260" s="609" t="s">
        <v>602</v>
      </c>
      <c r="C260" s="609" t="s">
        <v>601</v>
      </c>
      <c r="D260" s="239">
        <v>24260327</v>
      </c>
      <c r="E260" s="239">
        <v>19408262</v>
      </c>
      <c r="F260" s="239">
        <v>4852065</v>
      </c>
      <c r="G260" s="239">
        <v>0</v>
      </c>
      <c r="H260" s="239">
        <v>48520654</v>
      </c>
      <c r="I260" s="239">
        <v>0</v>
      </c>
      <c r="J260" s="239">
        <v>0</v>
      </c>
      <c r="K260" s="239">
        <v>24260327</v>
      </c>
      <c r="L260" s="239">
        <v>161644</v>
      </c>
      <c r="M260" s="239">
        <v>161644</v>
      </c>
      <c r="N260" s="239">
        <v>0</v>
      </c>
      <c r="O260" s="239">
        <v>0</v>
      </c>
      <c r="P260" s="239">
        <v>262168</v>
      </c>
      <c r="Q260" s="239">
        <v>0</v>
      </c>
      <c r="R260" s="239">
        <v>262168</v>
      </c>
      <c r="S260" s="239">
        <v>0</v>
      </c>
      <c r="T260" s="239">
        <v>0</v>
      </c>
      <c r="U260" s="239">
        <v>0</v>
      </c>
      <c r="V260" s="239">
        <v>0</v>
      </c>
      <c r="W260" s="239">
        <v>972178</v>
      </c>
      <c r="X260" s="239">
        <v>777742</v>
      </c>
      <c r="Y260" s="239">
        <v>194436</v>
      </c>
      <c r="Z260" s="239">
        <v>0</v>
      </c>
      <c r="AA260" s="239">
        <v>1944356</v>
      </c>
      <c r="AB260" s="239">
        <v>-296888</v>
      </c>
      <c r="AC260" s="239">
        <v>-237511</v>
      </c>
      <c r="AD260" s="239">
        <v>-59378</v>
      </c>
      <c r="AE260" s="239">
        <v>0</v>
      </c>
      <c r="AF260" s="239">
        <v>-593777</v>
      </c>
      <c r="AG260" s="239">
        <v>-227588.17</v>
      </c>
      <c r="AH260" s="239">
        <v>-182072</v>
      </c>
      <c r="AI260" s="239">
        <v>-45517</v>
      </c>
      <c r="AJ260" s="239">
        <v>0</v>
      </c>
      <c r="AK260" s="239">
        <v>-455177.17000000004</v>
      </c>
      <c r="AL260" s="239">
        <v>42997</v>
      </c>
      <c r="AM260" s="239">
        <v>34397</v>
      </c>
      <c r="AN260" s="239">
        <v>8599</v>
      </c>
      <c r="AO260" s="239">
        <v>0</v>
      </c>
      <c r="AP260" s="239">
        <v>85993</v>
      </c>
      <c r="AQ260" s="239">
        <v>-116411</v>
      </c>
      <c r="AR260" s="239">
        <v>-93128</v>
      </c>
      <c r="AS260" s="239">
        <v>-23282</v>
      </c>
      <c r="AT260" s="239">
        <v>0</v>
      </c>
      <c r="AU260" s="239">
        <v>-232821</v>
      </c>
      <c r="AV260" s="239">
        <v>-301002.17000000004</v>
      </c>
      <c r="AW260" s="239">
        <v>-240803</v>
      </c>
      <c r="AX260" s="239">
        <v>-60200</v>
      </c>
      <c r="AY260" s="239">
        <v>0</v>
      </c>
      <c r="AZ260" s="239">
        <v>-602005.17000000004</v>
      </c>
      <c r="BA260" s="239">
        <v>-1720823</v>
      </c>
      <c r="BB260" s="239">
        <v>-1376661</v>
      </c>
      <c r="BC260" s="239">
        <v>-344165</v>
      </c>
      <c r="BD260" s="239">
        <v>0</v>
      </c>
      <c r="BE260" s="239">
        <v>-3441649</v>
      </c>
      <c r="BF260" s="239">
        <v>484853</v>
      </c>
      <c r="BG260" s="239">
        <v>387882</v>
      </c>
      <c r="BH260" s="239">
        <v>96971</v>
      </c>
      <c r="BI260" s="239">
        <v>0</v>
      </c>
      <c r="BJ260" s="239">
        <v>969706</v>
      </c>
      <c r="BK260" s="239">
        <v>-150801</v>
      </c>
      <c r="BL260" s="239">
        <v>-120641</v>
      </c>
      <c r="BM260" s="239">
        <v>-30160</v>
      </c>
      <c r="BN260" s="239">
        <v>0</v>
      </c>
      <c r="BO260" s="239">
        <v>-301602</v>
      </c>
      <c r="BP260" s="239">
        <v>-1386771</v>
      </c>
      <c r="BQ260" s="239">
        <v>-1109420</v>
      </c>
      <c r="BR260" s="239">
        <v>-277354</v>
      </c>
      <c r="BS260" s="239">
        <v>0</v>
      </c>
      <c r="BT260" s="239">
        <v>-2773545</v>
      </c>
      <c r="BU260" s="239">
        <v>-255969.71999999881</v>
      </c>
      <c r="BV260" s="239">
        <v>-204775</v>
      </c>
      <c r="BW260" s="239">
        <v>-51194</v>
      </c>
      <c r="BX260" s="239">
        <v>0</v>
      </c>
      <c r="BY260" s="239">
        <v>-511938.71999999881</v>
      </c>
      <c r="BZ260" s="239">
        <v>-413805</v>
      </c>
      <c r="CA260" s="239">
        <v>-331044</v>
      </c>
      <c r="CB260" s="239">
        <v>-82761</v>
      </c>
      <c r="CC260" s="239">
        <v>0</v>
      </c>
      <c r="CD260" s="239">
        <v>-827610</v>
      </c>
      <c r="CE260" s="239">
        <v>157835.28000000119</v>
      </c>
      <c r="CF260" s="239">
        <v>126269</v>
      </c>
      <c r="CG260" s="239">
        <v>31567</v>
      </c>
      <c r="CH260" s="239">
        <v>0</v>
      </c>
      <c r="CI260" s="239">
        <v>315671.28000000119</v>
      </c>
      <c r="CJ260" s="239">
        <v>23633004</v>
      </c>
      <c r="CK260" s="239">
        <v>18906404</v>
      </c>
      <c r="CL260" s="239">
        <v>4726601</v>
      </c>
      <c r="CM260" s="239">
        <v>0</v>
      </c>
      <c r="CN260" s="239">
        <v>47266009</v>
      </c>
      <c r="CO260" s="239">
        <v>24260327</v>
      </c>
      <c r="CP260" s="239">
        <v>19408262</v>
      </c>
      <c r="CQ260" s="239">
        <v>4852065</v>
      </c>
      <c r="CR260" s="239">
        <v>0</v>
      </c>
      <c r="CS260" s="239">
        <v>48520654</v>
      </c>
      <c r="CT260" s="239">
        <v>627323</v>
      </c>
      <c r="CU260" s="239">
        <v>501858</v>
      </c>
      <c r="CV260" s="239">
        <v>125464</v>
      </c>
      <c r="CW260" s="239">
        <v>0</v>
      </c>
      <c r="CX260" s="239">
        <v>1254645</v>
      </c>
      <c r="CY260" s="239">
        <v>785158.28000000119</v>
      </c>
      <c r="CZ260" s="239">
        <v>628127</v>
      </c>
      <c r="DA260" s="239">
        <v>157031</v>
      </c>
      <c r="DB260" s="239">
        <v>0</v>
      </c>
      <c r="DC260" s="239">
        <v>1570316.2800000012</v>
      </c>
      <c r="DD260" s="641">
        <v>0.5</v>
      </c>
      <c r="DE260" s="641">
        <v>0.4</v>
      </c>
      <c r="DF260" s="641">
        <v>0.1</v>
      </c>
      <c r="DG260" s="641">
        <v>0</v>
      </c>
      <c r="DH260" s="641">
        <v>1</v>
      </c>
      <c r="DI260" s="214" t="s">
        <v>1190</v>
      </c>
    </row>
    <row r="261" spans="2:113" s="214" customFormat="1" x14ac:dyDescent="0.2">
      <c r="B261" s="609" t="s">
        <v>604</v>
      </c>
      <c r="C261" s="609" t="s">
        <v>603</v>
      </c>
      <c r="D261" s="239">
        <v>25171953</v>
      </c>
      <c r="E261" s="239">
        <v>24668513</v>
      </c>
      <c r="F261" s="239">
        <v>0</v>
      </c>
      <c r="G261" s="239">
        <v>503439</v>
      </c>
      <c r="H261" s="239">
        <v>50343905</v>
      </c>
      <c r="I261" s="239">
        <v>0</v>
      </c>
      <c r="J261" s="239">
        <v>0</v>
      </c>
      <c r="K261" s="239">
        <v>25171953</v>
      </c>
      <c r="L261" s="239">
        <v>197099</v>
      </c>
      <c r="M261" s="239">
        <v>197099</v>
      </c>
      <c r="N261" s="239">
        <v>0</v>
      </c>
      <c r="O261" s="239">
        <v>0</v>
      </c>
      <c r="P261" s="239">
        <v>0</v>
      </c>
      <c r="Q261" s="239">
        <v>0</v>
      </c>
      <c r="R261" s="239">
        <v>0</v>
      </c>
      <c r="S261" s="239">
        <v>0</v>
      </c>
      <c r="T261" s="239">
        <v>0</v>
      </c>
      <c r="U261" s="239">
        <v>0</v>
      </c>
      <c r="V261" s="239">
        <v>0</v>
      </c>
      <c r="W261" s="239">
        <v>2502408</v>
      </c>
      <c r="X261" s="239">
        <v>2452359</v>
      </c>
      <c r="Y261" s="239">
        <v>0</v>
      </c>
      <c r="Z261" s="239">
        <v>50048</v>
      </c>
      <c r="AA261" s="239">
        <v>5004815</v>
      </c>
      <c r="AB261" s="239">
        <v>-788983</v>
      </c>
      <c r="AC261" s="239">
        <v>-773204</v>
      </c>
      <c r="AD261" s="239">
        <v>0</v>
      </c>
      <c r="AE261" s="239">
        <v>-15780</v>
      </c>
      <c r="AF261" s="239">
        <v>-1577967</v>
      </c>
      <c r="AG261" s="239">
        <v>-1328793</v>
      </c>
      <c r="AH261" s="239">
        <v>-1302216</v>
      </c>
      <c r="AI261" s="239">
        <v>0</v>
      </c>
      <c r="AJ261" s="239">
        <v>-26575</v>
      </c>
      <c r="AK261" s="239">
        <v>-2657584</v>
      </c>
      <c r="AL261" s="239">
        <v>327701</v>
      </c>
      <c r="AM261" s="239">
        <v>321146</v>
      </c>
      <c r="AN261" s="239">
        <v>0</v>
      </c>
      <c r="AO261" s="239">
        <v>6554</v>
      </c>
      <c r="AP261" s="239">
        <v>655401</v>
      </c>
      <c r="AQ261" s="239">
        <v>-1024153</v>
      </c>
      <c r="AR261" s="239">
        <v>-1003669</v>
      </c>
      <c r="AS261" s="239">
        <v>0</v>
      </c>
      <c r="AT261" s="239">
        <v>-20483</v>
      </c>
      <c r="AU261" s="239">
        <v>-2048305</v>
      </c>
      <c r="AV261" s="239">
        <v>-2025245</v>
      </c>
      <c r="AW261" s="239">
        <v>-1984739</v>
      </c>
      <c r="AX261" s="239">
        <v>0</v>
      </c>
      <c r="AY261" s="239">
        <v>-40504</v>
      </c>
      <c r="AZ261" s="239">
        <v>-4050488</v>
      </c>
      <c r="BA261" s="239">
        <v>-3994409</v>
      </c>
      <c r="BB261" s="239">
        <v>-3914523</v>
      </c>
      <c r="BC261" s="239">
        <v>0</v>
      </c>
      <c r="BD261" s="239">
        <v>-79889</v>
      </c>
      <c r="BE261" s="239">
        <v>-7988821</v>
      </c>
      <c r="BF261" s="239">
        <v>715048</v>
      </c>
      <c r="BG261" s="239">
        <v>700747</v>
      </c>
      <c r="BH261" s="239">
        <v>0</v>
      </c>
      <c r="BI261" s="239">
        <v>14301</v>
      </c>
      <c r="BJ261" s="239">
        <v>1430096</v>
      </c>
      <c r="BK261" s="239">
        <v>-1403782</v>
      </c>
      <c r="BL261" s="239">
        <v>-1375706</v>
      </c>
      <c r="BM261" s="239">
        <v>0</v>
      </c>
      <c r="BN261" s="239">
        <v>-28076</v>
      </c>
      <c r="BO261" s="239">
        <v>-2807564</v>
      </c>
      <c r="BP261" s="239">
        <v>-4683143</v>
      </c>
      <c r="BQ261" s="239">
        <v>-4589482</v>
      </c>
      <c r="BR261" s="239">
        <v>0</v>
      </c>
      <c r="BS261" s="239">
        <v>-93664</v>
      </c>
      <c r="BT261" s="239">
        <v>-9366289</v>
      </c>
      <c r="BU261" s="239">
        <v>196156</v>
      </c>
      <c r="BV261" s="239">
        <v>192232</v>
      </c>
      <c r="BW261" s="239">
        <v>0</v>
      </c>
      <c r="BX261" s="239">
        <v>3923</v>
      </c>
      <c r="BY261" s="239">
        <v>392311</v>
      </c>
      <c r="BZ261" s="239">
        <v>0</v>
      </c>
      <c r="CA261" s="239">
        <v>0</v>
      </c>
      <c r="CB261" s="239">
        <v>0</v>
      </c>
      <c r="CC261" s="239">
        <v>0</v>
      </c>
      <c r="CD261" s="239">
        <v>0</v>
      </c>
      <c r="CE261" s="239">
        <v>196156</v>
      </c>
      <c r="CF261" s="239">
        <v>192232</v>
      </c>
      <c r="CG261" s="239">
        <v>0</v>
      </c>
      <c r="CH261" s="239">
        <v>3923</v>
      </c>
      <c r="CI261" s="239">
        <v>392311</v>
      </c>
      <c r="CJ261" s="239">
        <v>24887656</v>
      </c>
      <c r="CK261" s="239">
        <v>24389902</v>
      </c>
      <c r="CL261" s="239">
        <v>0</v>
      </c>
      <c r="CM261" s="239">
        <v>497753</v>
      </c>
      <c r="CN261" s="239">
        <v>49775311</v>
      </c>
      <c r="CO261" s="239">
        <v>25171953</v>
      </c>
      <c r="CP261" s="239">
        <v>24668513</v>
      </c>
      <c r="CQ261" s="239">
        <v>0</v>
      </c>
      <c r="CR261" s="239">
        <v>503439</v>
      </c>
      <c r="CS261" s="239">
        <v>50343905</v>
      </c>
      <c r="CT261" s="239">
        <v>284297</v>
      </c>
      <c r="CU261" s="239">
        <v>278611</v>
      </c>
      <c r="CV261" s="239">
        <v>0</v>
      </c>
      <c r="CW261" s="239">
        <v>5686</v>
      </c>
      <c r="CX261" s="239">
        <v>568594</v>
      </c>
      <c r="CY261" s="239">
        <v>480453</v>
      </c>
      <c r="CZ261" s="239">
        <v>470843</v>
      </c>
      <c r="DA261" s="239">
        <v>0</v>
      </c>
      <c r="DB261" s="239">
        <v>9609</v>
      </c>
      <c r="DC261" s="239">
        <v>960905</v>
      </c>
      <c r="DD261" s="641">
        <v>0.5</v>
      </c>
      <c r="DE261" s="641">
        <v>0.49</v>
      </c>
      <c r="DF261" s="641">
        <v>0</v>
      </c>
      <c r="DG261" s="641">
        <v>0.01</v>
      </c>
      <c r="DH261" s="641">
        <v>1</v>
      </c>
      <c r="DI261" s="214" t="s">
        <v>1192</v>
      </c>
    </row>
    <row r="262" spans="2:113" s="214" customFormat="1" x14ac:dyDescent="0.2">
      <c r="B262" s="609" t="s">
        <v>606</v>
      </c>
      <c r="C262" s="609" t="s">
        <v>605</v>
      </c>
      <c r="D262" s="239">
        <v>23369362</v>
      </c>
      <c r="E262" s="239">
        <v>18695489</v>
      </c>
      <c r="F262" s="239">
        <v>4206485</v>
      </c>
      <c r="G262" s="239">
        <v>467387</v>
      </c>
      <c r="H262" s="239">
        <v>46738723</v>
      </c>
      <c r="I262" s="239">
        <v>0</v>
      </c>
      <c r="J262" s="239">
        <v>0</v>
      </c>
      <c r="K262" s="239">
        <v>23369362</v>
      </c>
      <c r="L262" s="239">
        <v>170009</v>
      </c>
      <c r="M262" s="239">
        <v>170009</v>
      </c>
      <c r="N262" s="239">
        <v>0</v>
      </c>
      <c r="O262" s="239">
        <v>0</v>
      </c>
      <c r="P262" s="239">
        <v>0</v>
      </c>
      <c r="Q262" s="239">
        <v>0</v>
      </c>
      <c r="R262" s="239">
        <v>0</v>
      </c>
      <c r="S262" s="239">
        <v>0</v>
      </c>
      <c r="T262" s="239">
        <v>0</v>
      </c>
      <c r="U262" s="239">
        <v>0</v>
      </c>
      <c r="V262" s="239">
        <v>0</v>
      </c>
      <c r="W262" s="239">
        <v>893463</v>
      </c>
      <c r="X262" s="239">
        <v>714770</v>
      </c>
      <c r="Y262" s="239">
        <v>160823</v>
      </c>
      <c r="Z262" s="239">
        <v>17869</v>
      </c>
      <c r="AA262" s="239">
        <v>1786925</v>
      </c>
      <c r="AB262" s="239">
        <v>-272558</v>
      </c>
      <c r="AC262" s="239">
        <v>-218047</v>
      </c>
      <c r="AD262" s="239">
        <v>-49061</v>
      </c>
      <c r="AE262" s="239">
        <v>-5451</v>
      </c>
      <c r="AF262" s="239">
        <v>-545117</v>
      </c>
      <c r="AG262" s="239">
        <v>-513027</v>
      </c>
      <c r="AH262" s="239">
        <v>-410421</v>
      </c>
      <c r="AI262" s="239">
        <v>-92345</v>
      </c>
      <c r="AJ262" s="239">
        <v>-10261</v>
      </c>
      <c r="AK262" s="239">
        <v>-1026054</v>
      </c>
      <c r="AL262" s="239">
        <v>154176</v>
      </c>
      <c r="AM262" s="239">
        <v>123342</v>
      </c>
      <c r="AN262" s="239">
        <v>27752</v>
      </c>
      <c r="AO262" s="239">
        <v>3084</v>
      </c>
      <c r="AP262" s="239">
        <v>308354</v>
      </c>
      <c r="AQ262" s="239">
        <v>-140391</v>
      </c>
      <c r="AR262" s="239">
        <v>-112312</v>
      </c>
      <c r="AS262" s="239">
        <v>-25270</v>
      </c>
      <c r="AT262" s="239">
        <v>-2808</v>
      </c>
      <c r="AU262" s="239">
        <v>-280781</v>
      </c>
      <c r="AV262" s="239">
        <v>-499242</v>
      </c>
      <c r="AW262" s="239">
        <v>-399391</v>
      </c>
      <c r="AX262" s="239">
        <v>-89863</v>
      </c>
      <c r="AY262" s="239">
        <v>-9985</v>
      </c>
      <c r="AZ262" s="239">
        <v>-998481</v>
      </c>
      <c r="BA262" s="239">
        <v>-2423173</v>
      </c>
      <c r="BB262" s="239">
        <v>-1938537</v>
      </c>
      <c r="BC262" s="239">
        <v>-436171</v>
      </c>
      <c r="BD262" s="239">
        <v>-48464</v>
      </c>
      <c r="BE262" s="239">
        <v>-4846345</v>
      </c>
      <c r="BF262" s="239">
        <v>517024</v>
      </c>
      <c r="BG262" s="239">
        <v>413619</v>
      </c>
      <c r="BH262" s="239">
        <v>93064</v>
      </c>
      <c r="BI262" s="239">
        <v>10340</v>
      </c>
      <c r="BJ262" s="239">
        <v>1034047</v>
      </c>
      <c r="BK262" s="239">
        <v>-552189</v>
      </c>
      <c r="BL262" s="239">
        <v>-441752</v>
      </c>
      <c r="BM262" s="239">
        <v>-99394</v>
      </c>
      <c r="BN262" s="239">
        <v>-11044</v>
      </c>
      <c r="BO262" s="239">
        <v>-1104379</v>
      </c>
      <c r="BP262" s="239">
        <v>-2458338</v>
      </c>
      <c r="BQ262" s="239">
        <v>-1966670</v>
      </c>
      <c r="BR262" s="239">
        <v>-442501</v>
      </c>
      <c r="BS262" s="239">
        <v>-49168</v>
      </c>
      <c r="BT262" s="239">
        <v>-4916677</v>
      </c>
      <c r="BU262" s="239">
        <v>-2453509.4699999997</v>
      </c>
      <c r="BV262" s="239">
        <v>-1962808</v>
      </c>
      <c r="BW262" s="239">
        <v>-441632</v>
      </c>
      <c r="BX262" s="239">
        <v>-49070</v>
      </c>
      <c r="BY262" s="239">
        <v>-4907019.47</v>
      </c>
      <c r="BZ262" s="239">
        <v>-2543007</v>
      </c>
      <c r="CA262" s="239">
        <v>-2034405</v>
      </c>
      <c r="CB262" s="239">
        <v>-457741</v>
      </c>
      <c r="CC262" s="239">
        <v>-50860</v>
      </c>
      <c r="CD262" s="239">
        <v>-5086013</v>
      </c>
      <c r="CE262" s="239">
        <v>89497.530000000261</v>
      </c>
      <c r="CF262" s="239">
        <v>71597</v>
      </c>
      <c r="CG262" s="239">
        <v>16109</v>
      </c>
      <c r="CH262" s="239">
        <v>1790</v>
      </c>
      <c r="CI262" s="239">
        <v>178993.53000000026</v>
      </c>
      <c r="CJ262" s="239">
        <v>23153653</v>
      </c>
      <c r="CK262" s="239">
        <v>18522922</v>
      </c>
      <c r="CL262" s="239">
        <v>4167658</v>
      </c>
      <c r="CM262" s="239">
        <v>463073</v>
      </c>
      <c r="CN262" s="239">
        <v>46307306</v>
      </c>
      <c r="CO262" s="239">
        <v>23369362</v>
      </c>
      <c r="CP262" s="239">
        <v>18695489</v>
      </c>
      <c r="CQ262" s="239">
        <v>4206485</v>
      </c>
      <c r="CR262" s="239">
        <v>467387</v>
      </c>
      <c r="CS262" s="239">
        <v>46738723</v>
      </c>
      <c r="CT262" s="239">
        <v>215709</v>
      </c>
      <c r="CU262" s="239">
        <v>172567</v>
      </c>
      <c r="CV262" s="239">
        <v>38827</v>
      </c>
      <c r="CW262" s="239">
        <v>4314</v>
      </c>
      <c r="CX262" s="239">
        <v>431417</v>
      </c>
      <c r="CY262" s="239">
        <v>305206.53000000026</v>
      </c>
      <c r="CZ262" s="239">
        <v>244164</v>
      </c>
      <c r="DA262" s="239">
        <v>54936</v>
      </c>
      <c r="DB262" s="239">
        <v>6104</v>
      </c>
      <c r="DC262" s="239">
        <v>610410.53000000026</v>
      </c>
      <c r="DD262" s="641">
        <v>0.5</v>
      </c>
      <c r="DE262" s="641">
        <v>0.4</v>
      </c>
      <c r="DF262" s="641">
        <v>0.09</v>
      </c>
      <c r="DG262" s="641">
        <v>0.01</v>
      </c>
      <c r="DH262" s="641">
        <v>1</v>
      </c>
      <c r="DI262" s="214" t="s">
        <v>1190</v>
      </c>
    </row>
    <row r="263" spans="2:113" s="214" customFormat="1" x14ac:dyDescent="0.2">
      <c r="B263" s="609" t="s">
        <v>608</v>
      </c>
      <c r="C263" s="609" t="s">
        <v>607</v>
      </c>
      <c r="D263" s="239">
        <v>9270109</v>
      </c>
      <c r="E263" s="239">
        <v>7416086</v>
      </c>
      <c r="F263" s="239">
        <v>1668619</v>
      </c>
      <c r="G263" s="239">
        <v>185402</v>
      </c>
      <c r="H263" s="239">
        <v>18540216</v>
      </c>
      <c r="I263" s="239">
        <v>0</v>
      </c>
      <c r="J263" s="239">
        <v>0</v>
      </c>
      <c r="K263" s="239">
        <v>9270109</v>
      </c>
      <c r="L263" s="239">
        <v>115447</v>
      </c>
      <c r="M263" s="239">
        <v>115447</v>
      </c>
      <c r="N263" s="239">
        <v>0</v>
      </c>
      <c r="O263" s="239">
        <v>0</v>
      </c>
      <c r="P263" s="239">
        <v>0</v>
      </c>
      <c r="Q263" s="239">
        <v>0</v>
      </c>
      <c r="R263" s="239">
        <v>0</v>
      </c>
      <c r="S263" s="239">
        <v>0</v>
      </c>
      <c r="T263" s="239">
        <v>0</v>
      </c>
      <c r="U263" s="239">
        <v>0</v>
      </c>
      <c r="V263" s="239">
        <v>0</v>
      </c>
      <c r="W263" s="239">
        <v>351498</v>
      </c>
      <c r="X263" s="239">
        <v>281198</v>
      </c>
      <c r="Y263" s="239">
        <v>63270</v>
      </c>
      <c r="Z263" s="239">
        <v>7030</v>
      </c>
      <c r="AA263" s="239">
        <v>702996</v>
      </c>
      <c r="AB263" s="239">
        <v>-199588</v>
      </c>
      <c r="AC263" s="239">
        <v>-159670</v>
      </c>
      <c r="AD263" s="239">
        <v>-35926</v>
      </c>
      <c r="AE263" s="239">
        <v>-3992</v>
      </c>
      <c r="AF263" s="239">
        <v>-399176</v>
      </c>
      <c r="AG263" s="239">
        <v>-209733</v>
      </c>
      <c r="AH263" s="239">
        <v>-167787</v>
      </c>
      <c r="AI263" s="239">
        <v>-37753</v>
      </c>
      <c r="AJ263" s="239">
        <v>-4195</v>
      </c>
      <c r="AK263" s="239">
        <v>-419468</v>
      </c>
      <c r="AL263" s="239">
        <v>3812</v>
      </c>
      <c r="AM263" s="239">
        <v>3050</v>
      </c>
      <c r="AN263" s="239">
        <v>686</v>
      </c>
      <c r="AO263" s="239">
        <v>76</v>
      </c>
      <c r="AP263" s="239">
        <v>7624</v>
      </c>
      <c r="AQ263" s="239">
        <v>-12734</v>
      </c>
      <c r="AR263" s="239">
        <v>-10187</v>
      </c>
      <c r="AS263" s="239">
        <v>-2292</v>
      </c>
      <c r="AT263" s="239">
        <v>-255</v>
      </c>
      <c r="AU263" s="239">
        <v>-25468</v>
      </c>
      <c r="AV263" s="239">
        <v>-218655</v>
      </c>
      <c r="AW263" s="239">
        <v>-174924</v>
      </c>
      <c r="AX263" s="239">
        <v>-39359</v>
      </c>
      <c r="AY263" s="239">
        <v>-4374</v>
      </c>
      <c r="AZ263" s="239">
        <v>-437312</v>
      </c>
      <c r="BA263" s="239">
        <v>-960176.58000000007</v>
      </c>
      <c r="BB263" s="239">
        <v>-768140</v>
      </c>
      <c r="BC263" s="239">
        <v>-172831</v>
      </c>
      <c r="BD263" s="239">
        <v>-19204</v>
      </c>
      <c r="BE263" s="239">
        <v>-1920351.5</v>
      </c>
      <c r="BF263" s="239">
        <v>185659</v>
      </c>
      <c r="BG263" s="239">
        <v>148527</v>
      </c>
      <c r="BH263" s="239">
        <v>33419</v>
      </c>
      <c r="BI263" s="239">
        <v>3713</v>
      </c>
      <c r="BJ263" s="239">
        <v>371318</v>
      </c>
      <c r="BK263" s="239">
        <v>-226767</v>
      </c>
      <c r="BL263" s="239">
        <v>-181413</v>
      </c>
      <c r="BM263" s="239">
        <v>-40818</v>
      </c>
      <c r="BN263" s="239">
        <v>-4535</v>
      </c>
      <c r="BO263" s="239">
        <v>-453533</v>
      </c>
      <c r="BP263" s="239">
        <v>-1001284.5800000001</v>
      </c>
      <c r="BQ263" s="239">
        <v>-801026</v>
      </c>
      <c r="BR263" s="239">
        <v>-180230</v>
      </c>
      <c r="BS263" s="239">
        <v>-20026</v>
      </c>
      <c r="BT263" s="239">
        <v>-2002566.5</v>
      </c>
      <c r="BU263" s="239">
        <v>-696460</v>
      </c>
      <c r="BV263" s="239">
        <v>-557168</v>
      </c>
      <c r="BW263" s="239">
        <v>-125363</v>
      </c>
      <c r="BX263" s="239">
        <v>-13929</v>
      </c>
      <c r="BY263" s="239">
        <v>-1392920</v>
      </c>
      <c r="BZ263" s="239">
        <v>-397944</v>
      </c>
      <c r="CA263" s="239">
        <v>-318355</v>
      </c>
      <c r="CB263" s="239">
        <v>-71630</v>
      </c>
      <c r="CC263" s="239">
        <v>-7959</v>
      </c>
      <c r="CD263" s="239">
        <v>-795888</v>
      </c>
      <c r="CE263" s="239">
        <v>-298516</v>
      </c>
      <c r="CF263" s="239">
        <v>-238813</v>
      </c>
      <c r="CG263" s="239">
        <v>-53733</v>
      </c>
      <c r="CH263" s="239">
        <v>-5970</v>
      </c>
      <c r="CI263" s="239">
        <v>-597032</v>
      </c>
      <c r="CJ263" s="239">
        <v>9310983</v>
      </c>
      <c r="CK263" s="239">
        <v>7448786</v>
      </c>
      <c r="CL263" s="239">
        <v>1675977</v>
      </c>
      <c r="CM263" s="239">
        <v>186220</v>
      </c>
      <c r="CN263" s="239">
        <v>18621966</v>
      </c>
      <c r="CO263" s="239">
        <v>9270109</v>
      </c>
      <c r="CP263" s="239">
        <v>7416086</v>
      </c>
      <c r="CQ263" s="239">
        <v>1668619</v>
      </c>
      <c r="CR263" s="239">
        <v>185402</v>
      </c>
      <c r="CS263" s="239">
        <v>18540216</v>
      </c>
      <c r="CT263" s="239">
        <v>-40874</v>
      </c>
      <c r="CU263" s="239">
        <v>-32700</v>
      </c>
      <c r="CV263" s="239">
        <v>-7358</v>
      </c>
      <c r="CW263" s="239">
        <v>-818</v>
      </c>
      <c r="CX263" s="239">
        <v>-81750</v>
      </c>
      <c r="CY263" s="239">
        <v>-339390</v>
      </c>
      <c r="CZ263" s="239">
        <v>-271513</v>
      </c>
      <c r="DA263" s="239">
        <v>-61091</v>
      </c>
      <c r="DB263" s="239">
        <v>-6788</v>
      </c>
      <c r="DC263" s="239">
        <v>-678782</v>
      </c>
      <c r="DD263" s="641">
        <v>0.5</v>
      </c>
      <c r="DE263" s="641">
        <v>0.4</v>
      </c>
      <c r="DF263" s="641">
        <v>0.09</v>
      </c>
      <c r="DG263" s="641">
        <v>0.01</v>
      </c>
      <c r="DH263" s="641">
        <v>1</v>
      </c>
      <c r="DI263" s="214" t="s">
        <v>1190</v>
      </c>
    </row>
    <row r="264" spans="2:113" s="214" customFormat="1" x14ac:dyDescent="0.2">
      <c r="B264" s="609" t="s">
        <v>610</v>
      </c>
      <c r="C264" s="609" t="s">
        <v>609</v>
      </c>
      <c r="D264" s="239">
        <v>23590842</v>
      </c>
      <c r="E264" s="239">
        <v>18872673</v>
      </c>
      <c r="F264" s="239">
        <v>4718168</v>
      </c>
      <c r="G264" s="239">
        <v>0</v>
      </c>
      <c r="H264" s="239">
        <v>47181683</v>
      </c>
      <c r="I264" s="239">
        <v>0</v>
      </c>
      <c r="J264" s="239">
        <v>0</v>
      </c>
      <c r="K264" s="239">
        <v>23590842</v>
      </c>
      <c r="L264" s="239">
        <v>112692</v>
      </c>
      <c r="M264" s="239">
        <v>112692</v>
      </c>
      <c r="N264" s="239">
        <v>0</v>
      </c>
      <c r="O264" s="239">
        <v>0</v>
      </c>
      <c r="P264" s="239">
        <v>0</v>
      </c>
      <c r="Q264" s="239">
        <v>0</v>
      </c>
      <c r="R264" s="239">
        <v>0</v>
      </c>
      <c r="S264" s="239">
        <v>0</v>
      </c>
      <c r="T264" s="239">
        <v>0</v>
      </c>
      <c r="U264" s="239">
        <v>0</v>
      </c>
      <c r="V264" s="239">
        <v>0</v>
      </c>
      <c r="W264" s="239">
        <v>557714</v>
      </c>
      <c r="X264" s="239">
        <v>446172</v>
      </c>
      <c r="Y264" s="239">
        <v>111543</v>
      </c>
      <c r="Z264" s="239">
        <v>0</v>
      </c>
      <c r="AA264" s="239">
        <v>1115429</v>
      </c>
      <c r="AB264" s="239">
        <v>-415682</v>
      </c>
      <c r="AC264" s="239">
        <v>-332546</v>
      </c>
      <c r="AD264" s="239">
        <v>-83137</v>
      </c>
      <c r="AE264" s="239">
        <v>0</v>
      </c>
      <c r="AF264" s="239">
        <v>-831365</v>
      </c>
      <c r="AG264" s="239">
        <v>-681628</v>
      </c>
      <c r="AH264" s="239">
        <v>-545302</v>
      </c>
      <c r="AI264" s="239">
        <v>-136325</v>
      </c>
      <c r="AJ264" s="239">
        <v>0</v>
      </c>
      <c r="AK264" s="239">
        <v>-1363255</v>
      </c>
      <c r="AL264" s="239">
        <v>311970</v>
      </c>
      <c r="AM264" s="239">
        <v>249576</v>
      </c>
      <c r="AN264" s="239">
        <v>62394</v>
      </c>
      <c r="AO264" s="239">
        <v>0</v>
      </c>
      <c r="AP264" s="239">
        <v>623940</v>
      </c>
      <c r="AQ264" s="239">
        <v>-325489</v>
      </c>
      <c r="AR264" s="239">
        <v>-260392</v>
      </c>
      <c r="AS264" s="239">
        <v>-65098</v>
      </c>
      <c r="AT264" s="239">
        <v>0</v>
      </c>
      <c r="AU264" s="239">
        <v>-650979</v>
      </c>
      <c r="AV264" s="239">
        <v>-695147</v>
      </c>
      <c r="AW264" s="239">
        <v>-556118</v>
      </c>
      <c r="AX264" s="239">
        <v>-139029</v>
      </c>
      <c r="AY264" s="239">
        <v>0</v>
      </c>
      <c r="AZ264" s="239">
        <v>-1390294</v>
      </c>
      <c r="BA264" s="239">
        <v>-3405235</v>
      </c>
      <c r="BB264" s="239">
        <v>-2724186</v>
      </c>
      <c r="BC264" s="239">
        <v>-681046</v>
      </c>
      <c r="BD264" s="239">
        <v>0</v>
      </c>
      <c r="BE264" s="239">
        <v>-6810467</v>
      </c>
      <c r="BF264" s="239">
        <v>407582</v>
      </c>
      <c r="BG264" s="239">
        <v>326066</v>
      </c>
      <c r="BH264" s="239">
        <v>81517</v>
      </c>
      <c r="BI264" s="239">
        <v>0</v>
      </c>
      <c r="BJ264" s="239">
        <v>815165</v>
      </c>
      <c r="BK264" s="239">
        <v>-619728</v>
      </c>
      <c r="BL264" s="239">
        <v>-495783</v>
      </c>
      <c r="BM264" s="239">
        <v>-123946</v>
      </c>
      <c r="BN264" s="239">
        <v>0</v>
      </c>
      <c r="BO264" s="239">
        <v>-1239457</v>
      </c>
      <c r="BP264" s="239">
        <v>-3617381</v>
      </c>
      <c r="BQ264" s="239">
        <v>-2893903</v>
      </c>
      <c r="BR264" s="239">
        <v>-723475</v>
      </c>
      <c r="BS264" s="239">
        <v>0</v>
      </c>
      <c r="BT264" s="239">
        <v>-7234759</v>
      </c>
      <c r="BU264" s="239">
        <v>-1024824</v>
      </c>
      <c r="BV264" s="239">
        <v>-819859</v>
      </c>
      <c r="BW264" s="239">
        <v>-204965</v>
      </c>
      <c r="BX264" s="239">
        <v>0</v>
      </c>
      <c r="BY264" s="239">
        <v>-2049648</v>
      </c>
      <c r="BZ264" s="239">
        <v>-1169729</v>
      </c>
      <c r="CA264" s="239">
        <v>-935784</v>
      </c>
      <c r="CB264" s="239">
        <v>-233946</v>
      </c>
      <c r="CC264" s="239">
        <v>0</v>
      </c>
      <c r="CD264" s="239">
        <v>-2339459</v>
      </c>
      <c r="CE264" s="239">
        <v>144905</v>
      </c>
      <c r="CF264" s="239">
        <v>115925</v>
      </c>
      <c r="CG264" s="239">
        <v>28981</v>
      </c>
      <c r="CH264" s="239">
        <v>0</v>
      </c>
      <c r="CI264" s="239">
        <v>289811</v>
      </c>
      <c r="CJ264" s="239">
        <v>23071462</v>
      </c>
      <c r="CK264" s="239">
        <v>18457170</v>
      </c>
      <c r="CL264" s="239">
        <v>4614292</v>
      </c>
      <c r="CM264" s="239">
        <v>0</v>
      </c>
      <c r="CN264" s="239">
        <v>46142924</v>
      </c>
      <c r="CO264" s="239">
        <v>23590842</v>
      </c>
      <c r="CP264" s="239">
        <v>18872673</v>
      </c>
      <c r="CQ264" s="239">
        <v>4718168</v>
      </c>
      <c r="CR264" s="239">
        <v>0</v>
      </c>
      <c r="CS264" s="239">
        <v>47181683</v>
      </c>
      <c r="CT264" s="239">
        <v>519380</v>
      </c>
      <c r="CU264" s="239">
        <v>415503</v>
      </c>
      <c r="CV264" s="239">
        <v>103876</v>
      </c>
      <c r="CW264" s="239">
        <v>0</v>
      </c>
      <c r="CX264" s="239">
        <v>1038759</v>
      </c>
      <c r="CY264" s="239">
        <v>664285</v>
      </c>
      <c r="CZ264" s="239">
        <v>531428</v>
      </c>
      <c r="DA264" s="239">
        <v>132857</v>
      </c>
      <c r="DB264" s="239">
        <v>0</v>
      </c>
      <c r="DC264" s="239">
        <v>1328570</v>
      </c>
      <c r="DD264" s="641">
        <v>0.5</v>
      </c>
      <c r="DE264" s="641">
        <v>0.4</v>
      </c>
      <c r="DF264" s="641">
        <v>0.1</v>
      </c>
      <c r="DG264" s="641">
        <v>0</v>
      </c>
      <c r="DH264" s="641">
        <v>1</v>
      </c>
      <c r="DI264" s="214" t="s">
        <v>1190</v>
      </c>
    </row>
    <row r="265" spans="2:113" s="214" customFormat="1" x14ac:dyDescent="0.2">
      <c r="B265" s="609" t="s">
        <v>612</v>
      </c>
      <c r="C265" s="609" t="s">
        <v>611</v>
      </c>
      <c r="D265" s="239">
        <v>47701450</v>
      </c>
      <c r="E265" s="239">
        <v>46747421</v>
      </c>
      <c r="F265" s="239">
        <v>0</v>
      </c>
      <c r="G265" s="239">
        <v>954029</v>
      </c>
      <c r="H265" s="239">
        <v>95402900</v>
      </c>
      <c r="I265" s="239">
        <v>0</v>
      </c>
      <c r="J265" s="239">
        <v>0</v>
      </c>
      <c r="K265" s="239">
        <v>47701450</v>
      </c>
      <c r="L265" s="239">
        <v>437845</v>
      </c>
      <c r="M265" s="239">
        <v>437845</v>
      </c>
      <c r="N265" s="239">
        <v>0</v>
      </c>
      <c r="O265" s="239">
        <v>0</v>
      </c>
      <c r="P265" s="239">
        <v>0</v>
      </c>
      <c r="Q265" s="239">
        <v>0</v>
      </c>
      <c r="R265" s="239">
        <v>0</v>
      </c>
      <c r="S265" s="239">
        <v>0</v>
      </c>
      <c r="T265" s="239">
        <v>0</v>
      </c>
      <c r="U265" s="239">
        <v>0</v>
      </c>
      <c r="V265" s="239">
        <v>0</v>
      </c>
      <c r="W265" s="239">
        <v>4388595</v>
      </c>
      <c r="X265" s="239">
        <v>4300823</v>
      </c>
      <c r="Y265" s="239">
        <v>0</v>
      </c>
      <c r="Z265" s="239">
        <v>87772</v>
      </c>
      <c r="AA265" s="239">
        <v>8777190</v>
      </c>
      <c r="AB265" s="239">
        <v>-921374</v>
      </c>
      <c r="AC265" s="239">
        <v>-902947</v>
      </c>
      <c r="AD265" s="239">
        <v>0</v>
      </c>
      <c r="AE265" s="239">
        <v>-18427</v>
      </c>
      <c r="AF265" s="239">
        <v>-1842748</v>
      </c>
      <c r="AG265" s="239">
        <v>-3251642</v>
      </c>
      <c r="AH265" s="239">
        <v>-3186611</v>
      </c>
      <c r="AI265" s="239">
        <v>0</v>
      </c>
      <c r="AJ265" s="239">
        <v>-65033</v>
      </c>
      <c r="AK265" s="239">
        <v>-6503286</v>
      </c>
      <c r="AL265" s="239">
        <v>1470880</v>
      </c>
      <c r="AM265" s="239">
        <v>1441462</v>
      </c>
      <c r="AN265" s="239">
        <v>0</v>
      </c>
      <c r="AO265" s="239">
        <v>29418</v>
      </c>
      <c r="AP265" s="239">
        <v>2941760</v>
      </c>
      <c r="AQ265" s="239">
        <v>-746465</v>
      </c>
      <c r="AR265" s="239">
        <v>-731535</v>
      </c>
      <c r="AS265" s="239">
        <v>0</v>
      </c>
      <c r="AT265" s="239">
        <v>-14929</v>
      </c>
      <c r="AU265" s="239">
        <v>-1492929</v>
      </c>
      <c r="AV265" s="239">
        <v>-2527227</v>
      </c>
      <c r="AW265" s="239">
        <v>-2476684</v>
      </c>
      <c r="AX265" s="239">
        <v>0</v>
      </c>
      <c r="AY265" s="239">
        <v>-50544</v>
      </c>
      <c r="AZ265" s="239">
        <v>-5054455</v>
      </c>
      <c r="BA265" s="239">
        <v>-2838257</v>
      </c>
      <c r="BB265" s="239">
        <v>-2781491</v>
      </c>
      <c r="BC265" s="239">
        <v>0</v>
      </c>
      <c r="BD265" s="239">
        <v>-56765</v>
      </c>
      <c r="BE265" s="239">
        <v>-5676513</v>
      </c>
      <c r="BF265" s="239">
        <v>714674</v>
      </c>
      <c r="BG265" s="239">
        <v>700381</v>
      </c>
      <c r="BH265" s="239">
        <v>0</v>
      </c>
      <c r="BI265" s="239">
        <v>14293</v>
      </c>
      <c r="BJ265" s="239">
        <v>1429348</v>
      </c>
      <c r="BK265" s="239">
        <v>-1398517</v>
      </c>
      <c r="BL265" s="239">
        <v>-1370547</v>
      </c>
      <c r="BM265" s="239">
        <v>0</v>
      </c>
      <c r="BN265" s="239">
        <v>-27970</v>
      </c>
      <c r="BO265" s="239">
        <v>-2797034</v>
      </c>
      <c r="BP265" s="239">
        <v>-3522100</v>
      </c>
      <c r="BQ265" s="239">
        <v>-3451657</v>
      </c>
      <c r="BR265" s="239">
        <v>0</v>
      </c>
      <c r="BS265" s="239">
        <v>-70442</v>
      </c>
      <c r="BT265" s="239">
        <v>-7044199</v>
      </c>
      <c r="BU265" s="239">
        <v>-1093894</v>
      </c>
      <c r="BV265" s="239">
        <v>-1072017</v>
      </c>
      <c r="BW265" s="239">
        <v>0</v>
      </c>
      <c r="BX265" s="239">
        <v>-21878</v>
      </c>
      <c r="BY265" s="239">
        <v>-2187789</v>
      </c>
      <c r="BZ265" s="239">
        <v>-1094074</v>
      </c>
      <c r="CA265" s="239">
        <v>-1072194</v>
      </c>
      <c r="CB265" s="239">
        <v>0</v>
      </c>
      <c r="CC265" s="239">
        <v>-21882</v>
      </c>
      <c r="CD265" s="239">
        <v>-2188150</v>
      </c>
      <c r="CE265" s="239">
        <v>180</v>
      </c>
      <c r="CF265" s="239">
        <v>177</v>
      </c>
      <c r="CG265" s="239">
        <v>0</v>
      </c>
      <c r="CH265" s="239">
        <v>4</v>
      </c>
      <c r="CI265" s="239">
        <v>361</v>
      </c>
      <c r="CJ265" s="239">
        <v>47782077</v>
      </c>
      <c r="CK265" s="239">
        <v>46826436</v>
      </c>
      <c r="CL265" s="239">
        <v>0</v>
      </c>
      <c r="CM265" s="239">
        <v>955642</v>
      </c>
      <c r="CN265" s="239">
        <v>95564155</v>
      </c>
      <c r="CO265" s="239">
        <v>47701450</v>
      </c>
      <c r="CP265" s="239">
        <v>46747421</v>
      </c>
      <c r="CQ265" s="239">
        <v>0</v>
      </c>
      <c r="CR265" s="239">
        <v>954029</v>
      </c>
      <c r="CS265" s="239">
        <v>95402900</v>
      </c>
      <c r="CT265" s="239">
        <v>-80627</v>
      </c>
      <c r="CU265" s="239">
        <v>-79015</v>
      </c>
      <c r="CV265" s="239">
        <v>0</v>
      </c>
      <c r="CW265" s="239">
        <v>-1613</v>
      </c>
      <c r="CX265" s="239">
        <v>-161255</v>
      </c>
      <c r="CY265" s="239">
        <v>-80447</v>
      </c>
      <c r="CZ265" s="239">
        <v>-78838</v>
      </c>
      <c r="DA265" s="239">
        <v>0</v>
      </c>
      <c r="DB265" s="239">
        <v>-1609</v>
      </c>
      <c r="DC265" s="239">
        <v>-160894</v>
      </c>
      <c r="DD265" s="641">
        <v>0.5</v>
      </c>
      <c r="DE265" s="641">
        <v>0.49</v>
      </c>
      <c r="DF265" s="641">
        <v>0</v>
      </c>
      <c r="DG265" s="641">
        <v>0.01</v>
      </c>
      <c r="DH265" s="641">
        <v>1</v>
      </c>
      <c r="DI265" s="214" t="s">
        <v>1192</v>
      </c>
    </row>
    <row r="266" spans="2:113" s="214" customFormat="1" x14ac:dyDescent="0.2">
      <c r="B266" s="609" t="s">
        <v>614</v>
      </c>
      <c r="C266" s="609" t="s">
        <v>613</v>
      </c>
      <c r="D266" s="239">
        <v>43911196</v>
      </c>
      <c r="E266" s="239">
        <v>43032972</v>
      </c>
      <c r="F266" s="239">
        <v>0</v>
      </c>
      <c r="G266" s="239">
        <v>878224</v>
      </c>
      <c r="H266" s="239">
        <v>87822392</v>
      </c>
      <c r="I266" s="239">
        <v>87892.043388429753</v>
      </c>
      <c r="J266" s="239">
        <v>87892.043388429753</v>
      </c>
      <c r="K266" s="239">
        <v>43823303.956611574</v>
      </c>
      <c r="L266" s="239">
        <v>239900</v>
      </c>
      <c r="M266" s="239">
        <v>239900</v>
      </c>
      <c r="N266" s="239">
        <v>92211</v>
      </c>
      <c r="O266" s="239">
        <v>92211</v>
      </c>
      <c r="P266" s="239">
        <v>25140</v>
      </c>
      <c r="Q266" s="239">
        <v>0</v>
      </c>
      <c r="R266" s="239">
        <v>25140</v>
      </c>
      <c r="S266" s="239">
        <v>86898.539380165297</v>
      </c>
      <c r="T266" s="239">
        <v>0</v>
      </c>
      <c r="U266" s="239">
        <v>993.50400826446287</v>
      </c>
      <c r="V266" s="239">
        <v>87892.043388429753</v>
      </c>
      <c r="W266" s="239">
        <v>561241</v>
      </c>
      <c r="X266" s="239">
        <v>550016</v>
      </c>
      <c r="Y266" s="239">
        <v>0</v>
      </c>
      <c r="Z266" s="239">
        <v>11225</v>
      </c>
      <c r="AA266" s="239">
        <v>1122482</v>
      </c>
      <c r="AB266" s="239">
        <v>-687849</v>
      </c>
      <c r="AC266" s="239">
        <v>-674093</v>
      </c>
      <c r="AD266" s="239">
        <v>0</v>
      </c>
      <c r="AE266" s="239">
        <v>-13757</v>
      </c>
      <c r="AF266" s="239">
        <v>-1375699</v>
      </c>
      <c r="AG266" s="239">
        <v>-619499.5</v>
      </c>
      <c r="AH266" s="239">
        <v>-607110</v>
      </c>
      <c r="AI266" s="239">
        <v>0</v>
      </c>
      <c r="AJ266" s="239">
        <v>-12390</v>
      </c>
      <c r="AK266" s="239">
        <v>-1238999.5</v>
      </c>
      <c r="AL266" s="239">
        <v>525242</v>
      </c>
      <c r="AM266" s="239">
        <v>514738</v>
      </c>
      <c r="AN266" s="239">
        <v>0</v>
      </c>
      <c r="AO266" s="239">
        <v>10505</v>
      </c>
      <c r="AP266" s="239">
        <v>1050485</v>
      </c>
      <c r="AQ266" s="239">
        <v>-355742</v>
      </c>
      <c r="AR266" s="239">
        <v>-348628</v>
      </c>
      <c r="AS266" s="239">
        <v>0</v>
      </c>
      <c r="AT266" s="239">
        <v>-7115</v>
      </c>
      <c r="AU266" s="239">
        <v>-711485</v>
      </c>
      <c r="AV266" s="239">
        <v>-449999.5</v>
      </c>
      <c r="AW266" s="239">
        <v>-441000</v>
      </c>
      <c r="AX266" s="239">
        <v>0</v>
      </c>
      <c r="AY266" s="239">
        <v>-9000</v>
      </c>
      <c r="AZ266" s="239">
        <v>-899999.5</v>
      </c>
      <c r="BA266" s="239">
        <v>-5450040</v>
      </c>
      <c r="BB266" s="239">
        <v>-5341038</v>
      </c>
      <c r="BC266" s="239">
        <v>0</v>
      </c>
      <c r="BD266" s="239">
        <v>-109000</v>
      </c>
      <c r="BE266" s="239">
        <v>-10900078</v>
      </c>
      <c r="BF266" s="239">
        <v>1209826</v>
      </c>
      <c r="BG266" s="239">
        <v>1185630</v>
      </c>
      <c r="BH266" s="239">
        <v>0</v>
      </c>
      <c r="BI266" s="239">
        <v>24197</v>
      </c>
      <c r="BJ266" s="239">
        <v>2419653</v>
      </c>
      <c r="BK266" s="239">
        <v>936119</v>
      </c>
      <c r="BL266" s="239">
        <v>917397</v>
      </c>
      <c r="BM266" s="239">
        <v>0</v>
      </c>
      <c r="BN266" s="239">
        <v>18722</v>
      </c>
      <c r="BO266" s="239">
        <v>1872238</v>
      </c>
      <c r="BP266" s="239">
        <v>-3304095</v>
      </c>
      <c r="BQ266" s="239">
        <v>-3238011</v>
      </c>
      <c r="BR266" s="239">
        <v>0</v>
      </c>
      <c r="BS266" s="239">
        <v>-66081</v>
      </c>
      <c r="BT266" s="239">
        <v>-6608187</v>
      </c>
      <c r="BU266" s="239">
        <v>-3983690.5</v>
      </c>
      <c r="BV266" s="239">
        <v>-3904017</v>
      </c>
      <c r="BW266" s="239">
        <v>0</v>
      </c>
      <c r="BX266" s="239">
        <v>-79674</v>
      </c>
      <c r="BY266" s="239">
        <v>-7967381.5</v>
      </c>
      <c r="BZ266" s="239">
        <v>-4407127</v>
      </c>
      <c r="CA266" s="239">
        <v>-4318984</v>
      </c>
      <c r="CB266" s="239">
        <v>0</v>
      </c>
      <c r="CC266" s="239">
        <v>-88143</v>
      </c>
      <c r="CD266" s="239">
        <v>-8814254</v>
      </c>
      <c r="CE266" s="239">
        <v>423436.5</v>
      </c>
      <c r="CF266" s="239">
        <v>414967</v>
      </c>
      <c r="CG266" s="239">
        <v>0</v>
      </c>
      <c r="CH266" s="239">
        <v>8469</v>
      </c>
      <c r="CI266" s="239">
        <v>846872.5</v>
      </c>
      <c r="CJ266" s="239">
        <v>41243703</v>
      </c>
      <c r="CK266" s="239">
        <v>40418829</v>
      </c>
      <c r="CL266" s="239">
        <v>0</v>
      </c>
      <c r="CM266" s="239">
        <v>824874</v>
      </c>
      <c r="CN266" s="239">
        <v>82487406</v>
      </c>
      <c r="CO266" s="239">
        <v>43911196</v>
      </c>
      <c r="CP266" s="239">
        <v>43032972</v>
      </c>
      <c r="CQ266" s="239">
        <v>0</v>
      </c>
      <c r="CR266" s="239">
        <v>878224</v>
      </c>
      <c r="CS266" s="239">
        <v>87822392</v>
      </c>
      <c r="CT266" s="239">
        <v>2667493</v>
      </c>
      <c r="CU266" s="239">
        <v>2614143</v>
      </c>
      <c r="CV266" s="239">
        <v>0</v>
      </c>
      <c r="CW266" s="239">
        <v>53350</v>
      </c>
      <c r="CX266" s="239">
        <v>5334986</v>
      </c>
      <c r="CY266" s="239">
        <v>3090929.5</v>
      </c>
      <c r="CZ266" s="239">
        <v>3029110</v>
      </c>
      <c r="DA266" s="239">
        <v>0</v>
      </c>
      <c r="DB266" s="239">
        <v>61819</v>
      </c>
      <c r="DC266" s="239">
        <v>6181858.5</v>
      </c>
      <c r="DD266" s="641">
        <v>0.5</v>
      </c>
      <c r="DE266" s="641">
        <v>0.49</v>
      </c>
      <c r="DF266" s="641">
        <v>0</v>
      </c>
      <c r="DG266" s="641">
        <v>0.01</v>
      </c>
      <c r="DH266" s="641">
        <v>1</v>
      </c>
      <c r="DI266" s="214" t="s">
        <v>747</v>
      </c>
    </row>
    <row r="267" spans="2:113" s="214" customFormat="1" x14ac:dyDescent="0.2">
      <c r="B267" s="609" t="s">
        <v>616</v>
      </c>
      <c r="C267" s="609" t="s">
        <v>615</v>
      </c>
      <c r="D267" s="239">
        <v>46056165</v>
      </c>
      <c r="E267" s="239">
        <v>45135042</v>
      </c>
      <c r="F267" s="239">
        <v>0</v>
      </c>
      <c r="G267" s="239">
        <v>921123</v>
      </c>
      <c r="H267" s="239">
        <v>92112330</v>
      </c>
      <c r="I267" s="239">
        <v>0</v>
      </c>
      <c r="J267" s="239">
        <v>0</v>
      </c>
      <c r="K267" s="239">
        <v>46056165</v>
      </c>
      <c r="L267" s="239">
        <v>366260</v>
      </c>
      <c r="M267" s="239">
        <v>366260</v>
      </c>
      <c r="N267" s="239">
        <v>253755</v>
      </c>
      <c r="O267" s="239">
        <v>253755</v>
      </c>
      <c r="P267" s="239">
        <v>0</v>
      </c>
      <c r="Q267" s="239">
        <v>0</v>
      </c>
      <c r="R267" s="239">
        <v>0</v>
      </c>
      <c r="S267" s="239">
        <v>0</v>
      </c>
      <c r="T267" s="239">
        <v>0</v>
      </c>
      <c r="U267" s="239">
        <v>0</v>
      </c>
      <c r="V267" s="239">
        <v>0</v>
      </c>
      <c r="W267" s="239">
        <v>2647259</v>
      </c>
      <c r="X267" s="239">
        <v>2594313</v>
      </c>
      <c r="Y267" s="239">
        <v>0</v>
      </c>
      <c r="Z267" s="239">
        <v>52945</v>
      </c>
      <c r="AA267" s="239">
        <v>5294517</v>
      </c>
      <c r="AB267" s="239">
        <v>-446948</v>
      </c>
      <c r="AC267" s="239">
        <v>-438010</v>
      </c>
      <c r="AD267" s="239">
        <v>0</v>
      </c>
      <c r="AE267" s="239">
        <v>-8939</v>
      </c>
      <c r="AF267" s="239">
        <v>-893897</v>
      </c>
      <c r="AG267" s="239">
        <v>-1672000</v>
      </c>
      <c r="AH267" s="239">
        <v>-1638560</v>
      </c>
      <c r="AI267" s="239">
        <v>0</v>
      </c>
      <c r="AJ267" s="239">
        <v>-33440</v>
      </c>
      <c r="AK267" s="239">
        <v>-3344000</v>
      </c>
      <c r="AL267" s="239">
        <v>23117</v>
      </c>
      <c r="AM267" s="239">
        <v>22654</v>
      </c>
      <c r="AN267" s="239">
        <v>0</v>
      </c>
      <c r="AO267" s="239">
        <v>462</v>
      </c>
      <c r="AP267" s="239">
        <v>46233</v>
      </c>
      <c r="AQ267" s="239">
        <v>-230833</v>
      </c>
      <c r="AR267" s="239">
        <v>-226216</v>
      </c>
      <c r="AS267" s="239">
        <v>0</v>
      </c>
      <c r="AT267" s="239">
        <v>-4617</v>
      </c>
      <c r="AU267" s="239">
        <v>-461666</v>
      </c>
      <c r="AV267" s="239">
        <v>-1879716</v>
      </c>
      <c r="AW267" s="239">
        <v>-1842122</v>
      </c>
      <c r="AX267" s="239">
        <v>0</v>
      </c>
      <c r="AY267" s="239">
        <v>-37595</v>
      </c>
      <c r="AZ267" s="239">
        <v>-3759433</v>
      </c>
      <c r="BA267" s="239">
        <v>-4875599</v>
      </c>
      <c r="BB267" s="239">
        <v>-4778088</v>
      </c>
      <c r="BC267" s="239">
        <v>0</v>
      </c>
      <c r="BD267" s="239">
        <v>-97512</v>
      </c>
      <c r="BE267" s="239">
        <v>-9751199</v>
      </c>
      <c r="BF267" s="239">
        <v>1800700</v>
      </c>
      <c r="BG267" s="239">
        <v>1764686</v>
      </c>
      <c r="BH267" s="239">
        <v>0</v>
      </c>
      <c r="BI267" s="239">
        <v>36014</v>
      </c>
      <c r="BJ267" s="239">
        <v>3601400</v>
      </c>
      <c r="BK267" s="239">
        <v>-674035</v>
      </c>
      <c r="BL267" s="239">
        <v>-660555</v>
      </c>
      <c r="BM267" s="239">
        <v>0</v>
      </c>
      <c r="BN267" s="239">
        <v>-13481</v>
      </c>
      <c r="BO267" s="239">
        <v>-1348071</v>
      </c>
      <c r="BP267" s="239">
        <v>-3748934</v>
      </c>
      <c r="BQ267" s="239">
        <v>-3673957</v>
      </c>
      <c r="BR267" s="239">
        <v>0</v>
      </c>
      <c r="BS267" s="239">
        <v>-74979</v>
      </c>
      <c r="BT267" s="239">
        <v>-7497870</v>
      </c>
      <c r="BU267" s="239">
        <v>1095619</v>
      </c>
      <c r="BV267" s="239">
        <v>1073707</v>
      </c>
      <c r="BW267" s="239">
        <v>0</v>
      </c>
      <c r="BX267" s="239">
        <v>21912</v>
      </c>
      <c r="BY267" s="239">
        <v>2191238</v>
      </c>
      <c r="BZ267" s="239">
        <v>-28023</v>
      </c>
      <c r="CA267" s="239">
        <v>-27462</v>
      </c>
      <c r="CB267" s="239">
        <v>0</v>
      </c>
      <c r="CC267" s="239">
        <v>-560</v>
      </c>
      <c r="CD267" s="239">
        <v>-56045</v>
      </c>
      <c r="CE267" s="239">
        <v>1123642</v>
      </c>
      <c r="CF267" s="239">
        <v>1101169</v>
      </c>
      <c r="CG267" s="239">
        <v>0</v>
      </c>
      <c r="CH267" s="239">
        <v>22472</v>
      </c>
      <c r="CI267" s="239">
        <v>2247283</v>
      </c>
      <c r="CJ267" s="239">
        <v>43474410</v>
      </c>
      <c r="CK267" s="239">
        <v>42604921</v>
      </c>
      <c r="CL267" s="239">
        <v>0</v>
      </c>
      <c r="CM267" s="239">
        <v>869488</v>
      </c>
      <c r="CN267" s="239">
        <v>86948819</v>
      </c>
      <c r="CO267" s="239">
        <v>46056165</v>
      </c>
      <c r="CP267" s="239">
        <v>45135042</v>
      </c>
      <c r="CQ267" s="239">
        <v>0</v>
      </c>
      <c r="CR267" s="239">
        <v>921123</v>
      </c>
      <c r="CS267" s="239">
        <v>92112330</v>
      </c>
      <c r="CT267" s="239">
        <v>2581755</v>
      </c>
      <c r="CU267" s="239">
        <v>2530121</v>
      </c>
      <c r="CV267" s="239">
        <v>0</v>
      </c>
      <c r="CW267" s="239">
        <v>51635</v>
      </c>
      <c r="CX267" s="239">
        <v>5163511</v>
      </c>
      <c r="CY267" s="239">
        <v>3705397</v>
      </c>
      <c r="CZ267" s="239">
        <v>3631290</v>
      </c>
      <c r="DA267" s="239">
        <v>0</v>
      </c>
      <c r="DB267" s="239">
        <v>74107</v>
      </c>
      <c r="DC267" s="239">
        <v>7410794</v>
      </c>
      <c r="DD267" s="641">
        <v>0.5</v>
      </c>
      <c r="DE267" s="641">
        <v>0.49</v>
      </c>
      <c r="DF267" s="641">
        <v>0</v>
      </c>
      <c r="DG267" s="641">
        <v>0.01</v>
      </c>
      <c r="DH267" s="641">
        <v>1</v>
      </c>
      <c r="DI267" s="214" t="s">
        <v>747</v>
      </c>
    </row>
    <row r="268" spans="2:113" s="214" customFormat="1" x14ac:dyDescent="0.2">
      <c r="B268" s="609" t="s">
        <v>618</v>
      </c>
      <c r="C268" s="609" t="s">
        <v>617</v>
      </c>
      <c r="D268" s="239">
        <v>27584911</v>
      </c>
      <c r="E268" s="239">
        <v>22067929</v>
      </c>
      <c r="F268" s="239">
        <v>5516982</v>
      </c>
      <c r="G268" s="239">
        <v>0</v>
      </c>
      <c r="H268" s="239">
        <v>55169822</v>
      </c>
      <c r="I268" s="239">
        <v>0</v>
      </c>
      <c r="J268" s="239">
        <v>0</v>
      </c>
      <c r="K268" s="239">
        <v>27584911</v>
      </c>
      <c r="L268" s="239">
        <v>217909</v>
      </c>
      <c r="M268" s="239">
        <v>217909</v>
      </c>
      <c r="N268" s="239">
        <v>0</v>
      </c>
      <c r="O268" s="239">
        <v>0</v>
      </c>
      <c r="P268" s="239">
        <v>41002</v>
      </c>
      <c r="Q268" s="239">
        <v>0</v>
      </c>
      <c r="R268" s="239">
        <v>41002</v>
      </c>
      <c r="S268" s="239">
        <v>0</v>
      </c>
      <c r="T268" s="239">
        <v>0</v>
      </c>
      <c r="U268" s="239">
        <v>0</v>
      </c>
      <c r="V268" s="239">
        <v>0</v>
      </c>
      <c r="W268" s="239">
        <v>770150</v>
      </c>
      <c r="X268" s="239">
        <v>616120</v>
      </c>
      <c r="Y268" s="239">
        <v>154030</v>
      </c>
      <c r="Z268" s="239">
        <v>0</v>
      </c>
      <c r="AA268" s="239">
        <v>1540300</v>
      </c>
      <c r="AB268" s="239">
        <v>-84414</v>
      </c>
      <c r="AC268" s="239">
        <v>-67532</v>
      </c>
      <c r="AD268" s="239">
        <v>-16883</v>
      </c>
      <c r="AE268" s="239">
        <v>0</v>
      </c>
      <c r="AF268" s="239">
        <v>-168829</v>
      </c>
      <c r="AG268" s="239">
        <v>-187564</v>
      </c>
      <c r="AH268" s="239">
        <v>-150052</v>
      </c>
      <c r="AI268" s="239">
        <v>-37513</v>
      </c>
      <c r="AJ268" s="239">
        <v>0</v>
      </c>
      <c r="AK268" s="239">
        <v>-375129</v>
      </c>
      <c r="AL268" s="239">
        <v>128342</v>
      </c>
      <c r="AM268" s="239">
        <v>102674</v>
      </c>
      <c r="AN268" s="239">
        <v>25668</v>
      </c>
      <c r="AO268" s="239">
        <v>0</v>
      </c>
      <c r="AP268" s="239">
        <v>256684</v>
      </c>
      <c r="AQ268" s="239">
        <v>-170533</v>
      </c>
      <c r="AR268" s="239">
        <v>-136427</v>
      </c>
      <c r="AS268" s="239">
        <v>-34107</v>
      </c>
      <c r="AT268" s="239">
        <v>0</v>
      </c>
      <c r="AU268" s="239">
        <v>-341067</v>
      </c>
      <c r="AV268" s="239">
        <v>-229755</v>
      </c>
      <c r="AW268" s="239">
        <v>-183805</v>
      </c>
      <c r="AX268" s="239">
        <v>-45952</v>
      </c>
      <c r="AY268" s="239">
        <v>0</v>
      </c>
      <c r="AZ268" s="239">
        <v>-459512</v>
      </c>
      <c r="BA268" s="239">
        <v>-1646716</v>
      </c>
      <c r="BB268" s="239">
        <v>-1317373</v>
      </c>
      <c r="BC268" s="239">
        <v>-329344</v>
      </c>
      <c r="BD268" s="239">
        <v>0</v>
      </c>
      <c r="BE268" s="239">
        <v>-3293433</v>
      </c>
      <c r="BF268" s="239">
        <v>655601</v>
      </c>
      <c r="BG268" s="239">
        <v>524480</v>
      </c>
      <c r="BH268" s="239">
        <v>131120</v>
      </c>
      <c r="BI268" s="239">
        <v>0</v>
      </c>
      <c r="BJ268" s="239">
        <v>1311201</v>
      </c>
      <c r="BK268" s="239">
        <v>-171207</v>
      </c>
      <c r="BL268" s="239">
        <v>-136965</v>
      </c>
      <c r="BM268" s="239">
        <v>-34241</v>
      </c>
      <c r="BN268" s="239">
        <v>0</v>
      </c>
      <c r="BO268" s="239">
        <v>-342413</v>
      </c>
      <c r="BP268" s="239">
        <v>-1162322</v>
      </c>
      <c r="BQ268" s="239">
        <v>-929858</v>
      </c>
      <c r="BR268" s="239">
        <v>-232465</v>
      </c>
      <c r="BS268" s="239">
        <v>0</v>
      </c>
      <c r="BT268" s="239">
        <v>-2324645</v>
      </c>
      <c r="BU268" s="239">
        <v>-1258567</v>
      </c>
      <c r="BV268" s="239">
        <v>-1006853</v>
      </c>
      <c r="BW268" s="239">
        <v>-251713</v>
      </c>
      <c r="BX268" s="239">
        <v>0</v>
      </c>
      <c r="BY268" s="239">
        <v>-2517133</v>
      </c>
      <c r="BZ268" s="239">
        <v>-561576</v>
      </c>
      <c r="CA268" s="239">
        <v>-449261</v>
      </c>
      <c r="CB268" s="239">
        <v>-112315</v>
      </c>
      <c r="CC268" s="239">
        <v>0</v>
      </c>
      <c r="CD268" s="239">
        <v>-1123152</v>
      </c>
      <c r="CE268" s="239">
        <v>-696991</v>
      </c>
      <c r="CF268" s="239">
        <v>-557592</v>
      </c>
      <c r="CG268" s="239">
        <v>-139398</v>
      </c>
      <c r="CH268" s="239">
        <v>0</v>
      </c>
      <c r="CI268" s="239">
        <v>-1393981</v>
      </c>
      <c r="CJ268" s="239">
        <v>27280271</v>
      </c>
      <c r="CK268" s="239">
        <v>21824217</v>
      </c>
      <c r="CL268" s="239">
        <v>5456054</v>
      </c>
      <c r="CM268" s="239">
        <v>0</v>
      </c>
      <c r="CN268" s="239">
        <v>54560542</v>
      </c>
      <c r="CO268" s="239">
        <v>27584911</v>
      </c>
      <c r="CP268" s="239">
        <v>22067929</v>
      </c>
      <c r="CQ268" s="239">
        <v>5516982</v>
      </c>
      <c r="CR268" s="239">
        <v>0</v>
      </c>
      <c r="CS268" s="239">
        <v>55169822</v>
      </c>
      <c r="CT268" s="239">
        <v>304640</v>
      </c>
      <c r="CU268" s="239">
        <v>243712</v>
      </c>
      <c r="CV268" s="239">
        <v>60928</v>
      </c>
      <c r="CW268" s="239">
        <v>0</v>
      </c>
      <c r="CX268" s="239">
        <v>609280</v>
      </c>
      <c r="CY268" s="239">
        <v>-392351</v>
      </c>
      <c r="CZ268" s="239">
        <v>-313880</v>
      </c>
      <c r="DA268" s="239">
        <v>-78470</v>
      </c>
      <c r="DB268" s="239">
        <v>0</v>
      </c>
      <c r="DC268" s="239">
        <v>-784701</v>
      </c>
      <c r="DD268" s="641">
        <v>0.5</v>
      </c>
      <c r="DE268" s="641">
        <v>0.4</v>
      </c>
      <c r="DF268" s="641">
        <v>0.1</v>
      </c>
      <c r="DG268" s="641">
        <v>0</v>
      </c>
      <c r="DH268" s="641">
        <v>1</v>
      </c>
      <c r="DI268" s="214" t="s">
        <v>1190</v>
      </c>
    </row>
    <row r="269" spans="2:113" s="214" customFormat="1" x14ac:dyDescent="0.2">
      <c r="B269" s="609" t="s">
        <v>620</v>
      </c>
      <c r="C269" s="609" t="s">
        <v>619</v>
      </c>
      <c r="D269" s="239">
        <v>13559507</v>
      </c>
      <c r="E269" s="239">
        <v>10847606</v>
      </c>
      <c r="F269" s="239">
        <v>2711902</v>
      </c>
      <c r="G269" s="239">
        <v>0</v>
      </c>
      <c r="H269" s="239">
        <v>27119015</v>
      </c>
      <c r="I269" s="239">
        <v>0</v>
      </c>
      <c r="J269" s="239">
        <v>0</v>
      </c>
      <c r="K269" s="239">
        <v>13559507</v>
      </c>
      <c r="L269" s="239">
        <v>160071</v>
      </c>
      <c r="M269" s="239">
        <v>160071</v>
      </c>
      <c r="N269" s="239">
        <v>0</v>
      </c>
      <c r="O269" s="239">
        <v>0</v>
      </c>
      <c r="P269" s="239">
        <v>110085</v>
      </c>
      <c r="Q269" s="239">
        <v>0</v>
      </c>
      <c r="R269" s="239">
        <v>110085</v>
      </c>
      <c r="S269" s="239">
        <v>0</v>
      </c>
      <c r="T269" s="239">
        <v>0</v>
      </c>
      <c r="U269" s="239">
        <v>0</v>
      </c>
      <c r="V269" s="239">
        <v>0</v>
      </c>
      <c r="W269" s="239">
        <v>504245</v>
      </c>
      <c r="X269" s="239">
        <v>403396</v>
      </c>
      <c r="Y269" s="239">
        <v>100849</v>
      </c>
      <c r="Z269" s="239">
        <v>0</v>
      </c>
      <c r="AA269" s="239">
        <v>1008490</v>
      </c>
      <c r="AB269" s="239">
        <v>-150767</v>
      </c>
      <c r="AC269" s="239">
        <v>-120614</v>
      </c>
      <c r="AD269" s="239">
        <v>-30153</v>
      </c>
      <c r="AE269" s="239">
        <v>0</v>
      </c>
      <c r="AF269" s="239">
        <v>-301534</v>
      </c>
      <c r="AG269" s="239">
        <v>-146026.25</v>
      </c>
      <c r="AH269" s="239">
        <v>-116822</v>
      </c>
      <c r="AI269" s="239">
        <v>-29206</v>
      </c>
      <c r="AJ269" s="239">
        <v>0</v>
      </c>
      <c r="AK269" s="239">
        <v>-292054.25</v>
      </c>
      <c r="AL269" s="239">
        <v>-21152</v>
      </c>
      <c r="AM269" s="239">
        <v>-16922</v>
      </c>
      <c r="AN269" s="239">
        <v>-4231</v>
      </c>
      <c r="AO269" s="239">
        <v>0</v>
      </c>
      <c r="AP269" s="239">
        <v>-42305</v>
      </c>
      <c r="AQ269" s="239">
        <v>-30918</v>
      </c>
      <c r="AR269" s="239">
        <v>-24735</v>
      </c>
      <c r="AS269" s="239">
        <v>-6184</v>
      </c>
      <c r="AT269" s="239">
        <v>0</v>
      </c>
      <c r="AU269" s="239">
        <v>-61837</v>
      </c>
      <c r="AV269" s="239">
        <v>-198096.25</v>
      </c>
      <c r="AW269" s="239">
        <v>-158479</v>
      </c>
      <c r="AX269" s="239">
        <v>-39621</v>
      </c>
      <c r="AY269" s="239">
        <v>0</v>
      </c>
      <c r="AZ269" s="239">
        <v>-396196.25</v>
      </c>
      <c r="BA269" s="239">
        <v>-705855</v>
      </c>
      <c r="BB269" s="239">
        <v>-564684</v>
      </c>
      <c r="BC269" s="239">
        <v>-141170</v>
      </c>
      <c r="BD269" s="239">
        <v>0</v>
      </c>
      <c r="BE269" s="239">
        <v>-1411709</v>
      </c>
      <c r="BF269" s="239">
        <v>551863</v>
      </c>
      <c r="BG269" s="239">
        <v>441491</v>
      </c>
      <c r="BH269" s="239">
        <v>110373</v>
      </c>
      <c r="BI269" s="239">
        <v>0</v>
      </c>
      <c r="BJ269" s="239">
        <v>1103727</v>
      </c>
      <c r="BK269" s="239">
        <v>-493811</v>
      </c>
      <c r="BL269" s="239">
        <v>-395048</v>
      </c>
      <c r="BM269" s="239">
        <v>-98762</v>
      </c>
      <c r="BN269" s="239">
        <v>0</v>
      </c>
      <c r="BO269" s="239">
        <v>-987621</v>
      </c>
      <c r="BP269" s="239">
        <v>-647803</v>
      </c>
      <c r="BQ269" s="239">
        <v>-518241</v>
      </c>
      <c r="BR269" s="239">
        <v>-129559</v>
      </c>
      <c r="BS269" s="239">
        <v>0</v>
      </c>
      <c r="BT269" s="239">
        <v>-1295603</v>
      </c>
      <c r="BU269" s="239">
        <v>-438998</v>
      </c>
      <c r="BV269" s="239">
        <v>-351198</v>
      </c>
      <c r="BW269" s="239">
        <v>-87800</v>
      </c>
      <c r="BX269" s="239">
        <v>0</v>
      </c>
      <c r="BY269" s="239">
        <v>-877996</v>
      </c>
      <c r="BZ269" s="239">
        <v>-589737</v>
      </c>
      <c r="CA269" s="239">
        <v>-471790</v>
      </c>
      <c r="CB269" s="239">
        <v>-117947</v>
      </c>
      <c r="CC269" s="239">
        <v>0</v>
      </c>
      <c r="CD269" s="239">
        <v>-1179474</v>
      </c>
      <c r="CE269" s="239">
        <v>150739</v>
      </c>
      <c r="CF269" s="239">
        <v>120592</v>
      </c>
      <c r="CG269" s="239">
        <v>30147</v>
      </c>
      <c r="CH269" s="239">
        <v>0</v>
      </c>
      <c r="CI269" s="239">
        <v>301478</v>
      </c>
      <c r="CJ269" s="239">
        <v>13737717</v>
      </c>
      <c r="CK269" s="239">
        <v>10990174</v>
      </c>
      <c r="CL269" s="239">
        <v>2747543</v>
      </c>
      <c r="CM269" s="239">
        <v>0</v>
      </c>
      <c r="CN269" s="239">
        <v>27475434</v>
      </c>
      <c r="CO269" s="239">
        <v>13559507</v>
      </c>
      <c r="CP269" s="239">
        <v>10847606</v>
      </c>
      <c r="CQ269" s="239">
        <v>2711902</v>
      </c>
      <c r="CR269" s="239">
        <v>0</v>
      </c>
      <c r="CS269" s="239">
        <v>27119015</v>
      </c>
      <c r="CT269" s="239">
        <v>-178210</v>
      </c>
      <c r="CU269" s="239">
        <v>-142568</v>
      </c>
      <c r="CV269" s="239">
        <v>-35641</v>
      </c>
      <c r="CW269" s="239">
        <v>0</v>
      </c>
      <c r="CX269" s="239">
        <v>-356419</v>
      </c>
      <c r="CY269" s="239">
        <v>-27471</v>
      </c>
      <c r="CZ269" s="239">
        <v>-21976</v>
      </c>
      <c r="DA269" s="239">
        <v>-5494</v>
      </c>
      <c r="DB269" s="239">
        <v>0</v>
      </c>
      <c r="DC269" s="239">
        <v>-54941</v>
      </c>
      <c r="DD269" s="641">
        <v>0.5</v>
      </c>
      <c r="DE269" s="641">
        <v>0.4</v>
      </c>
      <c r="DF269" s="641">
        <v>0.1</v>
      </c>
      <c r="DG269" s="641">
        <v>0</v>
      </c>
      <c r="DH269" s="641">
        <v>1</v>
      </c>
      <c r="DI269" s="214" t="s">
        <v>1190</v>
      </c>
    </row>
    <row r="270" spans="2:113" s="214" customFormat="1" x14ac:dyDescent="0.2">
      <c r="B270" s="609" t="s">
        <v>622</v>
      </c>
      <c r="C270" s="609" t="s">
        <v>621</v>
      </c>
      <c r="D270" s="239">
        <v>34019364</v>
      </c>
      <c r="E270" s="239">
        <v>27215491</v>
      </c>
      <c r="F270" s="239">
        <v>6803873</v>
      </c>
      <c r="G270" s="239">
        <v>0</v>
      </c>
      <c r="H270" s="239">
        <v>68038728</v>
      </c>
      <c r="I270" s="239">
        <v>0</v>
      </c>
      <c r="J270" s="239">
        <v>0</v>
      </c>
      <c r="K270" s="239">
        <v>34019364</v>
      </c>
      <c r="L270" s="239">
        <v>277015</v>
      </c>
      <c r="M270" s="239">
        <v>277015</v>
      </c>
      <c r="N270" s="239">
        <v>0</v>
      </c>
      <c r="O270" s="239">
        <v>0</v>
      </c>
      <c r="P270" s="239">
        <v>206605</v>
      </c>
      <c r="Q270" s="239">
        <v>0</v>
      </c>
      <c r="R270" s="239">
        <v>206605</v>
      </c>
      <c r="S270" s="239">
        <v>0</v>
      </c>
      <c r="T270" s="239">
        <v>0</v>
      </c>
      <c r="U270" s="239">
        <v>0</v>
      </c>
      <c r="V270" s="239">
        <v>0</v>
      </c>
      <c r="W270" s="239">
        <v>613007</v>
      </c>
      <c r="X270" s="239">
        <v>490405</v>
      </c>
      <c r="Y270" s="239">
        <v>122601</v>
      </c>
      <c r="Z270" s="239">
        <v>0</v>
      </c>
      <c r="AA270" s="239">
        <v>1226013</v>
      </c>
      <c r="AB270" s="239">
        <v>-254442</v>
      </c>
      <c r="AC270" s="239">
        <v>-203554</v>
      </c>
      <c r="AD270" s="239">
        <v>-50889</v>
      </c>
      <c r="AE270" s="239">
        <v>0</v>
      </c>
      <c r="AF270" s="239">
        <v>-508885</v>
      </c>
      <c r="AG270" s="239">
        <v>-466357</v>
      </c>
      <c r="AH270" s="239">
        <v>-373088</v>
      </c>
      <c r="AI270" s="239">
        <v>-93273</v>
      </c>
      <c r="AJ270" s="239">
        <v>0</v>
      </c>
      <c r="AK270" s="239">
        <v>-932718</v>
      </c>
      <c r="AL270" s="239">
        <v>50362</v>
      </c>
      <c r="AM270" s="239">
        <v>40289</v>
      </c>
      <c r="AN270" s="239">
        <v>10072</v>
      </c>
      <c r="AO270" s="239">
        <v>0</v>
      </c>
      <c r="AP270" s="239">
        <v>100723</v>
      </c>
      <c r="AQ270" s="239">
        <v>46913</v>
      </c>
      <c r="AR270" s="239">
        <v>37530</v>
      </c>
      <c r="AS270" s="239">
        <v>9383</v>
      </c>
      <c r="AT270" s="239">
        <v>0</v>
      </c>
      <c r="AU270" s="239">
        <v>93826</v>
      </c>
      <c r="AV270" s="239">
        <v>-369082</v>
      </c>
      <c r="AW270" s="239">
        <v>-295269</v>
      </c>
      <c r="AX270" s="239">
        <v>-73818</v>
      </c>
      <c r="AY270" s="239">
        <v>0</v>
      </c>
      <c r="AZ270" s="239">
        <v>-738169</v>
      </c>
      <c r="BA270" s="239">
        <v>-2780234</v>
      </c>
      <c r="BB270" s="239">
        <v>-2224185</v>
      </c>
      <c r="BC270" s="239">
        <v>-556046</v>
      </c>
      <c r="BD270" s="239">
        <v>0</v>
      </c>
      <c r="BE270" s="239">
        <v>-5560465</v>
      </c>
      <c r="BF270" s="239">
        <v>750163</v>
      </c>
      <c r="BG270" s="239">
        <v>600130</v>
      </c>
      <c r="BH270" s="239">
        <v>150033</v>
      </c>
      <c r="BI270" s="239">
        <v>0</v>
      </c>
      <c r="BJ270" s="239">
        <v>1500326</v>
      </c>
      <c r="BK270" s="239">
        <v>-1051196</v>
      </c>
      <c r="BL270" s="239">
        <v>-840957</v>
      </c>
      <c r="BM270" s="239">
        <v>-210239</v>
      </c>
      <c r="BN270" s="239">
        <v>0</v>
      </c>
      <c r="BO270" s="239">
        <v>-2102392</v>
      </c>
      <c r="BP270" s="239">
        <v>-3081267</v>
      </c>
      <c r="BQ270" s="239">
        <v>-2465012</v>
      </c>
      <c r="BR270" s="239">
        <v>-616252</v>
      </c>
      <c r="BS270" s="239">
        <v>0</v>
      </c>
      <c r="BT270" s="239">
        <v>-6162531</v>
      </c>
      <c r="BU270" s="239">
        <v>2837252</v>
      </c>
      <c r="BV270" s="239">
        <v>2269801</v>
      </c>
      <c r="BW270" s="239">
        <v>567450</v>
      </c>
      <c r="BX270" s="239">
        <v>0</v>
      </c>
      <c r="BY270" s="239">
        <v>5674503</v>
      </c>
      <c r="BZ270" s="239">
        <v>3771667</v>
      </c>
      <c r="CA270" s="239">
        <v>3017333</v>
      </c>
      <c r="CB270" s="239">
        <v>754333</v>
      </c>
      <c r="CC270" s="239">
        <v>0</v>
      </c>
      <c r="CD270" s="239">
        <v>7543333</v>
      </c>
      <c r="CE270" s="239">
        <v>-934415</v>
      </c>
      <c r="CF270" s="239">
        <v>-747532</v>
      </c>
      <c r="CG270" s="239">
        <v>-186883</v>
      </c>
      <c r="CH270" s="239">
        <v>0</v>
      </c>
      <c r="CI270" s="239">
        <v>-1868830</v>
      </c>
      <c r="CJ270" s="239">
        <v>34220221</v>
      </c>
      <c r="CK270" s="239">
        <v>27376176</v>
      </c>
      <c r="CL270" s="239">
        <v>6844044</v>
      </c>
      <c r="CM270" s="239">
        <v>0</v>
      </c>
      <c r="CN270" s="239">
        <v>68440441</v>
      </c>
      <c r="CO270" s="239">
        <v>34019364</v>
      </c>
      <c r="CP270" s="239">
        <v>27215491</v>
      </c>
      <c r="CQ270" s="239">
        <v>6803873</v>
      </c>
      <c r="CR270" s="239">
        <v>0</v>
      </c>
      <c r="CS270" s="239">
        <v>68038728</v>
      </c>
      <c r="CT270" s="239">
        <v>-200857</v>
      </c>
      <c r="CU270" s="239">
        <v>-160685</v>
      </c>
      <c r="CV270" s="239">
        <v>-40171</v>
      </c>
      <c r="CW270" s="239">
        <v>0</v>
      </c>
      <c r="CX270" s="239">
        <v>-401713</v>
      </c>
      <c r="CY270" s="239">
        <v>-1135272</v>
      </c>
      <c r="CZ270" s="239">
        <v>-908217</v>
      </c>
      <c r="DA270" s="239">
        <v>-227054</v>
      </c>
      <c r="DB270" s="239">
        <v>0</v>
      </c>
      <c r="DC270" s="239">
        <v>-2270543</v>
      </c>
      <c r="DD270" s="641">
        <v>0.5</v>
      </c>
      <c r="DE270" s="641">
        <v>0.4</v>
      </c>
      <c r="DF270" s="641">
        <v>0.1</v>
      </c>
      <c r="DG270" s="641">
        <v>0</v>
      </c>
      <c r="DH270" s="641">
        <v>1</v>
      </c>
      <c r="DI270" s="214" t="s">
        <v>1190</v>
      </c>
    </row>
    <row r="271" spans="2:113" s="214" customFormat="1" x14ac:dyDescent="0.2">
      <c r="B271" s="609" t="s">
        <v>624</v>
      </c>
      <c r="C271" s="609" t="s">
        <v>623</v>
      </c>
      <c r="D271" s="239">
        <v>44550087</v>
      </c>
      <c r="E271" s="239">
        <v>43659086</v>
      </c>
      <c r="F271" s="239">
        <v>0</v>
      </c>
      <c r="G271" s="239">
        <v>891002</v>
      </c>
      <c r="H271" s="239">
        <v>89100175</v>
      </c>
      <c r="I271" s="239">
        <v>35293.161157024791</v>
      </c>
      <c r="J271" s="239">
        <v>35293.161157024791</v>
      </c>
      <c r="K271" s="239">
        <v>44514793.838842973</v>
      </c>
      <c r="L271" s="239">
        <v>342824</v>
      </c>
      <c r="M271" s="239">
        <v>342824</v>
      </c>
      <c r="N271" s="239">
        <v>707074</v>
      </c>
      <c r="O271" s="239">
        <v>707074</v>
      </c>
      <c r="P271" s="239">
        <v>0</v>
      </c>
      <c r="Q271" s="239">
        <v>0</v>
      </c>
      <c r="R271" s="239">
        <v>0</v>
      </c>
      <c r="S271" s="239">
        <v>35293.161157024791</v>
      </c>
      <c r="T271" s="239">
        <v>0</v>
      </c>
      <c r="U271" s="239">
        <v>0</v>
      </c>
      <c r="V271" s="239">
        <v>35293.161157024791</v>
      </c>
      <c r="W271" s="239">
        <v>3483003</v>
      </c>
      <c r="X271" s="239">
        <v>3413343</v>
      </c>
      <c r="Y271" s="239">
        <v>0</v>
      </c>
      <c r="Z271" s="239">
        <v>69660</v>
      </c>
      <c r="AA271" s="239">
        <v>6966006</v>
      </c>
      <c r="AB271" s="239">
        <v>-399212</v>
      </c>
      <c r="AC271" s="239">
        <v>-391227</v>
      </c>
      <c r="AD271" s="239">
        <v>0</v>
      </c>
      <c r="AE271" s="239">
        <v>-7984</v>
      </c>
      <c r="AF271" s="239">
        <v>-798423</v>
      </c>
      <c r="AG271" s="239">
        <v>-2698423</v>
      </c>
      <c r="AH271" s="239">
        <v>-2644454</v>
      </c>
      <c r="AI271" s="239">
        <v>0</v>
      </c>
      <c r="AJ271" s="239">
        <v>-53968</v>
      </c>
      <c r="AK271" s="239">
        <v>-5396845</v>
      </c>
      <c r="AL271" s="239">
        <v>556856</v>
      </c>
      <c r="AM271" s="239">
        <v>545718</v>
      </c>
      <c r="AN271" s="239">
        <v>0</v>
      </c>
      <c r="AO271" s="239">
        <v>11137</v>
      </c>
      <c r="AP271" s="239">
        <v>1113711</v>
      </c>
      <c r="AQ271" s="239">
        <v>-544419</v>
      </c>
      <c r="AR271" s="239">
        <v>-533530</v>
      </c>
      <c r="AS271" s="239">
        <v>0</v>
      </c>
      <c r="AT271" s="239">
        <v>-10888</v>
      </c>
      <c r="AU271" s="239">
        <v>-1088837</v>
      </c>
      <c r="AV271" s="239">
        <v>-2685986</v>
      </c>
      <c r="AW271" s="239">
        <v>-2632266</v>
      </c>
      <c r="AX271" s="239">
        <v>0</v>
      </c>
      <c r="AY271" s="239">
        <v>-53719</v>
      </c>
      <c r="AZ271" s="239">
        <v>-5371971</v>
      </c>
      <c r="BA271" s="239">
        <v>-5703570</v>
      </c>
      <c r="BB271" s="239">
        <v>-5589497</v>
      </c>
      <c r="BC271" s="239">
        <v>0</v>
      </c>
      <c r="BD271" s="239">
        <v>-114072</v>
      </c>
      <c r="BE271" s="239">
        <v>-11407139</v>
      </c>
      <c r="BF271" s="239">
        <v>1578292</v>
      </c>
      <c r="BG271" s="239">
        <v>1546726</v>
      </c>
      <c r="BH271" s="239">
        <v>0</v>
      </c>
      <c r="BI271" s="239">
        <v>31566</v>
      </c>
      <c r="BJ271" s="239">
        <v>3156584</v>
      </c>
      <c r="BK271" s="239">
        <v>-3263491</v>
      </c>
      <c r="BL271" s="239">
        <v>-3198221</v>
      </c>
      <c r="BM271" s="239">
        <v>0</v>
      </c>
      <c r="BN271" s="239">
        <v>-65270</v>
      </c>
      <c r="BO271" s="239">
        <v>-6526982</v>
      </c>
      <c r="BP271" s="239">
        <v>-7388769</v>
      </c>
      <c r="BQ271" s="239">
        <v>-7240992</v>
      </c>
      <c r="BR271" s="239">
        <v>0</v>
      </c>
      <c r="BS271" s="239">
        <v>-147776</v>
      </c>
      <c r="BT271" s="239">
        <v>-14777537</v>
      </c>
      <c r="BU271" s="239">
        <v>98434</v>
      </c>
      <c r="BV271" s="239">
        <v>96465</v>
      </c>
      <c r="BW271" s="239">
        <v>0</v>
      </c>
      <c r="BX271" s="239">
        <v>1969</v>
      </c>
      <c r="BY271" s="239">
        <v>196868</v>
      </c>
      <c r="BZ271" s="239">
        <v>0</v>
      </c>
      <c r="CA271" s="239">
        <v>0</v>
      </c>
      <c r="CB271" s="239">
        <v>0</v>
      </c>
      <c r="CC271" s="239">
        <v>0</v>
      </c>
      <c r="CD271" s="239">
        <v>0</v>
      </c>
      <c r="CE271" s="239">
        <v>98434</v>
      </c>
      <c r="CF271" s="239">
        <v>96465</v>
      </c>
      <c r="CG271" s="239">
        <v>0</v>
      </c>
      <c r="CH271" s="239">
        <v>1969</v>
      </c>
      <c r="CI271" s="239">
        <v>196868</v>
      </c>
      <c r="CJ271" s="239">
        <v>44427646</v>
      </c>
      <c r="CK271" s="239">
        <v>43539094</v>
      </c>
      <c r="CL271" s="239">
        <v>0</v>
      </c>
      <c r="CM271" s="239">
        <v>888553</v>
      </c>
      <c r="CN271" s="239">
        <v>88855293</v>
      </c>
      <c r="CO271" s="239">
        <v>44550087</v>
      </c>
      <c r="CP271" s="239">
        <v>43659086</v>
      </c>
      <c r="CQ271" s="239">
        <v>0</v>
      </c>
      <c r="CR271" s="239">
        <v>891002</v>
      </c>
      <c r="CS271" s="239">
        <v>89100175</v>
      </c>
      <c r="CT271" s="239">
        <v>122441</v>
      </c>
      <c r="CU271" s="239">
        <v>119992</v>
      </c>
      <c r="CV271" s="239">
        <v>0</v>
      </c>
      <c r="CW271" s="239">
        <v>2449</v>
      </c>
      <c r="CX271" s="239">
        <v>244882</v>
      </c>
      <c r="CY271" s="239">
        <v>220875</v>
      </c>
      <c r="CZ271" s="239">
        <v>216457</v>
      </c>
      <c r="DA271" s="239">
        <v>0</v>
      </c>
      <c r="DB271" s="239">
        <v>4418</v>
      </c>
      <c r="DC271" s="239">
        <v>441750</v>
      </c>
      <c r="DD271" s="641">
        <v>0.5</v>
      </c>
      <c r="DE271" s="641">
        <v>0.49</v>
      </c>
      <c r="DF271" s="641">
        <v>0</v>
      </c>
      <c r="DG271" s="641">
        <v>0.01</v>
      </c>
      <c r="DH271" s="641">
        <v>1</v>
      </c>
      <c r="DI271" s="214" t="s">
        <v>1192</v>
      </c>
    </row>
    <row r="272" spans="2:113" s="214" customFormat="1" x14ac:dyDescent="0.2">
      <c r="B272" s="609" t="s">
        <v>626</v>
      </c>
      <c r="C272" s="609" t="s">
        <v>625</v>
      </c>
      <c r="D272" s="239">
        <v>19137835</v>
      </c>
      <c r="E272" s="239">
        <v>15310268</v>
      </c>
      <c r="F272" s="239">
        <v>3827567</v>
      </c>
      <c r="G272" s="239">
        <v>0</v>
      </c>
      <c r="H272" s="239">
        <v>38275670</v>
      </c>
      <c r="I272" s="239">
        <v>0</v>
      </c>
      <c r="J272" s="239">
        <v>0</v>
      </c>
      <c r="K272" s="239">
        <v>19137835</v>
      </c>
      <c r="L272" s="239">
        <v>126119</v>
      </c>
      <c r="M272" s="239">
        <v>126119</v>
      </c>
      <c r="N272" s="239">
        <v>0</v>
      </c>
      <c r="O272" s="239">
        <v>0</v>
      </c>
      <c r="P272" s="239">
        <v>0</v>
      </c>
      <c r="Q272" s="239">
        <v>0</v>
      </c>
      <c r="R272" s="239">
        <v>0</v>
      </c>
      <c r="S272" s="239">
        <v>0</v>
      </c>
      <c r="T272" s="239">
        <v>0</v>
      </c>
      <c r="U272" s="239">
        <v>0</v>
      </c>
      <c r="V272" s="239">
        <v>0</v>
      </c>
      <c r="W272" s="239">
        <v>678049</v>
      </c>
      <c r="X272" s="239">
        <v>542439</v>
      </c>
      <c r="Y272" s="239">
        <v>135610</v>
      </c>
      <c r="Z272" s="239">
        <v>0</v>
      </c>
      <c r="AA272" s="239">
        <v>1356098</v>
      </c>
      <c r="AB272" s="239">
        <v>-291857</v>
      </c>
      <c r="AC272" s="239">
        <v>-233486</v>
      </c>
      <c r="AD272" s="239">
        <v>-58371</v>
      </c>
      <c r="AE272" s="239">
        <v>0</v>
      </c>
      <c r="AF272" s="239">
        <v>-583714</v>
      </c>
      <c r="AG272" s="239">
        <v>-469889</v>
      </c>
      <c r="AH272" s="239">
        <v>-375911</v>
      </c>
      <c r="AI272" s="239">
        <v>-93978</v>
      </c>
      <c r="AJ272" s="239">
        <v>0</v>
      </c>
      <c r="AK272" s="239">
        <v>-939778</v>
      </c>
      <c r="AL272" s="239">
        <v>100155</v>
      </c>
      <c r="AM272" s="239">
        <v>80124</v>
      </c>
      <c r="AN272" s="239">
        <v>20031</v>
      </c>
      <c r="AO272" s="239">
        <v>0</v>
      </c>
      <c r="AP272" s="239">
        <v>200310</v>
      </c>
      <c r="AQ272" s="239">
        <v>153467</v>
      </c>
      <c r="AR272" s="239">
        <v>122773</v>
      </c>
      <c r="AS272" s="239">
        <v>30693</v>
      </c>
      <c r="AT272" s="239">
        <v>0</v>
      </c>
      <c r="AU272" s="239">
        <v>306933</v>
      </c>
      <c r="AV272" s="239">
        <v>-216267</v>
      </c>
      <c r="AW272" s="239">
        <v>-173014</v>
      </c>
      <c r="AX272" s="239">
        <v>-43254</v>
      </c>
      <c r="AY272" s="239">
        <v>0</v>
      </c>
      <c r="AZ272" s="239">
        <v>-432535</v>
      </c>
      <c r="BA272" s="239">
        <v>-2199750</v>
      </c>
      <c r="BB272" s="239">
        <v>-1759800</v>
      </c>
      <c r="BC272" s="239">
        <v>-439950</v>
      </c>
      <c r="BD272" s="239">
        <v>0</v>
      </c>
      <c r="BE272" s="239">
        <v>-4399500</v>
      </c>
      <c r="BF272" s="239">
        <v>0</v>
      </c>
      <c r="BG272" s="239">
        <v>0</v>
      </c>
      <c r="BH272" s="239">
        <v>0</v>
      </c>
      <c r="BI272" s="239">
        <v>0</v>
      </c>
      <c r="BJ272" s="239">
        <v>0</v>
      </c>
      <c r="BK272" s="239">
        <v>246587</v>
      </c>
      <c r="BL272" s="239">
        <v>197269</v>
      </c>
      <c r="BM272" s="239">
        <v>49317</v>
      </c>
      <c r="BN272" s="239">
        <v>0</v>
      </c>
      <c r="BO272" s="239">
        <v>493173</v>
      </c>
      <c r="BP272" s="239">
        <v>-1953163</v>
      </c>
      <c r="BQ272" s="239">
        <v>-1562531</v>
      </c>
      <c r="BR272" s="239">
        <v>-390633</v>
      </c>
      <c r="BS272" s="239">
        <v>0</v>
      </c>
      <c r="BT272" s="239">
        <v>-3906327</v>
      </c>
      <c r="BU272" s="239">
        <v>-224866</v>
      </c>
      <c r="BV272" s="239">
        <v>-179893</v>
      </c>
      <c r="BW272" s="239">
        <v>-44973</v>
      </c>
      <c r="BX272" s="239">
        <v>0</v>
      </c>
      <c r="BY272" s="239">
        <v>-449732</v>
      </c>
      <c r="BZ272" s="239">
        <v>-438278</v>
      </c>
      <c r="CA272" s="239">
        <v>-350623</v>
      </c>
      <c r="CB272" s="239">
        <v>-87656</v>
      </c>
      <c r="CC272" s="239">
        <v>0</v>
      </c>
      <c r="CD272" s="239">
        <v>-876557</v>
      </c>
      <c r="CE272" s="239">
        <v>213412</v>
      </c>
      <c r="CF272" s="239">
        <v>170730</v>
      </c>
      <c r="CG272" s="239">
        <v>42683</v>
      </c>
      <c r="CH272" s="239">
        <v>0</v>
      </c>
      <c r="CI272" s="239">
        <v>426825</v>
      </c>
      <c r="CJ272" s="239">
        <v>17567787</v>
      </c>
      <c r="CK272" s="239">
        <v>14054230</v>
      </c>
      <c r="CL272" s="239">
        <v>3513558</v>
      </c>
      <c r="CM272" s="239">
        <v>0</v>
      </c>
      <c r="CN272" s="239">
        <v>35135575</v>
      </c>
      <c r="CO272" s="239">
        <v>19137835</v>
      </c>
      <c r="CP272" s="239">
        <v>15310268</v>
      </c>
      <c r="CQ272" s="239">
        <v>3827567</v>
      </c>
      <c r="CR272" s="239">
        <v>0</v>
      </c>
      <c r="CS272" s="239">
        <v>38275670</v>
      </c>
      <c r="CT272" s="239">
        <v>1570048</v>
      </c>
      <c r="CU272" s="239">
        <v>1256038</v>
      </c>
      <c r="CV272" s="239">
        <v>314009</v>
      </c>
      <c r="CW272" s="239">
        <v>0</v>
      </c>
      <c r="CX272" s="239">
        <v>3140095</v>
      </c>
      <c r="CY272" s="239">
        <v>1783460</v>
      </c>
      <c r="CZ272" s="239">
        <v>1426768</v>
      </c>
      <c r="DA272" s="239">
        <v>356692</v>
      </c>
      <c r="DB272" s="239">
        <v>0</v>
      </c>
      <c r="DC272" s="239">
        <v>3566920</v>
      </c>
      <c r="DD272" s="641">
        <v>0.5</v>
      </c>
      <c r="DE272" s="641">
        <v>0.4</v>
      </c>
      <c r="DF272" s="641">
        <v>0.1</v>
      </c>
      <c r="DG272" s="641">
        <v>0</v>
      </c>
      <c r="DH272" s="641">
        <v>1</v>
      </c>
      <c r="DI272" s="214" t="s">
        <v>1190</v>
      </c>
    </row>
    <row r="273" spans="2:113" s="214" customFormat="1" x14ac:dyDescent="0.2">
      <c r="B273" s="609" t="s">
        <v>628</v>
      </c>
      <c r="C273" s="609" t="s">
        <v>627</v>
      </c>
      <c r="D273" s="239">
        <v>25668462</v>
      </c>
      <c r="E273" s="239">
        <v>15401078</v>
      </c>
      <c r="F273" s="239">
        <v>10267385</v>
      </c>
      <c r="G273" s="239">
        <v>0</v>
      </c>
      <c r="H273" s="239">
        <v>51336925</v>
      </c>
      <c r="I273" s="239">
        <v>0</v>
      </c>
      <c r="J273" s="239">
        <v>0</v>
      </c>
      <c r="K273" s="239">
        <v>25668462</v>
      </c>
      <c r="L273" s="239">
        <v>200296</v>
      </c>
      <c r="M273" s="239">
        <v>200296</v>
      </c>
      <c r="N273" s="239">
        <v>0</v>
      </c>
      <c r="O273" s="239">
        <v>0</v>
      </c>
      <c r="P273" s="239">
        <v>0</v>
      </c>
      <c r="Q273" s="239">
        <v>0</v>
      </c>
      <c r="R273" s="239">
        <v>0</v>
      </c>
      <c r="S273" s="239">
        <v>0</v>
      </c>
      <c r="T273" s="239">
        <v>0</v>
      </c>
      <c r="U273" s="239">
        <v>0</v>
      </c>
      <c r="V273" s="239">
        <v>0</v>
      </c>
      <c r="W273" s="239">
        <v>1169116</v>
      </c>
      <c r="X273" s="239">
        <v>701469</v>
      </c>
      <c r="Y273" s="239">
        <v>467646</v>
      </c>
      <c r="Z273" s="239">
        <v>0</v>
      </c>
      <c r="AA273" s="239">
        <v>2338231</v>
      </c>
      <c r="AB273" s="239">
        <v>-471311</v>
      </c>
      <c r="AC273" s="239">
        <v>-282787</v>
      </c>
      <c r="AD273" s="239">
        <v>-188524</v>
      </c>
      <c r="AE273" s="239">
        <v>0</v>
      </c>
      <c r="AF273" s="239">
        <v>-942622</v>
      </c>
      <c r="AG273" s="239">
        <v>-402711</v>
      </c>
      <c r="AH273" s="239">
        <v>-241625</v>
      </c>
      <c r="AI273" s="239">
        <v>-161084</v>
      </c>
      <c r="AJ273" s="239">
        <v>0</v>
      </c>
      <c r="AK273" s="239">
        <v>-805420</v>
      </c>
      <c r="AL273" s="239">
        <v>163372</v>
      </c>
      <c r="AM273" s="239">
        <v>98024</v>
      </c>
      <c r="AN273" s="239">
        <v>65349</v>
      </c>
      <c r="AO273" s="239">
        <v>0</v>
      </c>
      <c r="AP273" s="239">
        <v>326745</v>
      </c>
      <c r="AQ273" s="239">
        <v>-169853</v>
      </c>
      <c r="AR273" s="239">
        <v>-101912</v>
      </c>
      <c r="AS273" s="239">
        <v>-67941</v>
      </c>
      <c r="AT273" s="239">
        <v>0</v>
      </c>
      <c r="AU273" s="239">
        <v>-339706</v>
      </c>
      <c r="AV273" s="239">
        <v>-409192</v>
      </c>
      <c r="AW273" s="239">
        <v>-245513</v>
      </c>
      <c r="AX273" s="239">
        <v>-163676</v>
      </c>
      <c r="AY273" s="239">
        <v>0</v>
      </c>
      <c r="AZ273" s="239">
        <v>-818381</v>
      </c>
      <c r="BA273" s="239">
        <v>-1189509</v>
      </c>
      <c r="BB273" s="239">
        <v>-713703</v>
      </c>
      <c r="BC273" s="239">
        <v>-475803</v>
      </c>
      <c r="BD273" s="239">
        <v>0</v>
      </c>
      <c r="BE273" s="239">
        <v>-2379015</v>
      </c>
      <c r="BF273" s="239">
        <v>1109754</v>
      </c>
      <c r="BG273" s="239">
        <v>665852</v>
      </c>
      <c r="BH273" s="239">
        <v>443901</v>
      </c>
      <c r="BI273" s="239">
        <v>0</v>
      </c>
      <c r="BJ273" s="239">
        <v>2219507</v>
      </c>
      <c r="BK273" s="239">
        <v>-770241</v>
      </c>
      <c r="BL273" s="239">
        <v>-462145</v>
      </c>
      <c r="BM273" s="239">
        <v>-308096</v>
      </c>
      <c r="BN273" s="239">
        <v>0</v>
      </c>
      <c r="BO273" s="239">
        <v>-1540482</v>
      </c>
      <c r="BP273" s="239">
        <v>-849996</v>
      </c>
      <c r="BQ273" s="239">
        <v>-509996</v>
      </c>
      <c r="BR273" s="239">
        <v>-339998</v>
      </c>
      <c r="BS273" s="239">
        <v>0</v>
      </c>
      <c r="BT273" s="239">
        <v>-1699990</v>
      </c>
      <c r="BU273" s="239">
        <v>-721691.40000000037</v>
      </c>
      <c r="BV273" s="239">
        <v>-433015</v>
      </c>
      <c r="BW273" s="239">
        <v>-288677</v>
      </c>
      <c r="BX273" s="239">
        <v>0</v>
      </c>
      <c r="BY273" s="239">
        <v>-1443383.4000000004</v>
      </c>
      <c r="BZ273" s="239">
        <v>361554</v>
      </c>
      <c r="CA273" s="239">
        <v>216932</v>
      </c>
      <c r="CB273" s="239">
        <v>144622</v>
      </c>
      <c r="CC273" s="239">
        <v>0</v>
      </c>
      <c r="CD273" s="239">
        <v>723108</v>
      </c>
      <c r="CE273" s="239">
        <v>-1083245.4000000004</v>
      </c>
      <c r="CF273" s="239">
        <v>-649947</v>
      </c>
      <c r="CG273" s="239">
        <v>-433299</v>
      </c>
      <c r="CH273" s="239">
        <v>0</v>
      </c>
      <c r="CI273" s="239">
        <v>-2166491.4000000004</v>
      </c>
      <c r="CJ273" s="239">
        <v>26108416</v>
      </c>
      <c r="CK273" s="239">
        <v>15665050</v>
      </c>
      <c r="CL273" s="239">
        <v>10443366</v>
      </c>
      <c r="CM273" s="239">
        <v>0</v>
      </c>
      <c r="CN273" s="239">
        <v>52216832</v>
      </c>
      <c r="CO273" s="239">
        <v>25668462</v>
      </c>
      <c r="CP273" s="239">
        <v>15401078</v>
      </c>
      <c r="CQ273" s="239">
        <v>10267385</v>
      </c>
      <c r="CR273" s="239">
        <v>0</v>
      </c>
      <c r="CS273" s="239">
        <v>51336925</v>
      </c>
      <c r="CT273" s="239">
        <v>-439954</v>
      </c>
      <c r="CU273" s="239">
        <v>-263972</v>
      </c>
      <c r="CV273" s="239">
        <v>-175981</v>
      </c>
      <c r="CW273" s="239">
        <v>0</v>
      </c>
      <c r="CX273" s="239">
        <v>-879907</v>
      </c>
      <c r="CY273" s="239">
        <v>-1523199.4000000004</v>
      </c>
      <c r="CZ273" s="239">
        <v>-913919</v>
      </c>
      <c r="DA273" s="239">
        <v>-609280</v>
      </c>
      <c r="DB273" s="239">
        <v>0</v>
      </c>
      <c r="DC273" s="239">
        <v>-3046398.4000000004</v>
      </c>
      <c r="DD273" s="641">
        <v>0.5</v>
      </c>
      <c r="DE273" s="641">
        <v>0.3</v>
      </c>
      <c r="DF273" s="641">
        <v>0.2</v>
      </c>
      <c r="DG273" s="641">
        <v>0</v>
      </c>
      <c r="DH273" s="641">
        <v>1</v>
      </c>
      <c r="DI273" s="214" t="s">
        <v>1191</v>
      </c>
    </row>
    <row r="274" spans="2:113" s="214" customFormat="1" x14ac:dyDescent="0.2">
      <c r="B274" s="609" t="s">
        <v>630</v>
      </c>
      <c r="C274" s="609" t="s">
        <v>629</v>
      </c>
      <c r="D274" s="239">
        <v>22887651</v>
      </c>
      <c r="E274" s="239">
        <v>18310120</v>
      </c>
      <c r="F274" s="239">
        <v>4119777</v>
      </c>
      <c r="G274" s="239">
        <v>457753</v>
      </c>
      <c r="H274" s="239">
        <v>45775301</v>
      </c>
      <c r="I274" s="239">
        <v>0</v>
      </c>
      <c r="J274" s="239">
        <v>0</v>
      </c>
      <c r="K274" s="239">
        <v>22887651</v>
      </c>
      <c r="L274" s="239">
        <v>183983</v>
      </c>
      <c r="M274" s="239">
        <v>183983</v>
      </c>
      <c r="N274" s="239">
        <v>0</v>
      </c>
      <c r="O274" s="239">
        <v>0</v>
      </c>
      <c r="P274" s="239">
        <v>339497</v>
      </c>
      <c r="Q274" s="239">
        <v>715680</v>
      </c>
      <c r="R274" s="239">
        <v>1055177</v>
      </c>
      <c r="S274" s="239">
        <v>0</v>
      </c>
      <c r="T274" s="239">
        <v>0</v>
      </c>
      <c r="U274" s="239">
        <v>0</v>
      </c>
      <c r="V274" s="239">
        <v>0</v>
      </c>
      <c r="W274" s="239">
        <v>478897</v>
      </c>
      <c r="X274" s="239">
        <v>383117</v>
      </c>
      <c r="Y274" s="239">
        <v>86201</v>
      </c>
      <c r="Z274" s="239">
        <v>9578</v>
      </c>
      <c r="AA274" s="239">
        <v>957793</v>
      </c>
      <c r="AB274" s="239">
        <v>-381208</v>
      </c>
      <c r="AC274" s="239">
        <v>-304966</v>
      </c>
      <c r="AD274" s="239">
        <v>-68617</v>
      </c>
      <c r="AE274" s="239">
        <v>-7624</v>
      </c>
      <c r="AF274" s="239">
        <v>-762415</v>
      </c>
      <c r="AG274" s="239">
        <v>-414384</v>
      </c>
      <c r="AH274" s="239">
        <v>-331506</v>
      </c>
      <c r="AI274" s="239">
        <v>-74590</v>
      </c>
      <c r="AJ274" s="239">
        <v>-8287</v>
      </c>
      <c r="AK274" s="239">
        <v>-828767</v>
      </c>
      <c r="AL274" s="239">
        <v>44325</v>
      </c>
      <c r="AM274" s="239">
        <v>35461</v>
      </c>
      <c r="AN274" s="239">
        <v>7979</v>
      </c>
      <c r="AO274" s="239">
        <v>887</v>
      </c>
      <c r="AP274" s="239">
        <v>88652</v>
      </c>
      <c r="AQ274" s="239">
        <v>-187061</v>
      </c>
      <c r="AR274" s="239">
        <v>-149648</v>
      </c>
      <c r="AS274" s="239">
        <v>-33671</v>
      </c>
      <c r="AT274" s="239">
        <v>-3741</v>
      </c>
      <c r="AU274" s="239">
        <v>-374121</v>
      </c>
      <c r="AV274" s="239">
        <v>-557120</v>
      </c>
      <c r="AW274" s="239">
        <v>-445693</v>
      </c>
      <c r="AX274" s="239">
        <v>-100282</v>
      </c>
      <c r="AY274" s="239">
        <v>-11141</v>
      </c>
      <c r="AZ274" s="239">
        <v>-1114236</v>
      </c>
      <c r="BA274" s="239">
        <v>-4047807.3</v>
      </c>
      <c r="BB274" s="239">
        <v>-3238248</v>
      </c>
      <c r="BC274" s="239">
        <v>-728605</v>
      </c>
      <c r="BD274" s="239">
        <v>-80956</v>
      </c>
      <c r="BE274" s="239">
        <v>-8095616.2999999998</v>
      </c>
      <c r="BF274" s="239">
        <v>426795</v>
      </c>
      <c r="BG274" s="239">
        <v>341436</v>
      </c>
      <c r="BH274" s="239">
        <v>76823</v>
      </c>
      <c r="BI274" s="239">
        <v>8536</v>
      </c>
      <c r="BJ274" s="239">
        <v>853590</v>
      </c>
      <c r="BK274" s="239">
        <v>-259176</v>
      </c>
      <c r="BL274" s="239">
        <v>-207341</v>
      </c>
      <c r="BM274" s="239">
        <v>-46652</v>
      </c>
      <c r="BN274" s="239">
        <v>-5184</v>
      </c>
      <c r="BO274" s="239">
        <v>-518353</v>
      </c>
      <c r="BP274" s="239">
        <v>-3880188.3</v>
      </c>
      <c r="BQ274" s="239">
        <v>-3104153</v>
      </c>
      <c r="BR274" s="239">
        <v>-698434</v>
      </c>
      <c r="BS274" s="239">
        <v>-77604</v>
      </c>
      <c r="BT274" s="239">
        <v>-7760379.2999999998</v>
      </c>
      <c r="BU274" s="239">
        <v>-1300457</v>
      </c>
      <c r="BV274" s="239">
        <v>-1040366</v>
      </c>
      <c r="BW274" s="239">
        <v>-234082</v>
      </c>
      <c r="BX274" s="239">
        <v>-26009</v>
      </c>
      <c r="BY274" s="239">
        <v>-2600914</v>
      </c>
      <c r="BZ274" s="239">
        <v>-1684463</v>
      </c>
      <c r="CA274" s="239">
        <v>-1347570</v>
      </c>
      <c r="CB274" s="239">
        <v>-303203</v>
      </c>
      <c r="CC274" s="239">
        <v>-33689</v>
      </c>
      <c r="CD274" s="239">
        <v>-3368925</v>
      </c>
      <c r="CE274" s="239">
        <v>384006</v>
      </c>
      <c r="CF274" s="239">
        <v>307204</v>
      </c>
      <c r="CG274" s="239">
        <v>69121</v>
      </c>
      <c r="CH274" s="239">
        <v>7680</v>
      </c>
      <c r="CI274" s="239">
        <v>768011</v>
      </c>
      <c r="CJ274" s="239">
        <v>22049819</v>
      </c>
      <c r="CK274" s="239">
        <v>17639856</v>
      </c>
      <c r="CL274" s="239">
        <v>3968968</v>
      </c>
      <c r="CM274" s="239">
        <v>440996</v>
      </c>
      <c r="CN274" s="239">
        <v>44099639</v>
      </c>
      <c r="CO274" s="239">
        <v>22887651</v>
      </c>
      <c r="CP274" s="239">
        <v>18310120</v>
      </c>
      <c r="CQ274" s="239">
        <v>4119777</v>
      </c>
      <c r="CR274" s="239">
        <v>457753</v>
      </c>
      <c r="CS274" s="239">
        <v>45775301</v>
      </c>
      <c r="CT274" s="239">
        <v>837832</v>
      </c>
      <c r="CU274" s="239">
        <v>670264</v>
      </c>
      <c r="CV274" s="239">
        <v>150809</v>
      </c>
      <c r="CW274" s="239">
        <v>16757</v>
      </c>
      <c r="CX274" s="239">
        <v>1675662</v>
      </c>
      <c r="CY274" s="239">
        <v>1221838</v>
      </c>
      <c r="CZ274" s="239">
        <v>977468</v>
      </c>
      <c r="DA274" s="239">
        <v>219930</v>
      </c>
      <c r="DB274" s="239">
        <v>24437</v>
      </c>
      <c r="DC274" s="239">
        <v>2443673</v>
      </c>
      <c r="DD274" s="641">
        <v>0.5</v>
      </c>
      <c r="DE274" s="641">
        <v>0.4</v>
      </c>
      <c r="DF274" s="641">
        <v>0.09</v>
      </c>
      <c r="DG274" s="641">
        <v>0.01</v>
      </c>
      <c r="DH274" s="641">
        <v>1</v>
      </c>
      <c r="DI274" s="214" t="s">
        <v>1190</v>
      </c>
    </row>
    <row r="275" spans="2:113" s="214" customFormat="1" x14ac:dyDescent="0.2">
      <c r="B275" s="609" t="s">
        <v>632</v>
      </c>
      <c r="C275" s="609" t="s">
        <v>631</v>
      </c>
      <c r="D275" s="239">
        <v>53517428</v>
      </c>
      <c r="E275" s="239">
        <v>52447079</v>
      </c>
      <c r="F275" s="239">
        <v>0</v>
      </c>
      <c r="G275" s="239">
        <v>1070349</v>
      </c>
      <c r="H275" s="239">
        <v>107034856</v>
      </c>
      <c r="I275" s="239">
        <v>0</v>
      </c>
      <c r="J275" s="239">
        <v>0</v>
      </c>
      <c r="K275" s="239">
        <v>53517428</v>
      </c>
      <c r="L275" s="239">
        <v>276655</v>
      </c>
      <c r="M275" s="239">
        <v>276655</v>
      </c>
      <c r="N275" s="239">
        <v>0</v>
      </c>
      <c r="O275" s="239">
        <v>0</v>
      </c>
      <c r="P275" s="239">
        <v>650951</v>
      </c>
      <c r="Q275" s="239">
        <v>0</v>
      </c>
      <c r="R275" s="239">
        <v>650951</v>
      </c>
      <c r="S275" s="239">
        <v>0</v>
      </c>
      <c r="T275" s="239">
        <v>0</v>
      </c>
      <c r="U275" s="239">
        <v>0</v>
      </c>
      <c r="V275" s="239">
        <v>0</v>
      </c>
      <c r="W275" s="239">
        <v>2097214</v>
      </c>
      <c r="X275" s="239">
        <v>2055270</v>
      </c>
      <c r="Y275" s="239">
        <v>0</v>
      </c>
      <c r="Z275" s="239">
        <v>41944</v>
      </c>
      <c r="AA275" s="239">
        <v>4194428</v>
      </c>
      <c r="AB275" s="239">
        <v>-151130</v>
      </c>
      <c r="AC275" s="239">
        <v>-148107</v>
      </c>
      <c r="AD275" s="239">
        <v>0</v>
      </c>
      <c r="AE275" s="239">
        <v>-3023</v>
      </c>
      <c r="AF275" s="239">
        <v>-302260</v>
      </c>
      <c r="AG275" s="239">
        <v>-637384</v>
      </c>
      <c r="AH275" s="239">
        <v>-624635</v>
      </c>
      <c r="AI275" s="239">
        <v>0</v>
      </c>
      <c r="AJ275" s="239">
        <v>-12746</v>
      </c>
      <c r="AK275" s="239">
        <v>-1274765</v>
      </c>
      <c r="AL275" s="239">
        <v>537626</v>
      </c>
      <c r="AM275" s="239">
        <v>526873</v>
      </c>
      <c r="AN275" s="239">
        <v>0</v>
      </c>
      <c r="AO275" s="239">
        <v>10753</v>
      </c>
      <c r="AP275" s="239">
        <v>1075252</v>
      </c>
      <c r="AQ275" s="239">
        <v>-604577</v>
      </c>
      <c r="AR275" s="239">
        <v>-592486</v>
      </c>
      <c r="AS275" s="239">
        <v>0</v>
      </c>
      <c r="AT275" s="239">
        <v>-12092</v>
      </c>
      <c r="AU275" s="239">
        <v>-1209155</v>
      </c>
      <c r="AV275" s="239">
        <v>-704335</v>
      </c>
      <c r="AW275" s="239">
        <v>-690248</v>
      </c>
      <c r="AX275" s="239">
        <v>0</v>
      </c>
      <c r="AY275" s="239">
        <v>-14085</v>
      </c>
      <c r="AZ275" s="239">
        <v>-1408668</v>
      </c>
      <c r="BA275" s="239">
        <v>-5072872</v>
      </c>
      <c r="BB275" s="239">
        <v>-4971415</v>
      </c>
      <c r="BC275" s="239">
        <v>0</v>
      </c>
      <c r="BD275" s="239">
        <v>-101459</v>
      </c>
      <c r="BE275" s="239">
        <v>-10145746</v>
      </c>
      <c r="BF275" s="239">
        <v>2557733</v>
      </c>
      <c r="BG275" s="239">
        <v>2506578</v>
      </c>
      <c r="BH275" s="239">
        <v>0</v>
      </c>
      <c r="BI275" s="239">
        <v>51155</v>
      </c>
      <c r="BJ275" s="239">
        <v>5115466</v>
      </c>
      <c r="BK275" s="239">
        <v>-2574513</v>
      </c>
      <c r="BL275" s="239">
        <v>-2523023</v>
      </c>
      <c r="BM275" s="239">
        <v>0</v>
      </c>
      <c r="BN275" s="239">
        <v>-51490</v>
      </c>
      <c r="BO275" s="239">
        <v>-5149026</v>
      </c>
      <c r="BP275" s="239">
        <v>-5089652</v>
      </c>
      <c r="BQ275" s="239">
        <v>-4987860</v>
      </c>
      <c r="BR275" s="239">
        <v>0</v>
      </c>
      <c r="BS275" s="239">
        <v>-101794</v>
      </c>
      <c r="BT275" s="239">
        <v>-10179306</v>
      </c>
      <c r="BU275" s="239">
        <v>-47878</v>
      </c>
      <c r="BV275" s="239">
        <v>-46921</v>
      </c>
      <c r="BW275" s="239">
        <v>0</v>
      </c>
      <c r="BX275" s="239">
        <v>-958</v>
      </c>
      <c r="BY275" s="239">
        <v>-95757</v>
      </c>
      <c r="BZ275" s="239">
        <v>-259926</v>
      </c>
      <c r="CA275" s="239">
        <v>-254728</v>
      </c>
      <c r="CB275" s="239">
        <v>0</v>
      </c>
      <c r="CC275" s="239">
        <v>-5199</v>
      </c>
      <c r="CD275" s="239">
        <v>-519853</v>
      </c>
      <c r="CE275" s="239">
        <v>212048</v>
      </c>
      <c r="CF275" s="239">
        <v>207807</v>
      </c>
      <c r="CG275" s="239">
        <v>0</v>
      </c>
      <c r="CH275" s="239">
        <v>4241</v>
      </c>
      <c r="CI275" s="239">
        <v>424096</v>
      </c>
      <c r="CJ275" s="239">
        <v>53608389</v>
      </c>
      <c r="CK275" s="239">
        <v>52536221</v>
      </c>
      <c r="CL275" s="239">
        <v>0</v>
      </c>
      <c r="CM275" s="239">
        <v>1072168</v>
      </c>
      <c r="CN275" s="239">
        <v>107216778</v>
      </c>
      <c r="CO275" s="239">
        <v>53517428</v>
      </c>
      <c r="CP275" s="239">
        <v>52447079</v>
      </c>
      <c r="CQ275" s="239">
        <v>0</v>
      </c>
      <c r="CR275" s="239">
        <v>1070349</v>
      </c>
      <c r="CS275" s="239">
        <v>107034856</v>
      </c>
      <c r="CT275" s="239">
        <v>-90961</v>
      </c>
      <c r="CU275" s="239">
        <v>-89142</v>
      </c>
      <c r="CV275" s="239">
        <v>0</v>
      </c>
      <c r="CW275" s="239">
        <v>-1819</v>
      </c>
      <c r="CX275" s="239">
        <v>-181922</v>
      </c>
      <c r="CY275" s="239">
        <v>121087</v>
      </c>
      <c r="CZ275" s="239">
        <v>118665</v>
      </c>
      <c r="DA275" s="239">
        <v>0</v>
      </c>
      <c r="DB275" s="239">
        <v>2422</v>
      </c>
      <c r="DC275" s="239">
        <v>242174</v>
      </c>
      <c r="DD275" s="641">
        <v>0.5</v>
      </c>
      <c r="DE275" s="641">
        <v>0.49</v>
      </c>
      <c r="DF275" s="641">
        <v>0</v>
      </c>
      <c r="DG275" s="641">
        <v>0.01</v>
      </c>
      <c r="DH275" s="641">
        <v>1</v>
      </c>
      <c r="DI275" s="214" t="s">
        <v>747</v>
      </c>
    </row>
    <row r="276" spans="2:113" s="214" customFormat="1" x14ac:dyDescent="0.2">
      <c r="B276" s="609" t="s">
        <v>634</v>
      </c>
      <c r="C276" s="609" t="s">
        <v>633</v>
      </c>
      <c r="D276" s="239">
        <v>27655526</v>
      </c>
      <c r="E276" s="239">
        <v>27102415</v>
      </c>
      <c r="F276" s="239">
        <v>0</v>
      </c>
      <c r="G276" s="239">
        <v>553111</v>
      </c>
      <c r="H276" s="239">
        <v>55311052</v>
      </c>
      <c r="I276" s="239">
        <v>0</v>
      </c>
      <c r="J276" s="239">
        <v>0</v>
      </c>
      <c r="K276" s="239">
        <v>27655526</v>
      </c>
      <c r="L276" s="239">
        <v>300706</v>
      </c>
      <c r="M276" s="239">
        <v>300706</v>
      </c>
      <c r="N276" s="239">
        <v>0</v>
      </c>
      <c r="O276" s="239">
        <v>0</v>
      </c>
      <c r="P276" s="239">
        <v>0</v>
      </c>
      <c r="Q276" s="239">
        <v>0</v>
      </c>
      <c r="R276" s="239">
        <v>0</v>
      </c>
      <c r="S276" s="239">
        <v>0</v>
      </c>
      <c r="T276" s="239">
        <v>0</v>
      </c>
      <c r="U276" s="239">
        <v>0</v>
      </c>
      <c r="V276" s="239">
        <v>0</v>
      </c>
      <c r="W276" s="239">
        <v>3096342</v>
      </c>
      <c r="X276" s="239">
        <v>3034415</v>
      </c>
      <c r="Y276" s="239">
        <v>0</v>
      </c>
      <c r="Z276" s="239">
        <v>61927</v>
      </c>
      <c r="AA276" s="239">
        <v>6192684</v>
      </c>
      <c r="AB276" s="239">
        <v>-880831</v>
      </c>
      <c r="AC276" s="239">
        <v>-863214</v>
      </c>
      <c r="AD276" s="239">
        <v>0</v>
      </c>
      <c r="AE276" s="239">
        <v>-17617</v>
      </c>
      <c r="AF276" s="239">
        <v>-1761662</v>
      </c>
      <c r="AG276" s="239">
        <v>-1859903.9</v>
      </c>
      <c r="AH276" s="239">
        <v>-1822707</v>
      </c>
      <c r="AI276" s="239">
        <v>0</v>
      </c>
      <c r="AJ276" s="239">
        <v>-37198</v>
      </c>
      <c r="AK276" s="239">
        <v>-3719808.9</v>
      </c>
      <c r="AL276" s="239">
        <v>807985</v>
      </c>
      <c r="AM276" s="239">
        <v>791826</v>
      </c>
      <c r="AN276" s="239">
        <v>0</v>
      </c>
      <c r="AO276" s="239">
        <v>16160</v>
      </c>
      <c r="AP276" s="239">
        <v>1615971</v>
      </c>
      <c r="AQ276" s="239">
        <v>-513627</v>
      </c>
      <c r="AR276" s="239">
        <v>-503355</v>
      </c>
      <c r="AS276" s="239">
        <v>0</v>
      </c>
      <c r="AT276" s="239">
        <v>-10273</v>
      </c>
      <c r="AU276" s="239">
        <v>-1027255</v>
      </c>
      <c r="AV276" s="239">
        <v>-1565545.9</v>
      </c>
      <c r="AW276" s="239">
        <v>-1534236</v>
      </c>
      <c r="AX276" s="239">
        <v>0</v>
      </c>
      <c r="AY276" s="239">
        <v>-31311</v>
      </c>
      <c r="AZ276" s="239">
        <v>-3131092.9</v>
      </c>
      <c r="BA276" s="239">
        <v>-2975967</v>
      </c>
      <c r="BB276" s="239">
        <v>-2916448</v>
      </c>
      <c r="BC276" s="239">
        <v>0</v>
      </c>
      <c r="BD276" s="239">
        <v>-59519</v>
      </c>
      <c r="BE276" s="239">
        <v>-5951934</v>
      </c>
      <c r="BF276" s="239">
        <v>1715669</v>
      </c>
      <c r="BG276" s="239">
        <v>1681356</v>
      </c>
      <c r="BH276" s="239">
        <v>0</v>
      </c>
      <c r="BI276" s="239">
        <v>34313</v>
      </c>
      <c r="BJ276" s="239">
        <v>3431338</v>
      </c>
      <c r="BK276" s="239">
        <v>-2609924</v>
      </c>
      <c r="BL276" s="239">
        <v>-2557727</v>
      </c>
      <c r="BM276" s="239">
        <v>0</v>
      </c>
      <c r="BN276" s="239">
        <v>-52199</v>
      </c>
      <c r="BO276" s="239">
        <v>-5219850</v>
      </c>
      <c r="BP276" s="239">
        <v>-3870222</v>
      </c>
      <c r="BQ276" s="239">
        <v>-3792819</v>
      </c>
      <c r="BR276" s="239">
        <v>0</v>
      </c>
      <c r="BS276" s="239">
        <v>-77405</v>
      </c>
      <c r="BT276" s="239">
        <v>-7740446</v>
      </c>
      <c r="BU276" s="239">
        <v>-1184628</v>
      </c>
      <c r="BV276" s="239">
        <v>-1160936</v>
      </c>
      <c r="BW276" s="239">
        <v>0</v>
      </c>
      <c r="BX276" s="239">
        <v>-23693</v>
      </c>
      <c r="BY276" s="239">
        <v>-2369257</v>
      </c>
      <c r="BZ276" s="239">
        <v>516710</v>
      </c>
      <c r="CA276" s="239">
        <v>506376</v>
      </c>
      <c r="CB276" s="239">
        <v>0</v>
      </c>
      <c r="CC276" s="239">
        <v>10334</v>
      </c>
      <c r="CD276" s="239">
        <v>1033420</v>
      </c>
      <c r="CE276" s="239">
        <v>-1701338</v>
      </c>
      <c r="CF276" s="239">
        <v>-1667312</v>
      </c>
      <c r="CG276" s="239">
        <v>0</v>
      </c>
      <c r="CH276" s="239">
        <v>-34027</v>
      </c>
      <c r="CI276" s="239">
        <v>-3402677</v>
      </c>
      <c r="CJ276" s="239">
        <v>29284023</v>
      </c>
      <c r="CK276" s="239">
        <v>28698343</v>
      </c>
      <c r="CL276" s="239">
        <v>0</v>
      </c>
      <c r="CM276" s="239">
        <v>585680</v>
      </c>
      <c r="CN276" s="239">
        <v>58568046</v>
      </c>
      <c r="CO276" s="239">
        <v>27655526</v>
      </c>
      <c r="CP276" s="239">
        <v>27102415</v>
      </c>
      <c r="CQ276" s="239">
        <v>0</v>
      </c>
      <c r="CR276" s="239">
        <v>553111</v>
      </c>
      <c r="CS276" s="239">
        <v>55311052</v>
      </c>
      <c r="CT276" s="239">
        <v>-1628497</v>
      </c>
      <c r="CU276" s="239">
        <v>-1595928</v>
      </c>
      <c r="CV276" s="239">
        <v>0</v>
      </c>
      <c r="CW276" s="239">
        <v>-32569</v>
      </c>
      <c r="CX276" s="239">
        <v>-3256994</v>
      </c>
      <c r="CY276" s="239">
        <v>-3329835</v>
      </c>
      <c r="CZ276" s="239">
        <v>-3263240</v>
      </c>
      <c r="DA276" s="239">
        <v>0</v>
      </c>
      <c r="DB276" s="239">
        <v>-66596</v>
      </c>
      <c r="DC276" s="239">
        <v>-6659671</v>
      </c>
      <c r="DD276" s="641">
        <v>0.5</v>
      </c>
      <c r="DE276" s="641">
        <v>0.49</v>
      </c>
      <c r="DF276" s="641">
        <v>0</v>
      </c>
      <c r="DG276" s="641">
        <v>0.01</v>
      </c>
      <c r="DH276" s="641">
        <v>1</v>
      </c>
      <c r="DI276" s="214" t="s">
        <v>1192</v>
      </c>
    </row>
    <row r="277" spans="2:113" s="214" customFormat="1" x14ac:dyDescent="0.2">
      <c r="B277" s="609" t="s">
        <v>636</v>
      </c>
      <c r="C277" s="609" t="s">
        <v>635</v>
      </c>
      <c r="D277" s="239">
        <v>17170494</v>
      </c>
      <c r="E277" s="239">
        <v>13736396</v>
      </c>
      <c r="F277" s="239">
        <v>3090689</v>
      </c>
      <c r="G277" s="239">
        <v>343410</v>
      </c>
      <c r="H277" s="239">
        <v>34340989</v>
      </c>
      <c r="I277" s="239">
        <v>0</v>
      </c>
      <c r="J277" s="239">
        <v>0</v>
      </c>
      <c r="K277" s="239">
        <v>17170494</v>
      </c>
      <c r="L277" s="239">
        <v>91702</v>
      </c>
      <c r="M277" s="239">
        <v>91702</v>
      </c>
      <c r="N277" s="239">
        <v>0</v>
      </c>
      <c r="O277" s="239">
        <v>0</v>
      </c>
      <c r="P277" s="239">
        <v>0</v>
      </c>
      <c r="Q277" s="239">
        <v>0</v>
      </c>
      <c r="R277" s="239">
        <v>0</v>
      </c>
      <c r="S277" s="239">
        <v>0</v>
      </c>
      <c r="T277" s="239">
        <v>0</v>
      </c>
      <c r="U277" s="239">
        <v>0</v>
      </c>
      <c r="V277" s="239">
        <v>0</v>
      </c>
      <c r="W277" s="239">
        <v>561886</v>
      </c>
      <c r="X277" s="239">
        <v>449509</v>
      </c>
      <c r="Y277" s="239">
        <v>101140</v>
      </c>
      <c r="Z277" s="239">
        <v>11238</v>
      </c>
      <c r="AA277" s="239">
        <v>1123773</v>
      </c>
      <c r="AB277" s="239">
        <v>-507241</v>
      </c>
      <c r="AC277" s="239">
        <v>-405794</v>
      </c>
      <c r="AD277" s="239">
        <v>-91304</v>
      </c>
      <c r="AE277" s="239">
        <v>-10145</v>
      </c>
      <c r="AF277" s="239">
        <v>-1014484</v>
      </c>
      <c r="AG277" s="239">
        <v>-525896.76</v>
      </c>
      <c r="AH277" s="239">
        <v>-420716</v>
      </c>
      <c r="AI277" s="239">
        <v>-94661</v>
      </c>
      <c r="AJ277" s="239">
        <v>-10517</v>
      </c>
      <c r="AK277" s="239">
        <v>-1051790.76</v>
      </c>
      <c r="AL277" s="239">
        <v>85556</v>
      </c>
      <c r="AM277" s="239">
        <v>68444</v>
      </c>
      <c r="AN277" s="239">
        <v>15400</v>
      </c>
      <c r="AO277" s="239">
        <v>1711</v>
      </c>
      <c r="AP277" s="239">
        <v>171111</v>
      </c>
      <c r="AQ277" s="239">
        <v>-73075</v>
      </c>
      <c r="AR277" s="239">
        <v>-58459</v>
      </c>
      <c r="AS277" s="239">
        <v>-13153</v>
      </c>
      <c r="AT277" s="239">
        <v>-1461</v>
      </c>
      <c r="AU277" s="239">
        <v>-146148</v>
      </c>
      <c r="AV277" s="239">
        <v>-513415.76</v>
      </c>
      <c r="AW277" s="239">
        <v>-410731</v>
      </c>
      <c r="AX277" s="239">
        <v>-92414</v>
      </c>
      <c r="AY277" s="239">
        <v>-10267</v>
      </c>
      <c r="AZ277" s="239">
        <v>-1026827.76</v>
      </c>
      <c r="BA277" s="239">
        <v>-2159991</v>
      </c>
      <c r="BB277" s="239">
        <v>-1727993</v>
      </c>
      <c r="BC277" s="239">
        <v>-388798</v>
      </c>
      <c r="BD277" s="239">
        <v>-43199</v>
      </c>
      <c r="BE277" s="239">
        <v>-4319981</v>
      </c>
      <c r="BF277" s="239">
        <v>391806</v>
      </c>
      <c r="BG277" s="239">
        <v>313444</v>
      </c>
      <c r="BH277" s="239">
        <v>70525</v>
      </c>
      <c r="BI277" s="239">
        <v>7836</v>
      </c>
      <c r="BJ277" s="239">
        <v>783611</v>
      </c>
      <c r="BK277" s="239">
        <v>-603107</v>
      </c>
      <c r="BL277" s="239">
        <v>-482486</v>
      </c>
      <c r="BM277" s="239">
        <v>-108559</v>
      </c>
      <c r="BN277" s="239">
        <v>-12062</v>
      </c>
      <c r="BO277" s="239">
        <v>-1206214</v>
      </c>
      <c r="BP277" s="239">
        <v>-2371292</v>
      </c>
      <c r="BQ277" s="239">
        <v>-1897035</v>
      </c>
      <c r="BR277" s="239">
        <v>-426832</v>
      </c>
      <c r="BS277" s="239">
        <v>-47425</v>
      </c>
      <c r="BT277" s="239">
        <v>-4742584</v>
      </c>
      <c r="BU277" s="239">
        <v>-886325</v>
      </c>
      <c r="BV277" s="239">
        <v>-709059</v>
      </c>
      <c r="BW277" s="239">
        <v>-159538</v>
      </c>
      <c r="BX277" s="239">
        <v>-17726</v>
      </c>
      <c r="BY277" s="239">
        <v>-1772648</v>
      </c>
      <c r="BZ277" s="239">
        <v>-700030</v>
      </c>
      <c r="CA277" s="239">
        <v>-560025</v>
      </c>
      <c r="CB277" s="239">
        <v>-126006</v>
      </c>
      <c r="CC277" s="239">
        <v>-14001</v>
      </c>
      <c r="CD277" s="239">
        <v>-1400062</v>
      </c>
      <c r="CE277" s="239">
        <v>-186295</v>
      </c>
      <c r="CF277" s="239">
        <v>-149034</v>
      </c>
      <c r="CG277" s="239">
        <v>-33532</v>
      </c>
      <c r="CH277" s="239">
        <v>-3725</v>
      </c>
      <c r="CI277" s="239">
        <v>-372586</v>
      </c>
      <c r="CJ277" s="239">
        <v>16577837</v>
      </c>
      <c r="CK277" s="239">
        <v>13262270</v>
      </c>
      <c r="CL277" s="239">
        <v>2984011</v>
      </c>
      <c r="CM277" s="239">
        <v>331557</v>
      </c>
      <c r="CN277" s="239">
        <v>33155675</v>
      </c>
      <c r="CO277" s="239">
        <v>17170494</v>
      </c>
      <c r="CP277" s="239">
        <v>13736396</v>
      </c>
      <c r="CQ277" s="239">
        <v>3090689</v>
      </c>
      <c r="CR277" s="239">
        <v>343410</v>
      </c>
      <c r="CS277" s="239">
        <v>34340989</v>
      </c>
      <c r="CT277" s="239">
        <v>592657</v>
      </c>
      <c r="CU277" s="239">
        <v>474126</v>
      </c>
      <c r="CV277" s="239">
        <v>106678</v>
      </c>
      <c r="CW277" s="239">
        <v>11853</v>
      </c>
      <c r="CX277" s="239">
        <v>1185314</v>
      </c>
      <c r="CY277" s="239">
        <v>406362</v>
      </c>
      <c r="CZ277" s="239">
        <v>325092</v>
      </c>
      <c r="DA277" s="239">
        <v>73146</v>
      </c>
      <c r="DB277" s="239">
        <v>8128</v>
      </c>
      <c r="DC277" s="239">
        <v>812728</v>
      </c>
      <c r="DD277" s="641">
        <v>0.5</v>
      </c>
      <c r="DE277" s="641">
        <v>0.4</v>
      </c>
      <c r="DF277" s="641">
        <v>0.09</v>
      </c>
      <c r="DG277" s="641">
        <v>0.01</v>
      </c>
      <c r="DH277" s="641">
        <v>1</v>
      </c>
      <c r="DI277" s="214" t="s">
        <v>1190</v>
      </c>
    </row>
    <row r="278" spans="2:113" s="214" customFormat="1" x14ac:dyDescent="0.2">
      <c r="B278" s="609" t="s">
        <v>638</v>
      </c>
      <c r="C278" s="609" t="s">
        <v>637</v>
      </c>
      <c r="D278" s="239">
        <v>8807207</v>
      </c>
      <c r="E278" s="239">
        <v>7045766</v>
      </c>
      <c r="F278" s="239">
        <v>1761442</v>
      </c>
      <c r="G278" s="239">
        <v>0</v>
      </c>
      <c r="H278" s="239">
        <v>17614415</v>
      </c>
      <c r="I278" s="239">
        <v>0</v>
      </c>
      <c r="J278" s="239">
        <v>0</v>
      </c>
      <c r="K278" s="239">
        <v>8807207</v>
      </c>
      <c r="L278" s="239">
        <v>125449</v>
      </c>
      <c r="M278" s="239">
        <v>125449</v>
      </c>
      <c r="N278" s="239">
        <v>0</v>
      </c>
      <c r="O278" s="239">
        <v>0</v>
      </c>
      <c r="P278" s="239">
        <v>0</v>
      </c>
      <c r="Q278" s="239">
        <v>0</v>
      </c>
      <c r="R278" s="239">
        <v>0</v>
      </c>
      <c r="S278" s="239">
        <v>0</v>
      </c>
      <c r="T278" s="239">
        <v>0</v>
      </c>
      <c r="U278" s="239">
        <v>0</v>
      </c>
      <c r="V278" s="239">
        <v>0</v>
      </c>
      <c r="W278" s="239">
        <v>137919</v>
      </c>
      <c r="X278" s="239">
        <v>110336</v>
      </c>
      <c r="Y278" s="239">
        <v>27584</v>
      </c>
      <c r="Z278" s="239">
        <v>0</v>
      </c>
      <c r="AA278" s="239">
        <v>275839</v>
      </c>
      <c r="AB278" s="239">
        <v>-90238</v>
      </c>
      <c r="AC278" s="239">
        <v>-72190</v>
      </c>
      <c r="AD278" s="239">
        <v>-18048</v>
      </c>
      <c r="AE278" s="239">
        <v>0</v>
      </c>
      <c r="AF278" s="239">
        <v>-180476</v>
      </c>
      <c r="AG278" s="239">
        <v>-61672</v>
      </c>
      <c r="AH278" s="239">
        <v>-49338</v>
      </c>
      <c r="AI278" s="239">
        <v>-12334</v>
      </c>
      <c r="AJ278" s="239">
        <v>0</v>
      </c>
      <c r="AK278" s="239">
        <v>-123344</v>
      </c>
      <c r="AL278" s="239">
        <v>19479</v>
      </c>
      <c r="AM278" s="239">
        <v>15584</v>
      </c>
      <c r="AN278" s="239">
        <v>3896</v>
      </c>
      <c r="AO278" s="239">
        <v>0</v>
      </c>
      <c r="AP278" s="239">
        <v>38959</v>
      </c>
      <c r="AQ278" s="239">
        <v>-3514</v>
      </c>
      <c r="AR278" s="239">
        <v>-2811</v>
      </c>
      <c r="AS278" s="239">
        <v>-703</v>
      </c>
      <c r="AT278" s="239">
        <v>0</v>
      </c>
      <c r="AU278" s="239">
        <v>-7028</v>
      </c>
      <c r="AV278" s="239">
        <v>-45707</v>
      </c>
      <c r="AW278" s="239">
        <v>-36565</v>
      </c>
      <c r="AX278" s="239">
        <v>-9141</v>
      </c>
      <c r="AY278" s="239">
        <v>0</v>
      </c>
      <c r="AZ278" s="239">
        <v>-91413</v>
      </c>
      <c r="BA278" s="239">
        <v>-554838</v>
      </c>
      <c r="BB278" s="239">
        <v>-443872</v>
      </c>
      <c r="BC278" s="239">
        <v>-110968</v>
      </c>
      <c r="BD278" s="239">
        <v>0</v>
      </c>
      <c r="BE278" s="239">
        <v>-1109678</v>
      </c>
      <c r="BF278" s="239">
        <v>554839</v>
      </c>
      <c r="BG278" s="239">
        <v>443871</v>
      </c>
      <c r="BH278" s="239">
        <v>110968</v>
      </c>
      <c r="BI278" s="239">
        <v>0</v>
      </c>
      <c r="BJ278" s="239">
        <v>1109678</v>
      </c>
      <c r="BK278" s="239">
        <v>-877522</v>
      </c>
      <c r="BL278" s="239">
        <v>-702018</v>
      </c>
      <c r="BM278" s="239">
        <v>-175505</v>
      </c>
      <c r="BN278" s="239">
        <v>0</v>
      </c>
      <c r="BO278" s="239">
        <v>-1755045</v>
      </c>
      <c r="BP278" s="239">
        <v>-877521</v>
      </c>
      <c r="BQ278" s="239">
        <v>-702019</v>
      </c>
      <c r="BR278" s="239">
        <v>-175505</v>
      </c>
      <c r="BS278" s="239">
        <v>0</v>
      </c>
      <c r="BT278" s="239">
        <v>-1755045</v>
      </c>
      <c r="BU278" s="239">
        <v>87022</v>
      </c>
      <c r="BV278" s="239">
        <v>69618</v>
      </c>
      <c r="BW278" s="239">
        <v>17405</v>
      </c>
      <c r="BX278" s="239">
        <v>0</v>
      </c>
      <c r="BY278" s="239">
        <v>174045</v>
      </c>
      <c r="BZ278" s="239">
        <v>124494</v>
      </c>
      <c r="CA278" s="239">
        <v>99595</v>
      </c>
      <c r="CB278" s="239">
        <v>24899</v>
      </c>
      <c r="CC278" s="239">
        <v>0</v>
      </c>
      <c r="CD278" s="239">
        <v>248988</v>
      </c>
      <c r="CE278" s="239">
        <v>-37472</v>
      </c>
      <c r="CF278" s="239">
        <v>-29977</v>
      </c>
      <c r="CG278" s="239">
        <v>-7494</v>
      </c>
      <c r="CH278" s="239">
        <v>0</v>
      </c>
      <c r="CI278" s="239">
        <v>-74943</v>
      </c>
      <c r="CJ278" s="239">
        <v>10115101</v>
      </c>
      <c r="CK278" s="239">
        <v>8092080</v>
      </c>
      <c r="CL278" s="239">
        <v>2023020</v>
      </c>
      <c r="CM278" s="239">
        <v>0</v>
      </c>
      <c r="CN278" s="239">
        <v>20230201</v>
      </c>
      <c r="CO278" s="239">
        <v>8807207</v>
      </c>
      <c r="CP278" s="239">
        <v>7045766</v>
      </c>
      <c r="CQ278" s="239">
        <v>1761442</v>
      </c>
      <c r="CR278" s="239">
        <v>0</v>
      </c>
      <c r="CS278" s="239">
        <v>17614415</v>
      </c>
      <c r="CT278" s="239">
        <v>-1307894</v>
      </c>
      <c r="CU278" s="239">
        <v>-1046314</v>
      </c>
      <c r="CV278" s="239">
        <v>-261578</v>
      </c>
      <c r="CW278" s="239">
        <v>0</v>
      </c>
      <c r="CX278" s="239">
        <v>-2615786</v>
      </c>
      <c r="CY278" s="239">
        <v>-1345366</v>
      </c>
      <c r="CZ278" s="239">
        <v>-1076291</v>
      </c>
      <c r="DA278" s="239">
        <v>-269072</v>
      </c>
      <c r="DB278" s="239">
        <v>0</v>
      </c>
      <c r="DC278" s="239">
        <v>-2690729</v>
      </c>
      <c r="DD278" s="641">
        <v>0.5</v>
      </c>
      <c r="DE278" s="641">
        <v>0.4</v>
      </c>
      <c r="DF278" s="641">
        <v>0.1</v>
      </c>
      <c r="DG278" s="641">
        <v>0</v>
      </c>
      <c r="DH278" s="641">
        <v>1</v>
      </c>
      <c r="DI278" s="214" t="s">
        <v>1190</v>
      </c>
    </row>
    <row r="279" spans="2:113" s="214" customFormat="1" x14ac:dyDescent="0.2">
      <c r="B279" s="609" t="s">
        <v>640</v>
      </c>
      <c r="C279" s="609" t="s">
        <v>639</v>
      </c>
      <c r="D279" s="239">
        <v>20862191</v>
      </c>
      <c r="E279" s="239">
        <v>16689754</v>
      </c>
      <c r="F279" s="239">
        <v>3755195</v>
      </c>
      <c r="G279" s="239">
        <v>417244</v>
      </c>
      <c r="H279" s="239">
        <v>41724384</v>
      </c>
      <c r="I279" s="239">
        <v>0</v>
      </c>
      <c r="J279" s="239">
        <v>0</v>
      </c>
      <c r="K279" s="239">
        <v>20862191</v>
      </c>
      <c r="L279" s="239">
        <v>165399</v>
      </c>
      <c r="M279" s="239">
        <v>165399</v>
      </c>
      <c r="N279" s="239">
        <v>0</v>
      </c>
      <c r="O279" s="239">
        <v>0</v>
      </c>
      <c r="P279" s="239">
        <v>231822</v>
      </c>
      <c r="Q279" s="239">
        <v>0</v>
      </c>
      <c r="R279" s="239">
        <v>231822</v>
      </c>
      <c r="S279" s="239">
        <v>0</v>
      </c>
      <c r="T279" s="239">
        <v>0</v>
      </c>
      <c r="U279" s="239">
        <v>0</v>
      </c>
      <c r="V279" s="239">
        <v>0</v>
      </c>
      <c r="W279" s="239">
        <v>1117211</v>
      </c>
      <c r="X279" s="239">
        <v>893768</v>
      </c>
      <c r="Y279" s="239">
        <v>201098</v>
      </c>
      <c r="Z279" s="239">
        <v>22344</v>
      </c>
      <c r="AA279" s="239">
        <v>2234421</v>
      </c>
      <c r="AB279" s="239">
        <v>-726622</v>
      </c>
      <c r="AC279" s="239">
        <v>-581298</v>
      </c>
      <c r="AD279" s="239">
        <v>-130792</v>
      </c>
      <c r="AE279" s="239">
        <v>-14532</v>
      </c>
      <c r="AF279" s="239">
        <v>-1453244</v>
      </c>
      <c r="AG279" s="239">
        <v>-164205</v>
      </c>
      <c r="AH279" s="239">
        <v>-131364</v>
      </c>
      <c r="AI279" s="239">
        <v>-29557</v>
      </c>
      <c r="AJ279" s="239">
        <v>-3284</v>
      </c>
      <c r="AK279" s="239">
        <v>-328410</v>
      </c>
      <c r="AL279" s="239">
        <v>82217</v>
      </c>
      <c r="AM279" s="239">
        <v>65774</v>
      </c>
      <c r="AN279" s="239">
        <v>14799</v>
      </c>
      <c r="AO279" s="239">
        <v>1644</v>
      </c>
      <c r="AP279" s="239">
        <v>164434</v>
      </c>
      <c r="AQ279" s="239">
        <v>-246179</v>
      </c>
      <c r="AR279" s="239">
        <v>-196943</v>
      </c>
      <c r="AS279" s="239">
        <v>-44312</v>
      </c>
      <c r="AT279" s="239">
        <v>-4924</v>
      </c>
      <c r="AU279" s="239">
        <v>-492358</v>
      </c>
      <c r="AV279" s="239">
        <v>-328167</v>
      </c>
      <c r="AW279" s="239">
        <v>-262533</v>
      </c>
      <c r="AX279" s="239">
        <v>-59070</v>
      </c>
      <c r="AY279" s="239">
        <v>-6564</v>
      </c>
      <c r="AZ279" s="239">
        <v>-656334</v>
      </c>
      <c r="BA279" s="239">
        <v>-2399699</v>
      </c>
      <c r="BB279" s="239">
        <v>-1919757</v>
      </c>
      <c r="BC279" s="239">
        <v>-431946</v>
      </c>
      <c r="BD279" s="239">
        <v>-47994</v>
      </c>
      <c r="BE279" s="239">
        <v>-4799396</v>
      </c>
      <c r="BF279" s="239">
        <v>935730</v>
      </c>
      <c r="BG279" s="239">
        <v>748584</v>
      </c>
      <c r="BH279" s="239">
        <v>168431</v>
      </c>
      <c r="BI279" s="239">
        <v>18715</v>
      </c>
      <c r="BJ279" s="239">
        <v>1871460</v>
      </c>
      <c r="BK279" s="239">
        <v>296128</v>
      </c>
      <c r="BL279" s="239">
        <v>236903</v>
      </c>
      <c r="BM279" s="239">
        <v>53303</v>
      </c>
      <c r="BN279" s="239">
        <v>5923</v>
      </c>
      <c r="BO279" s="239">
        <v>592257</v>
      </c>
      <c r="BP279" s="239">
        <v>-1167841</v>
      </c>
      <c r="BQ279" s="239">
        <v>-934270</v>
      </c>
      <c r="BR279" s="239">
        <v>-210212</v>
      </c>
      <c r="BS279" s="239">
        <v>-23356</v>
      </c>
      <c r="BT279" s="239">
        <v>-2335679</v>
      </c>
      <c r="BU279" s="239">
        <v>-934864</v>
      </c>
      <c r="BV279" s="239">
        <v>-747890</v>
      </c>
      <c r="BW279" s="239">
        <v>-168275</v>
      </c>
      <c r="BX279" s="239">
        <v>-18697</v>
      </c>
      <c r="BY279" s="239">
        <v>-1869726</v>
      </c>
      <c r="BZ279" s="239">
        <v>-239585</v>
      </c>
      <c r="CA279" s="239">
        <v>-191668</v>
      </c>
      <c r="CB279" s="239">
        <v>-43125</v>
      </c>
      <c r="CC279" s="239">
        <v>-4792</v>
      </c>
      <c r="CD279" s="239">
        <v>-479170</v>
      </c>
      <c r="CE279" s="239">
        <v>-695279</v>
      </c>
      <c r="CF279" s="239">
        <v>-556222</v>
      </c>
      <c r="CG279" s="239">
        <v>-125150</v>
      </c>
      <c r="CH279" s="239">
        <v>-13905</v>
      </c>
      <c r="CI279" s="239">
        <v>-1390556</v>
      </c>
      <c r="CJ279" s="239">
        <v>20413975</v>
      </c>
      <c r="CK279" s="239">
        <v>16331180</v>
      </c>
      <c r="CL279" s="239">
        <v>3674516</v>
      </c>
      <c r="CM279" s="239">
        <v>408280</v>
      </c>
      <c r="CN279" s="239">
        <v>40827951</v>
      </c>
      <c r="CO279" s="239">
        <v>20862191</v>
      </c>
      <c r="CP279" s="239">
        <v>16689754</v>
      </c>
      <c r="CQ279" s="239">
        <v>3755195</v>
      </c>
      <c r="CR279" s="239">
        <v>417244</v>
      </c>
      <c r="CS279" s="239">
        <v>41724384</v>
      </c>
      <c r="CT279" s="239">
        <v>448216</v>
      </c>
      <c r="CU279" s="239">
        <v>358574</v>
      </c>
      <c r="CV279" s="239">
        <v>80679</v>
      </c>
      <c r="CW279" s="239">
        <v>8964</v>
      </c>
      <c r="CX279" s="239">
        <v>896433</v>
      </c>
      <c r="CY279" s="239">
        <v>-247063</v>
      </c>
      <c r="CZ279" s="239">
        <v>-197648</v>
      </c>
      <c r="DA279" s="239">
        <v>-44471</v>
      </c>
      <c r="DB279" s="239">
        <v>-4941</v>
      </c>
      <c r="DC279" s="239">
        <v>-494123</v>
      </c>
      <c r="DD279" s="641">
        <v>0.5</v>
      </c>
      <c r="DE279" s="641">
        <v>0.4</v>
      </c>
      <c r="DF279" s="641">
        <v>0.09</v>
      </c>
      <c r="DG279" s="641">
        <v>0.01</v>
      </c>
      <c r="DH279" s="641">
        <v>1</v>
      </c>
      <c r="DI279" s="214" t="s">
        <v>1190</v>
      </c>
    </row>
    <row r="280" spans="2:113" s="214" customFormat="1" x14ac:dyDescent="0.2">
      <c r="B280" s="609" t="s">
        <v>642</v>
      </c>
      <c r="C280" s="609" t="s">
        <v>641</v>
      </c>
      <c r="D280" s="239">
        <v>15687158</v>
      </c>
      <c r="E280" s="239">
        <v>12549726</v>
      </c>
      <c r="F280" s="239">
        <v>2823688</v>
      </c>
      <c r="G280" s="239">
        <v>313743</v>
      </c>
      <c r="H280" s="239">
        <v>31374315</v>
      </c>
      <c r="I280" s="239">
        <v>0</v>
      </c>
      <c r="J280" s="239">
        <v>0</v>
      </c>
      <c r="K280" s="239">
        <v>15687158</v>
      </c>
      <c r="L280" s="239">
        <v>191736</v>
      </c>
      <c r="M280" s="239">
        <v>191736</v>
      </c>
      <c r="N280" s="239">
        <v>0</v>
      </c>
      <c r="O280" s="239">
        <v>0</v>
      </c>
      <c r="P280" s="239">
        <v>185139</v>
      </c>
      <c r="Q280" s="239">
        <v>0</v>
      </c>
      <c r="R280" s="239">
        <v>185139</v>
      </c>
      <c r="S280" s="239">
        <v>0</v>
      </c>
      <c r="T280" s="239">
        <v>0</v>
      </c>
      <c r="U280" s="239">
        <v>0</v>
      </c>
      <c r="V280" s="239">
        <v>0</v>
      </c>
      <c r="W280" s="239">
        <v>246217</v>
      </c>
      <c r="X280" s="239">
        <v>196974</v>
      </c>
      <c r="Y280" s="239">
        <v>44319</v>
      </c>
      <c r="Z280" s="239">
        <v>4924</v>
      </c>
      <c r="AA280" s="239">
        <v>492434</v>
      </c>
      <c r="AB280" s="239">
        <v>-166714</v>
      </c>
      <c r="AC280" s="239">
        <v>-133372</v>
      </c>
      <c r="AD280" s="239">
        <v>-30009</v>
      </c>
      <c r="AE280" s="239">
        <v>-3334</v>
      </c>
      <c r="AF280" s="239">
        <v>-333429</v>
      </c>
      <c r="AG280" s="239">
        <v>-200000</v>
      </c>
      <c r="AH280" s="239">
        <v>-160000</v>
      </c>
      <c r="AI280" s="239">
        <v>-36000</v>
      </c>
      <c r="AJ280" s="239">
        <v>-4000</v>
      </c>
      <c r="AK280" s="239">
        <v>-400000</v>
      </c>
      <c r="AL280" s="239">
        <v>45179</v>
      </c>
      <c r="AM280" s="239">
        <v>36143</v>
      </c>
      <c r="AN280" s="239">
        <v>8132</v>
      </c>
      <c r="AO280" s="239">
        <v>904</v>
      </c>
      <c r="AP280" s="239">
        <v>90358</v>
      </c>
      <c r="AQ280" s="239">
        <v>4821</v>
      </c>
      <c r="AR280" s="239">
        <v>3857</v>
      </c>
      <c r="AS280" s="239">
        <v>868</v>
      </c>
      <c r="AT280" s="239">
        <v>96</v>
      </c>
      <c r="AU280" s="239">
        <v>9642</v>
      </c>
      <c r="AV280" s="239">
        <v>-150000</v>
      </c>
      <c r="AW280" s="239">
        <v>-120000</v>
      </c>
      <c r="AX280" s="239">
        <v>-27000</v>
      </c>
      <c r="AY280" s="239">
        <v>-3000</v>
      </c>
      <c r="AZ280" s="239">
        <v>-300000</v>
      </c>
      <c r="BA280" s="239">
        <v>-400000</v>
      </c>
      <c r="BB280" s="239">
        <v>-320000</v>
      </c>
      <c r="BC280" s="239">
        <v>-72000</v>
      </c>
      <c r="BD280" s="239">
        <v>-8000</v>
      </c>
      <c r="BE280" s="239">
        <v>-800000</v>
      </c>
      <c r="BF280" s="239">
        <v>769782</v>
      </c>
      <c r="BG280" s="239">
        <v>615826</v>
      </c>
      <c r="BH280" s="239">
        <v>138561</v>
      </c>
      <c r="BI280" s="239">
        <v>15396</v>
      </c>
      <c r="BJ280" s="239">
        <v>1539565</v>
      </c>
      <c r="BK280" s="239">
        <v>-569782</v>
      </c>
      <c r="BL280" s="239">
        <v>-455826</v>
      </c>
      <c r="BM280" s="239">
        <v>-102561</v>
      </c>
      <c r="BN280" s="239">
        <v>-11396</v>
      </c>
      <c r="BO280" s="239">
        <v>-1139565</v>
      </c>
      <c r="BP280" s="239">
        <v>-200000</v>
      </c>
      <c r="BQ280" s="239">
        <v>-160000</v>
      </c>
      <c r="BR280" s="239">
        <v>-36000</v>
      </c>
      <c r="BS280" s="239">
        <v>-4000</v>
      </c>
      <c r="BT280" s="239">
        <v>-400000</v>
      </c>
      <c r="BU280" s="239">
        <v>-965231</v>
      </c>
      <c r="BV280" s="239">
        <v>-772185</v>
      </c>
      <c r="BW280" s="239">
        <v>-173742</v>
      </c>
      <c r="BX280" s="239">
        <v>-19305</v>
      </c>
      <c r="BY280" s="239">
        <v>-1930463</v>
      </c>
      <c r="BZ280" s="239">
        <v>-681878</v>
      </c>
      <c r="CA280" s="239">
        <v>-545502</v>
      </c>
      <c r="CB280" s="239">
        <v>-122738</v>
      </c>
      <c r="CC280" s="239">
        <v>-13638</v>
      </c>
      <c r="CD280" s="239">
        <v>-1363756</v>
      </c>
      <c r="CE280" s="239">
        <v>-283353</v>
      </c>
      <c r="CF280" s="239">
        <v>-226683</v>
      </c>
      <c r="CG280" s="239">
        <v>-51004</v>
      </c>
      <c r="CH280" s="239">
        <v>-5667</v>
      </c>
      <c r="CI280" s="239">
        <v>-566707</v>
      </c>
      <c r="CJ280" s="239">
        <v>16875909</v>
      </c>
      <c r="CK280" s="239">
        <v>13500726</v>
      </c>
      <c r="CL280" s="239">
        <v>3037663</v>
      </c>
      <c r="CM280" s="239">
        <v>337518</v>
      </c>
      <c r="CN280" s="239">
        <v>33751816</v>
      </c>
      <c r="CO280" s="239">
        <v>15687158</v>
      </c>
      <c r="CP280" s="239">
        <v>12549726</v>
      </c>
      <c r="CQ280" s="239">
        <v>2823688</v>
      </c>
      <c r="CR280" s="239">
        <v>313743</v>
      </c>
      <c r="CS280" s="239">
        <v>31374315</v>
      </c>
      <c r="CT280" s="239">
        <v>-1188751</v>
      </c>
      <c r="CU280" s="239">
        <v>-951000</v>
      </c>
      <c r="CV280" s="239">
        <v>-213975</v>
      </c>
      <c r="CW280" s="239">
        <v>-23775</v>
      </c>
      <c r="CX280" s="239">
        <v>-2377501</v>
      </c>
      <c r="CY280" s="239">
        <v>-1472104</v>
      </c>
      <c r="CZ280" s="239">
        <v>-1177683</v>
      </c>
      <c r="DA280" s="239">
        <v>-264979</v>
      </c>
      <c r="DB280" s="239">
        <v>-29442</v>
      </c>
      <c r="DC280" s="239">
        <v>-2944208</v>
      </c>
      <c r="DD280" s="641">
        <v>0.5</v>
      </c>
      <c r="DE280" s="641">
        <v>0.4</v>
      </c>
      <c r="DF280" s="641">
        <v>0.09</v>
      </c>
      <c r="DG280" s="641">
        <v>0.01</v>
      </c>
      <c r="DH280" s="641">
        <v>1</v>
      </c>
      <c r="DI280" s="214" t="s">
        <v>1190</v>
      </c>
    </row>
    <row r="281" spans="2:113" s="214" customFormat="1" x14ac:dyDescent="0.2">
      <c r="B281" s="609" t="s">
        <v>644</v>
      </c>
      <c r="C281" s="609" t="s">
        <v>643</v>
      </c>
      <c r="D281" s="239">
        <v>35755664</v>
      </c>
      <c r="E281" s="239">
        <v>35040551</v>
      </c>
      <c r="F281" s="239">
        <v>0</v>
      </c>
      <c r="G281" s="239">
        <v>715113</v>
      </c>
      <c r="H281" s="239">
        <v>71511328</v>
      </c>
      <c r="I281" s="239">
        <v>0</v>
      </c>
      <c r="J281" s="239">
        <v>0</v>
      </c>
      <c r="K281" s="239">
        <v>35755664</v>
      </c>
      <c r="L281" s="239">
        <v>217929</v>
      </c>
      <c r="M281" s="239">
        <v>217929</v>
      </c>
      <c r="N281" s="239">
        <v>0</v>
      </c>
      <c r="O281" s="239">
        <v>0</v>
      </c>
      <c r="P281" s="239">
        <v>120823</v>
      </c>
      <c r="Q281" s="239">
        <v>0</v>
      </c>
      <c r="R281" s="239">
        <v>120823</v>
      </c>
      <c r="S281" s="239">
        <v>0</v>
      </c>
      <c r="T281" s="239">
        <v>0</v>
      </c>
      <c r="U281" s="239">
        <v>0</v>
      </c>
      <c r="V281" s="239">
        <v>0</v>
      </c>
      <c r="W281" s="239">
        <v>1342141</v>
      </c>
      <c r="X281" s="239">
        <v>1315298</v>
      </c>
      <c r="Y281" s="239">
        <v>0</v>
      </c>
      <c r="Z281" s="239">
        <v>26843</v>
      </c>
      <c r="AA281" s="239">
        <v>2684282</v>
      </c>
      <c r="AB281" s="239">
        <v>-1236327</v>
      </c>
      <c r="AC281" s="239">
        <v>-1211601</v>
      </c>
      <c r="AD281" s="239">
        <v>0</v>
      </c>
      <c r="AE281" s="239">
        <v>-24727</v>
      </c>
      <c r="AF281" s="239">
        <v>-2472655</v>
      </c>
      <c r="AG281" s="239">
        <v>-625500</v>
      </c>
      <c r="AH281" s="239">
        <v>-612990</v>
      </c>
      <c r="AI281" s="239">
        <v>0</v>
      </c>
      <c r="AJ281" s="239">
        <v>-12510</v>
      </c>
      <c r="AK281" s="239">
        <v>-1251000</v>
      </c>
      <c r="AL281" s="239">
        <v>384042</v>
      </c>
      <c r="AM281" s="239">
        <v>376362</v>
      </c>
      <c r="AN281" s="239">
        <v>0</v>
      </c>
      <c r="AO281" s="239">
        <v>7681</v>
      </c>
      <c r="AP281" s="239">
        <v>768085</v>
      </c>
      <c r="AQ281" s="239">
        <v>-385542</v>
      </c>
      <c r="AR281" s="239">
        <v>-377832</v>
      </c>
      <c r="AS281" s="239">
        <v>0</v>
      </c>
      <c r="AT281" s="239">
        <v>-7711</v>
      </c>
      <c r="AU281" s="239">
        <v>-771085</v>
      </c>
      <c r="AV281" s="239">
        <v>-627000</v>
      </c>
      <c r="AW281" s="239">
        <v>-614460</v>
      </c>
      <c r="AX281" s="239">
        <v>0</v>
      </c>
      <c r="AY281" s="239">
        <v>-12540</v>
      </c>
      <c r="AZ281" s="239">
        <v>-1254000</v>
      </c>
      <c r="BA281" s="239">
        <v>-2787500</v>
      </c>
      <c r="BB281" s="239">
        <v>-2731750</v>
      </c>
      <c r="BC281" s="239">
        <v>0</v>
      </c>
      <c r="BD281" s="239">
        <v>-55750</v>
      </c>
      <c r="BE281" s="239">
        <v>-5575000</v>
      </c>
      <c r="BF281" s="239">
        <v>795580</v>
      </c>
      <c r="BG281" s="239">
        <v>779669</v>
      </c>
      <c r="BH281" s="239">
        <v>0</v>
      </c>
      <c r="BI281" s="239">
        <v>15912</v>
      </c>
      <c r="BJ281" s="239">
        <v>1591161</v>
      </c>
      <c r="BK281" s="239">
        <v>-1368080</v>
      </c>
      <c r="BL281" s="239">
        <v>-1340719</v>
      </c>
      <c r="BM281" s="239">
        <v>0</v>
      </c>
      <c r="BN281" s="239">
        <v>-27362</v>
      </c>
      <c r="BO281" s="239">
        <v>-2736161</v>
      </c>
      <c r="BP281" s="239">
        <v>-3360000</v>
      </c>
      <c r="BQ281" s="239">
        <v>-3292800</v>
      </c>
      <c r="BR281" s="239">
        <v>0</v>
      </c>
      <c r="BS281" s="239">
        <v>-67200</v>
      </c>
      <c r="BT281" s="239">
        <v>-6720000</v>
      </c>
      <c r="BU281" s="239">
        <v>1698398</v>
      </c>
      <c r="BV281" s="239">
        <v>1664430</v>
      </c>
      <c r="BW281" s="239">
        <v>0</v>
      </c>
      <c r="BX281" s="239">
        <v>33968</v>
      </c>
      <c r="BY281" s="239">
        <v>3396796</v>
      </c>
      <c r="BZ281" s="239">
        <v>1342544</v>
      </c>
      <c r="CA281" s="239">
        <v>1315694</v>
      </c>
      <c r="CB281" s="239">
        <v>0</v>
      </c>
      <c r="CC281" s="239">
        <v>26851</v>
      </c>
      <c r="CD281" s="239">
        <v>2685089</v>
      </c>
      <c r="CE281" s="239">
        <v>355854</v>
      </c>
      <c r="CF281" s="239">
        <v>348736</v>
      </c>
      <c r="CG281" s="239">
        <v>0</v>
      </c>
      <c r="CH281" s="239">
        <v>7117</v>
      </c>
      <c r="CI281" s="239">
        <v>711707</v>
      </c>
      <c r="CJ281" s="239">
        <v>34424654</v>
      </c>
      <c r="CK281" s="239">
        <v>33736161</v>
      </c>
      <c r="CL281" s="239">
        <v>0</v>
      </c>
      <c r="CM281" s="239">
        <v>688493</v>
      </c>
      <c r="CN281" s="239">
        <v>68849308</v>
      </c>
      <c r="CO281" s="239">
        <v>35755664</v>
      </c>
      <c r="CP281" s="239">
        <v>35040551</v>
      </c>
      <c r="CQ281" s="239">
        <v>0</v>
      </c>
      <c r="CR281" s="239">
        <v>715113</v>
      </c>
      <c r="CS281" s="239">
        <v>71511328</v>
      </c>
      <c r="CT281" s="239">
        <v>1331010</v>
      </c>
      <c r="CU281" s="239">
        <v>1304390</v>
      </c>
      <c r="CV281" s="239">
        <v>0</v>
      </c>
      <c r="CW281" s="239">
        <v>26620</v>
      </c>
      <c r="CX281" s="239">
        <v>2662020</v>
      </c>
      <c r="CY281" s="239">
        <v>1686864</v>
      </c>
      <c r="CZ281" s="239">
        <v>1653126</v>
      </c>
      <c r="DA281" s="239">
        <v>0</v>
      </c>
      <c r="DB281" s="239">
        <v>33737</v>
      </c>
      <c r="DC281" s="239">
        <v>3373727</v>
      </c>
      <c r="DD281" s="641">
        <v>0.5</v>
      </c>
      <c r="DE281" s="641">
        <v>0.49</v>
      </c>
      <c r="DF281" s="641">
        <v>0</v>
      </c>
      <c r="DG281" s="641">
        <v>0.01</v>
      </c>
      <c r="DH281" s="641">
        <v>1</v>
      </c>
      <c r="DI281" s="214" t="s">
        <v>747</v>
      </c>
    </row>
    <row r="282" spans="2:113" s="214" customFormat="1" x14ac:dyDescent="0.2">
      <c r="B282" s="609" t="s">
        <v>646</v>
      </c>
      <c r="C282" s="609" t="s">
        <v>645</v>
      </c>
      <c r="D282" s="239">
        <v>13158597</v>
      </c>
      <c r="E282" s="239">
        <v>10526878</v>
      </c>
      <c r="F282" s="239">
        <v>2368547</v>
      </c>
      <c r="G282" s="239">
        <v>263172</v>
      </c>
      <c r="H282" s="239">
        <v>26317194</v>
      </c>
      <c r="I282" s="239">
        <v>0</v>
      </c>
      <c r="J282" s="239">
        <v>0</v>
      </c>
      <c r="K282" s="239">
        <v>13158597</v>
      </c>
      <c r="L282" s="239">
        <v>295093</v>
      </c>
      <c r="M282" s="239">
        <v>295093</v>
      </c>
      <c r="N282" s="239">
        <v>0</v>
      </c>
      <c r="O282" s="239">
        <v>0</v>
      </c>
      <c r="P282" s="239">
        <v>296709</v>
      </c>
      <c r="Q282" s="239">
        <v>0</v>
      </c>
      <c r="R282" s="239">
        <v>296709</v>
      </c>
      <c r="S282" s="239">
        <v>0</v>
      </c>
      <c r="T282" s="239">
        <v>0</v>
      </c>
      <c r="U282" s="239">
        <v>0</v>
      </c>
      <c r="V282" s="239">
        <v>0</v>
      </c>
      <c r="W282" s="239">
        <v>367950</v>
      </c>
      <c r="X282" s="239">
        <v>294360</v>
      </c>
      <c r="Y282" s="239">
        <v>66231</v>
      </c>
      <c r="Z282" s="239">
        <v>7359</v>
      </c>
      <c r="AA282" s="239">
        <v>735900</v>
      </c>
      <c r="AB282" s="239">
        <v>-419236</v>
      </c>
      <c r="AC282" s="239">
        <v>-335390</v>
      </c>
      <c r="AD282" s="239">
        <v>-75463</v>
      </c>
      <c r="AE282" s="239">
        <v>-8385</v>
      </c>
      <c r="AF282" s="239">
        <v>-838474</v>
      </c>
      <c r="AG282" s="239">
        <v>-65588</v>
      </c>
      <c r="AH282" s="239">
        <v>-52472</v>
      </c>
      <c r="AI282" s="239">
        <v>-11808</v>
      </c>
      <c r="AJ282" s="239">
        <v>-1312</v>
      </c>
      <c r="AK282" s="239">
        <v>-131180</v>
      </c>
      <c r="AL282" s="239">
        <v>81283</v>
      </c>
      <c r="AM282" s="239">
        <v>65027</v>
      </c>
      <c r="AN282" s="239">
        <v>14631</v>
      </c>
      <c r="AO282" s="239">
        <v>1626</v>
      </c>
      <c r="AP282" s="239">
        <v>162567</v>
      </c>
      <c r="AQ282" s="239">
        <v>-97386</v>
      </c>
      <c r="AR282" s="239">
        <v>-77909</v>
      </c>
      <c r="AS282" s="239">
        <v>-17529</v>
      </c>
      <c r="AT282" s="239">
        <v>-1948</v>
      </c>
      <c r="AU282" s="239">
        <v>-194772</v>
      </c>
      <c r="AV282" s="239">
        <v>-81691</v>
      </c>
      <c r="AW282" s="239">
        <v>-65354</v>
      </c>
      <c r="AX282" s="239">
        <v>-14706</v>
      </c>
      <c r="AY282" s="239">
        <v>-1634</v>
      </c>
      <c r="AZ282" s="239">
        <v>-163385</v>
      </c>
      <c r="BA282" s="239">
        <v>-1548500</v>
      </c>
      <c r="BB282" s="239">
        <v>-1238800</v>
      </c>
      <c r="BC282" s="239">
        <v>-278730</v>
      </c>
      <c r="BD282" s="239">
        <v>-30970</v>
      </c>
      <c r="BE282" s="239">
        <v>-3097000</v>
      </c>
      <c r="BF282" s="239">
        <v>503000</v>
      </c>
      <c r="BG282" s="239">
        <v>402400</v>
      </c>
      <c r="BH282" s="239">
        <v>90540</v>
      </c>
      <c r="BI282" s="239">
        <v>10060</v>
      </c>
      <c r="BJ282" s="239">
        <v>1006000</v>
      </c>
      <c r="BK282" s="239">
        <v>-176000</v>
      </c>
      <c r="BL282" s="239">
        <v>-140800</v>
      </c>
      <c r="BM282" s="239">
        <v>-31680</v>
      </c>
      <c r="BN282" s="239">
        <v>-3520</v>
      </c>
      <c r="BO282" s="239">
        <v>-352000</v>
      </c>
      <c r="BP282" s="239">
        <v>-1221500</v>
      </c>
      <c r="BQ282" s="239">
        <v>-977200</v>
      </c>
      <c r="BR282" s="239">
        <v>-219870</v>
      </c>
      <c r="BS282" s="239">
        <v>-24430</v>
      </c>
      <c r="BT282" s="239">
        <v>-2443000</v>
      </c>
      <c r="BU282" s="239">
        <v>-691075</v>
      </c>
      <c r="BV282" s="239">
        <v>-552860</v>
      </c>
      <c r="BW282" s="239">
        <v>-124393</v>
      </c>
      <c r="BX282" s="239">
        <v>-13821</v>
      </c>
      <c r="BY282" s="239">
        <v>-1382149</v>
      </c>
      <c r="BZ282" s="239">
        <v>-515053</v>
      </c>
      <c r="CA282" s="239">
        <v>-412042</v>
      </c>
      <c r="CB282" s="239">
        <v>-92710</v>
      </c>
      <c r="CC282" s="239">
        <v>-10301</v>
      </c>
      <c r="CD282" s="239">
        <v>-1030106</v>
      </c>
      <c r="CE282" s="239">
        <v>-176022</v>
      </c>
      <c r="CF282" s="239">
        <v>-140818</v>
      </c>
      <c r="CG282" s="239">
        <v>-31683</v>
      </c>
      <c r="CH282" s="239">
        <v>-3520</v>
      </c>
      <c r="CI282" s="239">
        <v>-352043</v>
      </c>
      <c r="CJ282" s="239">
        <v>12969149</v>
      </c>
      <c r="CK282" s="239">
        <v>10375319</v>
      </c>
      <c r="CL282" s="239">
        <v>2334447</v>
      </c>
      <c r="CM282" s="239">
        <v>259383</v>
      </c>
      <c r="CN282" s="239">
        <v>25938298</v>
      </c>
      <c r="CO282" s="239">
        <v>13158597</v>
      </c>
      <c r="CP282" s="239">
        <v>10526878</v>
      </c>
      <c r="CQ282" s="239">
        <v>2368547</v>
      </c>
      <c r="CR282" s="239">
        <v>263172</v>
      </c>
      <c r="CS282" s="239">
        <v>26317194</v>
      </c>
      <c r="CT282" s="239">
        <v>189448</v>
      </c>
      <c r="CU282" s="239">
        <v>151559</v>
      </c>
      <c r="CV282" s="239">
        <v>34100</v>
      </c>
      <c r="CW282" s="239">
        <v>3789</v>
      </c>
      <c r="CX282" s="239">
        <v>378896</v>
      </c>
      <c r="CY282" s="239">
        <v>13426</v>
      </c>
      <c r="CZ282" s="239">
        <v>10741</v>
      </c>
      <c r="DA282" s="239">
        <v>2417</v>
      </c>
      <c r="DB282" s="239">
        <v>269</v>
      </c>
      <c r="DC282" s="239">
        <v>26853</v>
      </c>
      <c r="DD282" s="641">
        <v>0.5</v>
      </c>
      <c r="DE282" s="641">
        <v>0.4</v>
      </c>
      <c r="DF282" s="641">
        <v>0.09</v>
      </c>
      <c r="DG282" s="641">
        <v>0.01</v>
      </c>
      <c r="DH282" s="641">
        <v>1</v>
      </c>
      <c r="DI282" s="214" t="s">
        <v>1190</v>
      </c>
    </row>
    <row r="283" spans="2:113" s="214" customFormat="1" x14ac:dyDescent="0.2">
      <c r="B283" s="609" t="s">
        <v>648</v>
      </c>
      <c r="C283" s="609" t="s">
        <v>647</v>
      </c>
      <c r="D283" s="239">
        <v>24086889</v>
      </c>
      <c r="E283" s="239">
        <v>19269511</v>
      </c>
      <c r="F283" s="239">
        <v>4335640</v>
      </c>
      <c r="G283" s="239">
        <v>481738</v>
      </c>
      <c r="H283" s="239">
        <v>48173778</v>
      </c>
      <c r="I283" s="239">
        <v>0</v>
      </c>
      <c r="J283" s="239">
        <v>0</v>
      </c>
      <c r="K283" s="239">
        <v>24086889</v>
      </c>
      <c r="L283" s="239">
        <v>188777</v>
      </c>
      <c r="M283" s="239">
        <v>188777</v>
      </c>
      <c r="N283" s="239">
        <v>0</v>
      </c>
      <c r="O283" s="239">
        <v>0</v>
      </c>
      <c r="P283" s="239">
        <v>567520</v>
      </c>
      <c r="Q283" s="239">
        <v>0</v>
      </c>
      <c r="R283" s="239">
        <v>567520</v>
      </c>
      <c r="S283" s="239">
        <v>0</v>
      </c>
      <c r="T283" s="239">
        <v>0</v>
      </c>
      <c r="U283" s="239">
        <v>0</v>
      </c>
      <c r="V283" s="239">
        <v>0</v>
      </c>
      <c r="W283" s="239">
        <v>1168732</v>
      </c>
      <c r="X283" s="239">
        <v>934986</v>
      </c>
      <c r="Y283" s="239">
        <v>210372</v>
      </c>
      <c r="Z283" s="239">
        <v>23375</v>
      </c>
      <c r="AA283" s="239">
        <v>2337465</v>
      </c>
      <c r="AB283" s="239">
        <v>-330064</v>
      </c>
      <c r="AC283" s="239">
        <v>-264050</v>
      </c>
      <c r="AD283" s="239">
        <v>-59411</v>
      </c>
      <c r="AE283" s="239">
        <v>-6601</v>
      </c>
      <c r="AF283" s="239">
        <v>-660126</v>
      </c>
      <c r="AG283" s="239">
        <v>-604183</v>
      </c>
      <c r="AH283" s="239">
        <v>-483347</v>
      </c>
      <c r="AI283" s="239">
        <v>-108753</v>
      </c>
      <c r="AJ283" s="239">
        <v>-12083</v>
      </c>
      <c r="AK283" s="239">
        <v>-1208366</v>
      </c>
      <c r="AL283" s="239">
        <v>364137</v>
      </c>
      <c r="AM283" s="239">
        <v>291310</v>
      </c>
      <c r="AN283" s="239">
        <v>65545</v>
      </c>
      <c r="AO283" s="239">
        <v>7283</v>
      </c>
      <c r="AP283" s="239">
        <v>728275</v>
      </c>
      <c r="AQ283" s="239">
        <v>-257403</v>
      </c>
      <c r="AR283" s="239">
        <v>-205922</v>
      </c>
      <c r="AS283" s="239">
        <v>-46332</v>
      </c>
      <c r="AT283" s="239">
        <v>-5148</v>
      </c>
      <c r="AU283" s="239">
        <v>-514805</v>
      </c>
      <c r="AV283" s="239">
        <v>-497449</v>
      </c>
      <c r="AW283" s="239">
        <v>-397959</v>
      </c>
      <c r="AX283" s="239">
        <v>-89540</v>
      </c>
      <c r="AY283" s="239">
        <v>-9948</v>
      </c>
      <c r="AZ283" s="239">
        <v>-994896</v>
      </c>
      <c r="BA283" s="239">
        <v>-1126825</v>
      </c>
      <c r="BB283" s="239">
        <v>-901460</v>
      </c>
      <c r="BC283" s="239">
        <v>-202829</v>
      </c>
      <c r="BD283" s="239">
        <v>-22537</v>
      </c>
      <c r="BE283" s="239">
        <v>-2253651</v>
      </c>
      <c r="BF283" s="239">
        <v>608984</v>
      </c>
      <c r="BG283" s="239">
        <v>487188</v>
      </c>
      <c r="BH283" s="239">
        <v>109617</v>
      </c>
      <c r="BI283" s="239">
        <v>12180</v>
      </c>
      <c r="BJ283" s="239">
        <v>1217969</v>
      </c>
      <c r="BK283" s="239">
        <v>-1638881</v>
      </c>
      <c r="BL283" s="239">
        <v>-1311106</v>
      </c>
      <c r="BM283" s="239">
        <v>-294999</v>
      </c>
      <c r="BN283" s="239">
        <v>-32778</v>
      </c>
      <c r="BO283" s="239">
        <v>-3277764</v>
      </c>
      <c r="BP283" s="239">
        <v>-2156722</v>
      </c>
      <c r="BQ283" s="239">
        <v>-1725378</v>
      </c>
      <c r="BR283" s="239">
        <v>-388211</v>
      </c>
      <c r="BS283" s="239">
        <v>-43135</v>
      </c>
      <c r="BT283" s="239">
        <v>-4313446</v>
      </c>
      <c r="BU283" s="239">
        <v>2177436</v>
      </c>
      <c r="BV283" s="239">
        <v>1741949</v>
      </c>
      <c r="BW283" s="239">
        <v>391938</v>
      </c>
      <c r="BX283" s="239">
        <v>43549</v>
      </c>
      <c r="BY283" s="239">
        <v>4354872</v>
      </c>
      <c r="BZ283" s="239">
        <v>1549951</v>
      </c>
      <c r="CA283" s="239">
        <v>1239961</v>
      </c>
      <c r="CB283" s="239">
        <v>278991</v>
      </c>
      <c r="CC283" s="239">
        <v>30999</v>
      </c>
      <c r="CD283" s="239">
        <v>3099902</v>
      </c>
      <c r="CE283" s="239">
        <v>627485</v>
      </c>
      <c r="CF283" s="239">
        <v>501988</v>
      </c>
      <c r="CG283" s="239">
        <v>112947</v>
      </c>
      <c r="CH283" s="239">
        <v>12550</v>
      </c>
      <c r="CI283" s="239">
        <v>1254970</v>
      </c>
      <c r="CJ283" s="239">
        <v>24707707</v>
      </c>
      <c r="CK283" s="239">
        <v>19766166</v>
      </c>
      <c r="CL283" s="239">
        <v>4447387</v>
      </c>
      <c r="CM283" s="239">
        <v>494154</v>
      </c>
      <c r="CN283" s="239">
        <v>49415414</v>
      </c>
      <c r="CO283" s="239">
        <v>24086889</v>
      </c>
      <c r="CP283" s="239">
        <v>19269511</v>
      </c>
      <c r="CQ283" s="239">
        <v>4335640</v>
      </c>
      <c r="CR283" s="239">
        <v>481738</v>
      </c>
      <c r="CS283" s="239">
        <v>48173778</v>
      </c>
      <c r="CT283" s="239">
        <v>-620818</v>
      </c>
      <c r="CU283" s="239">
        <v>-496655</v>
      </c>
      <c r="CV283" s="239">
        <v>-111747</v>
      </c>
      <c r="CW283" s="239">
        <v>-12416</v>
      </c>
      <c r="CX283" s="239">
        <v>-1241636</v>
      </c>
      <c r="CY283" s="239">
        <v>6667</v>
      </c>
      <c r="CZ283" s="239">
        <v>5333</v>
      </c>
      <c r="DA283" s="239">
        <v>1200</v>
      </c>
      <c r="DB283" s="239">
        <v>134</v>
      </c>
      <c r="DC283" s="239">
        <v>13334</v>
      </c>
      <c r="DD283" s="641">
        <v>0.5</v>
      </c>
      <c r="DE283" s="641">
        <v>0.4</v>
      </c>
      <c r="DF283" s="641">
        <v>0.09</v>
      </c>
      <c r="DG283" s="641">
        <v>0.01</v>
      </c>
      <c r="DH283" s="641">
        <v>1</v>
      </c>
      <c r="DI283" s="214" t="s">
        <v>1190</v>
      </c>
    </row>
    <row r="284" spans="2:113" s="214" customFormat="1" x14ac:dyDescent="0.2">
      <c r="B284" s="609" t="s">
        <v>650</v>
      </c>
      <c r="C284" s="609" t="s">
        <v>649</v>
      </c>
      <c r="D284" s="239">
        <v>15925089</v>
      </c>
      <c r="E284" s="239">
        <v>12740071</v>
      </c>
      <c r="F284" s="239">
        <v>3185018</v>
      </c>
      <c r="G284" s="239">
        <v>0</v>
      </c>
      <c r="H284" s="239">
        <v>31850178</v>
      </c>
      <c r="I284" s="239">
        <v>0</v>
      </c>
      <c r="J284" s="239">
        <v>0</v>
      </c>
      <c r="K284" s="239">
        <v>15925089</v>
      </c>
      <c r="L284" s="239">
        <v>124501</v>
      </c>
      <c r="M284" s="239">
        <v>124501</v>
      </c>
      <c r="N284" s="239">
        <v>0</v>
      </c>
      <c r="O284" s="239">
        <v>0</v>
      </c>
      <c r="P284" s="239">
        <v>0</v>
      </c>
      <c r="Q284" s="239">
        <v>0</v>
      </c>
      <c r="R284" s="239">
        <v>0</v>
      </c>
      <c r="S284" s="239">
        <v>0</v>
      </c>
      <c r="T284" s="239">
        <v>0</v>
      </c>
      <c r="U284" s="239">
        <v>0</v>
      </c>
      <c r="V284" s="239">
        <v>0</v>
      </c>
      <c r="W284" s="239">
        <v>66068</v>
      </c>
      <c r="X284" s="239">
        <v>52855</v>
      </c>
      <c r="Y284" s="239">
        <v>13214</v>
      </c>
      <c r="Z284" s="239">
        <v>0</v>
      </c>
      <c r="AA284" s="239">
        <v>132137</v>
      </c>
      <c r="AB284" s="239">
        <v>-53093</v>
      </c>
      <c r="AC284" s="239">
        <v>-42475</v>
      </c>
      <c r="AD284" s="239">
        <v>-10619</v>
      </c>
      <c r="AE284" s="239">
        <v>0</v>
      </c>
      <c r="AF284" s="239">
        <v>-106187</v>
      </c>
      <c r="AG284" s="239">
        <v>-51000</v>
      </c>
      <c r="AH284" s="239">
        <v>-40800</v>
      </c>
      <c r="AI284" s="239">
        <v>-10200</v>
      </c>
      <c r="AJ284" s="239">
        <v>0</v>
      </c>
      <c r="AK284" s="239">
        <v>-102000</v>
      </c>
      <c r="AL284" s="239">
        <v>36878</v>
      </c>
      <c r="AM284" s="239">
        <v>29503</v>
      </c>
      <c r="AN284" s="239">
        <v>7376</v>
      </c>
      <c r="AO284" s="239">
        <v>0</v>
      </c>
      <c r="AP284" s="239">
        <v>73757</v>
      </c>
      <c r="AQ284" s="239">
        <v>-47309</v>
      </c>
      <c r="AR284" s="239">
        <v>-37847</v>
      </c>
      <c r="AS284" s="239">
        <v>-9462</v>
      </c>
      <c r="AT284" s="239">
        <v>0</v>
      </c>
      <c r="AU284" s="239">
        <v>-94618</v>
      </c>
      <c r="AV284" s="239">
        <v>-61431</v>
      </c>
      <c r="AW284" s="239">
        <v>-49144</v>
      </c>
      <c r="AX284" s="239">
        <v>-12286</v>
      </c>
      <c r="AY284" s="239">
        <v>0</v>
      </c>
      <c r="AZ284" s="239">
        <v>-122861</v>
      </c>
      <c r="BA284" s="239">
        <v>-2310262</v>
      </c>
      <c r="BB284" s="239">
        <v>-1848210</v>
      </c>
      <c r="BC284" s="239">
        <v>-462053</v>
      </c>
      <c r="BD284" s="239">
        <v>0</v>
      </c>
      <c r="BE284" s="239">
        <v>-4620525</v>
      </c>
      <c r="BF284" s="239">
        <v>414610</v>
      </c>
      <c r="BG284" s="239">
        <v>331688</v>
      </c>
      <c r="BH284" s="239">
        <v>82922</v>
      </c>
      <c r="BI284" s="239">
        <v>0</v>
      </c>
      <c r="BJ284" s="239">
        <v>829220</v>
      </c>
      <c r="BK284" s="239">
        <v>-2201760</v>
      </c>
      <c r="BL284" s="239">
        <v>-1761408</v>
      </c>
      <c r="BM284" s="239">
        <v>-440352</v>
      </c>
      <c r="BN284" s="239">
        <v>0</v>
      </c>
      <c r="BO284" s="239">
        <v>-4403520</v>
      </c>
      <c r="BP284" s="239">
        <v>-4097412</v>
      </c>
      <c r="BQ284" s="239">
        <v>-3277930</v>
      </c>
      <c r="BR284" s="239">
        <v>-819483</v>
      </c>
      <c r="BS284" s="239">
        <v>0</v>
      </c>
      <c r="BT284" s="239">
        <v>-8194825</v>
      </c>
      <c r="BU284" s="239">
        <v>-5323171</v>
      </c>
      <c r="BV284" s="239">
        <v>-4258537</v>
      </c>
      <c r="BW284" s="239">
        <v>-1064634</v>
      </c>
      <c r="BX284" s="239">
        <v>0</v>
      </c>
      <c r="BY284" s="239">
        <v>-10646342</v>
      </c>
      <c r="BZ284" s="239">
        <v>-4642614</v>
      </c>
      <c r="CA284" s="239">
        <v>-3714092</v>
      </c>
      <c r="CB284" s="239">
        <v>-928523</v>
      </c>
      <c r="CC284" s="239">
        <v>0</v>
      </c>
      <c r="CD284" s="239">
        <v>-9285229</v>
      </c>
      <c r="CE284" s="239">
        <v>-680557</v>
      </c>
      <c r="CF284" s="239">
        <v>-544445</v>
      </c>
      <c r="CG284" s="239">
        <v>-136111</v>
      </c>
      <c r="CH284" s="239">
        <v>0</v>
      </c>
      <c r="CI284" s="239">
        <v>-1361113</v>
      </c>
      <c r="CJ284" s="239">
        <v>17177764</v>
      </c>
      <c r="CK284" s="239">
        <v>13742212</v>
      </c>
      <c r="CL284" s="239">
        <v>3435553</v>
      </c>
      <c r="CM284" s="239">
        <v>0</v>
      </c>
      <c r="CN284" s="239">
        <v>34355529</v>
      </c>
      <c r="CO284" s="239">
        <v>15925089</v>
      </c>
      <c r="CP284" s="239">
        <v>12740071</v>
      </c>
      <c r="CQ284" s="239">
        <v>3185018</v>
      </c>
      <c r="CR284" s="239">
        <v>0</v>
      </c>
      <c r="CS284" s="239">
        <v>31850178</v>
      </c>
      <c r="CT284" s="239">
        <v>-1252675</v>
      </c>
      <c r="CU284" s="239">
        <v>-1002141</v>
      </c>
      <c r="CV284" s="239">
        <v>-250535</v>
      </c>
      <c r="CW284" s="239">
        <v>0</v>
      </c>
      <c r="CX284" s="239">
        <v>-2505351</v>
      </c>
      <c r="CY284" s="239">
        <v>-1933232</v>
      </c>
      <c r="CZ284" s="239">
        <v>-1546586</v>
      </c>
      <c r="DA284" s="239">
        <v>-386646</v>
      </c>
      <c r="DB284" s="239">
        <v>0</v>
      </c>
      <c r="DC284" s="239">
        <v>-3866464</v>
      </c>
      <c r="DD284" s="641">
        <v>0.5</v>
      </c>
      <c r="DE284" s="641">
        <v>0.4</v>
      </c>
      <c r="DF284" s="641">
        <v>0.1</v>
      </c>
      <c r="DG284" s="641">
        <v>0</v>
      </c>
      <c r="DH284" s="641">
        <v>1</v>
      </c>
      <c r="DI284" s="214" t="s">
        <v>1190</v>
      </c>
    </row>
    <row r="285" spans="2:113" s="214" customFormat="1" x14ac:dyDescent="0.2">
      <c r="B285" s="609" t="s">
        <v>652</v>
      </c>
      <c r="C285" s="609" t="s">
        <v>651</v>
      </c>
      <c r="D285" s="239">
        <v>16837383</v>
      </c>
      <c r="E285" s="239">
        <v>13469906</v>
      </c>
      <c r="F285" s="239">
        <v>3030729</v>
      </c>
      <c r="G285" s="239">
        <v>336748</v>
      </c>
      <c r="H285" s="239">
        <v>33674766</v>
      </c>
      <c r="I285" s="239">
        <v>0</v>
      </c>
      <c r="J285" s="239">
        <v>0</v>
      </c>
      <c r="K285" s="239">
        <v>16837383</v>
      </c>
      <c r="L285" s="239">
        <v>192176</v>
      </c>
      <c r="M285" s="239">
        <v>192176</v>
      </c>
      <c r="N285" s="239">
        <v>0</v>
      </c>
      <c r="O285" s="239">
        <v>0</v>
      </c>
      <c r="P285" s="239">
        <v>0</v>
      </c>
      <c r="Q285" s="239">
        <v>0</v>
      </c>
      <c r="R285" s="239">
        <v>0</v>
      </c>
      <c r="S285" s="239">
        <v>0</v>
      </c>
      <c r="T285" s="239">
        <v>0</v>
      </c>
      <c r="U285" s="239">
        <v>0</v>
      </c>
      <c r="V285" s="239">
        <v>0</v>
      </c>
      <c r="W285" s="239">
        <v>902403</v>
      </c>
      <c r="X285" s="239">
        <v>721922</v>
      </c>
      <c r="Y285" s="239">
        <v>162433</v>
      </c>
      <c r="Z285" s="239">
        <v>18048</v>
      </c>
      <c r="AA285" s="239">
        <v>1804806</v>
      </c>
      <c r="AB285" s="239">
        <v>-797647</v>
      </c>
      <c r="AC285" s="239">
        <v>-638117</v>
      </c>
      <c r="AD285" s="239">
        <v>-143576</v>
      </c>
      <c r="AE285" s="239">
        <v>-15953</v>
      </c>
      <c r="AF285" s="239">
        <v>-1595293</v>
      </c>
      <c r="AG285" s="239">
        <v>-535814</v>
      </c>
      <c r="AH285" s="239">
        <v>-428650</v>
      </c>
      <c r="AI285" s="239">
        <v>-96447</v>
      </c>
      <c r="AJ285" s="239">
        <v>-10716</v>
      </c>
      <c r="AK285" s="239">
        <v>-1071627</v>
      </c>
      <c r="AL285" s="239">
        <v>145254</v>
      </c>
      <c r="AM285" s="239">
        <v>116204</v>
      </c>
      <c r="AN285" s="239">
        <v>26146</v>
      </c>
      <c r="AO285" s="239">
        <v>2905</v>
      </c>
      <c r="AP285" s="239">
        <v>290509</v>
      </c>
      <c r="AQ285" s="239">
        <v>-92194</v>
      </c>
      <c r="AR285" s="239">
        <v>-73755</v>
      </c>
      <c r="AS285" s="239">
        <v>-16595</v>
      </c>
      <c r="AT285" s="239">
        <v>-1844</v>
      </c>
      <c r="AU285" s="239">
        <v>-184388</v>
      </c>
      <c r="AV285" s="239">
        <v>-482754</v>
      </c>
      <c r="AW285" s="239">
        <v>-386201</v>
      </c>
      <c r="AX285" s="239">
        <v>-86896</v>
      </c>
      <c r="AY285" s="239">
        <v>-9655</v>
      </c>
      <c r="AZ285" s="239">
        <v>-965506</v>
      </c>
      <c r="BA285" s="239">
        <v>-3041950</v>
      </c>
      <c r="BB285" s="239">
        <v>-2433560</v>
      </c>
      <c r="BC285" s="239">
        <v>-547552</v>
      </c>
      <c r="BD285" s="239">
        <v>-60839</v>
      </c>
      <c r="BE285" s="239">
        <v>-6083901</v>
      </c>
      <c r="BF285" s="239">
        <v>1447955</v>
      </c>
      <c r="BG285" s="239">
        <v>1158364</v>
      </c>
      <c r="BH285" s="239">
        <v>260632</v>
      </c>
      <c r="BI285" s="239">
        <v>28959</v>
      </c>
      <c r="BJ285" s="239">
        <v>2895910</v>
      </c>
      <c r="BK285" s="239">
        <v>-1037655</v>
      </c>
      <c r="BL285" s="239">
        <v>-830124</v>
      </c>
      <c r="BM285" s="239">
        <v>-186778</v>
      </c>
      <c r="BN285" s="239">
        <v>-20753</v>
      </c>
      <c r="BO285" s="239">
        <v>-2075310</v>
      </c>
      <c r="BP285" s="239">
        <v>-2631650</v>
      </c>
      <c r="BQ285" s="239">
        <v>-2105320</v>
      </c>
      <c r="BR285" s="239">
        <v>-473698</v>
      </c>
      <c r="BS285" s="239">
        <v>-52633</v>
      </c>
      <c r="BT285" s="239">
        <v>-5263301</v>
      </c>
      <c r="BU285" s="239">
        <v>-1586084</v>
      </c>
      <c r="BV285" s="239">
        <v>-1268868</v>
      </c>
      <c r="BW285" s="239">
        <v>-285495</v>
      </c>
      <c r="BX285" s="239">
        <v>-31722</v>
      </c>
      <c r="BY285" s="239">
        <v>-3172169</v>
      </c>
      <c r="BZ285" s="239">
        <v>-1503228</v>
      </c>
      <c r="CA285" s="239">
        <v>-1202582</v>
      </c>
      <c r="CB285" s="239">
        <v>-270581</v>
      </c>
      <c r="CC285" s="239">
        <v>-30065</v>
      </c>
      <c r="CD285" s="239">
        <v>-3006456</v>
      </c>
      <c r="CE285" s="239">
        <v>-82856</v>
      </c>
      <c r="CF285" s="239">
        <v>-66286</v>
      </c>
      <c r="CG285" s="239">
        <v>-14914</v>
      </c>
      <c r="CH285" s="239">
        <v>-1657</v>
      </c>
      <c r="CI285" s="239">
        <v>-165713</v>
      </c>
      <c r="CJ285" s="239">
        <v>15043975</v>
      </c>
      <c r="CK285" s="239">
        <v>12035179</v>
      </c>
      <c r="CL285" s="239">
        <v>2707915</v>
      </c>
      <c r="CM285" s="239">
        <v>300879</v>
      </c>
      <c r="CN285" s="239">
        <v>30087948</v>
      </c>
      <c r="CO285" s="239">
        <v>16837383</v>
      </c>
      <c r="CP285" s="239">
        <v>13469906</v>
      </c>
      <c r="CQ285" s="239">
        <v>3030729</v>
      </c>
      <c r="CR285" s="239">
        <v>336748</v>
      </c>
      <c r="CS285" s="239">
        <v>33674766</v>
      </c>
      <c r="CT285" s="239">
        <v>1793408</v>
      </c>
      <c r="CU285" s="239">
        <v>1434727</v>
      </c>
      <c r="CV285" s="239">
        <v>322814</v>
      </c>
      <c r="CW285" s="239">
        <v>35869</v>
      </c>
      <c r="CX285" s="239">
        <v>3586818</v>
      </c>
      <c r="CY285" s="239">
        <v>1710552</v>
      </c>
      <c r="CZ285" s="239">
        <v>1368441</v>
      </c>
      <c r="DA285" s="239">
        <v>307900</v>
      </c>
      <c r="DB285" s="239">
        <v>34212</v>
      </c>
      <c r="DC285" s="239">
        <v>3421105</v>
      </c>
      <c r="DD285" s="641">
        <v>0.5</v>
      </c>
      <c r="DE285" s="641">
        <v>0.4</v>
      </c>
      <c r="DF285" s="641">
        <v>0.09</v>
      </c>
      <c r="DG285" s="641">
        <v>0.01</v>
      </c>
      <c r="DH285" s="641">
        <v>1</v>
      </c>
      <c r="DI285" s="214" t="s">
        <v>1190</v>
      </c>
    </row>
    <row r="286" spans="2:113" s="214" customFormat="1" x14ac:dyDescent="0.2">
      <c r="B286" s="609" t="s">
        <v>654</v>
      </c>
      <c r="C286" s="609" t="s">
        <v>653</v>
      </c>
      <c r="D286" s="239">
        <v>15186654</v>
      </c>
      <c r="E286" s="239">
        <v>12149324</v>
      </c>
      <c r="F286" s="239">
        <v>3037331</v>
      </c>
      <c r="G286" s="239">
        <v>0</v>
      </c>
      <c r="H286" s="239">
        <v>30373309</v>
      </c>
      <c r="I286" s="239">
        <v>0</v>
      </c>
      <c r="J286" s="239">
        <v>0</v>
      </c>
      <c r="K286" s="239">
        <v>15186654</v>
      </c>
      <c r="L286" s="239">
        <v>94955</v>
      </c>
      <c r="M286" s="239">
        <v>94955</v>
      </c>
      <c r="N286" s="239">
        <v>0</v>
      </c>
      <c r="O286" s="239">
        <v>0</v>
      </c>
      <c r="P286" s="239">
        <v>0</v>
      </c>
      <c r="Q286" s="239">
        <v>0</v>
      </c>
      <c r="R286" s="239">
        <v>0</v>
      </c>
      <c r="S286" s="239">
        <v>0</v>
      </c>
      <c r="T286" s="239">
        <v>0</v>
      </c>
      <c r="U286" s="239">
        <v>0</v>
      </c>
      <c r="V286" s="239">
        <v>0</v>
      </c>
      <c r="W286" s="239">
        <v>351933</v>
      </c>
      <c r="X286" s="239">
        <v>281547</v>
      </c>
      <c r="Y286" s="239">
        <v>70387</v>
      </c>
      <c r="Z286" s="239">
        <v>0</v>
      </c>
      <c r="AA286" s="239">
        <v>703867</v>
      </c>
      <c r="AB286" s="239">
        <v>-419714</v>
      </c>
      <c r="AC286" s="239">
        <v>-335772</v>
      </c>
      <c r="AD286" s="239">
        <v>-83943</v>
      </c>
      <c r="AE286" s="239">
        <v>0</v>
      </c>
      <c r="AF286" s="239">
        <v>-839429</v>
      </c>
      <c r="AG286" s="239">
        <v>-479782</v>
      </c>
      <c r="AH286" s="239">
        <v>-383825</v>
      </c>
      <c r="AI286" s="239">
        <v>-95956</v>
      </c>
      <c r="AJ286" s="239">
        <v>0</v>
      </c>
      <c r="AK286" s="239">
        <v>-959563</v>
      </c>
      <c r="AL286" s="239">
        <v>118859</v>
      </c>
      <c r="AM286" s="239">
        <v>95088</v>
      </c>
      <c r="AN286" s="239">
        <v>23772</v>
      </c>
      <c r="AO286" s="239">
        <v>0</v>
      </c>
      <c r="AP286" s="239">
        <v>237719</v>
      </c>
      <c r="AQ286" s="239">
        <v>22157</v>
      </c>
      <c r="AR286" s="239">
        <v>17726</v>
      </c>
      <c r="AS286" s="239">
        <v>4431</v>
      </c>
      <c r="AT286" s="239">
        <v>0</v>
      </c>
      <c r="AU286" s="239">
        <v>44314</v>
      </c>
      <c r="AV286" s="239">
        <v>-338766</v>
      </c>
      <c r="AW286" s="239">
        <v>-271011</v>
      </c>
      <c r="AX286" s="239">
        <v>-67753</v>
      </c>
      <c r="AY286" s="239">
        <v>0</v>
      </c>
      <c r="AZ286" s="239">
        <v>-677530</v>
      </c>
      <c r="BA286" s="239">
        <v>-2425238</v>
      </c>
      <c r="BB286" s="239">
        <v>-1940188</v>
      </c>
      <c r="BC286" s="239">
        <v>-485048</v>
      </c>
      <c r="BD286" s="239">
        <v>0</v>
      </c>
      <c r="BE286" s="239">
        <v>-4850474</v>
      </c>
      <c r="BF286" s="239">
        <v>615264</v>
      </c>
      <c r="BG286" s="239">
        <v>492212</v>
      </c>
      <c r="BH286" s="239">
        <v>123053</v>
      </c>
      <c r="BI286" s="239">
        <v>0</v>
      </c>
      <c r="BJ286" s="239">
        <v>1230529</v>
      </c>
      <c r="BK286" s="239">
        <v>697381</v>
      </c>
      <c r="BL286" s="239">
        <v>557904</v>
      </c>
      <c r="BM286" s="239">
        <v>139476</v>
      </c>
      <c r="BN286" s="239">
        <v>0</v>
      </c>
      <c r="BO286" s="239">
        <v>1394761</v>
      </c>
      <c r="BP286" s="239">
        <v>-1112593</v>
      </c>
      <c r="BQ286" s="239">
        <v>-890072</v>
      </c>
      <c r="BR286" s="239">
        <v>-222519</v>
      </c>
      <c r="BS286" s="239">
        <v>0</v>
      </c>
      <c r="BT286" s="239">
        <v>-2225184</v>
      </c>
      <c r="BU286" s="239">
        <v>-1837252</v>
      </c>
      <c r="BV286" s="239">
        <v>-1469801</v>
      </c>
      <c r="BW286" s="239">
        <v>-367450</v>
      </c>
      <c r="BX286" s="239">
        <v>0</v>
      </c>
      <c r="BY286" s="239">
        <v>-3674503</v>
      </c>
      <c r="BZ286" s="239">
        <v>3665213</v>
      </c>
      <c r="CA286" s="239">
        <v>2932171</v>
      </c>
      <c r="CB286" s="239">
        <v>733043</v>
      </c>
      <c r="CC286" s="239">
        <v>0</v>
      </c>
      <c r="CD286" s="239">
        <v>7330427</v>
      </c>
      <c r="CE286" s="239">
        <v>-5502465</v>
      </c>
      <c r="CF286" s="239">
        <v>-4401972</v>
      </c>
      <c r="CG286" s="239">
        <v>-1100493</v>
      </c>
      <c r="CH286" s="239">
        <v>0</v>
      </c>
      <c r="CI286" s="239">
        <v>-11004930</v>
      </c>
      <c r="CJ286" s="239">
        <v>14615958</v>
      </c>
      <c r="CK286" s="239">
        <v>11692767</v>
      </c>
      <c r="CL286" s="239">
        <v>2923192</v>
      </c>
      <c r="CM286" s="239">
        <v>0</v>
      </c>
      <c r="CN286" s="239">
        <v>29231917</v>
      </c>
      <c r="CO286" s="239">
        <v>15186654</v>
      </c>
      <c r="CP286" s="239">
        <v>12149324</v>
      </c>
      <c r="CQ286" s="239">
        <v>3037331</v>
      </c>
      <c r="CR286" s="239">
        <v>0</v>
      </c>
      <c r="CS286" s="239">
        <v>30373309</v>
      </c>
      <c r="CT286" s="239">
        <v>570696</v>
      </c>
      <c r="CU286" s="239">
        <v>456557</v>
      </c>
      <c r="CV286" s="239">
        <v>114139</v>
      </c>
      <c r="CW286" s="239">
        <v>0</v>
      </c>
      <c r="CX286" s="239">
        <v>1141392</v>
      </c>
      <c r="CY286" s="239">
        <v>-4931769</v>
      </c>
      <c r="CZ286" s="239">
        <v>-3945415</v>
      </c>
      <c r="DA286" s="239">
        <v>-986354</v>
      </c>
      <c r="DB286" s="239">
        <v>0</v>
      </c>
      <c r="DC286" s="239">
        <v>-9863538</v>
      </c>
      <c r="DD286" s="641">
        <v>0.5</v>
      </c>
      <c r="DE286" s="641">
        <v>0.4</v>
      </c>
      <c r="DF286" s="641">
        <v>0.1</v>
      </c>
      <c r="DG286" s="641">
        <v>0</v>
      </c>
      <c r="DH286" s="641">
        <v>1</v>
      </c>
      <c r="DI286" s="214" t="s">
        <v>1190</v>
      </c>
    </row>
    <row r="287" spans="2:113" s="214" customFormat="1" x14ac:dyDescent="0.2">
      <c r="B287" s="609" t="s">
        <v>656</v>
      </c>
      <c r="C287" s="609" t="s">
        <v>655</v>
      </c>
      <c r="D287" s="239">
        <v>55202054</v>
      </c>
      <c r="E287" s="239">
        <v>54098012</v>
      </c>
      <c r="F287" s="239">
        <v>0</v>
      </c>
      <c r="G287" s="239">
        <v>1104041</v>
      </c>
      <c r="H287" s="239">
        <v>110404107</v>
      </c>
      <c r="I287" s="239">
        <v>0</v>
      </c>
      <c r="J287" s="239">
        <v>0</v>
      </c>
      <c r="K287" s="239">
        <v>55202054</v>
      </c>
      <c r="L287" s="239">
        <v>234481</v>
      </c>
      <c r="M287" s="239">
        <v>234481</v>
      </c>
      <c r="N287" s="239">
        <v>0</v>
      </c>
      <c r="O287" s="239">
        <v>0</v>
      </c>
      <c r="P287" s="239">
        <v>0</v>
      </c>
      <c r="Q287" s="239">
        <v>0</v>
      </c>
      <c r="R287" s="239">
        <v>0</v>
      </c>
      <c r="S287" s="239">
        <v>0</v>
      </c>
      <c r="T287" s="239">
        <v>0</v>
      </c>
      <c r="U287" s="239">
        <v>0</v>
      </c>
      <c r="V287" s="239">
        <v>0</v>
      </c>
      <c r="W287" s="239">
        <v>299913</v>
      </c>
      <c r="X287" s="239">
        <v>293914</v>
      </c>
      <c r="Y287" s="239">
        <v>0</v>
      </c>
      <c r="Z287" s="239">
        <v>5998</v>
      </c>
      <c r="AA287" s="239">
        <v>599825</v>
      </c>
      <c r="AB287" s="239">
        <v>-135309</v>
      </c>
      <c r="AC287" s="239">
        <v>-132602</v>
      </c>
      <c r="AD287" s="239">
        <v>0</v>
      </c>
      <c r="AE287" s="239">
        <v>-2706</v>
      </c>
      <c r="AF287" s="239">
        <v>-270617</v>
      </c>
      <c r="AG287" s="239">
        <v>129653</v>
      </c>
      <c r="AH287" s="239">
        <v>127061</v>
      </c>
      <c r="AI287" s="239">
        <v>0</v>
      </c>
      <c r="AJ287" s="239">
        <v>2593</v>
      </c>
      <c r="AK287" s="239">
        <v>259307</v>
      </c>
      <c r="AL287" s="239">
        <v>0</v>
      </c>
      <c r="AM287" s="239">
        <v>0</v>
      </c>
      <c r="AN287" s="239">
        <v>0</v>
      </c>
      <c r="AO287" s="239">
        <v>0</v>
      </c>
      <c r="AP287" s="239">
        <v>0</v>
      </c>
      <c r="AQ287" s="239">
        <v>-87822</v>
      </c>
      <c r="AR287" s="239">
        <v>-86066</v>
      </c>
      <c r="AS287" s="239">
        <v>0</v>
      </c>
      <c r="AT287" s="239">
        <v>-1756</v>
      </c>
      <c r="AU287" s="239">
        <v>-175644</v>
      </c>
      <c r="AV287" s="239">
        <v>41831</v>
      </c>
      <c r="AW287" s="239">
        <v>40995</v>
      </c>
      <c r="AX287" s="239">
        <v>0</v>
      </c>
      <c r="AY287" s="239">
        <v>837</v>
      </c>
      <c r="AZ287" s="239">
        <v>83663</v>
      </c>
      <c r="BA287" s="239">
        <v>-5782899</v>
      </c>
      <c r="BB287" s="239">
        <v>-5667242</v>
      </c>
      <c r="BC287" s="239">
        <v>0</v>
      </c>
      <c r="BD287" s="239">
        <v>-115658</v>
      </c>
      <c r="BE287" s="239">
        <v>-11565799</v>
      </c>
      <c r="BF287" s="239">
        <v>0</v>
      </c>
      <c r="BG287" s="239">
        <v>0</v>
      </c>
      <c r="BH287" s="239">
        <v>0</v>
      </c>
      <c r="BI287" s="239">
        <v>0</v>
      </c>
      <c r="BJ287" s="239">
        <v>0</v>
      </c>
      <c r="BK287" s="239">
        <v>-349774</v>
      </c>
      <c r="BL287" s="239">
        <v>-342779</v>
      </c>
      <c r="BM287" s="239">
        <v>0</v>
      </c>
      <c r="BN287" s="239">
        <v>-6995</v>
      </c>
      <c r="BO287" s="239">
        <v>-699548</v>
      </c>
      <c r="BP287" s="239">
        <v>-6132673</v>
      </c>
      <c r="BQ287" s="239">
        <v>-6010021</v>
      </c>
      <c r="BR287" s="239">
        <v>0</v>
      </c>
      <c r="BS287" s="239">
        <v>-122653</v>
      </c>
      <c r="BT287" s="239">
        <v>-12265347</v>
      </c>
      <c r="BU287" s="239">
        <v>-1970357</v>
      </c>
      <c r="BV287" s="239">
        <v>-1930950</v>
      </c>
      <c r="BW287" s="239">
        <v>0</v>
      </c>
      <c r="BX287" s="239">
        <v>-39407</v>
      </c>
      <c r="BY287" s="239">
        <v>-3940714</v>
      </c>
      <c r="BZ287" s="239">
        <v>-2880542</v>
      </c>
      <c r="CA287" s="239">
        <v>-2822932</v>
      </c>
      <c r="CB287" s="239">
        <v>0</v>
      </c>
      <c r="CC287" s="239">
        <v>-57611</v>
      </c>
      <c r="CD287" s="239">
        <v>-5761085</v>
      </c>
      <c r="CE287" s="239">
        <v>910185</v>
      </c>
      <c r="CF287" s="239">
        <v>891982</v>
      </c>
      <c r="CG287" s="239">
        <v>0</v>
      </c>
      <c r="CH287" s="239">
        <v>18204</v>
      </c>
      <c r="CI287" s="239">
        <v>1820371</v>
      </c>
      <c r="CJ287" s="239">
        <v>55900911</v>
      </c>
      <c r="CK287" s="239">
        <v>54782893</v>
      </c>
      <c r="CL287" s="239">
        <v>0</v>
      </c>
      <c r="CM287" s="239">
        <v>1118018</v>
      </c>
      <c r="CN287" s="239">
        <v>111801822</v>
      </c>
      <c r="CO287" s="239">
        <v>55202054</v>
      </c>
      <c r="CP287" s="239">
        <v>54098012</v>
      </c>
      <c r="CQ287" s="239">
        <v>0</v>
      </c>
      <c r="CR287" s="239">
        <v>1104041</v>
      </c>
      <c r="CS287" s="239">
        <v>110404107</v>
      </c>
      <c r="CT287" s="239">
        <v>-698857</v>
      </c>
      <c r="CU287" s="239">
        <v>-684881</v>
      </c>
      <c r="CV287" s="239">
        <v>0</v>
      </c>
      <c r="CW287" s="239">
        <v>-13977</v>
      </c>
      <c r="CX287" s="239">
        <v>-1397715</v>
      </c>
      <c r="CY287" s="239">
        <v>211328</v>
      </c>
      <c r="CZ287" s="239">
        <v>207101</v>
      </c>
      <c r="DA287" s="239">
        <v>0</v>
      </c>
      <c r="DB287" s="239">
        <v>4227</v>
      </c>
      <c r="DC287" s="239">
        <v>422656</v>
      </c>
      <c r="DD287" s="641">
        <v>0.5</v>
      </c>
      <c r="DE287" s="641">
        <v>0.49</v>
      </c>
      <c r="DF287" s="641">
        <v>0</v>
      </c>
      <c r="DG287" s="641">
        <v>0.01</v>
      </c>
      <c r="DH287" s="641">
        <v>1</v>
      </c>
      <c r="DI287" s="214" t="s">
        <v>747</v>
      </c>
    </row>
    <row r="288" spans="2:113" s="214" customFormat="1" x14ac:dyDescent="0.2">
      <c r="B288" s="609" t="s">
        <v>658</v>
      </c>
      <c r="C288" s="609" t="s">
        <v>657</v>
      </c>
      <c r="D288" s="239">
        <v>26615464</v>
      </c>
      <c r="E288" s="239">
        <v>21292370</v>
      </c>
      <c r="F288" s="239">
        <v>4790783</v>
      </c>
      <c r="G288" s="239">
        <v>532309</v>
      </c>
      <c r="H288" s="239">
        <v>53230926</v>
      </c>
      <c r="I288" s="239">
        <v>0</v>
      </c>
      <c r="J288" s="239">
        <v>0</v>
      </c>
      <c r="K288" s="239">
        <v>26615464</v>
      </c>
      <c r="L288" s="239">
        <v>165827</v>
      </c>
      <c r="M288" s="239">
        <v>165827</v>
      </c>
      <c r="N288" s="239">
        <v>0</v>
      </c>
      <c r="O288" s="239">
        <v>0</v>
      </c>
      <c r="P288" s="239">
        <v>0</v>
      </c>
      <c r="Q288" s="239">
        <v>0</v>
      </c>
      <c r="R288" s="239">
        <v>0</v>
      </c>
      <c r="S288" s="239">
        <v>0</v>
      </c>
      <c r="T288" s="239">
        <v>0</v>
      </c>
      <c r="U288" s="239">
        <v>0</v>
      </c>
      <c r="V288" s="239">
        <v>0</v>
      </c>
      <c r="W288" s="239">
        <v>675408</v>
      </c>
      <c r="X288" s="239">
        <v>540326</v>
      </c>
      <c r="Y288" s="239">
        <v>121573</v>
      </c>
      <c r="Z288" s="239">
        <v>13508</v>
      </c>
      <c r="AA288" s="239">
        <v>1350815</v>
      </c>
      <c r="AB288" s="239">
        <v>-1039011</v>
      </c>
      <c r="AC288" s="239">
        <v>-831209</v>
      </c>
      <c r="AD288" s="239">
        <v>-187022</v>
      </c>
      <c r="AE288" s="239">
        <v>-20780</v>
      </c>
      <c r="AF288" s="239">
        <v>-2078022</v>
      </c>
      <c r="AG288" s="239">
        <v>-115000</v>
      </c>
      <c r="AH288" s="239">
        <v>-92000</v>
      </c>
      <c r="AI288" s="239">
        <v>-20700</v>
      </c>
      <c r="AJ288" s="239">
        <v>-2300</v>
      </c>
      <c r="AK288" s="239">
        <v>-230000</v>
      </c>
      <c r="AL288" s="239">
        <v>115000</v>
      </c>
      <c r="AM288" s="239">
        <v>92000</v>
      </c>
      <c r="AN288" s="239">
        <v>20700</v>
      </c>
      <c r="AO288" s="239">
        <v>2300</v>
      </c>
      <c r="AP288" s="239">
        <v>230000</v>
      </c>
      <c r="AQ288" s="239">
        <v>-180000</v>
      </c>
      <c r="AR288" s="239">
        <v>-144000</v>
      </c>
      <c r="AS288" s="239">
        <v>-32400</v>
      </c>
      <c r="AT288" s="239">
        <v>-3600</v>
      </c>
      <c r="AU288" s="239">
        <v>-360000</v>
      </c>
      <c r="AV288" s="239">
        <v>-180000</v>
      </c>
      <c r="AW288" s="239">
        <v>-144000</v>
      </c>
      <c r="AX288" s="239">
        <v>-32400</v>
      </c>
      <c r="AY288" s="239">
        <v>-3600</v>
      </c>
      <c r="AZ288" s="239">
        <v>-360000</v>
      </c>
      <c r="BA288" s="239">
        <v>-3955000</v>
      </c>
      <c r="BB288" s="239">
        <v>-3164000</v>
      </c>
      <c r="BC288" s="239">
        <v>-711900</v>
      </c>
      <c r="BD288" s="239">
        <v>-79100</v>
      </c>
      <c r="BE288" s="239">
        <v>-7910000</v>
      </c>
      <c r="BF288" s="239">
        <v>1227604</v>
      </c>
      <c r="BG288" s="239">
        <v>982084</v>
      </c>
      <c r="BH288" s="239">
        <v>220969</v>
      </c>
      <c r="BI288" s="239">
        <v>24552</v>
      </c>
      <c r="BJ288" s="239">
        <v>2455209</v>
      </c>
      <c r="BK288" s="239">
        <v>-1022604</v>
      </c>
      <c r="BL288" s="239">
        <v>-818084</v>
      </c>
      <c r="BM288" s="239">
        <v>-184069</v>
      </c>
      <c r="BN288" s="239">
        <v>-20452</v>
      </c>
      <c r="BO288" s="239">
        <v>-2045209</v>
      </c>
      <c r="BP288" s="239">
        <v>-3750000</v>
      </c>
      <c r="BQ288" s="239">
        <v>-3000000</v>
      </c>
      <c r="BR288" s="239">
        <v>-675000</v>
      </c>
      <c r="BS288" s="239">
        <v>-75000</v>
      </c>
      <c r="BT288" s="239">
        <v>-7500000</v>
      </c>
      <c r="BU288" s="239">
        <v>-2524757</v>
      </c>
      <c r="BV288" s="239">
        <v>-2019806</v>
      </c>
      <c r="BW288" s="239">
        <v>-454456</v>
      </c>
      <c r="BX288" s="239">
        <v>-50495</v>
      </c>
      <c r="BY288" s="239">
        <v>-5049514</v>
      </c>
      <c r="BZ288" s="239">
        <v>-2486558</v>
      </c>
      <c r="CA288" s="239">
        <v>-1989247</v>
      </c>
      <c r="CB288" s="239">
        <v>-447581</v>
      </c>
      <c r="CC288" s="239">
        <v>-49731</v>
      </c>
      <c r="CD288" s="239">
        <v>-4973117</v>
      </c>
      <c r="CE288" s="239">
        <v>-38199</v>
      </c>
      <c r="CF288" s="239">
        <v>-30559</v>
      </c>
      <c r="CG288" s="239">
        <v>-6875</v>
      </c>
      <c r="CH288" s="239">
        <v>-764</v>
      </c>
      <c r="CI288" s="239">
        <v>-76397</v>
      </c>
      <c r="CJ288" s="239">
        <v>26902087</v>
      </c>
      <c r="CK288" s="239">
        <v>21521670</v>
      </c>
      <c r="CL288" s="239">
        <v>4842376</v>
      </c>
      <c r="CM288" s="239">
        <v>538042</v>
      </c>
      <c r="CN288" s="239">
        <v>53804175</v>
      </c>
      <c r="CO288" s="239">
        <v>26615464</v>
      </c>
      <c r="CP288" s="239">
        <v>21292370</v>
      </c>
      <c r="CQ288" s="239">
        <v>4790783</v>
      </c>
      <c r="CR288" s="239">
        <v>532309</v>
      </c>
      <c r="CS288" s="239">
        <v>53230926</v>
      </c>
      <c r="CT288" s="239">
        <v>-286623</v>
      </c>
      <c r="CU288" s="239">
        <v>-229300</v>
      </c>
      <c r="CV288" s="239">
        <v>-51593</v>
      </c>
      <c r="CW288" s="239">
        <v>-5733</v>
      </c>
      <c r="CX288" s="239">
        <v>-573249</v>
      </c>
      <c r="CY288" s="239">
        <v>-324822</v>
      </c>
      <c r="CZ288" s="239">
        <v>-259859</v>
      </c>
      <c r="DA288" s="239">
        <v>-58468</v>
      </c>
      <c r="DB288" s="239">
        <v>-6497</v>
      </c>
      <c r="DC288" s="239">
        <v>-649646</v>
      </c>
      <c r="DD288" s="641">
        <v>0.5</v>
      </c>
      <c r="DE288" s="641">
        <v>0.4</v>
      </c>
      <c r="DF288" s="641">
        <v>0.09</v>
      </c>
      <c r="DG288" s="641">
        <v>0.01</v>
      </c>
      <c r="DH288" s="641">
        <v>1</v>
      </c>
      <c r="DI288" s="214" t="s">
        <v>1190</v>
      </c>
    </row>
    <row r="289" spans="2:113" s="214" customFormat="1" x14ac:dyDescent="0.2">
      <c r="B289" s="609" t="s">
        <v>660</v>
      </c>
      <c r="C289" s="609" t="s">
        <v>659</v>
      </c>
      <c r="D289" s="239">
        <v>18728534</v>
      </c>
      <c r="E289" s="239">
        <v>18353964</v>
      </c>
      <c r="F289" s="239">
        <v>0</v>
      </c>
      <c r="G289" s="239">
        <v>374571</v>
      </c>
      <c r="H289" s="239">
        <v>37457069</v>
      </c>
      <c r="I289" s="239">
        <v>0</v>
      </c>
      <c r="J289" s="239">
        <v>0</v>
      </c>
      <c r="K289" s="239">
        <v>18728534</v>
      </c>
      <c r="L289" s="239">
        <v>201543</v>
      </c>
      <c r="M289" s="239">
        <v>201543</v>
      </c>
      <c r="N289" s="239">
        <v>0</v>
      </c>
      <c r="O289" s="239">
        <v>0</v>
      </c>
      <c r="P289" s="239">
        <v>0</v>
      </c>
      <c r="Q289" s="239">
        <v>0</v>
      </c>
      <c r="R289" s="239">
        <v>0</v>
      </c>
      <c r="S289" s="239">
        <v>0</v>
      </c>
      <c r="T289" s="239">
        <v>0</v>
      </c>
      <c r="U289" s="239">
        <v>0</v>
      </c>
      <c r="V289" s="239">
        <v>0</v>
      </c>
      <c r="W289" s="239">
        <v>939237</v>
      </c>
      <c r="X289" s="239">
        <v>920453</v>
      </c>
      <c r="Y289" s="239">
        <v>0</v>
      </c>
      <c r="Z289" s="239">
        <v>18785</v>
      </c>
      <c r="AA289" s="239">
        <v>1878475</v>
      </c>
      <c r="AB289" s="239">
        <v>-360039</v>
      </c>
      <c r="AC289" s="239">
        <v>-352839</v>
      </c>
      <c r="AD289" s="239">
        <v>0</v>
      </c>
      <c r="AE289" s="239">
        <v>-7201</v>
      </c>
      <c r="AF289" s="239">
        <v>-720079</v>
      </c>
      <c r="AG289" s="239">
        <v>-408055</v>
      </c>
      <c r="AH289" s="239">
        <v>-399893</v>
      </c>
      <c r="AI289" s="239">
        <v>0</v>
      </c>
      <c r="AJ289" s="239">
        <v>-8161</v>
      </c>
      <c r="AK289" s="239">
        <v>-816109</v>
      </c>
      <c r="AL289" s="239">
        <v>301874</v>
      </c>
      <c r="AM289" s="239">
        <v>295837</v>
      </c>
      <c r="AN289" s="239">
        <v>0</v>
      </c>
      <c r="AO289" s="239">
        <v>6037</v>
      </c>
      <c r="AP289" s="239">
        <v>603748</v>
      </c>
      <c r="AQ289" s="239">
        <v>-324876</v>
      </c>
      <c r="AR289" s="239">
        <v>-318379</v>
      </c>
      <c r="AS289" s="239">
        <v>0</v>
      </c>
      <c r="AT289" s="239">
        <v>-6498</v>
      </c>
      <c r="AU289" s="239">
        <v>-649753</v>
      </c>
      <c r="AV289" s="239">
        <v>-431057</v>
      </c>
      <c r="AW289" s="239">
        <v>-422435</v>
      </c>
      <c r="AX289" s="239">
        <v>0</v>
      </c>
      <c r="AY289" s="239">
        <v>-8622</v>
      </c>
      <c r="AZ289" s="239">
        <v>-862114</v>
      </c>
      <c r="BA289" s="239">
        <v>-2102681</v>
      </c>
      <c r="BB289" s="239">
        <v>-2060627</v>
      </c>
      <c r="BC289" s="239">
        <v>0</v>
      </c>
      <c r="BD289" s="239">
        <v>-42054</v>
      </c>
      <c r="BE289" s="239">
        <v>-4205362</v>
      </c>
      <c r="BF289" s="239">
        <v>0</v>
      </c>
      <c r="BG289" s="239">
        <v>0</v>
      </c>
      <c r="BH289" s="239">
        <v>0</v>
      </c>
      <c r="BI289" s="239">
        <v>0</v>
      </c>
      <c r="BJ289" s="239">
        <v>0</v>
      </c>
      <c r="BK289" s="239">
        <v>587285</v>
      </c>
      <c r="BL289" s="239">
        <v>575539</v>
      </c>
      <c r="BM289" s="239">
        <v>0</v>
      </c>
      <c r="BN289" s="239">
        <v>11746</v>
      </c>
      <c r="BO289" s="239">
        <v>1174570</v>
      </c>
      <c r="BP289" s="239">
        <v>-1515396</v>
      </c>
      <c r="BQ289" s="239">
        <v>-1485088</v>
      </c>
      <c r="BR289" s="239">
        <v>0</v>
      </c>
      <c r="BS289" s="239">
        <v>-30308</v>
      </c>
      <c r="BT289" s="239">
        <v>-3030792</v>
      </c>
      <c r="BU289" s="239">
        <v>-1317964</v>
      </c>
      <c r="BV289" s="239">
        <v>-1291605</v>
      </c>
      <c r="BW289" s="239">
        <v>0</v>
      </c>
      <c r="BX289" s="239">
        <v>-26359</v>
      </c>
      <c r="BY289" s="239">
        <v>-2635928</v>
      </c>
      <c r="BZ289" s="239">
        <v>-998722</v>
      </c>
      <c r="CA289" s="239">
        <v>-978747</v>
      </c>
      <c r="CB289" s="239">
        <v>0</v>
      </c>
      <c r="CC289" s="239">
        <v>-19974</v>
      </c>
      <c r="CD289" s="239">
        <v>-1997443</v>
      </c>
      <c r="CE289" s="239">
        <v>-319242</v>
      </c>
      <c r="CF289" s="239">
        <v>-312858</v>
      </c>
      <c r="CG289" s="239">
        <v>0</v>
      </c>
      <c r="CH289" s="239">
        <v>-6385</v>
      </c>
      <c r="CI289" s="239">
        <v>-638485</v>
      </c>
      <c r="CJ289" s="239">
        <v>18656112</v>
      </c>
      <c r="CK289" s="239">
        <v>18282989</v>
      </c>
      <c r="CL289" s="239">
        <v>0</v>
      </c>
      <c r="CM289" s="239">
        <v>373122</v>
      </c>
      <c r="CN289" s="239">
        <v>37312223</v>
      </c>
      <c r="CO289" s="239">
        <v>18728534</v>
      </c>
      <c r="CP289" s="239">
        <v>18353964</v>
      </c>
      <c r="CQ289" s="239">
        <v>0</v>
      </c>
      <c r="CR289" s="239">
        <v>374571</v>
      </c>
      <c r="CS289" s="239">
        <v>37457069</v>
      </c>
      <c r="CT289" s="239">
        <v>72422</v>
      </c>
      <c r="CU289" s="239">
        <v>70975</v>
      </c>
      <c r="CV289" s="239">
        <v>0</v>
      </c>
      <c r="CW289" s="239">
        <v>1449</v>
      </c>
      <c r="CX289" s="239">
        <v>144846</v>
      </c>
      <c r="CY289" s="239">
        <v>-246820</v>
      </c>
      <c r="CZ289" s="239">
        <v>-241883</v>
      </c>
      <c r="DA289" s="239">
        <v>0</v>
      </c>
      <c r="DB289" s="239">
        <v>-4936</v>
      </c>
      <c r="DC289" s="239">
        <v>-493639</v>
      </c>
      <c r="DD289" s="641">
        <v>0.5</v>
      </c>
      <c r="DE289" s="641">
        <v>0.49</v>
      </c>
      <c r="DF289" s="641">
        <v>0</v>
      </c>
      <c r="DG289" s="641">
        <v>0.01</v>
      </c>
      <c r="DH289" s="641">
        <v>1</v>
      </c>
      <c r="DI289" s="214" t="s">
        <v>747</v>
      </c>
    </row>
    <row r="290" spans="2:113" s="214" customFormat="1" x14ac:dyDescent="0.2">
      <c r="B290" s="609" t="s">
        <v>662</v>
      </c>
      <c r="C290" s="609" t="s">
        <v>661</v>
      </c>
      <c r="D290" s="239">
        <v>5049290</v>
      </c>
      <c r="E290" s="239">
        <v>4039432</v>
      </c>
      <c r="F290" s="239">
        <v>908872</v>
      </c>
      <c r="G290" s="239">
        <v>100986</v>
      </c>
      <c r="H290" s="239">
        <v>10098580</v>
      </c>
      <c r="I290" s="239">
        <v>0</v>
      </c>
      <c r="J290" s="239">
        <v>0</v>
      </c>
      <c r="K290" s="239">
        <v>5049290</v>
      </c>
      <c r="L290" s="239">
        <v>131975</v>
      </c>
      <c r="M290" s="239">
        <v>131975</v>
      </c>
      <c r="N290" s="239">
        <v>0</v>
      </c>
      <c r="O290" s="239">
        <v>0</v>
      </c>
      <c r="P290" s="239">
        <v>567661</v>
      </c>
      <c r="Q290" s="239">
        <v>0</v>
      </c>
      <c r="R290" s="239">
        <v>567661</v>
      </c>
      <c r="S290" s="239">
        <v>0</v>
      </c>
      <c r="T290" s="239">
        <v>0</v>
      </c>
      <c r="U290" s="239">
        <v>0</v>
      </c>
      <c r="V290" s="239">
        <v>0</v>
      </c>
      <c r="W290" s="239">
        <v>167927</v>
      </c>
      <c r="X290" s="239">
        <v>134342</v>
      </c>
      <c r="Y290" s="239">
        <v>30227</v>
      </c>
      <c r="Z290" s="239">
        <v>3359</v>
      </c>
      <c r="AA290" s="239">
        <v>335855</v>
      </c>
      <c r="AB290" s="239">
        <v>-62845</v>
      </c>
      <c r="AC290" s="239">
        <v>-50276</v>
      </c>
      <c r="AD290" s="239">
        <v>-11312</v>
      </c>
      <c r="AE290" s="239">
        <v>-1257</v>
      </c>
      <c r="AF290" s="239">
        <v>-125690</v>
      </c>
      <c r="AG290" s="239">
        <v>-45031</v>
      </c>
      <c r="AH290" s="239">
        <v>-36022</v>
      </c>
      <c r="AI290" s="239">
        <v>-8105</v>
      </c>
      <c r="AJ290" s="239">
        <v>-900</v>
      </c>
      <c r="AK290" s="239">
        <v>-90058</v>
      </c>
      <c r="AL290" s="239">
        <v>23719</v>
      </c>
      <c r="AM290" s="239">
        <v>18974</v>
      </c>
      <c r="AN290" s="239">
        <v>4269</v>
      </c>
      <c r="AO290" s="239">
        <v>474</v>
      </c>
      <c r="AP290" s="239">
        <v>47436</v>
      </c>
      <c r="AQ290" s="239">
        <v>-25175</v>
      </c>
      <c r="AR290" s="239">
        <v>-20141</v>
      </c>
      <c r="AS290" s="239">
        <v>-4532</v>
      </c>
      <c r="AT290" s="239">
        <v>-504</v>
      </c>
      <c r="AU290" s="239">
        <v>-50352</v>
      </c>
      <c r="AV290" s="239">
        <v>-46487</v>
      </c>
      <c r="AW290" s="239">
        <v>-37189</v>
      </c>
      <c r="AX290" s="239">
        <v>-8368</v>
      </c>
      <c r="AY290" s="239">
        <v>-930</v>
      </c>
      <c r="AZ290" s="239">
        <v>-92974</v>
      </c>
      <c r="BA290" s="239">
        <v>-881094</v>
      </c>
      <c r="BB290" s="239">
        <v>-704873</v>
      </c>
      <c r="BC290" s="239">
        <v>-158597</v>
      </c>
      <c r="BD290" s="239">
        <v>-17622</v>
      </c>
      <c r="BE290" s="239">
        <v>-1762186</v>
      </c>
      <c r="BF290" s="239">
        <v>528446</v>
      </c>
      <c r="BG290" s="239">
        <v>422757</v>
      </c>
      <c r="BH290" s="239">
        <v>95120</v>
      </c>
      <c r="BI290" s="239">
        <v>10569</v>
      </c>
      <c r="BJ290" s="239">
        <v>1056892</v>
      </c>
      <c r="BK290" s="239">
        <v>-293134</v>
      </c>
      <c r="BL290" s="239">
        <v>-234507</v>
      </c>
      <c r="BM290" s="239">
        <v>-52764</v>
      </c>
      <c r="BN290" s="239">
        <v>-5863</v>
      </c>
      <c r="BO290" s="239">
        <v>-586268</v>
      </c>
      <c r="BP290" s="239">
        <v>-645782</v>
      </c>
      <c r="BQ290" s="239">
        <v>-516623</v>
      </c>
      <c r="BR290" s="239">
        <v>-116241</v>
      </c>
      <c r="BS290" s="239">
        <v>-12916</v>
      </c>
      <c r="BT290" s="239">
        <v>-1291562</v>
      </c>
      <c r="BU290" s="239">
        <v>-1173764</v>
      </c>
      <c r="BV290" s="239">
        <v>-939012</v>
      </c>
      <c r="BW290" s="239">
        <v>-211278</v>
      </c>
      <c r="BX290" s="239">
        <v>-23475</v>
      </c>
      <c r="BY290" s="239">
        <v>-2347529</v>
      </c>
      <c r="BZ290" s="239">
        <v>-1031397</v>
      </c>
      <c r="CA290" s="239">
        <v>-825118</v>
      </c>
      <c r="CB290" s="239">
        <v>-185651</v>
      </c>
      <c r="CC290" s="239">
        <v>-20628</v>
      </c>
      <c r="CD290" s="239">
        <v>-2062794</v>
      </c>
      <c r="CE290" s="239">
        <v>-142367</v>
      </c>
      <c r="CF290" s="239">
        <v>-113894</v>
      </c>
      <c r="CG290" s="239">
        <v>-25627</v>
      </c>
      <c r="CH290" s="239">
        <v>-2847</v>
      </c>
      <c r="CI290" s="239">
        <v>-284735</v>
      </c>
      <c r="CJ290" s="239">
        <v>5270256</v>
      </c>
      <c r="CK290" s="239">
        <v>4216205</v>
      </c>
      <c r="CL290" s="239">
        <v>948646</v>
      </c>
      <c r="CM290" s="239">
        <v>105405</v>
      </c>
      <c r="CN290" s="239">
        <v>10540512</v>
      </c>
      <c r="CO290" s="239">
        <v>5049290</v>
      </c>
      <c r="CP290" s="239">
        <v>4039432</v>
      </c>
      <c r="CQ290" s="239">
        <v>908872</v>
      </c>
      <c r="CR290" s="239">
        <v>100986</v>
      </c>
      <c r="CS290" s="239">
        <v>10098580</v>
      </c>
      <c r="CT290" s="239">
        <v>-220966</v>
      </c>
      <c r="CU290" s="239">
        <v>-176773</v>
      </c>
      <c r="CV290" s="239">
        <v>-39774</v>
      </c>
      <c r="CW290" s="239">
        <v>-4419</v>
      </c>
      <c r="CX290" s="239">
        <v>-441932</v>
      </c>
      <c r="CY290" s="239">
        <v>-363333</v>
      </c>
      <c r="CZ290" s="239">
        <v>-290667</v>
      </c>
      <c r="DA290" s="239">
        <v>-65401</v>
      </c>
      <c r="DB290" s="239">
        <v>-7266</v>
      </c>
      <c r="DC290" s="239">
        <v>-726667</v>
      </c>
      <c r="DD290" s="641">
        <v>0.5</v>
      </c>
      <c r="DE290" s="641">
        <v>0.4</v>
      </c>
      <c r="DF290" s="641">
        <v>0.09</v>
      </c>
      <c r="DG290" s="641">
        <v>0.01</v>
      </c>
      <c r="DH290" s="641">
        <v>1</v>
      </c>
      <c r="DI290" s="214" t="s">
        <v>1190</v>
      </c>
    </row>
    <row r="291" spans="2:113" s="214" customFormat="1" x14ac:dyDescent="0.2">
      <c r="B291" s="609" t="s">
        <v>664</v>
      </c>
      <c r="C291" s="609" t="s">
        <v>663</v>
      </c>
      <c r="D291" s="239">
        <v>196450339</v>
      </c>
      <c r="E291" s="239">
        <v>117870203</v>
      </c>
      <c r="F291" s="239">
        <v>78580136</v>
      </c>
      <c r="G291" s="239">
        <v>0</v>
      </c>
      <c r="H291" s="239">
        <v>392900678</v>
      </c>
      <c r="I291" s="239">
        <v>0</v>
      </c>
      <c r="J291" s="239">
        <v>0</v>
      </c>
      <c r="K291" s="239">
        <v>196450339</v>
      </c>
      <c r="L291" s="239">
        <v>962576</v>
      </c>
      <c r="M291" s="239">
        <v>962576</v>
      </c>
      <c r="N291" s="239">
        <v>0</v>
      </c>
      <c r="O291" s="239">
        <v>0</v>
      </c>
      <c r="P291" s="239">
        <v>0</v>
      </c>
      <c r="Q291" s="239">
        <v>0</v>
      </c>
      <c r="R291" s="239">
        <v>0</v>
      </c>
      <c r="S291" s="239">
        <v>0</v>
      </c>
      <c r="T291" s="239">
        <v>0</v>
      </c>
      <c r="U291" s="239">
        <v>0</v>
      </c>
      <c r="V291" s="239">
        <v>0</v>
      </c>
      <c r="W291" s="239">
        <v>10284026</v>
      </c>
      <c r="X291" s="239">
        <v>6170416</v>
      </c>
      <c r="Y291" s="239">
        <v>4113610</v>
      </c>
      <c r="Z291" s="239">
        <v>0</v>
      </c>
      <c r="AA291" s="239">
        <v>20568052</v>
      </c>
      <c r="AB291" s="239">
        <v>-11449691</v>
      </c>
      <c r="AC291" s="239">
        <v>-6869815</v>
      </c>
      <c r="AD291" s="239">
        <v>-4579876</v>
      </c>
      <c r="AE291" s="239">
        <v>0</v>
      </c>
      <c r="AF291" s="239">
        <v>-22899382</v>
      </c>
      <c r="AG291" s="239">
        <v>-2687716</v>
      </c>
      <c r="AH291" s="239">
        <v>-1612631</v>
      </c>
      <c r="AI291" s="239">
        <v>-1075086</v>
      </c>
      <c r="AJ291" s="239">
        <v>0</v>
      </c>
      <c r="AK291" s="239">
        <v>-5375433</v>
      </c>
      <c r="AL291" s="239">
        <v>885909</v>
      </c>
      <c r="AM291" s="239">
        <v>531545</v>
      </c>
      <c r="AN291" s="239">
        <v>354363</v>
      </c>
      <c r="AO291" s="239">
        <v>0</v>
      </c>
      <c r="AP291" s="239">
        <v>1771817</v>
      </c>
      <c r="AQ291" s="239">
        <v>-2426294</v>
      </c>
      <c r="AR291" s="239">
        <v>-1455777</v>
      </c>
      <c r="AS291" s="239">
        <v>-970518</v>
      </c>
      <c r="AT291" s="239">
        <v>0</v>
      </c>
      <c r="AU291" s="239">
        <v>-4852589</v>
      </c>
      <c r="AV291" s="239">
        <v>-4228101</v>
      </c>
      <c r="AW291" s="239">
        <v>-2536863</v>
      </c>
      <c r="AX291" s="239">
        <v>-1691241</v>
      </c>
      <c r="AY291" s="239">
        <v>0</v>
      </c>
      <c r="AZ291" s="239">
        <v>-8456205</v>
      </c>
      <c r="BA291" s="239">
        <v>-972610</v>
      </c>
      <c r="BB291" s="239">
        <v>-583566</v>
      </c>
      <c r="BC291" s="239">
        <v>-389044</v>
      </c>
      <c r="BD291" s="239">
        <v>0</v>
      </c>
      <c r="BE291" s="239">
        <v>-1945220</v>
      </c>
      <c r="BF291" s="239">
        <v>4076229</v>
      </c>
      <c r="BG291" s="239">
        <v>2445738</v>
      </c>
      <c r="BH291" s="239">
        <v>1630492</v>
      </c>
      <c r="BI291" s="239">
        <v>0</v>
      </c>
      <c r="BJ291" s="239">
        <v>8152459</v>
      </c>
      <c r="BK291" s="239">
        <v>-4076229</v>
      </c>
      <c r="BL291" s="239">
        <v>-2445738</v>
      </c>
      <c r="BM291" s="239">
        <v>-1630492</v>
      </c>
      <c r="BN291" s="239">
        <v>0</v>
      </c>
      <c r="BO291" s="239">
        <v>-8152459</v>
      </c>
      <c r="BP291" s="239">
        <v>-972610</v>
      </c>
      <c r="BQ291" s="239">
        <v>-583566</v>
      </c>
      <c r="BR291" s="239">
        <v>-389044</v>
      </c>
      <c r="BS291" s="239">
        <v>0</v>
      </c>
      <c r="BT291" s="239">
        <v>-1945220</v>
      </c>
      <c r="BU291" s="239">
        <v>-5267526</v>
      </c>
      <c r="BV291" s="239">
        <v>-3160515</v>
      </c>
      <c r="BW291" s="239">
        <v>-2107010</v>
      </c>
      <c r="BX291" s="239">
        <v>0</v>
      </c>
      <c r="BY291" s="239">
        <v>-10535051</v>
      </c>
      <c r="BZ291" s="239">
        <v>1012716</v>
      </c>
      <c r="CA291" s="239">
        <v>607630</v>
      </c>
      <c r="CB291" s="239">
        <v>405087</v>
      </c>
      <c r="CC291" s="239">
        <v>0</v>
      </c>
      <c r="CD291" s="239">
        <v>2025433</v>
      </c>
      <c r="CE291" s="239">
        <v>-6280242</v>
      </c>
      <c r="CF291" s="239">
        <v>-3768145</v>
      </c>
      <c r="CG291" s="239">
        <v>-2512097</v>
      </c>
      <c r="CH291" s="239">
        <v>0</v>
      </c>
      <c r="CI291" s="239">
        <v>-12560484</v>
      </c>
      <c r="CJ291" s="239">
        <v>196969294</v>
      </c>
      <c r="CK291" s="239">
        <v>118181576</v>
      </c>
      <c r="CL291" s="239">
        <v>78787718</v>
      </c>
      <c r="CM291" s="239">
        <v>0</v>
      </c>
      <c r="CN291" s="239">
        <v>393938588</v>
      </c>
      <c r="CO291" s="239">
        <v>196450339</v>
      </c>
      <c r="CP291" s="239">
        <v>117870203</v>
      </c>
      <c r="CQ291" s="239">
        <v>78580136</v>
      </c>
      <c r="CR291" s="239">
        <v>0</v>
      </c>
      <c r="CS291" s="239">
        <v>392900678</v>
      </c>
      <c r="CT291" s="239">
        <v>-518955</v>
      </c>
      <c r="CU291" s="239">
        <v>-311373</v>
      </c>
      <c r="CV291" s="239">
        <v>-207582</v>
      </c>
      <c r="CW291" s="239">
        <v>0</v>
      </c>
      <c r="CX291" s="239">
        <v>-1037910</v>
      </c>
      <c r="CY291" s="239">
        <v>-6799197</v>
      </c>
      <c r="CZ291" s="239">
        <v>-4079518</v>
      </c>
      <c r="DA291" s="239">
        <v>-2719679</v>
      </c>
      <c r="DB291" s="239">
        <v>0</v>
      </c>
      <c r="DC291" s="239">
        <v>-13598394</v>
      </c>
      <c r="DD291" s="641">
        <v>0.5</v>
      </c>
      <c r="DE291" s="641">
        <v>0.3</v>
      </c>
      <c r="DF291" s="641">
        <v>0.2</v>
      </c>
      <c r="DG291" s="641">
        <v>0</v>
      </c>
      <c r="DH291" s="641">
        <v>1</v>
      </c>
      <c r="DI291" s="214" t="s">
        <v>1193</v>
      </c>
    </row>
    <row r="292" spans="2:113" s="214" customFormat="1" x14ac:dyDescent="0.2">
      <c r="B292" s="609" t="s">
        <v>666</v>
      </c>
      <c r="C292" s="609" t="s">
        <v>665</v>
      </c>
      <c r="D292" s="239">
        <v>78274970</v>
      </c>
      <c r="E292" s="239">
        <v>76709470</v>
      </c>
      <c r="F292" s="239">
        <v>0</v>
      </c>
      <c r="G292" s="239">
        <v>1565499</v>
      </c>
      <c r="H292" s="239">
        <v>156549939</v>
      </c>
      <c r="I292" s="239">
        <v>0</v>
      </c>
      <c r="J292" s="239">
        <v>0</v>
      </c>
      <c r="K292" s="239">
        <v>78274970</v>
      </c>
      <c r="L292" s="239">
        <v>460679</v>
      </c>
      <c r="M292" s="239">
        <v>460679</v>
      </c>
      <c r="N292" s="239">
        <v>0</v>
      </c>
      <c r="O292" s="239">
        <v>0</v>
      </c>
      <c r="P292" s="239">
        <v>77532</v>
      </c>
      <c r="Q292" s="239">
        <v>0</v>
      </c>
      <c r="R292" s="239">
        <v>77532</v>
      </c>
      <c r="S292" s="239">
        <v>0</v>
      </c>
      <c r="T292" s="239">
        <v>0</v>
      </c>
      <c r="U292" s="239">
        <v>0</v>
      </c>
      <c r="V292" s="239">
        <v>0</v>
      </c>
      <c r="W292" s="239">
        <v>6269719</v>
      </c>
      <c r="X292" s="239">
        <v>6144325</v>
      </c>
      <c r="Y292" s="239">
        <v>0</v>
      </c>
      <c r="Z292" s="239">
        <v>125394</v>
      </c>
      <c r="AA292" s="239">
        <v>12539438</v>
      </c>
      <c r="AB292" s="239">
        <v>-3316198</v>
      </c>
      <c r="AC292" s="239">
        <v>-3249874</v>
      </c>
      <c r="AD292" s="239">
        <v>0</v>
      </c>
      <c r="AE292" s="239">
        <v>-66324</v>
      </c>
      <c r="AF292" s="239">
        <v>-6632396</v>
      </c>
      <c r="AG292" s="239">
        <v>-3893624.4</v>
      </c>
      <c r="AH292" s="239">
        <v>-3815752</v>
      </c>
      <c r="AI292" s="239">
        <v>0</v>
      </c>
      <c r="AJ292" s="239">
        <v>-77874</v>
      </c>
      <c r="AK292" s="239">
        <v>-7787250.4000000004</v>
      </c>
      <c r="AL292" s="239">
        <v>-9253</v>
      </c>
      <c r="AM292" s="239">
        <v>-9068</v>
      </c>
      <c r="AN292" s="239">
        <v>0</v>
      </c>
      <c r="AO292" s="239">
        <v>-185</v>
      </c>
      <c r="AP292" s="239">
        <v>-18506</v>
      </c>
      <c r="AQ292" s="239">
        <v>-172131</v>
      </c>
      <c r="AR292" s="239">
        <v>-168688</v>
      </c>
      <c r="AS292" s="239">
        <v>0</v>
      </c>
      <c r="AT292" s="239">
        <v>-3443</v>
      </c>
      <c r="AU292" s="239">
        <v>-344262</v>
      </c>
      <c r="AV292" s="239">
        <v>-4075008.4</v>
      </c>
      <c r="AW292" s="239">
        <v>-3993508</v>
      </c>
      <c r="AX292" s="239">
        <v>0</v>
      </c>
      <c r="AY292" s="239">
        <v>-81502</v>
      </c>
      <c r="AZ292" s="239">
        <v>-8150018.4000000004</v>
      </c>
      <c r="BA292" s="239">
        <v>-14256861</v>
      </c>
      <c r="BB292" s="239">
        <v>-13971723</v>
      </c>
      <c r="BC292" s="239">
        <v>0</v>
      </c>
      <c r="BD292" s="239">
        <v>-285137</v>
      </c>
      <c r="BE292" s="239">
        <v>-28513721</v>
      </c>
      <c r="BF292" s="239">
        <v>2982404</v>
      </c>
      <c r="BG292" s="239">
        <v>2922755</v>
      </c>
      <c r="BH292" s="239">
        <v>0</v>
      </c>
      <c r="BI292" s="239">
        <v>59648</v>
      </c>
      <c r="BJ292" s="239">
        <v>5964807</v>
      </c>
      <c r="BK292" s="239">
        <v>-8714978</v>
      </c>
      <c r="BL292" s="239">
        <v>-8540679</v>
      </c>
      <c r="BM292" s="239">
        <v>0</v>
      </c>
      <c r="BN292" s="239">
        <v>-174300</v>
      </c>
      <c r="BO292" s="239">
        <v>-17429957</v>
      </c>
      <c r="BP292" s="239">
        <v>-19989435</v>
      </c>
      <c r="BQ292" s="239">
        <v>-19589647</v>
      </c>
      <c r="BR292" s="239">
        <v>0</v>
      </c>
      <c r="BS292" s="239">
        <v>-399789</v>
      </c>
      <c r="BT292" s="239">
        <v>-39978871</v>
      </c>
      <c r="BU292" s="239">
        <v>782283</v>
      </c>
      <c r="BV292" s="239">
        <v>766637</v>
      </c>
      <c r="BW292" s="239">
        <v>0</v>
      </c>
      <c r="BX292" s="239">
        <v>15646</v>
      </c>
      <c r="BY292" s="239">
        <v>1564566</v>
      </c>
      <c r="BZ292" s="239">
        <v>16778</v>
      </c>
      <c r="CA292" s="239">
        <v>16442</v>
      </c>
      <c r="CB292" s="239">
        <v>0</v>
      </c>
      <c r="CC292" s="239">
        <v>336</v>
      </c>
      <c r="CD292" s="239">
        <v>33556</v>
      </c>
      <c r="CE292" s="239">
        <v>765505</v>
      </c>
      <c r="CF292" s="239">
        <v>750195</v>
      </c>
      <c r="CG292" s="239">
        <v>0</v>
      </c>
      <c r="CH292" s="239">
        <v>15310</v>
      </c>
      <c r="CI292" s="239">
        <v>1531010</v>
      </c>
      <c r="CJ292" s="239">
        <v>85050785</v>
      </c>
      <c r="CK292" s="239">
        <v>83349769</v>
      </c>
      <c r="CL292" s="239">
        <v>0</v>
      </c>
      <c r="CM292" s="239">
        <v>1701016</v>
      </c>
      <c r="CN292" s="239">
        <v>170101570</v>
      </c>
      <c r="CO292" s="239">
        <v>78274970</v>
      </c>
      <c r="CP292" s="239">
        <v>76709470</v>
      </c>
      <c r="CQ292" s="239">
        <v>0</v>
      </c>
      <c r="CR292" s="239">
        <v>1565499</v>
      </c>
      <c r="CS292" s="239">
        <v>156549939</v>
      </c>
      <c r="CT292" s="239">
        <v>-6775815</v>
      </c>
      <c r="CU292" s="239">
        <v>-6640299</v>
      </c>
      <c r="CV292" s="239">
        <v>0</v>
      </c>
      <c r="CW292" s="239">
        <v>-135517</v>
      </c>
      <c r="CX292" s="239">
        <v>-13551631</v>
      </c>
      <c r="CY292" s="239">
        <v>-6010310</v>
      </c>
      <c r="CZ292" s="239">
        <v>-5890104</v>
      </c>
      <c r="DA292" s="239">
        <v>0</v>
      </c>
      <c r="DB292" s="239">
        <v>-120207</v>
      </c>
      <c r="DC292" s="239">
        <v>-12020621</v>
      </c>
      <c r="DD292" s="641">
        <v>0.5</v>
      </c>
      <c r="DE292" s="641">
        <v>0.49</v>
      </c>
      <c r="DF292" s="641">
        <v>0</v>
      </c>
      <c r="DG292" s="641">
        <v>0.01</v>
      </c>
      <c r="DH292" s="641">
        <v>1</v>
      </c>
      <c r="DI292" s="214" t="s">
        <v>1192</v>
      </c>
    </row>
    <row r="293" spans="2:113" s="214" customFormat="1" x14ac:dyDescent="0.2">
      <c r="B293" s="609" t="s">
        <v>668</v>
      </c>
      <c r="C293" s="609" t="s">
        <v>667</v>
      </c>
      <c r="D293" s="239">
        <v>26225717</v>
      </c>
      <c r="E293" s="239">
        <v>20980573</v>
      </c>
      <c r="F293" s="239">
        <v>4720629</v>
      </c>
      <c r="G293" s="239">
        <v>524514</v>
      </c>
      <c r="H293" s="239">
        <v>52451433</v>
      </c>
      <c r="I293" s="239">
        <v>0</v>
      </c>
      <c r="J293" s="239">
        <v>0</v>
      </c>
      <c r="K293" s="239">
        <v>26225717</v>
      </c>
      <c r="L293" s="239">
        <v>176880</v>
      </c>
      <c r="M293" s="239">
        <v>176880</v>
      </c>
      <c r="N293" s="239">
        <v>0</v>
      </c>
      <c r="O293" s="239">
        <v>0</v>
      </c>
      <c r="P293" s="239">
        <v>0</v>
      </c>
      <c r="Q293" s="239">
        <v>0</v>
      </c>
      <c r="R293" s="239">
        <v>0</v>
      </c>
      <c r="S293" s="239">
        <v>0</v>
      </c>
      <c r="T293" s="239">
        <v>0</v>
      </c>
      <c r="U293" s="239">
        <v>0</v>
      </c>
      <c r="V293" s="239">
        <v>0</v>
      </c>
      <c r="W293" s="239">
        <v>1227144</v>
      </c>
      <c r="X293" s="239">
        <v>981715</v>
      </c>
      <c r="Y293" s="239">
        <v>220886</v>
      </c>
      <c r="Z293" s="239">
        <v>24543</v>
      </c>
      <c r="AA293" s="239">
        <v>2454288</v>
      </c>
      <c r="AB293" s="239">
        <v>-685447</v>
      </c>
      <c r="AC293" s="239">
        <v>-548358</v>
      </c>
      <c r="AD293" s="239">
        <v>-123380</v>
      </c>
      <c r="AE293" s="239">
        <v>-13709</v>
      </c>
      <c r="AF293" s="239">
        <v>-1370894</v>
      </c>
      <c r="AG293" s="239">
        <v>-795514</v>
      </c>
      <c r="AH293" s="239">
        <v>-636413</v>
      </c>
      <c r="AI293" s="239">
        <v>-143193</v>
      </c>
      <c r="AJ293" s="239">
        <v>-15910</v>
      </c>
      <c r="AK293" s="239">
        <v>-1591030</v>
      </c>
      <c r="AL293" s="239">
        <v>0</v>
      </c>
      <c r="AM293" s="239">
        <v>0</v>
      </c>
      <c r="AN293" s="239">
        <v>0</v>
      </c>
      <c r="AO293" s="239">
        <v>0</v>
      </c>
      <c r="AP293" s="239">
        <v>0</v>
      </c>
      <c r="AQ293" s="239">
        <v>-185420</v>
      </c>
      <c r="AR293" s="239">
        <v>-148336</v>
      </c>
      <c r="AS293" s="239">
        <v>-33376</v>
      </c>
      <c r="AT293" s="239">
        <v>-3708</v>
      </c>
      <c r="AU293" s="239">
        <v>-370840</v>
      </c>
      <c r="AV293" s="239">
        <v>-980934</v>
      </c>
      <c r="AW293" s="239">
        <v>-784749</v>
      </c>
      <c r="AX293" s="239">
        <v>-176569</v>
      </c>
      <c r="AY293" s="239">
        <v>-19618</v>
      </c>
      <c r="AZ293" s="239">
        <v>-1961870</v>
      </c>
      <c r="BA293" s="239">
        <v>-2814996</v>
      </c>
      <c r="BB293" s="239">
        <v>-2251996</v>
      </c>
      <c r="BC293" s="239">
        <v>-506699</v>
      </c>
      <c r="BD293" s="239">
        <v>-56299</v>
      </c>
      <c r="BE293" s="239">
        <v>-5629990</v>
      </c>
      <c r="BF293" s="239">
        <v>0</v>
      </c>
      <c r="BG293" s="239">
        <v>0</v>
      </c>
      <c r="BH293" s="239">
        <v>0</v>
      </c>
      <c r="BI293" s="239">
        <v>0</v>
      </c>
      <c r="BJ293" s="239">
        <v>0</v>
      </c>
      <c r="BK293" s="239">
        <v>388769</v>
      </c>
      <c r="BL293" s="239">
        <v>311014</v>
      </c>
      <c r="BM293" s="239">
        <v>69978</v>
      </c>
      <c r="BN293" s="239">
        <v>7775</v>
      </c>
      <c r="BO293" s="239">
        <v>777536</v>
      </c>
      <c r="BP293" s="239">
        <v>-2426227</v>
      </c>
      <c r="BQ293" s="239">
        <v>-1940982</v>
      </c>
      <c r="BR293" s="239">
        <v>-436721</v>
      </c>
      <c r="BS293" s="239">
        <v>-48524</v>
      </c>
      <c r="BT293" s="239">
        <v>-4852454</v>
      </c>
      <c r="BU293" s="239">
        <v>233262</v>
      </c>
      <c r="BV293" s="239">
        <v>186609</v>
      </c>
      <c r="BW293" s="239">
        <v>41987</v>
      </c>
      <c r="BX293" s="239">
        <v>4665</v>
      </c>
      <c r="BY293" s="239">
        <v>466523</v>
      </c>
      <c r="BZ293" s="239">
        <v>-79500</v>
      </c>
      <c r="CA293" s="239">
        <v>-63600</v>
      </c>
      <c r="CB293" s="239">
        <v>-14310</v>
      </c>
      <c r="CC293" s="239">
        <v>-1590</v>
      </c>
      <c r="CD293" s="239">
        <v>-159000</v>
      </c>
      <c r="CE293" s="239">
        <v>312762</v>
      </c>
      <c r="CF293" s="239">
        <v>250209</v>
      </c>
      <c r="CG293" s="239">
        <v>56297</v>
      </c>
      <c r="CH293" s="239">
        <v>6255</v>
      </c>
      <c r="CI293" s="239">
        <v>625523</v>
      </c>
      <c r="CJ293" s="239">
        <v>26217461</v>
      </c>
      <c r="CK293" s="239">
        <v>20973969</v>
      </c>
      <c r="CL293" s="239">
        <v>4719143</v>
      </c>
      <c r="CM293" s="239">
        <v>524349</v>
      </c>
      <c r="CN293" s="239">
        <v>52434922</v>
      </c>
      <c r="CO293" s="239">
        <v>26225717</v>
      </c>
      <c r="CP293" s="239">
        <v>20980573</v>
      </c>
      <c r="CQ293" s="239">
        <v>4720629</v>
      </c>
      <c r="CR293" s="239">
        <v>524514</v>
      </c>
      <c r="CS293" s="239">
        <v>52451433</v>
      </c>
      <c r="CT293" s="239">
        <v>8256</v>
      </c>
      <c r="CU293" s="239">
        <v>6604</v>
      </c>
      <c r="CV293" s="239">
        <v>1486</v>
      </c>
      <c r="CW293" s="239">
        <v>165</v>
      </c>
      <c r="CX293" s="239">
        <v>16511</v>
      </c>
      <c r="CY293" s="239">
        <v>321018</v>
      </c>
      <c r="CZ293" s="239">
        <v>256813</v>
      </c>
      <c r="DA293" s="239">
        <v>57783</v>
      </c>
      <c r="DB293" s="239">
        <v>6420</v>
      </c>
      <c r="DC293" s="239">
        <v>642034</v>
      </c>
      <c r="DD293" s="641">
        <v>0.5</v>
      </c>
      <c r="DE293" s="641">
        <v>0.4</v>
      </c>
      <c r="DF293" s="641">
        <v>0.09</v>
      </c>
      <c r="DG293" s="641">
        <v>0.01</v>
      </c>
      <c r="DH293" s="641">
        <v>1</v>
      </c>
      <c r="DI293" s="214" t="s">
        <v>1190</v>
      </c>
    </row>
    <row r="294" spans="2:113" s="214" customFormat="1" x14ac:dyDescent="0.2">
      <c r="B294" s="609" t="s">
        <v>670</v>
      </c>
      <c r="C294" s="609" t="s">
        <v>669</v>
      </c>
      <c r="D294" s="239">
        <v>19965356</v>
      </c>
      <c r="E294" s="239">
        <v>15972284</v>
      </c>
      <c r="F294" s="239">
        <v>3593764</v>
      </c>
      <c r="G294" s="239">
        <v>399307</v>
      </c>
      <c r="H294" s="239">
        <v>39930711</v>
      </c>
      <c r="I294" s="239">
        <v>0</v>
      </c>
      <c r="J294" s="239">
        <v>0</v>
      </c>
      <c r="K294" s="239">
        <v>19965356</v>
      </c>
      <c r="L294" s="239">
        <v>137627</v>
      </c>
      <c r="M294" s="239">
        <v>137627</v>
      </c>
      <c r="N294" s="239">
        <v>0</v>
      </c>
      <c r="O294" s="239">
        <v>0</v>
      </c>
      <c r="P294" s="239">
        <v>149280</v>
      </c>
      <c r="Q294" s="239">
        <v>0</v>
      </c>
      <c r="R294" s="239">
        <v>149280</v>
      </c>
      <c r="S294" s="239">
        <v>0</v>
      </c>
      <c r="T294" s="239">
        <v>0</v>
      </c>
      <c r="U294" s="239">
        <v>0</v>
      </c>
      <c r="V294" s="239">
        <v>0</v>
      </c>
      <c r="W294" s="239">
        <v>719496</v>
      </c>
      <c r="X294" s="239">
        <v>575597</v>
      </c>
      <c r="Y294" s="239">
        <v>129509</v>
      </c>
      <c r="Z294" s="239">
        <v>14390</v>
      </c>
      <c r="AA294" s="239">
        <v>1438992</v>
      </c>
      <c r="AB294" s="239">
        <v>-252007</v>
      </c>
      <c r="AC294" s="239">
        <v>-201605</v>
      </c>
      <c r="AD294" s="239">
        <v>-45361</v>
      </c>
      <c r="AE294" s="239">
        <v>-5040</v>
      </c>
      <c r="AF294" s="239">
        <v>-504013</v>
      </c>
      <c r="AG294" s="239">
        <v>-281277</v>
      </c>
      <c r="AH294" s="239">
        <v>-225021</v>
      </c>
      <c r="AI294" s="239">
        <v>-50629</v>
      </c>
      <c r="AJ294" s="239">
        <v>-5626</v>
      </c>
      <c r="AK294" s="239">
        <v>-562553</v>
      </c>
      <c r="AL294" s="239">
        <v>116480</v>
      </c>
      <c r="AM294" s="239">
        <v>93184</v>
      </c>
      <c r="AN294" s="239">
        <v>20966</v>
      </c>
      <c r="AO294" s="239">
        <v>2330</v>
      </c>
      <c r="AP294" s="239">
        <v>232960</v>
      </c>
      <c r="AQ294" s="239">
        <v>-63492</v>
      </c>
      <c r="AR294" s="239">
        <v>-50793</v>
      </c>
      <c r="AS294" s="239">
        <v>-11428</v>
      </c>
      <c r="AT294" s="239">
        <v>-1270</v>
      </c>
      <c r="AU294" s="239">
        <v>-126983</v>
      </c>
      <c r="AV294" s="239">
        <v>-228289</v>
      </c>
      <c r="AW294" s="239">
        <v>-182630</v>
      </c>
      <c r="AX294" s="239">
        <v>-41091</v>
      </c>
      <c r="AY294" s="239">
        <v>-4566</v>
      </c>
      <c r="AZ294" s="239">
        <v>-456576</v>
      </c>
      <c r="BA294" s="239">
        <v>-5240923</v>
      </c>
      <c r="BB294" s="239">
        <v>-4192738</v>
      </c>
      <c r="BC294" s="239">
        <v>-943367</v>
      </c>
      <c r="BD294" s="239">
        <v>-104818</v>
      </c>
      <c r="BE294" s="239">
        <v>-10481846</v>
      </c>
      <c r="BF294" s="239">
        <v>4369188</v>
      </c>
      <c r="BG294" s="239">
        <v>3495351</v>
      </c>
      <c r="BH294" s="239">
        <v>786454</v>
      </c>
      <c r="BI294" s="239">
        <v>87384</v>
      </c>
      <c r="BJ294" s="239">
        <v>8738377</v>
      </c>
      <c r="BK294" s="239">
        <v>-189983</v>
      </c>
      <c r="BL294" s="239">
        <v>-151986</v>
      </c>
      <c r="BM294" s="239">
        <v>-34197</v>
      </c>
      <c r="BN294" s="239">
        <v>-3800</v>
      </c>
      <c r="BO294" s="239">
        <v>-379966</v>
      </c>
      <c r="BP294" s="239">
        <v>-1061718</v>
      </c>
      <c r="BQ294" s="239">
        <v>-849373</v>
      </c>
      <c r="BR294" s="239">
        <v>-191110</v>
      </c>
      <c r="BS294" s="239">
        <v>-21234</v>
      </c>
      <c r="BT294" s="239">
        <v>-2123435</v>
      </c>
      <c r="BU294" s="239">
        <v>753671</v>
      </c>
      <c r="BV294" s="239">
        <v>602936</v>
      </c>
      <c r="BW294" s="239">
        <v>135661</v>
      </c>
      <c r="BX294" s="239">
        <v>15073</v>
      </c>
      <c r="BY294" s="239">
        <v>1507341</v>
      </c>
      <c r="BZ294" s="239">
        <v>288291</v>
      </c>
      <c r="CA294" s="239">
        <v>230634</v>
      </c>
      <c r="CB294" s="239">
        <v>51893</v>
      </c>
      <c r="CC294" s="239">
        <v>5766</v>
      </c>
      <c r="CD294" s="239">
        <v>576584</v>
      </c>
      <c r="CE294" s="239">
        <v>465380</v>
      </c>
      <c r="CF294" s="239">
        <v>372302</v>
      </c>
      <c r="CG294" s="239">
        <v>83768</v>
      </c>
      <c r="CH294" s="239">
        <v>9307</v>
      </c>
      <c r="CI294" s="239">
        <v>930757</v>
      </c>
      <c r="CJ294" s="239">
        <v>21517259</v>
      </c>
      <c r="CK294" s="239">
        <v>17213806</v>
      </c>
      <c r="CL294" s="239">
        <v>3873106</v>
      </c>
      <c r="CM294" s="239">
        <v>430345</v>
      </c>
      <c r="CN294" s="239">
        <v>43034516</v>
      </c>
      <c r="CO294" s="239">
        <v>19965356</v>
      </c>
      <c r="CP294" s="239">
        <v>15972284</v>
      </c>
      <c r="CQ294" s="239">
        <v>3593764</v>
      </c>
      <c r="CR294" s="239">
        <v>399307</v>
      </c>
      <c r="CS294" s="239">
        <v>39930711</v>
      </c>
      <c r="CT294" s="239">
        <v>-1551903</v>
      </c>
      <c r="CU294" s="239">
        <v>-1241522</v>
      </c>
      <c r="CV294" s="239">
        <v>-279342</v>
      </c>
      <c r="CW294" s="239">
        <v>-31038</v>
      </c>
      <c r="CX294" s="239">
        <v>-3103805</v>
      </c>
      <c r="CY294" s="239">
        <v>-1086523</v>
      </c>
      <c r="CZ294" s="239">
        <v>-869220</v>
      </c>
      <c r="DA294" s="239">
        <v>-195574</v>
      </c>
      <c r="DB294" s="239">
        <v>-21731</v>
      </c>
      <c r="DC294" s="239">
        <v>-2173048</v>
      </c>
      <c r="DD294" s="641">
        <v>0.5</v>
      </c>
      <c r="DE294" s="641">
        <v>0.4</v>
      </c>
      <c r="DF294" s="641">
        <v>0.09</v>
      </c>
      <c r="DG294" s="641">
        <v>0.01</v>
      </c>
      <c r="DH294" s="641">
        <v>1</v>
      </c>
      <c r="DI294" s="214" t="s">
        <v>1190</v>
      </c>
    </row>
    <row r="295" spans="2:113" s="214" customFormat="1" x14ac:dyDescent="0.2">
      <c r="B295" s="609" t="s">
        <v>672</v>
      </c>
      <c r="C295" s="609" t="s">
        <v>671</v>
      </c>
      <c r="D295" s="239">
        <v>28489489</v>
      </c>
      <c r="E295" s="239">
        <v>22791591</v>
      </c>
      <c r="F295" s="239">
        <v>5697898</v>
      </c>
      <c r="G295" s="239">
        <v>0</v>
      </c>
      <c r="H295" s="239">
        <v>56978978</v>
      </c>
      <c r="I295" s="239">
        <v>982453.46487603302</v>
      </c>
      <c r="J295" s="239">
        <v>982453.46487603302</v>
      </c>
      <c r="K295" s="239">
        <v>27507035.535123967</v>
      </c>
      <c r="L295" s="239">
        <v>184498</v>
      </c>
      <c r="M295" s="239">
        <v>184498</v>
      </c>
      <c r="N295" s="239">
        <v>450247</v>
      </c>
      <c r="O295" s="239">
        <v>450247</v>
      </c>
      <c r="P295" s="239">
        <v>247217</v>
      </c>
      <c r="Q295" s="239">
        <v>0</v>
      </c>
      <c r="R295" s="239">
        <v>247217</v>
      </c>
      <c r="S295" s="239">
        <v>982453.46487603302</v>
      </c>
      <c r="T295" s="239">
        <v>0</v>
      </c>
      <c r="U295" s="239">
        <v>0</v>
      </c>
      <c r="V295" s="239">
        <v>982453.46487603302</v>
      </c>
      <c r="W295" s="239">
        <v>927012</v>
      </c>
      <c r="X295" s="239">
        <v>741609</v>
      </c>
      <c r="Y295" s="239">
        <v>185402</v>
      </c>
      <c r="Z295" s="239">
        <v>0</v>
      </c>
      <c r="AA295" s="239">
        <v>1854023</v>
      </c>
      <c r="AB295" s="239">
        <v>-297870</v>
      </c>
      <c r="AC295" s="239">
        <v>-238296</v>
      </c>
      <c r="AD295" s="239">
        <v>-59574</v>
      </c>
      <c r="AE295" s="239">
        <v>0</v>
      </c>
      <c r="AF295" s="239">
        <v>-595740</v>
      </c>
      <c r="AG295" s="239">
        <v>-498695</v>
      </c>
      <c r="AH295" s="239">
        <v>-398956</v>
      </c>
      <c r="AI295" s="239">
        <v>-99739</v>
      </c>
      <c r="AJ295" s="239">
        <v>0</v>
      </c>
      <c r="AK295" s="239">
        <v>-997390</v>
      </c>
      <c r="AL295" s="239">
        <v>121862</v>
      </c>
      <c r="AM295" s="239">
        <v>97490</v>
      </c>
      <c r="AN295" s="239">
        <v>24372</v>
      </c>
      <c r="AO295" s="239">
        <v>0</v>
      </c>
      <c r="AP295" s="239">
        <v>243724</v>
      </c>
      <c r="AQ295" s="239">
        <v>-132602</v>
      </c>
      <c r="AR295" s="239">
        <v>-106082</v>
      </c>
      <c r="AS295" s="239">
        <v>-26520</v>
      </c>
      <c r="AT295" s="239">
        <v>0</v>
      </c>
      <c r="AU295" s="239">
        <v>-265204</v>
      </c>
      <c r="AV295" s="239">
        <v>-509435</v>
      </c>
      <c r="AW295" s="239">
        <v>-407548</v>
      </c>
      <c r="AX295" s="239">
        <v>-101887</v>
      </c>
      <c r="AY295" s="239">
        <v>0</v>
      </c>
      <c r="AZ295" s="239">
        <v>-1018870</v>
      </c>
      <c r="BA295" s="239">
        <v>-2169714</v>
      </c>
      <c r="BB295" s="239">
        <v>-1735773</v>
      </c>
      <c r="BC295" s="239">
        <v>-433943</v>
      </c>
      <c r="BD295" s="239">
        <v>0</v>
      </c>
      <c r="BE295" s="239">
        <v>-4339430</v>
      </c>
      <c r="BF295" s="239">
        <v>724192</v>
      </c>
      <c r="BG295" s="239">
        <v>579354</v>
      </c>
      <c r="BH295" s="239">
        <v>144839</v>
      </c>
      <c r="BI295" s="239">
        <v>0</v>
      </c>
      <c r="BJ295" s="239">
        <v>1448385</v>
      </c>
      <c r="BK295" s="239">
        <v>-632443</v>
      </c>
      <c r="BL295" s="239">
        <v>-505955</v>
      </c>
      <c r="BM295" s="239">
        <v>-126489</v>
      </c>
      <c r="BN295" s="239">
        <v>0</v>
      </c>
      <c r="BO295" s="239">
        <v>-1264887</v>
      </c>
      <c r="BP295" s="239">
        <v>-2077965</v>
      </c>
      <c r="BQ295" s="239">
        <v>-1662374</v>
      </c>
      <c r="BR295" s="239">
        <v>-415593</v>
      </c>
      <c r="BS295" s="239">
        <v>0</v>
      </c>
      <c r="BT295" s="239">
        <v>-4155932</v>
      </c>
      <c r="BU295" s="239">
        <v>-2449183</v>
      </c>
      <c r="BV295" s="239">
        <v>-1959347</v>
      </c>
      <c r="BW295" s="239">
        <v>-489837</v>
      </c>
      <c r="BX295" s="239">
        <v>0</v>
      </c>
      <c r="BY295" s="239">
        <v>-4898367</v>
      </c>
      <c r="BZ295" s="239">
        <v>-1587133</v>
      </c>
      <c r="CA295" s="239">
        <v>-1269706</v>
      </c>
      <c r="CB295" s="239">
        <v>-317427</v>
      </c>
      <c r="CC295" s="239">
        <v>0</v>
      </c>
      <c r="CD295" s="239">
        <v>-3174266</v>
      </c>
      <c r="CE295" s="239">
        <v>-862050</v>
      </c>
      <c r="CF295" s="239">
        <v>-689641</v>
      </c>
      <c r="CG295" s="239">
        <v>-172410</v>
      </c>
      <c r="CH295" s="239">
        <v>0</v>
      </c>
      <c r="CI295" s="239">
        <v>-1724101</v>
      </c>
      <c r="CJ295" s="239">
        <v>28336403</v>
      </c>
      <c r="CK295" s="239">
        <v>22669123</v>
      </c>
      <c r="CL295" s="239">
        <v>5667281</v>
      </c>
      <c r="CM295" s="239">
        <v>0</v>
      </c>
      <c r="CN295" s="239">
        <v>56672807</v>
      </c>
      <c r="CO295" s="239">
        <v>28489489</v>
      </c>
      <c r="CP295" s="239">
        <v>22791591</v>
      </c>
      <c r="CQ295" s="239">
        <v>5697898</v>
      </c>
      <c r="CR295" s="239">
        <v>0</v>
      </c>
      <c r="CS295" s="239">
        <v>56978978</v>
      </c>
      <c r="CT295" s="239">
        <v>153086</v>
      </c>
      <c r="CU295" s="239">
        <v>122468</v>
      </c>
      <c r="CV295" s="239">
        <v>30617</v>
      </c>
      <c r="CW295" s="239">
        <v>0</v>
      </c>
      <c r="CX295" s="239">
        <v>306171</v>
      </c>
      <c r="CY295" s="239">
        <v>-708964</v>
      </c>
      <c r="CZ295" s="239">
        <v>-567173</v>
      </c>
      <c r="DA295" s="239">
        <v>-141793</v>
      </c>
      <c r="DB295" s="239">
        <v>0</v>
      </c>
      <c r="DC295" s="239">
        <v>-1417930</v>
      </c>
      <c r="DD295" s="641">
        <v>0.5</v>
      </c>
      <c r="DE295" s="641">
        <v>0.4</v>
      </c>
      <c r="DF295" s="641">
        <v>0.1</v>
      </c>
      <c r="DG295" s="641">
        <v>0</v>
      </c>
      <c r="DH295" s="641">
        <v>1</v>
      </c>
      <c r="DI295" s="214" t="s">
        <v>1190</v>
      </c>
    </row>
    <row r="296" spans="2:113" s="214" customFormat="1" x14ac:dyDescent="0.2">
      <c r="B296" s="609" t="s">
        <v>674</v>
      </c>
      <c r="C296" s="609" t="s">
        <v>673</v>
      </c>
      <c r="D296" s="239">
        <v>60634438</v>
      </c>
      <c r="E296" s="239">
        <v>59421750</v>
      </c>
      <c r="F296" s="239">
        <v>0</v>
      </c>
      <c r="G296" s="239">
        <v>1212689</v>
      </c>
      <c r="H296" s="239">
        <v>121268877</v>
      </c>
      <c r="I296" s="239">
        <v>0</v>
      </c>
      <c r="J296" s="239">
        <v>0</v>
      </c>
      <c r="K296" s="239">
        <v>60634438</v>
      </c>
      <c r="L296" s="239">
        <v>462307</v>
      </c>
      <c r="M296" s="239">
        <v>462307</v>
      </c>
      <c r="N296" s="239">
        <v>0</v>
      </c>
      <c r="O296" s="239">
        <v>0</v>
      </c>
      <c r="P296" s="239">
        <v>896486</v>
      </c>
      <c r="Q296" s="239">
        <v>0</v>
      </c>
      <c r="R296" s="239">
        <v>896486</v>
      </c>
      <c r="S296" s="239">
        <v>0</v>
      </c>
      <c r="T296" s="239">
        <v>0</v>
      </c>
      <c r="U296" s="239">
        <v>0</v>
      </c>
      <c r="V296" s="239">
        <v>0</v>
      </c>
      <c r="W296" s="239">
        <v>837083</v>
      </c>
      <c r="X296" s="239">
        <v>820341</v>
      </c>
      <c r="Y296" s="239">
        <v>0</v>
      </c>
      <c r="Z296" s="239">
        <v>16742</v>
      </c>
      <c r="AA296" s="239">
        <v>1674166</v>
      </c>
      <c r="AB296" s="239">
        <v>-700474</v>
      </c>
      <c r="AC296" s="239">
        <v>-686465</v>
      </c>
      <c r="AD296" s="239">
        <v>0</v>
      </c>
      <c r="AE296" s="239">
        <v>-14009</v>
      </c>
      <c r="AF296" s="239">
        <v>-1400948</v>
      </c>
      <c r="AG296" s="239">
        <v>-510000</v>
      </c>
      <c r="AH296" s="239">
        <v>-499800</v>
      </c>
      <c r="AI296" s="239">
        <v>0</v>
      </c>
      <c r="AJ296" s="239">
        <v>-10200</v>
      </c>
      <c r="AK296" s="239">
        <v>-1020000</v>
      </c>
      <c r="AL296" s="239">
        <v>575526</v>
      </c>
      <c r="AM296" s="239">
        <v>564016</v>
      </c>
      <c r="AN296" s="239">
        <v>0</v>
      </c>
      <c r="AO296" s="239">
        <v>11511</v>
      </c>
      <c r="AP296" s="239">
        <v>1151053</v>
      </c>
      <c r="AQ296" s="239">
        <v>-575526</v>
      </c>
      <c r="AR296" s="239">
        <v>-564016</v>
      </c>
      <c r="AS296" s="239">
        <v>0</v>
      </c>
      <c r="AT296" s="239">
        <v>-11511</v>
      </c>
      <c r="AU296" s="239">
        <v>-1151053</v>
      </c>
      <c r="AV296" s="239">
        <v>-510000</v>
      </c>
      <c r="AW296" s="239">
        <v>-499800</v>
      </c>
      <c r="AX296" s="239">
        <v>0</v>
      </c>
      <c r="AY296" s="239">
        <v>-10200</v>
      </c>
      <c r="AZ296" s="239">
        <v>-1020000</v>
      </c>
      <c r="BA296" s="239">
        <v>-3972425</v>
      </c>
      <c r="BB296" s="239">
        <v>-3892980</v>
      </c>
      <c r="BC296" s="239">
        <v>0</v>
      </c>
      <c r="BD296" s="239">
        <v>-79450</v>
      </c>
      <c r="BE296" s="239">
        <v>-7944855</v>
      </c>
      <c r="BF296" s="239">
        <v>4089407</v>
      </c>
      <c r="BG296" s="239">
        <v>4007618</v>
      </c>
      <c r="BH296" s="239">
        <v>0</v>
      </c>
      <c r="BI296" s="239">
        <v>81788</v>
      </c>
      <c r="BJ296" s="239">
        <v>8178813</v>
      </c>
      <c r="BK296" s="239">
        <v>-6131789</v>
      </c>
      <c r="BL296" s="239">
        <v>-6009154</v>
      </c>
      <c r="BM296" s="239">
        <v>0</v>
      </c>
      <c r="BN296" s="239">
        <v>-122636</v>
      </c>
      <c r="BO296" s="239">
        <v>-12263579</v>
      </c>
      <c r="BP296" s="239">
        <v>-6014807</v>
      </c>
      <c r="BQ296" s="239">
        <v>-5894516</v>
      </c>
      <c r="BR296" s="239">
        <v>0</v>
      </c>
      <c r="BS296" s="239">
        <v>-120298</v>
      </c>
      <c r="BT296" s="239">
        <v>-12029621</v>
      </c>
      <c r="BU296" s="239">
        <v>-4318417</v>
      </c>
      <c r="BV296" s="239">
        <v>-4232048</v>
      </c>
      <c r="BW296" s="239">
        <v>0</v>
      </c>
      <c r="BX296" s="239">
        <v>-86368</v>
      </c>
      <c r="BY296" s="239">
        <v>-8636833</v>
      </c>
      <c r="BZ296" s="239">
        <v>-2548648</v>
      </c>
      <c r="CA296" s="239">
        <v>-2497675</v>
      </c>
      <c r="CB296" s="239">
        <v>0</v>
      </c>
      <c r="CC296" s="239">
        <v>-50973</v>
      </c>
      <c r="CD296" s="239">
        <v>-5097296</v>
      </c>
      <c r="CE296" s="239">
        <v>-1769769</v>
      </c>
      <c r="CF296" s="239">
        <v>-1734373</v>
      </c>
      <c r="CG296" s="239">
        <v>0</v>
      </c>
      <c r="CH296" s="239">
        <v>-35395</v>
      </c>
      <c r="CI296" s="239">
        <v>-3539537</v>
      </c>
      <c r="CJ296" s="239">
        <v>62159340</v>
      </c>
      <c r="CK296" s="239">
        <v>60916153</v>
      </c>
      <c r="CL296" s="239">
        <v>0</v>
      </c>
      <c r="CM296" s="239">
        <v>1243187</v>
      </c>
      <c r="CN296" s="239">
        <v>124318680</v>
      </c>
      <c r="CO296" s="239">
        <v>60634438</v>
      </c>
      <c r="CP296" s="239">
        <v>59421750</v>
      </c>
      <c r="CQ296" s="239">
        <v>0</v>
      </c>
      <c r="CR296" s="239">
        <v>1212689</v>
      </c>
      <c r="CS296" s="239">
        <v>121268877</v>
      </c>
      <c r="CT296" s="239">
        <v>-1524902</v>
      </c>
      <c r="CU296" s="239">
        <v>-1494403</v>
      </c>
      <c r="CV296" s="239">
        <v>0</v>
      </c>
      <c r="CW296" s="239">
        <v>-30498</v>
      </c>
      <c r="CX296" s="239">
        <v>-3049803</v>
      </c>
      <c r="CY296" s="239">
        <v>-3294671</v>
      </c>
      <c r="CZ296" s="239">
        <v>-3228776</v>
      </c>
      <c r="DA296" s="239">
        <v>0</v>
      </c>
      <c r="DB296" s="239">
        <v>-65893</v>
      </c>
      <c r="DC296" s="239">
        <v>-6589340</v>
      </c>
      <c r="DD296" s="641">
        <v>0.5</v>
      </c>
      <c r="DE296" s="641">
        <v>0.49</v>
      </c>
      <c r="DF296" s="641">
        <v>0</v>
      </c>
      <c r="DG296" s="641">
        <v>0.01</v>
      </c>
      <c r="DH296" s="641">
        <v>1</v>
      </c>
      <c r="DI296" s="214" t="s">
        <v>1192</v>
      </c>
    </row>
    <row r="297" spans="2:113" s="214" customFormat="1" x14ac:dyDescent="0.2">
      <c r="B297" s="609" t="s">
        <v>676</v>
      </c>
      <c r="C297" s="609" t="s">
        <v>675</v>
      </c>
      <c r="D297" s="239">
        <v>35051017</v>
      </c>
      <c r="E297" s="239">
        <v>34349996</v>
      </c>
      <c r="F297" s="239">
        <v>0</v>
      </c>
      <c r="G297" s="239">
        <v>701020</v>
      </c>
      <c r="H297" s="239">
        <v>70102033</v>
      </c>
      <c r="I297" s="239">
        <v>0</v>
      </c>
      <c r="J297" s="239">
        <v>0</v>
      </c>
      <c r="K297" s="239">
        <v>35051017</v>
      </c>
      <c r="L297" s="239">
        <v>339364</v>
      </c>
      <c r="M297" s="239">
        <v>339364</v>
      </c>
      <c r="N297" s="239">
        <v>24829</v>
      </c>
      <c r="O297" s="239">
        <v>24829</v>
      </c>
      <c r="P297" s="239">
        <v>0</v>
      </c>
      <c r="Q297" s="239">
        <v>0</v>
      </c>
      <c r="R297" s="239">
        <v>0</v>
      </c>
      <c r="S297" s="239">
        <v>0</v>
      </c>
      <c r="T297" s="239">
        <v>0</v>
      </c>
      <c r="U297" s="239">
        <v>0</v>
      </c>
      <c r="V297" s="239">
        <v>0</v>
      </c>
      <c r="W297" s="239">
        <v>3585148</v>
      </c>
      <c r="X297" s="239">
        <v>3513445</v>
      </c>
      <c r="Y297" s="239">
        <v>0</v>
      </c>
      <c r="Z297" s="239">
        <v>71703</v>
      </c>
      <c r="AA297" s="239">
        <v>7170296</v>
      </c>
      <c r="AB297" s="239">
        <v>-740368</v>
      </c>
      <c r="AC297" s="239">
        <v>-725560</v>
      </c>
      <c r="AD297" s="239">
        <v>0</v>
      </c>
      <c r="AE297" s="239">
        <v>-14807</v>
      </c>
      <c r="AF297" s="239">
        <v>-1480735</v>
      </c>
      <c r="AG297" s="239">
        <v>-1576643</v>
      </c>
      <c r="AH297" s="239">
        <v>-1545109</v>
      </c>
      <c r="AI297" s="239">
        <v>0</v>
      </c>
      <c r="AJ297" s="239">
        <v>-31532</v>
      </c>
      <c r="AK297" s="239">
        <v>-3153284</v>
      </c>
      <c r="AL297" s="239">
        <v>0</v>
      </c>
      <c r="AM297" s="239">
        <v>0</v>
      </c>
      <c r="AN297" s="239">
        <v>0</v>
      </c>
      <c r="AO297" s="239">
        <v>0</v>
      </c>
      <c r="AP297" s="239">
        <v>0</v>
      </c>
      <c r="AQ297" s="239">
        <v>-215521</v>
      </c>
      <c r="AR297" s="239">
        <v>-211211</v>
      </c>
      <c r="AS297" s="239">
        <v>0</v>
      </c>
      <c r="AT297" s="239">
        <v>-4310</v>
      </c>
      <c r="AU297" s="239">
        <v>-431042</v>
      </c>
      <c r="AV297" s="239">
        <v>-1792164</v>
      </c>
      <c r="AW297" s="239">
        <v>-1756320</v>
      </c>
      <c r="AX297" s="239">
        <v>0</v>
      </c>
      <c r="AY297" s="239">
        <v>-35842</v>
      </c>
      <c r="AZ297" s="239">
        <v>-3584326</v>
      </c>
      <c r="BA297" s="239">
        <v>-3760582</v>
      </c>
      <c r="BB297" s="239">
        <v>-3685372</v>
      </c>
      <c r="BC297" s="239">
        <v>0</v>
      </c>
      <c r="BD297" s="239">
        <v>-75213</v>
      </c>
      <c r="BE297" s="239">
        <v>-7521167</v>
      </c>
      <c r="BF297" s="239">
        <v>0</v>
      </c>
      <c r="BG297" s="239">
        <v>0</v>
      </c>
      <c r="BH297" s="239">
        <v>0</v>
      </c>
      <c r="BI297" s="239">
        <v>0</v>
      </c>
      <c r="BJ297" s="239">
        <v>0</v>
      </c>
      <c r="BK297" s="239">
        <v>1102929</v>
      </c>
      <c r="BL297" s="239">
        <v>1080870</v>
      </c>
      <c r="BM297" s="239">
        <v>0</v>
      </c>
      <c r="BN297" s="239">
        <v>22059</v>
      </c>
      <c r="BO297" s="239">
        <v>2205858</v>
      </c>
      <c r="BP297" s="239">
        <v>-2657653</v>
      </c>
      <c r="BQ297" s="239">
        <v>-2604502</v>
      </c>
      <c r="BR297" s="239">
        <v>0</v>
      </c>
      <c r="BS297" s="239">
        <v>-53154</v>
      </c>
      <c r="BT297" s="239">
        <v>-5315309</v>
      </c>
      <c r="BU297" s="239">
        <v>-4593640</v>
      </c>
      <c r="BV297" s="239">
        <v>-4501767</v>
      </c>
      <c r="BW297" s="239">
        <v>0</v>
      </c>
      <c r="BX297" s="239">
        <v>-91873</v>
      </c>
      <c r="BY297" s="239">
        <v>-9187280</v>
      </c>
      <c r="BZ297" s="239">
        <v>-4664366</v>
      </c>
      <c r="CA297" s="239">
        <v>-4571079</v>
      </c>
      <c r="CB297" s="239">
        <v>0</v>
      </c>
      <c r="CC297" s="239">
        <v>-93287</v>
      </c>
      <c r="CD297" s="239">
        <v>-9328732</v>
      </c>
      <c r="CE297" s="239">
        <v>70726</v>
      </c>
      <c r="CF297" s="239">
        <v>69312</v>
      </c>
      <c r="CG297" s="239">
        <v>0</v>
      </c>
      <c r="CH297" s="239">
        <v>1414</v>
      </c>
      <c r="CI297" s="239">
        <v>141452</v>
      </c>
      <c r="CJ297" s="239">
        <v>35233181</v>
      </c>
      <c r="CK297" s="239">
        <v>34528518</v>
      </c>
      <c r="CL297" s="239">
        <v>0</v>
      </c>
      <c r="CM297" s="239">
        <v>704664</v>
      </c>
      <c r="CN297" s="239">
        <v>70466363</v>
      </c>
      <c r="CO297" s="239">
        <v>35051017</v>
      </c>
      <c r="CP297" s="239">
        <v>34349996</v>
      </c>
      <c r="CQ297" s="239">
        <v>0</v>
      </c>
      <c r="CR297" s="239">
        <v>701020</v>
      </c>
      <c r="CS297" s="239">
        <v>70102033</v>
      </c>
      <c r="CT297" s="239">
        <v>-182164</v>
      </c>
      <c r="CU297" s="239">
        <v>-178522</v>
      </c>
      <c r="CV297" s="239">
        <v>0</v>
      </c>
      <c r="CW297" s="239">
        <v>-3644</v>
      </c>
      <c r="CX297" s="239">
        <v>-364330</v>
      </c>
      <c r="CY297" s="239">
        <v>-111438</v>
      </c>
      <c r="CZ297" s="239">
        <v>-109210</v>
      </c>
      <c r="DA297" s="239">
        <v>0</v>
      </c>
      <c r="DB297" s="239">
        <v>-2230</v>
      </c>
      <c r="DC297" s="239">
        <v>-222878</v>
      </c>
      <c r="DD297" s="641">
        <v>0.5</v>
      </c>
      <c r="DE297" s="641">
        <v>0.49</v>
      </c>
      <c r="DF297" s="641">
        <v>0</v>
      </c>
      <c r="DG297" s="641">
        <v>0.01</v>
      </c>
      <c r="DH297" s="641">
        <v>1</v>
      </c>
      <c r="DI297" s="214" t="s">
        <v>1192</v>
      </c>
    </row>
    <row r="298" spans="2:113" s="214" customFormat="1" x14ac:dyDescent="0.2">
      <c r="B298" s="609" t="s">
        <v>678</v>
      </c>
      <c r="C298" s="609" t="s">
        <v>677</v>
      </c>
      <c r="D298" s="239">
        <v>26296284</v>
      </c>
      <c r="E298" s="239">
        <v>15777770</v>
      </c>
      <c r="F298" s="239">
        <v>10518513</v>
      </c>
      <c r="G298" s="239">
        <v>0</v>
      </c>
      <c r="H298" s="239">
        <v>52592567</v>
      </c>
      <c r="I298" s="239">
        <v>0</v>
      </c>
      <c r="J298" s="239">
        <v>0</v>
      </c>
      <c r="K298" s="239">
        <v>26296284</v>
      </c>
      <c r="L298" s="239">
        <v>288618</v>
      </c>
      <c r="M298" s="239">
        <v>288618</v>
      </c>
      <c r="N298" s="239">
        <v>0</v>
      </c>
      <c r="O298" s="239">
        <v>0</v>
      </c>
      <c r="P298" s="239">
        <v>0</v>
      </c>
      <c r="Q298" s="239">
        <v>0</v>
      </c>
      <c r="R298" s="239">
        <v>0</v>
      </c>
      <c r="S298" s="239">
        <v>0</v>
      </c>
      <c r="T298" s="239">
        <v>0</v>
      </c>
      <c r="U298" s="239">
        <v>0</v>
      </c>
      <c r="V298" s="239">
        <v>0</v>
      </c>
      <c r="W298" s="239">
        <v>2179084</v>
      </c>
      <c r="X298" s="239">
        <v>1307450</v>
      </c>
      <c r="Y298" s="239">
        <v>871633</v>
      </c>
      <c r="Z298" s="239">
        <v>0</v>
      </c>
      <c r="AA298" s="239">
        <v>4358167</v>
      </c>
      <c r="AB298" s="239">
        <v>-1829236</v>
      </c>
      <c r="AC298" s="239">
        <v>-1097542</v>
      </c>
      <c r="AD298" s="239">
        <v>-731694</v>
      </c>
      <c r="AE298" s="239">
        <v>0</v>
      </c>
      <c r="AF298" s="239">
        <v>-3658472</v>
      </c>
      <c r="AG298" s="239">
        <v>-391201</v>
      </c>
      <c r="AH298" s="239">
        <v>-234720</v>
      </c>
      <c r="AI298" s="239">
        <v>-156480</v>
      </c>
      <c r="AJ298" s="239">
        <v>0</v>
      </c>
      <c r="AK298" s="239">
        <v>-782401</v>
      </c>
      <c r="AL298" s="239">
        <v>293321</v>
      </c>
      <c r="AM298" s="239">
        <v>175993</v>
      </c>
      <c r="AN298" s="239">
        <v>117328</v>
      </c>
      <c r="AO298" s="239">
        <v>0</v>
      </c>
      <c r="AP298" s="239">
        <v>586642</v>
      </c>
      <c r="AQ298" s="239">
        <v>-1114380</v>
      </c>
      <c r="AR298" s="239">
        <v>-668628</v>
      </c>
      <c r="AS298" s="239">
        <v>-445752</v>
      </c>
      <c r="AT298" s="239">
        <v>0</v>
      </c>
      <c r="AU298" s="239">
        <v>-2228760</v>
      </c>
      <c r="AV298" s="239">
        <v>-1212260</v>
      </c>
      <c r="AW298" s="239">
        <v>-727355</v>
      </c>
      <c r="AX298" s="239">
        <v>-484904</v>
      </c>
      <c r="AY298" s="239">
        <v>0</v>
      </c>
      <c r="AZ298" s="239">
        <v>-2424519</v>
      </c>
      <c r="BA298" s="239">
        <v>-1519929</v>
      </c>
      <c r="BB298" s="239">
        <v>-911958</v>
      </c>
      <c r="BC298" s="239">
        <v>-607971</v>
      </c>
      <c r="BD298" s="239">
        <v>0</v>
      </c>
      <c r="BE298" s="239">
        <v>-3039858</v>
      </c>
      <c r="BF298" s="239">
        <v>1162872</v>
      </c>
      <c r="BG298" s="239">
        <v>697723</v>
      </c>
      <c r="BH298" s="239">
        <v>465149</v>
      </c>
      <c r="BI298" s="239">
        <v>0</v>
      </c>
      <c r="BJ298" s="239">
        <v>2325744</v>
      </c>
      <c r="BK298" s="239">
        <v>-2972107</v>
      </c>
      <c r="BL298" s="239">
        <v>-1783264</v>
      </c>
      <c r="BM298" s="239">
        <v>-1188843</v>
      </c>
      <c r="BN298" s="239">
        <v>0</v>
      </c>
      <c r="BO298" s="239">
        <v>-5944214</v>
      </c>
      <c r="BP298" s="239">
        <v>-3329164</v>
      </c>
      <c r="BQ298" s="239">
        <v>-1997499</v>
      </c>
      <c r="BR298" s="239">
        <v>-1331665</v>
      </c>
      <c r="BS298" s="239">
        <v>0</v>
      </c>
      <c r="BT298" s="239">
        <v>-6658328</v>
      </c>
      <c r="BU298" s="239">
        <v>847236</v>
      </c>
      <c r="BV298" s="239">
        <v>508341</v>
      </c>
      <c r="BW298" s="239">
        <v>338894</v>
      </c>
      <c r="BX298" s="239">
        <v>0</v>
      </c>
      <c r="BY298" s="239">
        <v>1694471</v>
      </c>
      <c r="BZ298" s="239">
        <v>-753976</v>
      </c>
      <c r="CA298" s="239">
        <v>-452386</v>
      </c>
      <c r="CB298" s="239">
        <v>-301590</v>
      </c>
      <c r="CC298" s="239">
        <v>0</v>
      </c>
      <c r="CD298" s="239">
        <v>-1507952</v>
      </c>
      <c r="CE298" s="239">
        <v>1601212</v>
      </c>
      <c r="CF298" s="239">
        <v>960727</v>
      </c>
      <c r="CG298" s="239">
        <v>640484</v>
      </c>
      <c r="CH298" s="239">
        <v>0</v>
      </c>
      <c r="CI298" s="239">
        <v>3202423</v>
      </c>
      <c r="CJ298" s="239">
        <v>28423689</v>
      </c>
      <c r="CK298" s="239">
        <v>17054213</v>
      </c>
      <c r="CL298" s="239">
        <v>11369475</v>
      </c>
      <c r="CM298" s="239">
        <v>0</v>
      </c>
      <c r="CN298" s="239">
        <v>56847377</v>
      </c>
      <c r="CO298" s="239">
        <v>26296284</v>
      </c>
      <c r="CP298" s="239">
        <v>15777770</v>
      </c>
      <c r="CQ298" s="239">
        <v>10518513</v>
      </c>
      <c r="CR298" s="239">
        <v>0</v>
      </c>
      <c r="CS298" s="239">
        <v>52592567</v>
      </c>
      <c r="CT298" s="239">
        <v>-2127405</v>
      </c>
      <c r="CU298" s="239">
        <v>-1276443</v>
      </c>
      <c r="CV298" s="239">
        <v>-850962</v>
      </c>
      <c r="CW298" s="239">
        <v>0</v>
      </c>
      <c r="CX298" s="239">
        <v>-4254810</v>
      </c>
      <c r="CY298" s="239">
        <v>-526193</v>
      </c>
      <c r="CZ298" s="239">
        <v>-315716</v>
      </c>
      <c r="DA298" s="239">
        <v>-210478</v>
      </c>
      <c r="DB298" s="239">
        <v>0</v>
      </c>
      <c r="DC298" s="239">
        <v>-1052387</v>
      </c>
      <c r="DD298" s="641">
        <v>0.5</v>
      </c>
      <c r="DE298" s="641">
        <v>0.3</v>
      </c>
      <c r="DF298" s="641">
        <v>0.2</v>
      </c>
      <c r="DG298" s="641">
        <v>0</v>
      </c>
      <c r="DH298" s="641">
        <v>1</v>
      </c>
      <c r="DI298" s="214" t="s">
        <v>1191</v>
      </c>
    </row>
    <row r="299" spans="2:113" s="214" customFormat="1" x14ac:dyDescent="0.2">
      <c r="B299" s="609" t="s">
        <v>680</v>
      </c>
      <c r="C299" s="609" t="s">
        <v>679</v>
      </c>
      <c r="D299" s="239">
        <v>50887651</v>
      </c>
      <c r="E299" s="239">
        <v>30532590</v>
      </c>
      <c r="F299" s="239">
        <v>20355060</v>
      </c>
      <c r="G299" s="239">
        <v>0</v>
      </c>
      <c r="H299" s="239">
        <v>101775301</v>
      </c>
      <c r="I299" s="239">
        <v>0</v>
      </c>
      <c r="J299" s="239">
        <v>0</v>
      </c>
      <c r="K299" s="239">
        <v>50887651</v>
      </c>
      <c r="L299" s="239">
        <v>462876</v>
      </c>
      <c r="M299" s="239">
        <v>462876</v>
      </c>
      <c r="N299" s="239">
        <v>0</v>
      </c>
      <c r="O299" s="239">
        <v>0</v>
      </c>
      <c r="P299" s="239">
        <v>0</v>
      </c>
      <c r="Q299" s="239">
        <v>0</v>
      </c>
      <c r="R299" s="239">
        <v>0</v>
      </c>
      <c r="S299" s="239">
        <v>0</v>
      </c>
      <c r="T299" s="239">
        <v>0</v>
      </c>
      <c r="U299" s="239">
        <v>0</v>
      </c>
      <c r="V299" s="239">
        <v>0</v>
      </c>
      <c r="W299" s="239">
        <v>3130564</v>
      </c>
      <c r="X299" s="239">
        <v>1878338</v>
      </c>
      <c r="Y299" s="239">
        <v>1252225</v>
      </c>
      <c r="Z299" s="239">
        <v>0</v>
      </c>
      <c r="AA299" s="239">
        <v>6261127</v>
      </c>
      <c r="AB299" s="239">
        <v>-1899069</v>
      </c>
      <c r="AC299" s="239">
        <v>-1139442</v>
      </c>
      <c r="AD299" s="239">
        <v>-759628</v>
      </c>
      <c r="AE299" s="239">
        <v>0</v>
      </c>
      <c r="AF299" s="239">
        <v>-3798139</v>
      </c>
      <c r="AG299" s="239">
        <v>-1137500</v>
      </c>
      <c r="AH299" s="239">
        <v>-682500</v>
      </c>
      <c r="AI299" s="239">
        <v>-455000</v>
      </c>
      <c r="AJ299" s="239">
        <v>0</v>
      </c>
      <c r="AK299" s="239">
        <v>-2275000</v>
      </c>
      <c r="AL299" s="239">
        <v>12020</v>
      </c>
      <c r="AM299" s="239">
        <v>7212</v>
      </c>
      <c r="AN299" s="239">
        <v>4808</v>
      </c>
      <c r="AO299" s="239">
        <v>0</v>
      </c>
      <c r="AP299" s="239">
        <v>24040</v>
      </c>
      <c r="AQ299" s="239">
        <v>-365520</v>
      </c>
      <c r="AR299" s="239">
        <v>-219312</v>
      </c>
      <c r="AS299" s="239">
        <v>-146208</v>
      </c>
      <c r="AT299" s="239">
        <v>0</v>
      </c>
      <c r="AU299" s="239">
        <v>-731040</v>
      </c>
      <c r="AV299" s="239">
        <v>-1491000</v>
      </c>
      <c r="AW299" s="239">
        <v>-894600</v>
      </c>
      <c r="AX299" s="239">
        <v>-596400</v>
      </c>
      <c r="AY299" s="239">
        <v>0</v>
      </c>
      <c r="AZ299" s="239">
        <v>-2982000</v>
      </c>
      <c r="BA299" s="239">
        <v>-3951618</v>
      </c>
      <c r="BB299" s="239">
        <v>-2370970</v>
      </c>
      <c r="BC299" s="239">
        <v>-1580646</v>
      </c>
      <c r="BD299" s="239">
        <v>0</v>
      </c>
      <c r="BE299" s="239">
        <v>-7903234</v>
      </c>
      <c r="BF299" s="239">
        <v>1171837</v>
      </c>
      <c r="BG299" s="239">
        <v>703103</v>
      </c>
      <c r="BH299" s="239">
        <v>468735</v>
      </c>
      <c r="BI299" s="239">
        <v>0</v>
      </c>
      <c r="BJ299" s="239">
        <v>2343675</v>
      </c>
      <c r="BK299" s="239">
        <v>-718789</v>
      </c>
      <c r="BL299" s="239">
        <v>-431274</v>
      </c>
      <c r="BM299" s="239">
        <v>-287516</v>
      </c>
      <c r="BN299" s="239">
        <v>0</v>
      </c>
      <c r="BO299" s="239">
        <v>-1437579</v>
      </c>
      <c r="BP299" s="239">
        <v>-3498570</v>
      </c>
      <c r="BQ299" s="239">
        <v>-2099141</v>
      </c>
      <c r="BR299" s="239">
        <v>-1399427</v>
      </c>
      <c r="BS299" s="239">
        <v>0</v>
      </c>
      <c r="BT299" s="239">
        <v>-6997138</v>
      </c>
      <c r="BU299" s="239">
        <v>-6662749</v>
      </c>
      <c r="BV299" s="239">
        <v>-3997649</v>
      </c>
      <c r="BW299" s="239">
        <v>-2665100</v>
      </c>
      <c r="BX299" s="239">
        <v>0</v>
      </c>
      <c r="BY299" s="239">
        <v>-13325498</v>
      </c>
      <c r="BZ299" s="239">
        <v>-4549844</v>
      </c>
      <c r="CA299" s="239">
        <v>-2729906</v>
      </c>
      <c r="CB299" s="239">
        <v>-1819938</v>
      </c>
      <c r="CC299" s="239">
        <v>0</v>
      </c>
      <c r="CD299" s="239">
        <v>-9099688</v>
      </c>
      <c r="CE299" s="239">
        <v>-2112905</v>
      </c>
      <c r="CF299" s="239">
        <v>-1267743</v>
      </c>
      <c r="CG299" s="239">
        <v>-845162</v>
      </c>
      <c r="CH299" s="239">
        <v>0</v>
      </c>
      <c r="CI299" s="239">
        <v>-4225810</v>
      </c>
      <c r="CJ299" s="239">
        <v>52336725</v>
      </c>
      <c r="CK299" s="239">
        <v>31402035</v>
      </c>
      <c r="CL299" s="239">
        <v>20934690</v>
      </c>
      <c r="CM299" s="239">
        <v>0</v>
      </c>
      <c r="CN299" s="239">
        <v>104673450</v>
      </c>
      <c r="CO299" s="239">
        <v>50887651</v>
      </c>
      <c r="CP299" s="239">
        <v>30532590</v>
      </c>
      <c r="CQ299" s="239">
        <v>20355060</v>
      </c>
      <c r="CR299" s="239">
        <v>0</v>
      </c>
      <c r="CS299" s="239">
        <v>101775301</v>
      </c>
      <c r="CT299" s="239">
        <v>-1449074</v>
      </c>
      <c r="CU299" s="239">
        <v>-869445</v>
      </c>
      <c r="CV299" s="239">
        <v>-579630</v>
      </c>
      <c r="CW299" s="239">
        <v>0</v>
      </c>
      <c r="CX299" s="239">
        <v>-2898149</v>
      </c>
      <c r="CY299" s="239">
        <v>-3561979</v>
      </c>
      <c r="CZ299" s="239">
        <v>-2137188</v>
      </c>
      <c r="DA299" s="239">
        <v>-1424792</v>
      </c>
      <c r="DB299" s="239">
        <v>0</v>
      </c>
      <c r="DC299" s="239">
        <v>-7123959</v>
      </c>
      <c r="DD299" s="641">
        <v>0.5</v>
      </c>
      <c r="DE299" s="641">
        <v>0.3</v>
      </c>
      <c r="DF299" s="641">
        <v>0.2</v>
      </c>
      <c r="DG299" s="641">
        <v>0</v>
      </c>
      <c r="DH299" s="641">
        <v>1</v>
      </c>
      <c r="DI299" s="214" t="s">
        <v>1193</v>
      </c>
    </row>
    <row r="300" spans="2:113" s="214" customFormat="1" x14ac:dyDescent="0.2">
      <c r="B300" s="609" t="s">
        <v>682</v>
      </c>
      <c r="C300" s="609" t="s">
        <v>681</v>
      </c>
      <c r="D300" s="239">
        <v>54154213</v>
      </c>
      <c r="E300" s="239">
        <v>53071129</v>
      </c>
      <c r="F300" s="239">
        <v>0</v>
      </c>
      <c r="G300" s="239">
        <v>1083084</v>
      </c>
      <c r="H300" s="239">
        <v>108308426</v>
      </c>
      <c r="I300" s="239">
        <v>0</v>
      </c>
      <c r="J300" s="239">
        <v>0</v>
      </c>
      <c r="K300" s="239">
        <v>54154213</v>
      </c>
      <c r="L300" s="239">
        <v>308089</v>
      </c>
      <c r="M300" s="239">
        <v>308089</v>
      </c>
      <c r="N300" s="239">
        <v>0</v>
      </c>
      <c r="O300" s="239">
        <v>0</v>
      </c>
      <c r="P300" s="239">
        <v>0</v>
      </c>
      <c r="Q300" s="239">
        <v>0</v>
      </c>
      <c r="R300" s="239">
        <v>0</v>
      </c>
      <c r="S300" s="239">
        <v>0</v>
      </c>
      <c r="T300" s="239">
        <v>0</v>
      </c>
      <c r="U300" s="239">
        <v>0</v>
      </c>
      <c r="V300" s="239">
        <v>0</v>
      </c>
      <c r="W300" s="239">
        <v>6339672</v>
      </c>
      <c r="X300" s="239">
        <v>6212878</v>
      </c>
      <c r="Y300" s="239">
        <v>0</v>
      </c>
      <c r="Z300" s="239">
        <v>126793</v>
      </c>
      <c r="AA300" s="239">
        <v>12679343</v>
      </c>
      <c r="AB300" s="239">
        <v>-806670</v>
      </c>
      <c r="AC300" s="239">
        <v>-790536</v>
      </c>
      <c r="AD300" s="239">
        <v>0</v>
      </c>
      <c r="AE300" s="239">
        <v>-16133</v>
      </c>
      <c r="AF300" s="239">
        <v>-1613339</v>
      </c>
      <c r="AG300" s="239">
        <v>-2390190</v>
      </c>
      <c r="AH300" s="239">
        <v>-2342386</v>
      </c>
      <c r="AI300" s="239">
        <v>0</v>
      </c>
      <c r="AJ300" s="239">
        <v>-47804</v>
      </c>
      <c r="AK300" s="239">
        <v>-4780380</v>
      </c>
      <c r="AL300" s="239">
        <v>0</v>
      </c>
      <c r="AM300" s="239">
        <v>0</v>
      </c>
      <c r="AN300" s="239">
        <v>0</v>
      </c>
      <c r="AO300" s="239">
        <v>0</v>
      </c>
      <c r="AP300" s="239">
        <v>0</v>
      </c>
      <c r="AQ300" s="239">
        <v>32216</v>
      </c>
      <c r="AR300" s="239">
        <v>31572</v>
      </c>
      <c r="AS300" s="239">
        <v>0</v>
      </c>
      <c r="AT300" s="239">
        <v>644</v>
      </c>
      <c r="AU300" s="239">
        <v>64432</v>
      </c>
      <c r="AV300" s="239">
        <v>-2357974</v>
      </c>
      <c r="AW300" s="239">
        <v>-2310814</v>
      </c>
      <c r="AX300" s="239">
        <v>0</v>
      </c>
      <c r="AY300" s="239">
        <v>-47160</v>
      </c>
      <c r="AZ300" s="239">
        <v>-4715948</v>
      </c>
      <c r="BA300" s="239">
        <v>-4614363</v>
      </c>
      <c r="BB300" s="239">
        <v>-4522077</v>
      </c>
      <c r="BC300" s="239">
        <v>0</v>
      </c>
      <c r="BD300" s="239">
        <v>-92288</v>
      </c>
      <c r="BE300" s="239">
        <v>-9228728</v>
      </c>
      <c r="BF300" s="239">
        <v>0</v>
      </c>
      <c r="BG300" s="239">
        <v>0</v>
      </c>
      <c r="BH300" s="239">
        <v>0</v>
      </c>
      <c r="BI300" s="239">
        <v>0</v>
      </c>
      <c r="BJ300" s="239">
        <v>0</v>
      </c>
      <c r="BK300" s="239">
        <v>0</v>
      </c>
      <c r="BL300" s="239">
        <v>0</v>
      </c>
      <c r="BM300" s="239">
        <v>0</v>
      </c>
      <c r="BN300" s="239">
        <v>0</v>
      </c>
      <c r="BO300" s="239">
        <v>0</v>
      </c>
      <c r="BP300" s="239">
        <v>-4614363</v>
      </c>
      <c r="BQ300" s="239">
        <v>-4522077</v>
      </c>
      <c r="BR300" s="239">
        <v>0</v>
      </c>
      <c r="BS300" s="239">
        <v>-92288</v>
      </c>
      <c r="BT300" s="239">
        <v>-9228728</v>
      </c>
      <c r="BU300" s="239">
        <v>-4540877</v>
      </c>
      <c r="BV300" s="239">
        <v>-4450060</v>
      </c>
      <c r="BW300" s="239">
        <v>0</v>
      </c>
      <c r="BX300" s="239">
        <v>-90818</v>
      </c>
      <c r="BY300" s="239">
        <v>-9081755</v>
      </c>
      <c r="BZ300" s="239">
        <v>-3826479</v>
      </c>
      <c r="CA300" s="239">
        <v>-3749950</v>
      </c>
      <c r="CB300" s="239">
        <v>0</v>
      </c>
      <c r="CC300" s="239">
        <v>-76530</v>
      </c>
      <c r="CD300" s="239">
        <v>-7652959</v>
      </c>
      <c r="CE300" s="239">
        <v>-714398</v>
      </c>
      <c r="CF300" s="239">
        <v>-700110</v>
      </c>
      <c r="CG300" s="239">
        <v>0</v>
      </c>
      <c r="CH300" s="239">
        <v>-14288</v>
      </c>
      <c r="CI300" s="239">
        <v>-1428796</v>
      </c>
      <c r="CJ300" s="239">
        <v>57283325</v>
      </c>
      <c r="CK300" s="239">
        <v>56137658</v>
      </c>
      <c r="CL300" s="239">
        <v>0</v>
      </c>
      <c r="CM300" s="239">
        <v>1145666</v>
      </c>
      <c r="CN300" s="239">
        <v>114566649</v>
      </c>
      <c r="CO300" s="239">
        <v>54154213</v>
      </c>
      <c r="CP300" s="239">
        <v>53071129</v>
      </c>
      <c r="CQ300" s="239">
        <v>0</v>
      </c>
      <c r="CR300" s="239">
        <v>1083084</v>
      </c>
      <c r="CS300" s="239">
        <v>108308426</v>
      </c>
      <c r="CT300" s="239">
        <v>-3129112</v>
      </c>
      <c r="CU300" s="239">
        <v>-3066529</v>
      </c>
      <c r="CV300" s="239">
        <v>0</v>
      </c>
      <c r="CW300" s="239">
        <v>-62582</v>
      </c>
      <c r="CX300" s="239">
        <v>-6258223</v>
      </c>
      <c r="CY300" s="239">
        <v>-3843510</v>
      </c>
      <c r="CZ300" s="239">
        <v>-3766639</v>
      </c>
      <c r="DA300" s="239">
        <v>0</v>
      </c>
      <c r="DB300" s="239">
        <v>-76870</v>
      </c>
      <c r="DC300" s="239">
        <v>-7687019</v>
      </c>
      <c r="DD300" s="641">
        <v>0.5</v>
      </c>
      <c r="DE300" s="641">
        <v>0.49</v>
      </c>
      <c r="DF300" s="641">
        <v>0</v>
      </c>
      <c r="DG300" s="641">
        <v>0.01</v>
      </c>
      <c r="DH300" s="641">
        <v>1</v>
      </c>
      <c r="DI300" s="214" t="s">
        <v>747</v>
      </c>
    </row>
    <row r="301" spans="2:113" s="214" customFormat="1" x14ac:dyDescent="0.2">
      <c r="B301" s="609" t="s">
        <v>684</v>
      </c>
      <c r="C301" s="609" t="s">
        <v>683</v>
      </c>
      <c r="D301" s="239">
        <v>35126664</v>
      </c>
      <c r="E301" s="239">
        <v>28101331</v>
      </c>
      <c r="F301" s="239">
        <v>7025333</v>
      </c>
      <c r="G301" s="239">
        <v>0</v>
      </c>
      <c r="H301" s="239">
        <v>70253328</v>
      </c>
      <c r="I301" s="239">
        <v>0</v>
      </c>
      <c r="J301" s="239">
        <v>0</v>
      </c>
      <c r="K301" s="239">
        <v>35126664</v>
      </c>
      <c r="L301" s="239">
        <v>214443</v>
      </c>
      <c r="M301" s="239">
        <v>214443</v>
      </c>
      <c r="N301" s="239">
        <v>0</v>
      </c>
      <c r="O301" s="239">
        <v>0</v>
      </c>
      <c r="P301" s="239">
        <v>15034</v>
      </c>
      <c r="Q301" s="239">
        <v>0</v>
      </c>
      <c r="R301" s="239">
        <v>15034</v>
      </c>
      <c r="S301" s="239">
        <v>0</v>
      </c>
      <c r="T301" s="239">
        <v>0</v>
      </c>
      <c r="U301" s="239">
        <v>0</v>
      </c>
      <c r="V301" s="239">
        <v>0</v>
      </c>
      <c r="W301" s="239">
        <v>775680</v>
      </c>
      <c r="X301" s="239">
        <v>620544</v>
      </c>
      <c r="Y301" s="239">
        <v>155136</v>
      </c>
      <c r="Z301" s="239">
        <v>0</v>
      </c>
      <c r="AA301" s="239">
        <v>1551360</v>
      </c>
      <c r="AB301" s="239">
        <v>-226176</v>
      </c>
      <c r="AC301" s="239">
        <v>-180941</v>
      </c>
      <c r="AD301" s="239">
        <v>-45235</v>
      </c>
      <c r="AE301" s="239">
        <v>0</v>
      </c>
      <c r="AF301" s="239">
        <v>-452352</v>
      </c>
      <c r="AG301" s="239">
        <v>-250000</v>
      </c>
      <c r="AH301" s="239">
        <v>-200000</v>
      </c>
      <c r="AI301" s="239">
        <v>-50000</v>
      </c>
      <c r="AJ301" s="239">
        <v>0</v>
      </c>
      <c r="AK301" s="239">
        <v>-500000</v>
      </c>
      <c r="AL301" s="239">
        <v>102277</v>
      </c>
      <c r="AM301" s="239">
        <v>81822</v>
      </c>
      <c r="AN301" s="239">
        <v>20456</v>
      </c>
      <c r="AO301" s="239">
        <v>0</v>
      </c>
      <c r="AP301" s="239">
        <v>204555</v>
      </c>
      <c r="AQ301" s="239">
        <v>-314777</v>
      </c>
      <c r="AR301" s="239">
        <v>-251822</v>
      </c>
      <c r="AS301" s="239">
        <v>-62956</v>
      </c>
      <c r="AT301" s="239">
        <v>0</v>
      </c>
      <c r="AU301" s="239">
        <v>-629555</v>
      </c>
      <c r="AV301" s="239">
        <v>-462500</v>
      </c>
      <c r="AW301" s="239">
        <v>-370000</v>
      </c>
      <c r="AX301" s="239">
        <v>-92500</v>
      </c>
      <c r="AY301" s="239">
        <v>0</v>
      </c>
      <c r="AZ301" s="239">
        <v>-925000</v>
      </c>
      <c r="BA301" s="239">
        <v>-4972235</v>
      </c>
      <c r="BB301" s="239">
        <v>-3977787</v>
      </c>
      <c r="BC301" s="239">
        <v>-994447</v>
      </c>
      <c r="BD301" s="239">
        <v>0</v>
      </c>
      <c r="BE301" s="239">
        <v>-9944469</v>
      </c>
      <c r="BF301" s="239">
        <v>1202216</v>
      </c>
      <c r="BG301" s="239">
        <v>961773</v>
      </c>
      <c r="BH301" s="239">
        <v>240443</v>
      </c>
      <c r="BI301" s="239">
        <v>0</v>
      </c>
      <c r="BJ301" s="239">
        <v>2404432</v>
      </c>
      <c r="BK301" s="239">
        <v>-804111</v>
      </c>
      <c r="BL301" s="239">
        <v>-643288</v>
      </c>
      <c r="BM301" s="239">
        <v>-160822</v>
      </c>
      <c r="BN301" s="239">
        <v>0</v>
      </c>
      <c r="BO301" s="239">
        <v>-1608221</v>
      </c>
      <c r="BP301" s="239">
        <v>-4574130</v>
      </c>
      <c r="BQ301" s="239">
        <v>-3659302</v>
      </c>
      <c r="BR301" s="239">
        <v>-914826</v>
      </c>
      <c r="BS301" s="239">
        <v>0</v>
      </c>
      <c r="BT301" s="239">
        <v>-9148258</v>
      </c>
      <c r="BU301" s="239">
        <v>-4507249</v>
      </c>
      <c r="BV301" s="239">
        <v>-3605799</v>
      </c>
      <c r="BW301" s="239">
        <v>-901450</v>
      </c>
      <c r="BX301" s="239">
        <v>0</v>
      </c>
      <c r="BY301" s="239">
        <v>-9014498</v>
      </c>
      <c r="BZ301" s="239">
        <v>-4515305</v>
      </c>
      <c r="CA301" s="239">
        <v>-3612244</v>
      </c>
      <c r="CB301" s="239">
        <v>-903061</v>
      </c>
      <c r="CC301" s="239">
        <v>0</v>
      </c>
      <c r="CD301" s="239">
        <v>-9030610</v>
      </c>
      <c r="CE301" s="239">
        <v>8056</v>
      </c>
      <c r="CF301" s="239">
        <v>6445</v>
      </c>
      <c r="CG301" s="239">
        <v>1611</v>
      </c>
      <c r="CH301" s="239">
        <v>0</v>
      </c>
      <c r="CI301" s="239">
        <v>16112</v>
      </c>
      <c r="CJ301" s="239">
        <v>33606701</v>
      </c>
      <c r="CK301" s="239">
        <v>26885361</v>
      </c>
      <c r="CL301" s="239">
        <v>6721340</v>
      </c>
      <c r="CM301" s="239">
        <v>0</v>
      </c>
      <c r="CN301" s="239">
        <v>67213402</v>
      </c>
      <c r="CO301" s="239">
        <v>35126664</v>
      </c>
      <c r="CP301" s="239">
        <v>28101331</v>
      </c>
      <c r="CQ301" s="239">
        <v>7025333</v>
      </c>
      <c r="CR301" s="239">
        <v>0</v>
      </c>
      <c r="CS301" s="239">
        <v>70253328</v>
      </c>
      <c r="CT301" s="239">
        <v>1519963</v>
      </c>
      <c r="CU301" s="239">
        <v>1215970</v>
      </c>
      <c r="CV301" s="239">
        <v>303993</v>
      </c>
      <c r="CW301" s="239">
        <v>0</v>
      </c>
      <c r="CX301" s="239">
        <v>3039926</v>
      </c>
      <c r="CY301" s="239">
        <v>1528019</v>
      </c>
      <c r="CZ301" s="239">
        <v>1222415</v>
      </c>
      <c r="DA301" s="239">
        <v>305604</v>
      </c>
      <c r="DB301" s="239">
        <v>0</v>
      </c>
      <c r="DC301" s="239">
        <v>3056038</v>
      </c>
      <c r="DD301" s="641">
        <v>0.5</v>
      </c>
      <c r="DE301" s="641">
        <v>0.4</v>
      </c>
      <c r="DF301" s="641">
        <v>0.1</v>
      </c>
      <c r="DG301" s="641">
        <v>0</v>
      </c>
      <c r="DH301" s="641">
        <v>1</v>
      </c>
      <c r="DI301" s="214" t="s">
        <v>1190</v>
      </c>
    </row>
    <row r="302" spans="2:113" s="214" customFormat="1" x14ac:dyDescent="0.2">
      <c r="B302" s="609" t="s">
        <v>686</v>
      </c>
      <c r="C302" s="609" t="s">
        <v>685</v>
      </c>
      <c r="D302" s="239">
        <v>36045789</v>
      </c>
      <c r="E302" s="239">
        <v>28836632</v>
      </c>
      <c r="F302" s="239">
        <v>7209158</v>
      </c>
      <c r="G302" s="239">
        <v>0</v>
      </c>
      <c r="H302" s="239">
        <v>72091579</v>
      </c>
      <c r="I302" s="239">
        <v>0</v>
      </c>
      <c r="J302" s="239">
        <v>0</v>
      </c>
      <c r="K302" s="239">
        <v>36045789</v>
      </c>
      <c r="L302" s="239">
        <v>171747</v>
      </c>
      <c r="M302" s="239">
        <v>171747</v>
      </c>
      <c r="N302" s="239">
        <v>0</v>
      </c>
      <c r="O302" s="239">
        <v>0</v>
      </c>
      <c r="P302" s="239">
        <v>0</v>
      </c>
      <c r="Q302" s="239">
        <v>0</v>
      </c>
      <c r="R302" s="239">
        <v>0</v>
      </c>
      <c r="S302" s="239">
        <v>0</v>
      </c>
      <c r="T302" s="239">
        <v>0</v>
      </c>
      <c r="U302" s="239">
        <v>0</v>
      </c>
      <c r="V302" s="239">
        <v>0</v>
      </c>
      <c r="W302" s="239">
        <v>1407992</v>
      </c>
      <c r="X302" s="239">
        <v>1126394</v>
      </c>
      <c r="Y302" s="239">
        <v>281599</v>
      </c>
      <c r="Z302" s="239">
        <v>0</v>
      </c>
      <c r="AA302" s="239">
        <v>2815985</v>
      </c>
      <c r="AB302" s="239">
        <v>-1174557</v>
      </c>
      <c r="AC302" s="239">
        <v>-939646</v>
      </c>
      <c r="AD302" s="239">
        <v>-234912</v>
      </c>
      <c r="AE302" s="239">
        <v>0</v>
      </c>
      <c r="AF302" s="239">
        <v>-2349115</v>
      </c>
      <c r="AG302" s="239">
        <v>-686048</v>
      </c>
      <c r="AH302" s="239">
        <v>-548838</v>
      </c>
      <c r="AI302" s="239">
        <v>-137209</v>
      </c>
      <c r="AJ302" s="239">
        <v>0</v>
      </c>
      <c r="AK302" s="239">
        <v>-1372095</v>
      </c>
      <c r="AL302" s="239">
        <v>340821</v>
      </c>
      <c r="AM302" s="239">
        <v>272657</v>
      </c>
      <c r="AN302" s="239">
        <v>68164</v>
      </c>
      <c r="AO302" s="239">
        <v>0</v>
      </c>
      <c r="AP302" s="239">
        <v>681642</v>
      </c>
      <c r="AQ302" s="239">
        <v>-463117</v>
      </c>
      <c r="AR302" s="239">
        <v>-370494</v>
      </c>
      <c r="AS302" s="239">
        <v>-92623</v>
      </c>
      <c r="AT302" s="239">
        <v>0</v>
      </c>
      <c r="AU302" s="239">
        <v>-926234</v>
      </c>
      <c r="AV302" s="239">
        <v>-808344</v>
      </c>
      <c r="AW302" s="239">
        <v>-646675</v>
      </c>
      <c r="AX302" s="239">
        <v>-161668</v>
      </c>
      <c r="AY302" s="239">
        <v>0</v>
      </c>
      <c r="AZ302" s="239">
        <v>-1616687</v>
      </c>
      <c r="BA302" s="239">
        <v>-10476401</v>
      </c>
      <c r="BB302" s="239">
        <v>-8381121</v>
      </c>
      <c r="BC302" s="239">
        <v>-2095280</v>
      </c>
      <c r="BD302" s="239">
        <v>0</v>
      </c>
      <c r="BE302" s="239">
        <v>-20952802</v>
      </c>
      <c r="BF302" s="239">
        <v>2568187</v>
      </c>
      <c r="BG302" s="239">
        <v>2054549</v>
      </c>
      <c r="BH302" s="239">
        <v>513637</v>
      </c>
      <c r="BI302" s="239">
        <v>0</v>
      </c>
      <c r="BJ302" s="239">
        <v>5136373</v>
      </c>
      <c r="BK302" s="239">
        <v>2818532</v>
      </c>
      <c r="BL302" s="239">
        <v>2254826</v>
      </c>
      <c r="BM302" s="239">
        <v>563706</v>
      </c>
      <c r="BN302" s="239">
        <v>0</v>
      </c>
      <c r="BO302" s="239">
        <v>5637064</v>
      </c>
      <c r="BP302" s="239">
        <v>-5089682</v>
      </c>
      <c r="BQ302" s="239">
        <v>-4071746</v>
      </c>
      <c r="BR302" s="239">
        <v>-1017937</v>
      </c>
      <c r="BS302" s="239">
        <v>0</v>
      </c>
      <c r="BT302" s="239">
        <v>-10179365</v>
      </c>
      <c r="BU302" s="239">
        <v>-6263642.6999999993</v>
      </c>
      <c r="BV302" s="239">
        <v>-5010913</v>
      </c>
      <c r="BW302" s="239">
        <v>-1252728</v>
      </c>
      <c r="BX302" s="239">
        <v>0</v>
      </c>
      <c r="BY302" s="239">
        <v>-12527283.699999999</v>
      </c>
      <c r="BZ302" s="239">
        <v>-6677976</v>
      </c>
      <c r="CA302" s="239">
        <v>-5342381</v>
      </c>
      <c r="CB302" s="239">
        <v>-1335595</v>
      </c>
      <c r="CC302" s="239">
        <v>0</v>
      </c>
      <c r="CD302" s="239">
        <v>-13355952</v>
      </c>
      <c r="CE302" s="239">
        <v>414333.30000000075</v>
      </c>
      <c r="CF302" s="239">
        <v>331468</v>
      </c>
      <c r="CG302" s="239">
        <v>82867</v>
      </c>
      <c r="CH302" s="239">
        <v>0</v>
      </c>
      <c r="CI302" s="239">
        <v>828668.30000000075</v>
      </c>
      <c r="CJ302" s="239">
        <v>32007859</v>
      </c>
      <c r="CK302" s="239">
        <v>25606287</v>
      </c>
      <c r="CL302" s="239">
        <v>6401572</v>
      </c>
      <c r="CM302" s="239">
        <v>0</v>
      </c>
      <c r="CN302" s="239">
        <v>64015718</v>
      </c>
      <c r="CO302" s="239">
        <v>36045789</v>
      </c>
      <c r="CP302" s="239">
        <v>28836632</v>
      </c>
      <c r="CQ302" s="239">
        <v>7209158</v>
      </c>
      <c r="CR302" s="239">
        <v>0</v>
      </c>
      <c r="CS302" s="239">
        <v>72091579</v>
      </c>
      <c r="CT302" s="239">
        <v>4037930</v>
      </c>
      <c r="CU302" s="239">
        <v>3230345</v>
      </c>
      <c r="CV302" s="239">
        <v>807586</v>
      </c>
      <c r="CW302" s="239">
        <v>0</v>
      </c>
      <c r="CX302" s="239">
        <v>8075861</v>
      </c>
      <c r="CY302" s="239">
        <v>4452263.3000000007</v>
      </c>
      <c r="CZ302" s="239">
        <v>3561813</v>
      </c>
      <c r="DA302" s="239">
        <v>890453</v>
      </c>
      <c r="DB302" s="239">
        <v>0</v>
      </c>
      <c r="DC302" s="239">
        <v>8904529.3000000007</v>
      </c>
      <c r="DD302" s="641">
        <v>0.5</v>
      </c>
      <c r="DE302" s="641">
        <v>0.4</v>
      </c>
      <c r="DF302" s="641">
        <v>0.1</v>
      </c>
      <c r="DG302" s="641">
        <v>0</v>
      </c>
      <c r="DH302" s="641">
        <v>1</v>
      </c>
      <c r="DI302" s="214" t="s">
        <v>1190</v>
      </c>
    </row>
    <row r="303" spans="2:113" s="214" customFormat="1" x14ac:dyDescent="0.2">
      <c r="B303" s="609" t="s">
        <v>688</v>
      </c>
      <c r="C303" s="609" t="s">
        <v>687</v>
      </c>
      <c r="D303" s="239">
        <v>13400312</v>
      </c>
      <c r="E303" s="239">
        <v>10720250</v>
      </c>
      <c r="F303" s="239">
        <v>2680063</v>
      </c>
      <c r="G303" s="239">
        <v>0</v>
      </c>
      <c r="H303" s="239">
        <v>26800625</v>
      </c>
      <c r="I303" s="239">
        <v>165761.19421487604</v>
      </c>
      <c r="J303" s="239">
        <v>165761.19421487604</v>
      </c>
      <c r="K303" s="239">
        <v>13234550.805785123</v>
      </c>
      <c r="L303" s="239">
        <v>204024</v>
      </c>
      <c r="M303" s="239">
        <v>204024</v>
      </c>
      <c r="N303" s="239">
        <v>251692</v>
      </c>
      <c r="O303" s="239">
        <v>251692</v>
      </c>
      <c r="P303" s="239">
        <v>237815</v>
      </c>
      <c r="Q303" s="239">
        <v>0</v>
      </c>
      <c r="R303" s="239">
        <v>237815</v>
      </c>
      <c r="S303" s="239">
        <v>165761.19421487604</v>
      </c>
      <c r="T303" s="239">
        <v>0</v>
      </c>
      <c r="U303" s="239">
        <v>0</v>
      </c>
      <c r="V303" s="239">
        <v>165761.19421487604</v>
      </c>
      <c r="W303" s="239">
        <v>755706</v>
      </c>
      <c r="X303" s="239">
        <v>604565</v>
      </c>
      <c r="Y303" s="239">
        <v>151141</v>
      </c>
      <c r="Z303" s="239">
        <v>0</v>
      </c>
      <c r="AA303" s="239">
        <v>1511412</v>
      </c>
      <c r="AB303" s="239">
        <v>-386888</v>
      </c>
      <c r="AC303" s="239">
        <v>-309511</v>
      </c>
      <c r="AD303" s="239">
        <v>-77378</v>
      </c>
      <c r="AE303" s="239">
        <v>0</v>
      </c>
      <c r="AF303" s="239">
        <v>-773777</v>
      </c>
      <c r="AG303" s="239">
        <v>-416178</v>
      </c>
      <c r="AH303" s="239">
        <v>-332943</v>
      </c>
      <c r="AI303" s="239">
        <v>-83236</v>
      </c>
      <c r="AJ303" s="239">
        <v>0</v>
      </c>
      <c r="AK303" s="239">
        <v>-832357</v>
      </c>
      <c r="AL303" s="239">
        <v>49431</v>
      </c>
      <c r="AM303" s="239">
        <v>39544</v>
      </c>
      <c r="AN303" s="239">
        <v>9886</v>
      </c>
      <c r="AO303" s="239">
        <v>0</v>
      </c>
      <c r="AP303" s="239">
        <v>98861</v>
      </c>
      <c r="AQ303" s="239">
        <v>-56173</v>
      </c>
      <c r="AR303" s="239">
        <v>-44939</v>
      </c>
      <c r="AS303" s="239">
        <v>-11235</v>
      </c>
      <c r="AT303" s="239">
        <v>0</v>
      </c>
      <c r="AU303" s="239">
        <v>-112347</v>
      </c>
      <c r="AV303" s="239">
        <v>-422920</v>
      </c>
      <c r="AW303" s="239">
        <v>-338338</v>
      </c>
      <c r="AX303" s="239">
        <v>-84585</v>
      </c>
      <c r="AY303" s="239">
        <v>0</v>
      </c>
      <c r="AZ303" s="239">
        <v>-845843</v>
      </c>
      <c r="BA303" s="239">
        <v>-1864782</v>
      </c>
      <c r="BB303" s="239">
        <v>-1491824</v>
      </c>
      <c r="BC303" s="239">
        <v>-372956</v>
      </c>
      <c r="BD303" s="239">
        <v>0</v>
      </c>
      <c r="BE303" s="239">
        <v>-3729562</v>
      </c>
      <c r="BF303" s="239">
        <v>1592619</v>
      </c>
      <c r="BG303" s="239">
        <v>1274096</v>
      </c>
      <c r="BH303" s="239">
        <v>318524</v>
      </c>
      <c r="BI303" s="239">
        <v>0</v>
      </c>
      <c r="BJ303" s="239">
        <v>3185239</v>
      </c>
      <c r="BK303" s="239">
        <v>-1283479</v>
      </c>
      <c r="BL303" s="239">
        <v>-1026784</v>
      </c>
      <c r="BM303" s="239">
        <v>-256696</v>
      </c>
      <c r="BN303" s="239">
        <v>0</v>
      </c>
      <c r="BO303" s="239">
        <v>-2566959</v>
      </c>
      <c r="BP303" s="239">
        <v>-1555642</v>
      </c>
      <c r="BQ303" s="239">
        <v>-1244512</v>
      </c>
      <c r="BR303" s="239">
        <v>-311128</v>
      </c>
      <c r="BS303" s="239">
        <v>0</v>
      </c>
      <c r="BT303" s="239">
        <v>-3111282</v>
      </c>
      <c r="BU303" s="239">
        <v>-1395625</v>
      </c>
      <c r="BV303" s="239">
        <v>-1116500</v>
      </c>
      <c r="BW303" s="239">
        <v>-279125</v>
      </c>
      <c r="BX303" s="239">
        <v>0</v>
      </c>
      <c r="BY303" s="239">
        <v>-2791250</v>
      </c>
      <c r="BZ303" s="239">
        <v>-821397</v>
      </c>
      <c r="CA303" s="239">
        <v>-657118</v>
      </c>
      <c r="CB303" s="239">
        <v>-164279</v>
      </c>
      <c r="CC303" s="239">
        <v>0</v>
      </c>
      <c r="CD303" s="239">
        <v>-1642794</v>
      </c>
      <c r="CE303" s="239">
        <v>-574228</v>
      </c>
      <c r="CF303" s="239">
        <v>-459382</v>
      </c>
      <c r="CG303" s="239">
        <v>-114846</v>
      </c>
      <c r="CH303" s="239">
        <v>0</v>
      </c>
      <c r="CI303" s="239">
        <v>-1148456</v>
      </c>
      <c r="CJ303" s="239">
        <v>13423542</v>
      </c>
      <c r="CK303" s="239">
        <v>10738833</v>
      </c>
      <c r="CL303" s="239">
        <v>2684708</v>
      </c>
      <c r="CM303" s="239">
        <v>0</v>
      </c>
      <c r="CN303" s="239">
        <v>26847083</v>
      </c>
      <c r="CO303" s="239">
        <v>13400312</v>
      </c>
      <c r="CP303" s="239">
        <v>10720250</v>
      </c>
      <c r="CQ303" s="239">
        <v>2680063</v>
      </c>
      <c r="CR303" s="239">
        <v>0</v>
      </c>
      <c r="CS303" s="239">
        <v>26800625</v>
      </c>
      <c r="CT303" s="239">
        <v>-23230</v>
      </c>
      <c r="CU303" s="239">
        <v>-18583</v>
      </c>
      <c r="CV303" s="239">
        <v>-4645</v>
      </c>
      <c r="CW303" s="239">
        <v>0</v>
      </c>
      <c r="CX303" s="239">
        <v>-46458</v>
      </c>
      <c r="CY303" s="239">
        <v>-597458</v>
      </c>
      <c r="CZ303" s="239">
        <v>-477965</v>
      </c>
      <c r="DA303" s="239">
        <v>-119491</v>
      </c>
      <c r="DB303" s="239">
        <v>0</v>
      </c>
      <c r="DC303" s="239">
        <v>-1194914</v>
      </c>
      <c r="DD303" s="641">
        <v>0.5</v>
      </c>
      <c r="DE303" s="641">
        <v>0.4</v>
      </c>
      <c r="DF303" s="641">
        <v>0.1</v>
      </c>
      <c r="DG303" s="641">
        <v>0</v>
      </c>
      <c r="DH303" s="641">
        <v>1</v>
      </c>
      <c r="DI303" s="214" t="s">
        <v>1190</v>
      </c>
    </row>
    <row r="304" spans="2:113" s="214" customFormat="1" x14ac:dyDescent="0.2">
      <c r="B304" s="609" t="s">
        <v>690</v>
      </c>
      <c r="C304" s="609" t="s">
        <v>689</v>
      </c>
      <c r="D304" s="239">
        <v>18167347</v>
      </c>
      <c r="E304" s="239">
        <v>14533878</v>
      </c>
      <c r="F304" s="239">
        <v>3633469</v>
      </c>
      <c r="G304" s="239">
        <v>0</v>
      </c>
      <c r="H304" s="239">
        <v>36334694</v>
      </c>
      <c r="I304" s="239">
        <v>0</v>
      </c>
      <c r="J304" s="239">
        <v>0</v>
      </c>
      <c r="K304" s="239">
        <v>18167347</v>
      </c>
      <c r="L304" s="239">
        <v>179430</v>
      </c>
      <c r="M304" s="239">
        <v>179430</v>
      </c>
      <c r="N304" s="239">
        <v>0</v>
      </c>
      <c r="O304" s="239">
        <v>0</v>
      </c>
      <c r="P304" s="239">
        <v>0</v>
      </c>
      <c r="Q304" s="239">
        <v>0</v>
      </c>
      <c r="R304" s="239">
        <v>0</v>
      </c>
      <c r="S304" s="239">
        <v>0</v>
      </c>
      <c r="T304" s="239">
        <v>0</v>
      </c>
      <c r="U304" s="239">
        <v>0</v>
      </c>
      <c r="V304" s="239">
        <v>0</v>
      </c>
      <c r="W304" s="239">
        <v>1169072</v>
      </c>
      <c r="X304" s="239">
        <v>935258</v>
      </c>
      <c r="Y304" s="239">
        <v>233815</v>
      </c>
      <c r="Z304" s="239">
        <v>0</v>
      </c>
      <c r="AA304" s="239">
        <v>2338145</v>
      </c>
      <c r="AB304" s="239">
        <v>-375056</v>
      </c>
      <c r="AC304" s="239">
        <v>-300044</v>
      </c>
      <c r="AD304" s="239">
        <v>-75011</v>
      </c>
      <c r="AE304" s="239">
        <v>0</v>
      </c>
      <c r="AF304" s="239">
        <v>-750111</v>
      </c>
      <c r="AG304" s="239">
        <v>-225000</v>
      </c>
      <c r="AH304" s="239">
        <v>-180000</v>
      </c>
      <c r="AI304" s="239">
        <v>-45000</v>
      </c>
      <c r="AJ304" s="239">
        <v>0</v>
      </c>
      <c r="AK304" s="239">
        <v>-450000</v>
      </c>
      <c r="AL304" s="239">
        <v>117893</v>
      </c>
      <c r="AM304" s="239">
        <v>94314</v>
      </c>
      <c r="AN304" s="239">
        <v>23579</v>
      </c>
      <c r="AO304" s="239">
        <v>0</v>
      </c>
      <c r="AP304" s="239">
        <v>235786</v>
      </c>
      <c r="AQ304" s="239">
        <v>-127893</v>
      </c>
      <c r="AR304" s="239">
        <v>-102314</v>
      </c>
      <c r="AS304" s="239">
        <v>-25579</v>
      </c>
      <c r="AT304" s="239">
        <v>0</v>
      </c>
      <c r="AU304" s="239">
        <v>-255786</v>
      </c>
      <c r="AV304" s="239">
        <v>-235000</v>
      </c>
      <c r="AW304" s="239">
        <v>-188000</v>
      </c>
      <c r="AX304" s="239">
        <v>-47000</v>
      </c>
      <c r="AY304" s="239">
        <v>0</v>
      </c>
      <c r="AZ304" s="239">
        <v>-470000</v>
      </c>
      <c r="BA304" s="239">
        <v>-1075000</v>
      </c>
      <c r="BB304" s="239">
        <v>-860000</v>
      </c>
      <c r="BC304" s="239">
        <v>-215000</v>
      </c>
      <c r="BD304" s="239">
        <v>0</v>
      </c>
      <c r="BE304" s="239">
        <v>-2150000</v>
      </c>
      <c r="BF304" s="239">
        <v>320438</v>
      </c>
      <c r="BG304" s="239">
        <v>256351</v>
      </c>
      <c r="BH304" s="239">
        <v>64088</v>
      </c>
      <c r="BI304" s="239">
        <v>0</v>
      </c>
      <c r="BJ304" s="239">
        <v>640877</v>
      </c>
      <c r="BK304" s="239">
        <v>-270438</v>
      </c>
      <c r="BL304" s="239">
        <v>-216351</v>
      </c>
      <c r="BM304" s="239">
        <v>-54088</v>
      </c>
      <c r="BN304" s="239">
        <v>0</v>
      </c>
      <c r="BO304" s="239">
        <v>-540877</v>
      </c>
      <c r="BP304" s="239">
        <v>-1025000</v>
      </c>
      <c r="BQ304" s="239">
        <v>-820000</v>
      </c>
      <c r="BR304" s="239">
        <v>-205000</v>
      </c>
      <c r="BS304" s="239">
        <v>0</v>
      </c>
      <c r="BT304" s="239">
        <v>-2050000</v>
      </c>
      <c r="BU304" s="239">
        <v>-1444796</v>
      </c>
      <c r="BV304" s="239">
        <v>-1155836</v>
      </c>
      <c r="BW304" s="239">
        <v>-288959</v>
      </c>
      <c r="BX304" s="239">
        <v>0</v>
      </c>
      <c r="BY304" s="239">
        <v>-2889591</v>
      </c>
      <c r="BZ304" s="239">
        <v>-988888</v>
      </c>
      <c r="CA304" s="239">
        <v>-791110</v>
      </c>
      <c r="CB304" s="239">
        <v>-197778</v>
      </c>
      <c r="CC304" s="239">
        <v>0</v>
      </c>
      <c r="CD304" s="239">
        <v>-1977776</v>
      </c>
      <c r="CE304" s="239">
        <v>-455908</v>
      </c>
      <c r="CF304" s="239">
        <v>-364726</v>
      </c>
      <c r="CG304" s="239">
        <v>-91181</v>
      </c>
      <c r="CH304" s="239">
        <v>0</v>
      </c>
      <c r="CI304" s="239">
        <v>-911815</v>
      </c>
      <c r="CJ304" s="239">
        <v>18808378</v>
      </c>
      <c r="CK304" s="239">
        <v>15046702</v>
      </c>
      <c r="CL304" s="239">
        <v>3761676</v>
      </c>
      <c r="CM304" s="239">
        <v>0</v>
      </c>
      <c r="CN304" s="239">
        <v>37616756</v>
      </c>
      <c r="CO304" s="239">
        <v>18167347</v>
      </c>
      <c r="CP304" s="239">
        <v>14533878</v>
      </c>
      <c r="CQ304" s="239">
        <v>3633469</v>
      </c>
      <c r="CR304" s="239">
        <v>0</v>
      </c>
      <c r="CS304" s="239">
        <v>36334694</v>
      </c>
      <c r="CT304" s="239">
        <v>-641031</v>
      </c>
      <c r="CU304" s="239">
        <v>-512824</v>
      </c>
      <c r="CV304" s="239">
        <v>-128207</v>
      </c>
      <c r="CW304" s="239">
        <v>0</v>
      </c>
      <c r="CX304" s="239">
        <v>-1282062</v>
      </c>
      <c r="CY304" s="239">
        <v>-1096939</v>
      </c>
      <c r="CZ304" s="239">
        <v>-877550</v>
      </c>
      <c r="DA304" s="239">
        <v>-219388</v>
      </c>
      <c r="DB304" s="239">
        <v>0</v>
      </c>
      <c r="DC304" s="239">
        <v>-2193877</v>
      </c>
      <c r="DD304" s="641">
        <v>0.5</v>
      </c>
      <c r="DE304" s="641">
        <v>0.4</v>
      </c>
      <c r="DF304" s="641">
        <v>0.1</v>
      </c>
      <c r="DG304" s="641">
        <v>0</v>
      </c>
      <c r="DH304" s="641">
        <v>1</v>
      </c>
      <c r="DI304" s="214" t="s">
        <v>1190</v>
      </c>
    </row>
    <row r="305" spans="2:113" s="214" customFormat="1" x14ac:dyDescent="0.2">
      <c r="B305" s="609" t="s">
        <v>692</v>
      </c>
      <c r="C305" s="609" t="s">
        <v>691</v>
      </c>
      <c r="D305" s="239">
        <v>15050635</v>
      </c>
      <c r="E305" s="239">
        <v>12040508</v>
      </c>
      <c r="F305" s="239">
        <v>2709114</v>
      </c>
      <c r="G305" s="239">
        <v>301013</v>
      </c>
      <c r="H305" s="239">
        <v>30101270</v>
      </c>
      <c r="I305" s="239">
        <v>0</v>
      </c>
      <c r="J305" s="239">
        <v>0</v>
      </c>
      <c r="K305" s="239">
        <v>15050635</v>
      </c>
      <c r="L305" s="239">
        <v>211815</v>
      </c>
      <c r="M305" s="239">
        <v>211815</v>
      </c>
      <c r="N305" s="239">
        <v>0</v>
      </c>
      <c r="O305" s="239">
        <v>0</v>
      </c>
      <c r="P305" s="239">
        <v>174696</v>
      </c>
      <c r="Q305" s="239">
        <v>0</v>
      </c>
      <c r="R305" s="239">
        <v>174696</v>
      </c>
      <c r="S305" s="239">
        <v>0</v>
      </c>
      <c r="T305" s="239">
        <v>0</v>
      </c>
      <c r="U305" s="239">
        <v>0</v>
      </c>
      <c r="V305" s="239">
        <v>0</v>
      </c>
      <c r="W305" s="239">
        <v>776498</v>
      </c>
      <c r="X305" s="239">
        <v>621198</v>
      </c>
      <c r="Y305" s="239">
        <v>139770</v>
      </c>
      <c r="Z305" s="239">
        <v>15530</v>
      </c>
      <c r="AA305" s="239">
        <v>1552996</v>
      </c>
      <c r="AB305" s="239">
        <v>-217989</v>
      </c>
      <c r="AC305" s="239">
        <v>-174391</v>
      </c>
      <c r="AD305" s="239">
        <v>-39238</v>
      </c>
      <c r="AE305" s="239">
        <v>-4360</v>
      </c>
      <c r="AF305" s="239">
        <v>-435978</v>
      </c>
      <c r="AG305" s="239">
        <v>-382742</v>
      </c>
      <c r="AH305" s="239">
        <v>-306193</v>
      </c>
      <c r="AI305" s="239">
        <v>-68893</v>
      </c>
      <c r="AJ305" s="239">
        <v>-7655</v>
      </c>
      <c r="AK305" s="239">
        <v>-765483</v>
      </c>
      <c r="AL305" s="239">
        <v>104223</v>
      </c>
      <c r="AM305" s="239">
        <v>83378</v>
      </c>
      <c r="AN305" s="239">
        <v>18760</v>
      </c>
      <c r="AO305" s="239">
        <v>2084</v>
      </c>
      <c r="AP305" s="239">
        <v>208445</v>
      </c>
      <c r="AQ305" s="239">
        <v>-83825</v>
      </c>
      <c r="AR305" s="239">
        <v>-67059</v>
      </c>
      <c r="AS305" s="239">
        <v>-15088</v>
      </c>
      <c r="AT305" s="239">
        <v>-1676</v>
      </c>
      <c r="AU305" s="239">
        <v>-167648</v>
      </c>
      <c r="AV305" s="239">
        <v>-362344</v>
      </c>
      <c r="AW305" s="239">
        <v>-289874</v>
      </c>
      <c r="AX305" s="239">
        <v>-65221</v>
      </c>
      <c r="AY305" s="239">
        <v>-7247</v>
      </c>
      <c r="AZ305" s="239">
        <v>-724686</v>
      </c>
      <c r="BA305" s="239">
        <v>-572501</v>
      </c>
      <c r="BB305" s="239">
        <v>-458000</v>
      </c>
      <c r="BC305" s="239">
        <v>-103050</v>
      </c>
      <c r="BD305" s="239">
        <v>-11449</v>
      </c>
      <c r="BE305" s="239">
        <v>-1145000</v>
      </c>
      <c r="BF305" s="239">
        <v>179747</v>
      </c>
      <c r="BG305" s="239">
        <v>143797</v>
      </c>
      <c r="BH305" s="239">
        <v>32354</v>
      </c>
      <c r="BI305" s="239">
        <v>3595</v>
      </c>
      <c r="BJ305" s="239">
        <v>359493</v>
      </c>
      <c r="BK305" s="239">
        <v>-253747</v>
      </c>
      <c r="BL305" s="239">
        <v>-202997</v>
      </c>
      <c r="BM305" s="239">
        <v>-45674</v>
      </c>
      <c r="BN305" s="239">
        <v>-5075</v>
      </c>
      <c r="BO305" s="239">
        <v>-507493</v>
      </c>
      <c r="BP305" s="239">
        <v>-646501</v>
      </c>
      <c r="BQ305" s="239">
        <v>-517200</v>
      </c>
      <c r="BR305" s="239">
        <v>-116370</v>
      </c>
      <c r="BS305" s="239">
        <v>-12929</v>
      </c>
      <c r="BT305" s="239">
        <v>-1293000</v>
      </c>
      <c r="BU305" s="239">
        <v>-18856</v>
      </c>
      <c r="BV305" s="239">
        <v>-15084</v>
      </c>
      <c r="BW305" s="239">
        <v>-3394</v>
      </c>
      <c r="BX305" s="239">
        <v>-377</v>
      </c>
      <c r="BY305" s="239">
        <v>-37711</v>
      </c>
      <c r="BZ305" s="239">
        <v>1318</v>
      </c>
      <c r="CA305" s="239">
        <v>1054</v>
      </c>
      <c r="CB305" s="239">
        <v>237</v>
      </c>
      <c r="CC305" s="239">
        <v>26</v>
      </c>
      <c r="CD305" s="239">
        <v>2635</v>
      </c>
      <c r="CE305" s="239">
        <v>-20174</v>
      </c>
      <c r="CF305" s="239">
        <v>-16138</v>
      </c>
      <c r="CG305" s="239">
        <v>-3631</v>
      </c>
      <c r="CH305" s="239">
        <v>-403</v>
      </c>
      <c r="CI305" s="239">
        <v>-40346</v>
      </c>
      <c r="CJ305" s="239">
        <v>15417681</v>
      </c>
      <c r="CK305" s="239">
        <v>12334144</v>
      </c>
      <c r="CL305" s="239">
        <v>2775182</v>
      </c>
      <c r="CM305" s="239">
        <v>308354</v>
      </c>
      <c r="CN305" s="239">
        <v>30835361</v>
      </c>
      <c r="CO305" s="239">
        <v>15050635</v>
      </c>
      <c r="CP305" s="239">
        <v>12040508</v>
      </c>
      <c r="CQ305" s="239">
        <v>2709114</v>
      </c>
      <c r="CR305" s="239">
        <v>301013</v>
      </c>
      <c r="CS305" s="239">
        <v>30101270</v>
      </c>
      <c r="CT305" s="239">
        <v>-367046</v>
      </c>
      <c r="CU305" s="239">
        <v>-293636</v>
      </c>
      <c r="CV305" s="239">
        <v>-66068</v>
      </c>
      <c r="CW305" s="239">
        <v>-7341</v>
      </c>
      <c r="CX305" s="239">
        <v>-734091</v>
      </c>
      <c r="CY305" s="239">
        <v>-387220</v>
      </c>
      <c r="CZ305" s="239">
        <v>-309774</v>
      </c>
      <c r="DA305" s="239">
        <v>-69699</v>
      </c>
      <c r="DB305" s="239">
        <v>-7744</v>
      </c>
      <c r="DC305" s="239">
        <v>-774437</v>
      </c>
      <c r="DD305" s="641">
        <v>0.5</v>
      </c>
      <c r="DE305" s="641">
        <v>0.4</v>
      </c>
      <c r="DF305" s="641">
        <v>0.09</v>
      </c>
      <c r="DG305" s="641">
        <v>0.01</v>
      </c>
      <c r="DH305" s="641">
        <v>1</v>
      </c>
      <c r="DI305" s="214" t="s">
        <v>1190</v>
      </c>
    </row>
    <row r="306" spans="2:113" s="214" customFormat="1" x14ac:dyDescent="0.2">
      <c r="B306" s="609" t="s">
        <v>694</v>
      </c>
      <c r="C306" s="609" t="s">
        <v>693</v>
      </c>
      <c r="D306" s="239">
        <v>14080094</v>
      </c>
      <c r="E306" s="239">
        <v>11264076</v>
      </c>
      <c r="F306" s="239">
        <v>2816019</v>
      </c>
      <c r="G306" s="239">
        <v>0</v>
      </c>
      <c r="H306" s="239">
        <v>28160189</v>
      </c>
      <c r="I306" s="239">
        <v>0</v>
      </c>
      <c r="J306" s="239">
        <v>0</v>
      </c>
      <c r="K306" s="239">
        <v>14080094</v>
      </c>
      <c r="L306" s="239">
        <v>111171</v>
      </c>
      <c r="M306" s="239">
        <v>111171</v>
      </c>
      <c r="N306" s="239">
        <v>0</v>
      </c>
      <c r="O306" s="239">
        <v>0</v>
      </c>
      <c r="P306" s="239">
        <v>33987</v>
      </c>
      <c r="Q306" s="239">
        <v>0</v>
      </c>
      <c r="R306" s="239">
        <v>33987</v>
      </c>
      <c r="S306" s="239">
        <v>0</v>
      </c>
      <c r="T306" s="239">
        <v>0</v>
      </c>
      <c r="U306" s="239">
        <v>0</v>
      </c>
      <c r="V306" s="239">
        <v>0</v>
      </c>
      <c r="W306" s="239">
        <v>355267</v>
      </c>
      <c r="X306" s="239">
        <v>284214</v>
      </c>
      <c r="Y306" s="239">
        <v>71054</v>
      </c>
      <c r="Z306" s="239">
        <v>0</v>
      </c>
      <c r="AA306" s="239">
        <v>710535</v>
      </c>
      <c r="AB306" s="239">
        <v>-367454</v>
      </c>
      <c r="AC306" s="239">
        <v>-293963</v>
      </c>
      <c r="AD306" s="239">
        <v>-73491</v>
      </c>
      <c r="AE306" s="239">
        <v>0</v>
      </c>
      <c r="AF306" s="239">
        <v>-734908</v>
      </c>
      <c r="AG306" s="239">
        <v>-81410</v>
      </c>
      <c r="AH306" s="239">
        <v>-65128</v>
      </c>
      <c r="AI306" s="239">
        <v>-16282</v>
      </c>
      <c r="AJ306" s="239">
        <v>0</v>
      </c>
      <c r="AK306" s="239">
        <v>-162820</v>
      </c>
      <c r="AL306" s="239">
        <v>21539</v>
      </c>
      <c r="AM306" s="239">
        <v>17231</v>
      </c>
      <c r="AN306" s="239">
        <v>4308</v>
      </c>
      <c r="AO306" s="239">
        <v>0</v>
      </c>
      <c r="AP306" s="239">
        <v>43078</v>
      </c>
      <c r="AQ306" s="239">
        <v>-74139</v>
      </c>
      <c r="AR306" s="239">
        <v>-59311</v>
      </c>
      <c r="AS306" s="239">
        <v>-14828</v>
      </c>
      <c r="AT306" s="239">
        <v>0</v>
      </c>
      <c r="AU306" s="239">
        <v>-148278</v>
      </c>
      <c r="AV306" s="239">
        <v>-134010</v>
      </c>
      <c r="AW306" s="239">
        <v>-107208</v>
      </c>
      <c r="AX306" s="239">
        <v>-26802</v>
      </c>
      <c r="AY306" s="239">
        <v>0</v>
      </c>
      <c r="AZ306" s="239">
        <v>-268020</v>
      </c>
      <c r="BA306" s="239">
        <v>-1169960.8</v>
      </c>
      <c r="BB306" s="239">
        <v>-935969</v>
      </c>
      <c r="BC306" s="239">
        <v>-233993</v>
      </c>
      <c r="BD306" s="239">
        <v>0</v>
      </c>
      <c r="BE306" s="239">
        <v>-2339922.7999999998</v>
      </c>
      <c r="BF306" s="239">
        <v>779826</v>
      </c>
      <c r="BG306" s="239">
        <v>623861</v>
      </c>
      <c r="BH306" s="239">
        <v>155965</v>
      </c>
      <c r="BI306" s="239">
        <v>0</v>
      </c>
      <c r="BJ306" s="239">
        <v>1559652</v>
      </c>
      <c r="BK306" s="239">
        <v>-923848</v>
      </c>
      <c r="BL306" s="239">
        <v>-739078</v>
      </c>
      <c r="BM306" s="239">
        <v>-184770</v>
      </c>
      <c r="BN306" s="239">
        <v>0</v>
      </c>
      <c r="BO306" s="239">
        <v>-1847696</v>
      </c>
      <c r="BP306" s="239">
        <v>-1313982.8</v>
      </c>
      <c r="BQ306" s="239">
        <v>-1051186</v>
      </c>
      <c r="BR306" s="239">
        <v>-262798</v>
      </c>
      <c r="BS306" s="239">
        <v>0</v>
      </c>
      <c r="BT306" s="239">
        <v>-2627966.7999999998</v>
      </c>
      <c r="BU306" s="239">
        <v>-1298266</v>
      </c>
      <c r="BV306" s="239">
        <v>-1038612</v>
      </c>
      <c r="BW306" s="239">
        <v>-259653</v>
      </c>
      <c r="BX306" s="239">
        <v>0</v>
      </c>
      <c r="BY306" s="239">
        <v>-2596531</v>
      </c>
      <c r="BZ306" s="239">
        <v>-848863</v>
      </c>
      <c r="CA306" s="239">
        <v>-679090</v>
      </c>
      <c r="CB306" s="239">
        <v>-169773</v>
      </c>
      <c r="CC306" s="239">
        <v>0</v>
      </c>
      <c r="CD306" s="239">
        <v>-1697726</v>
      </c>
      <c r="CE306" s="239">
        <v>-449403</v>
      </c>
      <c r="CF306" s="239">
        <v>-359522</v>
      </c>
      <c r="CG306" s="239">
        <v>-89880</v>
      </c>
      <c r="CH306" s="239">
        <v>0</v>
      </c>
      <c r="CI306" s="239">
        <v>-898805</v>
      </c>
      <c r="CJ306" s="239">
        <v>15129300</v>
      </c>
      <c r="CK306" s="239">
        <v>12103440</v>
      </c>
      <c r="CL306" s="239">
        <v>3025860</v>
      </c>
      <c r="CM306" s="239">
        <v>0</v>
      </c>
      <c r="CN306" s="239">
        <v>30258600</v>
      </c>
      <c r="CO306" s="239">
        <v>14080094</v>
      </c>
      <c r="CP306" s="239">
        <v>11264076</v>
      </c>
      <c r="CQ306" s="239">
        <v>2816019</v>
      </c>
      <c r="CR306" s="239">
        <v>0</v>
      </c>
      <c r="CS306" s="239">
        <v>28160189</v>
      </c>
      <c r="CT306" s="239">
        <v>-1049206</v>
      </c>
      <c r="CU306" s="239">
        <v>-839364</v>
      </c>
      <c r="CV306" s="239">
        <v>-209841</v>
      </c>
      <c r="CW306" s="239">
        <v>0</v>
      </c>
      <c r="CX306" s="239">
        <v>-2098411</v>
      </c>
      <c r="CY306" s="239">
        <v>-1498609</v>
      </c>
      <c r="CZ306" s="239">
        <v>-1198886</v>
      </c>
      <c r="DA306" s="239">
        <v>-299721</v>
      </c>
      <c r="DB306" s="239">
        <v>0</v>
      </c>
      <c r="DC306" s="239">
        <v>-2997216</v>
      </c>
      <c r="DD306" s="641">
        <v>0.5</v>
      </c>
      <c r="DE306" s="641">
        <v>0.4</v>
      </c>
      <c r="DF306" s="641">
        <v>0.1</v>
      </c>
      <c r="DG306" s="641">
        <v>0</v>
      </c>
      <c r="DH306" s="641">
        <v>1</v>
      </c>
      <c r="DI306" s="214" t="s">
        <v>1190</v>
      </c>
    </row>
    <row r="307" spans="2:113" s="214" customFormat="1" x14ac:dyDescent="0.2">
      <c r="B307" s="609" t="s">
        <v>696</v>
      </c>
      <c r="C307" s="609" t="s">
        <v>695</v>
      </c>
      <c r="D307" s="239">
        <v>28114652</v>
      </c>
      <c r="E307" s="239">
        <v>22491722</v>
      </c>
      <c r="F307" s="239">
        <v>5622930</v>
      </c>
      <c r="G307" s="239">
        <v>0</v>
      </c>
      <c r="H307" s="239">
        <v>56229304</v>
      </c>
      <c r="I307" s="239">
        <v>0</v>
      </c>
      <c r="J307" s="239">
        <v>0</v>
      </c>
      <c r="K307" s="239">
        <v>28114652</v>
      </c>
      <c r="L307" s="239">
        <v>154290</v>
      </c>
      <c r="M307" s="239">
        <v>154290</v>
      </c>
      <c r="N307" s="239">
        <v>0</v>
      </c>
      <c r="O307" s="239">
        <v>0</v>
      </c>
      <c r="P307" s="239">
        <v>0</v>
      </c>
      <c r="Q307" s="239">
        <v>0</v>
      </c>
      <c r="R307" s="239">
        <v>0</v>
      </c>
      <c r="S307" s="239">
        <v>0</v>
      </c>
      <c r="T307" s="239">
        <v>0</v>
      </c>
      <c r="U307" s="239">
        <v>0</v>
      </c>
      <c r="V307" s="239">
        <v>0</v>
      </c>
      <c r="W307" s="239">
        <v>382473</v>
      </c>
      <c r="X307" s="239">
        <v>305978</v>
      </c>
      <c r="Y307" s="239">
        <v>76495</v>
      </c>
      <c r="Z307" s="239">
        <v>0</v>
      </c>
      <c r="AA307" s="239">
        <v>764946</v>
      </c>
      <c r="AB307" s="239">
        <v>-97161</v>
      </c>
      <c r="AC307" s="239">
        <v>-77729</v>
      </c>
      <c r="AD307" s="239">
        <v>-19432</v>
      </c>
      <c r="AE307" s="239">
        <v>0</v>
      </c>
      <c r="AF307" s="239">
        <v>-194322</v>
      </c>
      <c r="AG307" s="239">
        <v>-79411.070000000007</v>
      </c>
      <c r="AH307" s="239">
        <v>-63528</v>
      </c>
      <c r="AI307" s="239">
        <v>-15883</v>
      </c>
      <c r="AJ307" s="239">
        <v>0</v>
      </c>
      <c r="AK307" s="239">
        <v>-158822.07</v>
      </c>
      <c r="AL307" s="239">
        <v>70970</v>
      </c>
      <c r="AM307" s="239">
        <v>56776</v>
      </c>
      <c r="AN307" s="239">
        <v>14194</v>
      </c>
      <c r="AO307" s="239">
        <v>0</v>
      </c>
      <c r="AP307" s="239">
        <v>141940</v>
      </c>
      <c r="AQ307" s="239">
        <v>-61069</v>
      </c>
      <c r="AR307" s="239">
        <v>-48856</v>
      </c>
      <c r="AS307" s="239">
        <v>-12214</v>
      </c>
      <c r="AT307" s="239">
        <v>0</v>
      </c>
      <c r="AU307" s="239">
        <v>-122139</v>
      </c>
      <c r="AV307" s="239">
        <v>-69510.070000000007</v>
      </c>
      <c r="AW307" s="239">
        <v>-55608</v>
      </c>
      <c r="AX307" s="239">
        <v>-13903</v>
      </c>
      <c r="AY307" s="239">
        <v>0</v>
      </c>
      <c r="AZ307" s="239">
        <v>-139021.07</v>
      </c>
      <c r="BA307" s="239">
        <v>-1607154.7</v>
      </c>
      <c r="BB307" s="239">
        <v>-1285722</v>
      </c>
      <c r="BC307" s="239">
        <v>-321431</v>
      </c>
      <c r="BD307" s="239">
        <v>0</v>
      </c>
      <c r="BE307" s="239">
        <v>-3214307.7</v>
      </c>
      <c r="BF307" s="239">
        <v>1298194</v>
      </c>
      <c r="BG307" s="239">
        <v>1038555</v>
      </c>
      <c r="BH307" s="239">
        <v>259639</v>
      </c>
      <c r="BI307" s="239">
        <v>0</v>
      </c>
      <c r="BJ307" s="239">
        <v>2596388</v>
      </c>
      <c r="BK307" s="239">
        <v>-2073662</v>
      </c>
      <c r="BL307" s="239">
        <v>-1658929</v>
      </c>
      <c r="BM307" s="239">
        <v>-414732</v>
      </c>
      <c r="BN307" s="239">
        <v>0</v>
      </c>
      <c r="BO307" s="239">
        <v>-4147323</v>
      </c>
      <c r="BP307" s="239">
        <v>-2382622.7000000002</v>
      </c>
      <c r="BQ307" s="239">
        <v>-1906096</v>
      </c>
      <c r="BR307" s="239">
        <v>-476524</v>
      </c>
      <c r="BS307" s="239">
        <v>0</v>
      </c>
      <c r="BT307" s="239">
        <v>-4765242.7</v>
      </c>
      <c r="BU307" s="239">
        <v>700427</v>
      </c>
      <c r="BV307" s="239">
        <v>560342</v>
      </c>
      <c r="BW307" s="239">
        <v>140086</v>
      </c>
      <c r="BX307" s="239">
        <v>0</v>
      </c>
      <c r="BY307" s="239">
        <v>1400855</v>
      </c>
      <c r="BZ307" s="239">
        <v>642203</v>
      </c>
      <c r="CA307" s="239">
        <v>513763</v>
      </c>
      <c r="CB307" s="239">
        <v>128441</v>
      </c>
      <c r="CC307" s="239">
        <v>0</v>
      </c>
      <c r="CD307" s="239">
        <v>1284407</v>
      </c>
      <c r="CE307" s="239">
        <v>58224</v>
      </c>
      <c r="CF307" s="239">
        <v>46579</v>
      </c>
      <c r="CG307" s="239">
        <v>11645</v>
      </c>
      <c r="CH307" s="239">
        <v>0</v>
      </c>
      <c r="CI307" s="239">
        <v>116448</v>
      </c>
      <c r="CJ307" s="239">
        <v>30064536</v>
      </c>
      <c r="CK307" s="239">
        <v>24051628</v>
      </c>
      <c r="CL307" s="239">
        <v>6012907</v>
      </c>
      <c r="CM307" s="239">
        <v>0</v>
      </c>
      <c r="CN307" s="239">
        <v>60129071</v>
      </c>
      <c r="CO307" s="239">
        <v>28114652</v>
      </c>
      <c r="CP307" s="239">
        <v>22491722</v>
      </c>
      <c r="CQ307" s="239">
        <v>5622930</v>
      </c>
      <c r="CR307" s="239">
        <v>0</v>
      </c>
      <c r="CS307" s="239">
        <v>56229304</v>
      </c>
      <c r="CT307" s="239">
        <v>-1949884</v>
      </c>
      <c r="CU307" s="239">
        <v>-1559906</v>
      </c>
      <c r="CV307" s="239">
        <v>-389977</v>
      </c>
      <c r="CW307" s="239">
        <v>0</v>
      </c>
      <c r="CX307" s="239">
        <v>-3899767</v>
      </c>
      <c r="CY307" s="239">
        <v>-1891660</v>
      </c>
      <c r="CZ307" s="239">
        <v>-1513327</v>
      </c>
      <c r="DA307" s="239">
        <v>-378332</v>
      </c>
      <c r="DB307" s="239">
        <v>0</v>
      </c>
      <c r="DC307" s="239">
        <v>-3783319</v>
      </c>
      <c r="DD307" s="641">
        <v>0.5</v>
      </c>
      <c r="DE307" s="641">
        <v>0.4</v>
      </c>
      <c r="DF307" s="641">
        <v>0.1</v>
      </c>
      <c r="DG307" s="641">
        <v>0</v>
      </c>
      <c r="DH307" s="641">
        <v>1</v>
      </c>
      <c r="DI307" s="214" t="s">
        <v>1190</v>
      </c>
    </row>
    <row r="308" spans="2:113" s="214" customFormat="1" x14ac:dyDescent="0.2">
      <c r="B308" s="609" t="s">
        <v>698</v>
      </c>
      <c r="C308" s="609" t="s">
        <v>697</v>
      </c>
      <c r="D308" s="239">
        <v>43344823</v>
      </c>
      <c r="E308" s="239">
        <v>42477926</v>
      </c>
      <c r="F308" s="239">
        <v>0</v>
      </c>
      <c r="G308" s="239">
        <v>866896</v>
      </c>
      <c r="H308" s="239">
        <v>86689645</v>
      </c>
      <c r="I308" s="239">
        <v>0</v>
      </c>
      <c r="J308" s="239">
        <v>0</v>
      </c>
      <c r="K308" s="239">
        <v>43344823</v>
      </c>
      <c r="L308" s="239">
        <v>259093</v>
      </c>
      <c r="M308" s="239">
        <v>259093</v>
      </c>
      <c r="N308" s="239">
        <v>0</v>
      </c>
      <c r="O308" s="239">
        <v>0</v>
      </c>
      <c r="P308" s="239">
        <v>0</v>
      </c>
      <c r="Q308" s="239">
        <v>0</v>
      </c>
      <c r="R308" s="239">
        <v>0</v>
      </c>
      <c r="S308" s="239">
        <v>0</v>
      </c>
      <c r="T308" s="239">
        <v>0</v>
      </c>
      <c r="U308" s="239">
        <v>0</v>
      </c>
      <c r="V308" s="239">
        <v>0</v>
      </c>
      <c r="W308" s="239">
        <v>1297063</v>
      </c>
      <c r="X308" s="239">
        <v>1271122</v>
      </c>
      <c r="Y308" s="239">
        <v>0</v>
      </c>
      <c r="Z308" s="239">
        <v>25941</v>
      </c>
      <c r="AA308" s="239">
        <v>2594126</v>
      </c>
      <c r="AB308" s="239">
        <v>-1183379</v>
      </c>
      <c r="AC308" s="239">
        <v>-1159711</v>
      </c>
      <c r="AD308" s="239">
        <v>0</v>
      </c>
      <c r="AE308" s="239">
        <v>-23668</v>
      </c>
      <c r="AF308" s="239">
        <v>-2366758</v>
      </c>
      <c r="AG308" s="239">
        <v>-272043</v>
      </c>
      <c r="AH308" s="239">
        <v>-266602</v>
      </c>
      <c r="AI308" s="239">
        <v>0</v>
      </c>
      <c r="AJ308" s="239">
        <v>-5441</v>
      </c>
      <c r="AK308" s="239">
        <v>-544086</v>
      </c>
      <c r="AL308" s="239">
        <v>173751</v>
      </c>
      <c r="AM308" s="239">
        <v>170276</v>
      </c>
      <c r="AN308" s="239">
        <v>0</v>
      </c>
      <c r="AO308" s="239">
        <v>3475</v>
      </c>
      <c r="AP308" s="239">
        <v>347502</v>
      </c>
      <c r="AQ308" s="239">
        <v>0</v>
      </c>
      <c r="AR308" s="239">
        <v>0</v>
      </c>
      <c r="AS308" s="239">
        <v>0</v>
      </c>
      <c r="AT308" s="239">
        <v>0</v>
      </c>
      <c r="AU308" s="239">
        <v>0</v>
      </c>
      <c r="AV308" s="239">
        <v>-98292</v>
      </c>
      <c r="AW308" s="239">
        <v>-96326</v>
      </c>
      <c r="AX308" s="239">
        <v>0</v>
      </c>
      <c r="AY308" s="239">
        <v>-1966</v>
      </c>
      <c r="AZ308" s="239">
        <v>-196584</v>
      </c>
      <c r="BA308" s="239">
        <v>-950000</v>
      </c>
      <c r="BB308" s="239">
        <v>-931000</v>
      </c>
      <c r="BC308" s="239">
        <v>0</v>
      </c>
      <c r="BD308" s="239">
        <v>-19000</v>
      </c>
      <c r="BE308" s="239">
        <v>-1900000</v>
      </c>
      <c r="BF308" s="239">
        <v>950000</v>
      </c>
      <c r="BG308" s="239">
        <v>931000</v>
      </c>
      <c r="BH308" s="239">
        <v>0</v>
      </c>
      <c r="BI308" s="239">
        <v>19000</v>
      </c>
      <c r="BJ308" s="239">
        <v>1900000</v>
      </c>
      <c r="BK308" s="239">
        <v>-250000</v>
      </c>
      <c r="BL308" s="239">
        <v>-245000</v>
      </c>
      <c r="BM308" s="239">
        <v>0</v>
      </c>
      <c r="BN308" s="239">
        <v>-5000</v>
      </c>
      <c r="BO308" s="239">
        <v>-500000</v>
      </c>
      <c r="BP308" s="239">
        <v>-250000</v>
      </c>
      <c r="BQ308" s="239">
        <v>-245000</v>
      </c>
      <c r="BR308" s="239">
        <v>0</v>
      </c>
      <c r="BS308" s="239">
        <v>-5000</v>
      </c>
      <c r="BT308" s="239">
        <v>-500000</v>
      </c>
      <c r="BU308" s="239">
        <v>-2401678</v>
      </c>
      <c r="BV308" s="239">
        <v>-2353644</v>
      </c>
      <c r="BW308" s="239">
        <v>0</v>
      </c>
      <c r="BX308" s="239">
        <v>-48034</v>
      </c>
      <c r="BY308" s="239">
        <v>-4803356</v>
      </c>
      <c r="BZ308" s="239">
        <v>-1656672</v>
      </c>
      <c r="CA308" s="239">
        <v>-1623538</v>
      </c>
      <c r="CB308" s="239">
        <v>0</v>
      </c>
      <c r="CC308" s="239">
        <v>-33133</v>
      </c>
      <c r="CD308" s="239">
        <v>-3313343</v>
      </c>
      <c r="CE308" s="239">
        <v>-745006</v>
      </c>
      <c r="CF308" s="239">
        <v>-730106</v>
      </c>
      <c r="CG308" s="239">
        <v>0</v>
      </c>
      <c r="CH308" s="239">
        <v>-14901</v>
      </c>
      <c r="CI308" s="239">
        <v>-1490013</v>
      </c>
      <c r="CJ308" s="239">
        <v>43704259</v>
      </c>
      <c r="CK308" s="239">
        <v>42830173</v>
      </c>
      <c r="CL308" s="239">
        <v>0</v>
      </c>
      <c r="CM308" s="239">
        <v>874085</v>
      </c>
      <c r="CN308" s="239">
        <v>87408517</v>
      </c>
      <c r="CO308" s="239">
        <v>43344823</v>
      </c>
      <c r="CP308" s="239">
        <v>42477926</v>
      </c>
      <c r="CQ308" s="239">
        <v>0</v>
      </c>
      <c r="CR308" s="239">
        <v>866896</v>
      </c>
      <c r="CS308" s="239">
        <v>86689645</v>
      </c>
      <c r="CT308" s="239">
        <v>-359436</v>
      </c>
      <c r="CU308" s="239">
        <v>-352247</v>
      </c>
      <c r="CV308" s="239">
        <v>0</v>
      </c>
      <c r="CW308" s="239">
        <v>-7189</v>
      </c>
      <c r="CX308" s="239">
        <v>-718872</v>
      </c>
      <c r="CY308" s="239">
        <v>-1104442</v>
      </c>
      <c r="CZ308" s="239">
        <v>-1082353</v>
      </c>
      <c r="DA308" s="239">
        <v>0</v>
      </c>
      <c r="DB308" s="239">
        <v>-22090</v>
      </c>
      <c r="DC308" s="239">
        <v>-2208885</v>
      </c>
      <c r="DD308" s="641">
        <v>0.5</v>
      </c>
      <c r="DE308" s="641">
        <v>0.49</v>
      </c>
      <c r="DF308" s="641">
        <v>0</v>
      </c>
      <c r="DG308" s="641">
        <v>0.01</v>
      </c>
      <c r="DH308" s="641">
        <v>1</v>
      </c>
      <c r="DI308" s="214" t="s">
        <v>747</v>
      </c>
    </row>
    <row r="309" spans="2:113" s="214" customFormat="1" x14ac:dyDescent="0.2">
      <c r="B309" s="609" t="s">
        <v>700</v>
      </c>
      <c r="C309" s="609" t="s">
        <v>699</v>
      </c>
      <c r="D309" s="239">
        <v>5598296</v>
      </c>
      <c r="E309" s="239">
        <v>4478637</v>
      </c>
      <c r="F309" s="239">
        <v>1007693</v>
      </c>
      <c r="G309" s="239">
        <v>111966</v>
      </c>
      <c r="H309" s="239">
        <v>11196592</v>
      </c>
      <c r="I309" s="239">
        <v>0</v>
      </c>
      <c r="J309" s="239">
        <v>0</v>
      </c>
      <c r="K309" s="239">
        <v>5598296</v>
      </c>
      <c r="L309" s="239">
        <v>85017</v>
      </c>
      <c r="M309" s="239">
        <v>85017</v>
      </c>
      <c r="N309" s="239">
        <v>0</v>
      </c>
      <c r="O309" s="239">
        <v>0</v>
      </c>
      <c r="P309" s="239">
        <v>0</v>
      </c>
      <c r="Q309" s="239">
        <v>0</v>
      </c>
      <c r="R309" s="239">
        <v>0</v>
      </c>
      <c r="S309" s="239">
        <v>0</v>
      </c>
      <c r="T309" s="239">
        <v>0</v>
      </c>
      <c r="U309" s="239">
        <v>0</v>
      </c>
      <c r="V309" s="239">
        <v>0</v>
      </c>
      <c r="W309" s="239">
        <v>479110</v>
      </c>
      <c r="X309" s="239">
        <v>383288</v>
      </c>
      <c r="Y309" s="239">
        <v>86240</v>
      </c>
      <c r="Z309" s="239">
        <v>9582</v>
      </c>
      <c r="AA309" s="239">
        <v>958220</v>
      </c>
      <c r="AB309" s="239">
        <v>-106625</v>
      </c>
      <c r="AC309" s="239">
        <v>-85300</v>
      </c>
      <c r="AD309" s="239">
        <v>-19193</v>
      </c>
      <c r="AE309" s="239">
        <v>-2133</v>
      </c>
      <c r="AF309" s="239">
        <v>-213251</v>
      </c>
      <c r="AG309" s="239">
        <v>-121040</v>
      </c>
      <c r="AH309" s="239">
        <v>-96831</v>
      </c>
      <c r="AI309" s="239">
        <v>-21787</v>
      </c>
      <c r="AJ309" s="239">
        <v>-2421</v>
      </c>
      <c r="AK309" s="239">
        <v>-242079</v>
      </c>
      <c r="AL309" s="239">
        <v>11759</v>
      </c>
      <c r="AM309" s="239">
        <v>9406</v>
      </c>
      <c r="AN309" s="239">
        <v>2116</v>
      </c>
      <c r="AO309" s="239">
        <v>235</v>
      </c>
      <c r="AP309" s="239">
        <v>23516</v>
      </c>
      <c r="AQ309" s="239">
        <v>-56822</v>
      </c>
      <c r="AR309" s="239">
        <v>-45457</v>
      </c>
      <c r="AS309" s="239">
        <v>-10228</v>
      </c>
      <c r="AT309" s="239">
        <v>-1136</v>
      </c>
      <c r="AU309" s="239">
        <v>-113643</v>
      </c>
      <c r="AV309" s="239">
        <v>-166103</v>
      </c>
      <c r="AW309" s="239">
        <v>-132882</v>
      </c>
      <c r="AX309" s="239">
        <v>-29899</v>
      </c>
      <c r="AY309" s="239">
        <v>-3322</v>
      </c>
      <c r="AZ309" s="239">
        <v>-332206</v>
      </c>
      <c r="BA309" s="239">
        <v>-782259</v>
      </c>
      <c r="BB309" s="239">
        <v>-625806</v>
      </c>
      <c r="BC309" s="239">
        <v>-140806</v>
      </c>
      <c r="BD309" s="239">
        <v>-15645</v>
      </c>
      <c r="BE309" s="239">
        <v>-1564516</v>
      </c>
      <c r="BF309" s="239">
        <v>377154</v>
      </c>
      <c r="BG309" s="239">
        <v>301723</v>
      </c>
      <c r="BH309" s="239">
        <v>67888</v>
      </c>
      <c r="BI309" s="239">
        <v>7543</v>
      </c>
      <c r="BJ309" s="239">
        <v>754308</v>
      </c>
      <c r="BK309" s="239">
        <v>22856</v>
      </c>
      <c r="BL309" s="239">
        <v>18284</v>
      </c>
      <c r="BM309" s="239">
        <v>4114</v>
      </c>
      <c r="BN309" s="239">
        <v>457</v>
      </c>
      <c r="BO309" s="239">
        <v>45711</v>
      </c>
      <c r="BP309" s="239">
        <v>-382249</v>
      </c>
      <c r="BQ309" s="239">
        <v>-305799</v>
      </c>
      <c r="BR309" s="239">
        <v>-68804</v>
      </c>
      <c r="BS309" s="239">
        <v>-7645</v>
      </c>
      <c r="BT309" s="239">
        <v>-764497</v>
      </c>
      <c r="BU309" s="239">
        <v>-759279</v>
      </c>
      <c r="BV309" s="239">
        <v>-607424</v>
      </c>
      <c r="BW309" s="239">
        <v>-136670</v>
      </c>
      <c r="BX309" s="239">
        <v>-15186</v>
      </c>
      <c r="BY309" s="239">
        <v>-1518559</v>
      </c>
      <c r="BZ309" s="239">
        <v>-701044</v>
      </c>
      <c r="CA309" s="239">
        <v>-560835</v>
      </c>
      <c r="CB309" s="239">
        <v>-126188</v>
      </c>
      <c r="CC309" s="239">
        <v>-14021</v>
      </c>
      <c r="CD309" s="239">
        <v>-1402088</v>
      </c>
      <c r="CE309" s="239">
        <v>-58235</v>
      </c>
      <c r="CF309" s="239">
        <v>-46589</v>
      </c>
      <c r="CG309" s="239">
        <v>-10482</v>
      </c>
      <c r="CH309" s="239">
        <v>-1165</v>
      </c>
      <c r="CI309" s="239">
        <v>-116471</v>
      </c>
      <c r="CJ309" s="239">
        <v>5339034</v>
      </c>
      <c r="CK309" s="239">
        <v>4271228</v>
      </c>
      <c r="CL309" s="239">
        <v>961026</v>
      </c>
      <c r="CM309" s="239">
        <v>106781</v>
      </c>
      <c r="CN309" s="239">
        <v>10678069</v>
      </c>
      <c r="CO309" s="239">
        <v>5598296</v>
      </c>
      <c r="CP309" s="239">
        <v>4478637</v>
      </c>
      <c r="CQ309" s="239">
        <v>1007693</v>
      </c>
      <c r="CR309" s="239">
        <v>111966</v>
      </c>
      <c r="CS309" s="239">
        <v>11196592</v>
      </c>
      <c r="CT309" s="239">
        <v>259262</v>
      </c>
      <c r="CU309" s="239">
        <v>207409</v>
      </c>
      <c r="CV309" s="239">
        <v>46667</v>
      </c>
      <c r="CW309" s="239">
        <v>5185</v>
      </c>
      <c r="CX309" s="239">
        <v>518523</v>
      </c>
      <c r="CY309" s="239">
        <v>201027</v>
      </c>
      <c r="CZ309" s="239">
        <v>160820</v>
      </c>
      <c r="DA309" s="239">
        <v>36185</v>
      </c>
      <c r="DB309" s="239">
        <v>4020</v>
      </c>
      <c r="DC309" s="239">
        <v>402052</v>
      </c>
      <c r="DD309" s="641">
        <v>0.5</v>
      </c>
      <c r="DE309" s="641">
        <v>0.4</v>
      </c>
      <c r="DF309" s="641">
        <v>0.09</v>
      </c>
      <c r="DG309" s="641">
        <v>0.01</v>
      </c>
      <c r="DH309" s="641">
        <v>1</v>
      </c>
      <c r="DI309" s="214" t="s">
        <v>1190</v>
      </c>
    </row>
    <row r="310" spans="2:113" s="214" customFormat="1" x14ac:dyDescent="0.2">
      <c r="B310" s="609" t="s">
        <v>702</v>
      </c>
      <c r="C310" s="609" t="s">
        <v>701</v>
      </c>
      <c r="D310" s="239">
        <v>14066381</v>
      </c>
      <c r="E310" s="239">
        <v>11253104</v>
      </c>
      <c r="F310" s="239">
        <v>2531948</v>
      </c>
      <c r="G310" s="239">
        <v>281328</v>
      </c>
      <c r="H310" s="239">
        <v>28132761</v>
      </c>
      <c r="I310" s="239">
        <v>0</v>
      </c>
      <c r="J310" s="239">
        <v>0</v>
      </c>
      <c r="K310" s="239">
        <v>14066381</v>
      </c>
      <c r="L310" s="239">
        <v>209221</v>
      </c>
      <c r="M310" s="239">
        <v>209221</v>
      </c>
      <c r="N310" s="239">
        <v>0</v>
      </c>
      <c r="O310" s="239">
        <v>0</v>
      </c>
      <c r="P310" s="239">
        <v>172579</v>
      </c>
      <c r="Q310" s="239">
        <v>3960</v>
      </c>
      <c r="R310" s="239">
        <v>176539</v>
      </c>
      <c r="S310" s="239">
        <v>0</v>
      </c>
      <c r="T310" s="239">
        <v>0</v>
      </c>
      <c r="U310" s="239">
        <v>0</v>
      </c>
      <c r="V310" s="239">
        <v>0</v>
      </c>
      <c r="W310" s="239">
        <v>640588</v>
      </c>
      <c r="X310" s="239">
        <v>512471</v>
      </c>
      <c r="Y310" s="239">
        <v>115306</v>
      </c>
      <c r="Z310" s="239">
        <v>12812</v>
      </c>
      <c r="AA310" s="239">
        <v>1281177</v>
      </c>
      <c r="AB310" s="239">
        <v>-328614</v>
      </c>
      <c r="AC310" s="239">
        <v>-262890</v>
      </c>
      <c r="AD310" s="239">
        <v>-59150</v>
      </c>
      <c r="AE310" s="239">
        <v>-6572</v>
      </c>
      <c r="AF310" s="239">
        <v>-657226</v>
      </c>
      <c r="AG310" s="239">
        <v>-468000</v>
      </c>
      <c r="AH310" s="239">
        <v>-374400</v>
      </c>
      <c r="AI310" s="239">
        <v>-84240</v>
      </c>
      <c r="AJ310" s="239">
        <v>-9360</v>
      </c>
      <c r="AK310" s="239">
        <v>-936000</v>
      </c>
      <c r="AL310" s="239">
        <v>250129</v>
      </c>
      <c r="AM310" s="239">
        <v>200103</v>
      </c>
      <c r="AN310" s="239">
        <v>45023</v>
      </c>
      <c r="AO310" s="239">
        <v>5003</v>
      </c>
      <c r="AP310" s="239">
        <v>500258</v>
      </c>
      <c r="AQ310" s="239">
        <v>-120129</v>
      </c>
      <c r="AR310" s="239">
        <v>-96103</v>
      </c>
      <c r="AS310" s="239">
        <v>-21623</v>
      </c>
      <c r="AT310" s="239">
        <v>-2403</v>
      </c>
      <c r="AU310" s="239">
        <v>-240258</v>
      </c>
      <c r="AV310" s="239">
        <v>-338000</v>
      </c>
      <c r="AW310" s="239">
        <v>-270400</v>
      </c>
      <c r="AX310" s="239">
        <v>-60840</v>
      </c>
      <c r="AY310" s="239">
        <v>-6760</v>
      </c>
      <c r="AZ310" s="239">
        <v>-676000</v>
      </c>
      <c r="BA310" s="239">
        <v>-2908558</v>
      </c>
      <c r="BB310" s="239">
        <v>-2326849</v>
      </c>
      <c r="BC310" s="239">
        <v>-523542</v>
      </c>
      <c r="BD310" s="239">
        <v>-58171</v>
      </c>
      <c r="BE310" s="239">
        <v>-5817120</v>
      </c>
      <c r="BF310" s="239">
        <v>891525</v>
      </c>
      <c r="BG310" s="239">
        <v>713219</v>
      </c>
      <c r="BH310" s="239">
        <v>160474</v>
      </c>
      <c r="BI310" s="239">
        <v>17830</v>
      </c>
      <c r="BJ310" s="239">
        <v>1783048</v>
      </c>
      <c r="BK310" s="239">
        <v>-1732667</v>
      </c>
      <c r="BL310" s="239">
        <v>-1386134</v>
      </c>
      <c r="BM310" s="239">
        <v>-311880</v>
      </c>
      <c r="BN310" s="239">
        <v>-34653</v>
      </c>
      <c r="BO310" s="239">
        <v>-3465334</v>
      </c>
      <c r="BP310" s="239">
        <v>-3749700</v>
      </c>
      <c r="BQ310" s="239">
        <v>-2999764</v>
      </c>
      <c r="BR310" s="239">
        <v>-674948</v>
      </c>
      <c r="BS310" s="239">
        <v>-74994</v>
      </c>
      <c r="BT310" s="239">
        <v>-7499406</v>
      </c>
      <c r="BU310" s="239">
        <v>-21663</v>
      </c>
      <c r="BV310" s="239">
        <v>-17330</v>
      </c>
      <c r="BW310" s="239">
        <v>-3899</v>
      </c>
      <c r="BX310" s="239">
        <v>-433</v>
      </c>
      <c r="BY310" s="239">
        <v>-43325</v>
      </c>
      <c r="BZ310" s="239">
        <v>5660</v>
      </c>
      <c r="CA310" s="239">
        <v>4528</v>
      </c>
      <c r="CB310" s="239">
        <v>1019</v>
      </c>
      <c r="CC310" s="239">
        <v>113</v>
      </c>
      <c r="CD310" s="239">
        <v>11320</v>
      </c>
      <c r="CE310" s="239">
        <v>-27323</v>
      </c>
      <c r="CF310" s="239">
        <v>-21858</v>
      </c>
      <c r="CG310" s="239">
        <v>-4918</v>
      </c>
      <c r="CH310" s="239">
        <v>-546</v>
      </c>
      <c r="CI310" s="239">
        <v>-54645</v>
      </c>
      <c r="CJ310" s="239">
        <v>14415596</v>
      </c>
      <c r="CK310" s="239">
        <v>11532476</v>
      </c>
      <c r="CL310" s="239">
        <v>2594807</v>
      </c>
      <c r="CM310" s="239">
        <v>288312</v>
      </c>
      <c r="CN310" s="239">
        <v>28831191</v>
      </c>
      <c r="CO310" s="239">
        <v>14066381</v>
      </c>
      <c r="CP310" s="239">
        <v>11253104</v>
      </c>
      <c r="CQ310" s="239">
        <v>2531948</v>
      </c>
      <c r="CR310" s="239">
        <v>281328</v>
      </c>
      <c r="CS310" s="239">
        <v>28132761</v>
      </c>
      <c r="CT310" s="239">
        <v>-349215</v>
      </c>
      <c r="CU310" s="239">
        <v>-279372</v>
      </c>
      <c r="CV310" s="239">
        <v>-62859</v>
      </c>
      <c r="CW310" s="239">
        <v>-6984</v>
      </c>
      <c r="CX310" s="239">
        <v>-698430</v>
      </c>
      <c r="CY310" s="239">
        <v>-376538</v>
      </c>
      <c r="CZ310" s="239">
        <v>-301230</v>
      </c>
      <c r="DA310" s="239">
        <v>-67777</v>
      </c>
      <c r="DB310" s="239">
        <v>-7530</v>
      </c>
      <c r="DC310" s="239">
        <v>-753075</v>
      </c>
      <c r="DD310" s="641">
        <v>0.5</v>
      </c>
      <c r="DE310" s="641">
        <v>0.4</v>
      </c>
      <c r="DF310" s="641">
        <v>0.09</v>
      </c>
      <c r="DG310" s="641">
        <v>0.01</v>
      </c>
      <c r="DH310" s="641">
        <v>1</v>
      </c>
      <c r="DI310" s="214" t="s">
        <v>1190</v>
      </c>
    </row>
    <row r="311" spans="2:113" s="214" customFormat="1" x14ac:dyDescent="0.2">
      <c r="B311" s="609" t="s">
        <v>704</v>
      </c>
      <c r="C311" s="609" t="s">
        <v>703</v>
      </c>
      <c r="D311" s="239">
        <v>16449558</v>
      </c>
      <c r="E311" s="239">
        <v>13159647</v>
      </c>
      <c r="F311" s="239">
        <v>2960921</v>
      </c>
      <c r="G311" s="239">
        <v>328991</v>
      </c>
      <c r="H311" s="239">
        <v>32899117</v>
      </c>
      <c r="I311" s="239">
        <v>0</v>
      </c>
      <c r="J311" s="239">
        <v>0</v>
      </c>
      <c r="K311" s="239">
        <v>16449558</v>
      </c>
      <c r="L311" s="239">
        <v>132268</v>
      </c>
      <c r="M311" s="239">
        <v>132268</v>
      </c>
      <c r="N311" s="239">
        <v>0</v>
      </c>
      <c r="O311" s="239">
        <v>0</v>
      </c>
      <c r="P311" s="239">
        <v>0</v>
      </c>
      <c r="Q311" s="239">
        <v>0</v>
      </c>
      <c r="R311" s="239">
        <v>0</v>
      </c>
      <c r="S311" s="239">
        <v>0</v>
      </c>
      <c r="T311" s="239">
        <v>0</v>
      </c>
      <c r="U311" s="239">
        <v>0</v>
      </c>
      <c r="V311" s="239">
        <v>0</v>
      </c>
      <c r="W311" s="239">
        <v>1531667</v>
      </c>
      <c r="X311" s="239">
        <v>1225333</v>
      </c>
      <c r="Y311" s="239">
        <v>275700</v>
      </c>
      <c r="Z311" s="239">
        <v>30633</v>
      </c>
      <c r="AA311" s="239">
        <v>3063333</v>
      </c>
      <c r="AB311" s="239">
        <v>-404245</v>
      </c>
      <c r="AC311" s="239">
        <v>-323396</v>
      </c>
      <c r="AD311" s="239">
        <v>-72764</v>
      </c>
      <c r="AE311" s="239">
        <v>-8085</v>
      </c>
      <c r="AF311" s="239">
        <v>-808490</v>
      </c>
      <c r="AG311" s="239">
        <v>-588328</v>
      </c>
      <c r="AH311" s="239">
        <v>-470663</v>
      </c>
      <c r="AI311" s="239">
        <v>-105900</v>
      </c>
      <c r="AJ311" s="239">
        <v>-11767</v>
      </c>
      <c r="AK311" s="239">
        <v>-1176658</v>
      </c>
      <c r="AL311" s="239">
        <v>477447</v>
      </c>
      <c r="AM311" s="239">
        <v>381958</v>
      </c>
      <c r="AN311" s="239">
        <v>85940</v>
      </c>
      <c r="AO311" s="239">
        <v>9549</v>
      </c>
      <c r="AP311" s="239">
        <v>954894</v>
      </c>
      <c r="AQ311" s="239">
        <v>-418357</v>
      </c>
      <c r="AR311" s="239">
        <v>-334685</v>
      </c>
      <c r="AS311" s="239">
        <v>-75304</v>
      </c>
      <c r="AT311" s="239">
        <v>-8367</v>
      </c>
      <c r="AU311" s="239">
        <v>-836713</v>
      </c>
      <c r="AV311" s="239">
        <v>-529238</v>
      </c>
      <c r="AW311" s="239">
        <v>-423390</v>
      </c>
      <c r="AX311" s="239">
        <v>-95264</v>
      </c>
      <c r="AY311" s="239">
        <v>-10585</v>
      </c>
      <c r="AZ311" s="239">
        <v>-1058477</v>
      </c>
      <c r="BA311" s="239">
        <v>-2164026</v>
      </c>
      <c r="BB311" s="239">
        <v>-1731223</v>
      </c>
      <c r="BC311" s="239">
        <v>-389526</v>
      </c>
      <c r="BD311" s="239">
        <v>-43280</v>
      </c>
      <c r="BE311" s="239">
        <v>-4328055</v>
      </c>
      <c r="BF311" s="239">
        <v>0</v>
      </c>
      <c r="BG311" s="239">
        <v>0</v>
      </c>
      <c r="BH311" s="239">
        <v>0</v>
      </c>
      <c r="BI311" s="239">
        <v>0</v>
      </c>
      <c r="BJ311" s="239">
        <v>0</v>
      </c>
      <c r="BK311" s="239">
        <v>909544</v>
      </c>
      <c r="BL311" s="239">
        <v>727636</v>
      </c>
      <c r="BM311" s="239">
        <v>163718</v>
      </c>
      <c r="BN311" s="239">
        <v>18191</v>
      </c>
      <c r="BO311" s="239">
        <v>1819089</v>
      </c>
      <c r="BP311" s="239">
        <v>-1254482</v>
      </c>
      <c r="BQ311" s="239">
        <v>-1003587</v>
      </c>
      <c r="BR311" s="239">
        <v>-225808</v>
      </c>
      <c r="BS311" s="239">
        <v>-25089</v>
      </c>
      <c r="BT311" s="239">
        <v>-2508966</v>
      </c>
      <c r="BU311" s="239">
        <v>-1768701</v>
      </c>
      <c r="BV311" s="239">
        <v>-1414960</v>
      </c>
      <c r="BW311" s="239">
        <v>-318366</v>
      </c>
      <c r="BX311" s="239">
        <v>-35374</v>
      </c>
      <c r="BY311" s="239">
        <v>-3537401</v>
      </c>
      <c r="BZ311" s="239">
        <v>-688341</v>
      </c>
      <c r="CA311" s="239">
        <v>-550673</v>
      </c>
      <c r="CB311" s="239">
        <v>-123901</v>
      </c>
      <c r="CC311" s="239">
        <v>-13767</v>
      </c>
      <c r="CD311" s="239">
        <v>-1376682</v>
      </c>
      <c r="CE311" s="239">
        <v>-1080360</v>
      </c>
      <c r="CF311" s="239">
        <v>-864287</v>
      </c>
      <c r="CG311" s="239">
        <v>-194465</v>
      </c>
      <c r="CH311" s="239">
        <v>-21607</v>
      </c>
      <c r="CI311" s="239">
        <v>-2160719</v>
      </c>
      <c r="CJ311" s="239">
        <v>16150448</v>
      </c>
      <c r="CK311" s="239">
        <v>12920358</v>
      </c>
      <c r="CL311" s="239">
        <v>2907081</v>
      </c>
      <c r="CM311" s="239">
        <v>323009</v>
      </c>
      <c r="CN311" s="239">
        <v>32300896</v>
      </c>
      <c r="CO311" s="239">
        <v>16449558</v>
      </c>
      <c r="CP311" s="239">
        <v>13159647</v>
      </c>
      <c r="CQ311" s="239">
        <v>2960921</v>
      </c>
      <c r="CR311" s="239">
        <v>328991</v>
      </c>
      <c r="CS311" s="239">
        <v>32899117</v>
      </c>
      <c r="CT311" s="239">
        <v>299110</v>
      </c>
      <c r="CU311" s="239">
        <v>239289</v>
      </c>
      <c r="CV311" s="239">
        <v>53840</v>
      </c>
      <c r="CW311" s="239">
        <v>5982</v>
      </c>
      <c r="CX311" s="239">
        <v>598221</v>
      </c>
      <c r="CY311" s="239">
        <v>-781250</v>
      </c>
      <c r="CZ311" s="239">
        <v>-624998</v>
      </c>
      <c r="DA311" s="239">
        <v>-140625</v>
      </c>
      <c r="DB311" s="239">
        <v>-15625</v>
      </c>
      <c r="DC311" s="239">
        <v>-1562498</v>
      </c>
      <c r="DD311" s="641">
        <v>0.5</v>
      </c>
      <c r="DE311" s="641">
        <v>0.4</v>
      </c>
      <c r="DF311" s="641">
        <v>0.09</v>
      </c>
      <c r="DG311" s="641">
        <v>0.01</v>
      </c>
      <c r="DH311" s="641">
        <v>1</v>
      </c>
      <c r="DI311" s="214" t="s">
        <v>1190</v>
      </c>
    </row>
    <row r="312" spans="2:113" s="214" customFormat="1" x14ac:dyDescent="0.2">
      <c r="B312" s="609" t="s">
        <v>706</v>
      </c>
      <c r="C312" s="609" t="s">
        <v>705</v>
      </c>
      <c r="D312" s="239">
        <v>7771785</v>
      </c>
      <c r="E312" s="239">
        <v>6217428</v>
      </c>
      <c r="F312" s="239">
        <v>1554357</v>
      </c>
      <c r="G312" s="239">
        <v>0</v>
      </c>
      <c r="H312" s="239">
        <v>15543570</v>
      </c>
      <c r="I312" s="239">
        <v>0</v>
      </c>
      <c r="J312" s="239">
        <v>0</v>
      </c>
      <c r="K312" s="239">
        <v>7771785</v>
      </c>
      <c r="L312" s="239">
        <v>106298</v>
      </c>
      <c r="M312" s="239">
        <v>106298</v>
      </c>
      <c r="N312" s="239">
        <v>0</v>
      </c>
      <c r="O312" s="239">
        <v>0</v>
      </c>
      <c r="P312" s="239">
        <v>25326</v>
      </c>
      <c r="Q312" s="239">
        <v>0</v>
      </c>
      <c r="R312" s="239">
        <v>25326</v>
      </c>
      <c r="S312" s="239">
        <v>0</v>
      </c>
      <c r="T312" s="239">
        <v>0</v>
      </c>
      <c r="U312" s="239">
        <v>0</v>
      </c>
      <c r="V312" s="239">
        <v>0</v>
      </c>
      <c r="W312" s="239">
        <v>628909</v>
      </c>
      <c r="X312" s="239">
        <v>503127</v>
      </c>
      <c r="Y312" s="239">
        <v>125782</v>
      </c>
      <c r="Z312" s="239">
        <v>0</v>
      </c>
      <c r="AA312" s="239">
        <v>1257818</v>
      </c>
      <c r="AB312" s="239">
        <v>-429584</v>
      </c>
      <c r="AC312" s="239">
        <v>-343667</v>
      </c>
      <c r="AD312" s="239">
        <v>-85917</v>
      </c>
      <c r="AE312" s="239">
        <v>0</v>
      </c>
      <c r="AF312" s="239">
        <v>-859168</v>
      </c>
      <c r="AG312" s="239">
        <v>-162615</v>
      </c>
      <c r="AH312" s="239">
        <v>-130090</v>
      </c>
      <c r="AI312" s="239">
        <v>-32523</v>
      </c>
      <c r="AJ312" s="239">
        <v>0</v>
      </c>
      <c r="AK312" s="239">
        <v>-325228</v>
      </c>
      <c r="AL312" s="239">
        <v>162614</v>
      </c>
      <c r="AM312" s="239">
        <v>130091</v>
      </c>
      <c r="AN312" s="239">
        <v>32523</v>
      </c>
      <c r="AO312" s="239">
        <v>0</v>
      </c>
      <c r="AP312" s="239">
        <v>325228</v>
      </c>
      <c r="AQ312" s="239">
        <v>-188560</v>
      </c>
      <c r="AR312" s="239">
        <v>-150848</v>
      </c>
      <c r="AS312" s="239">
        <v>-37712</v>
      </c>
      <c r="AT312" s="239">
        <v>0</v>
      </c>
      <c r="AU312" s="239">
        <v>-377120</v>
      </c>
      <c r="AV312" s="239">
        <v>-188561</v>
      </c>
      <c r="AW312" s="239">
        <v>-150847</v>
      </c>
      <c r="AX312" s="239">
        <v>-37712</v>
      </c>
      <c r="AY312" s="239">
        <v>0</v>
      </c>
      <c r="AZ312" s="239">
        <v>-377120</v>
      </c>
      <c r="BA312" s="239">
        <v>-971155</v>
      </c>
      <c r="BB312" s="239">
        <v>-776923</v>
      </c>
      <c r="BC312" s="239">
        <v>-194232</v>
      </c>
      <c r="BD312" s="239">
        <v>0</v>
      </c>
      <c r="BE312" s="239">
        <v>-1942310</v>
      </c>
      <c r="BF312" s="239">
        <v>215379</v>
      </c>
      <c r="BG312" s="239">
        <v>172303</v>
      </c>
      <c r="BH312" s="239">
        <v>43076</v>
      </c>
      <c r="BI312" s="239">
        <v>0</v>
      </c>
      <c r="BJ312" s="239">
        <v>430758</v>
      </c>
      <c r="BK312" s="239">
        <v>-215379</v>
      </c>
      <c r="BL312" s="239">
        <v>-172303</v>
      </c>
      <c r="BM312" s="239">
        <v>-43076</v>
      </c>
      <c r="BN312" s="239">
        <v>0</v>
      </c>
      <c r="BO312" s="239">
        <v>-430758</v>
      </c>
      <c r="BP312" s="239">
        <v>-971155</v>
      </c>
      <c r="BQ312" s="239">
        <v>-776923</v>
      </c>
      <c r="BR312" s="239">
        <v>-194232</v>
      </c>
      <c r="BS312" s="239">
        <v>0</v>
      </c>
      <c r="BT312" s="239">
        <v>-1942310</v>
      </c>
      <c r="BU312" s="239">
        <v>-1570182</v>
      </c>
      <c r="BV312" s="239">
        <v>-1256146</v>
      </c>
      <c r="BW312" s="239">
        <v>-314037</v>
      </c>
      <c r="BX312" s="239">
        <v>0</v>
      </c>
      <c r="BY312" s="239">
        <v>-3140365</v>
      </c>
      <c r="BZ312" s="239">
        <v>-183065</v>
      </c>
      <c r="CA312" s="239">
        <v>-146452</v>
      </c>
      <c r="CB312" s="239">
        <v>-36613</v>
      </c>
      <c r="CC312" s="239">
        <v>0</v>
      </c>
      <c r="CD312" s="239">
        <v>-366130</v>
      </c>
      <c r="CE312" s="239">
        <v>-1387117</v>
      </c>
      <c r="CF312" s="239">
        <v>-1109694</v>
      </c>
      <c r="CG312" s="239">
        <v>-277424</v>
      </c>
      <c r="CH312" s="239">
        <v>0</v>
      </c>
      <c r="CI312" s="239">
        <v>-2774235</v>
      </c>
      <c r="CJ312" s="239">
        <v>8316182</v>
      </c>
      <c r="CK312" s="239">
        <v>6652945</v>
      </c>
      <c r="CL312" s="239">
        <v>1663236</v>
      </c>
      <c r="CM312" s="239">
        <v>0</v>
      </c>
      <c r="CN312" s="239">
        <v>16632363</v>
      </c>
      <c r="CO312" s="239">
        <v>7771785</v>
      </c>
      <c r="CP312" s="239">
        <v>6217428</v>
      </c>
      <c r="CQ312" s="239">
        <v>1554357</v>
      </c>
      <c r="CR312" s="239">
        <v>0</v>
      </c>
      <c r="CS312" s="239">
        <v>15543570</v>
      </c>
      <c r="CT312" s="239">
        <v>-544397</v>
      </c>
      <c r="CU312" s="239">
        <v>-435517</v>
      </c>
      <c r="CV312" s="239">
        <v>-108879</v>
      </c>
      <c r="CW312" s="239">
        <v>0</v>
      </c>
      <c r="CX312" s="239">
        <v>-1088793</v>
      </c>
      <c r="CY312" s="239">
        <v>-1931514</v>
      </c>
      <c r="CZ312" s="239">
        <v>-1545211</v>
      </c>
      <c r="DA312" s="239">
        <v>-386303</v>
      </c>
      <c r="DB312" s="239">
        <v>0</v>
      </c>
      <c r="DC312" s="239">
        <v>-3863028</v>
      </c>
      <c r="DD312" s="641">
        <v>0.5</v>
      </c>
      <c r="DE312" s="641">
        <v>0.4</v>
      </c>
      <c r="DF312" s="641">
        <v>0.1</v>
      </c>
      <c r="DG312" s="641">
        <v>0</v>
      </c>
      <c r="DH312" s="641">
        <v>1</v>
      </c>
      <c r="DI312" s="214" t="s">
        <v>1190</v>
      </c>
    </row>
    <row r="313" spans="2:113" s="214" customFormat="1" x14ac:dyDescent="0.2">
      <c r="B313" s="609" t="s">
        <v>708</v>
      </c>
      <c r="C313" s="609" t="s">
        <v>707</v>
      </c>
      <c r="D313" s="239">
        <v>17203727</v>
      </c>
      <c r="E313" s="239">
        <v>13762981</v>
      </c>
      <c r="F313" s="239">
        <v>3440745</v>
      </c>
      <c r="G313" s="239">
        <v>0</v>
      </c>
      <c r="H313" s="239">
        <v>34407453</v>
      </c>
      <c r="I313" s="239">
        <v>0</v>
      </c>
      <c r="J313" s="239">
        <v>0</v>
      </c>
      <c r="K313" s="239">
        <v>17203727</v>
      </c>
      <c r="L313" s="239">
        <v>164154</v>
      </c>
      <c r="M313" s="239">
        <v>164154</v>
      </c>
      <c r="N313" s="239">
        <v>0</v>
      </c>
      <c r="O313" s="239">
        <v>0</v>
      </c>
      <c r="P313" s="239">
        <v>260832</v>
      </c>
      <c r="Q313" s="239">
        <v>0</v>
      </c>
      <c r="R313" s="239">
        <v>260832</v>
      </c>
      <c r="S313" s="239">
        <v>0</v>
      </c>
      <c r="T313" s="239">
        <v>0</v>
      </c>
      <c r="U313" s="239">
        <v>0</v>
      </c>
      <c r="V313" s="239">
        <v>0</v>
      </c>
      <c r="W313" s="239">
        <v>756439</v>
      </c>
      <c r="X313" s="239">
        <v>605152</v>
      </c>
      <c r="Y313" s="239">
        <v>151288</v>
      </c>
      <c r="Z313" s="239">
        <v>0</v>
      </c>
      <c r="AA313" s="239">
        <v>1512879</v>
      </c>
      <c r="AB313" s="239">
        <v>-113788</v>
      </c>
      <c r="AC313" s="239">
        <v>-91030</v>
      </c>
      <c r="AD313" s="239">
        <v>-22758</v>
      </c>
      <c r="AE313" s="239">
        <v>0</v>
      </c>
      <c r="AF313" s="239">
        <v>-227576</v>
      </c>
      <c r="AG313" s="239">
        <v>-121403</v>
      </c>
      <c r="AH313" s="239">
        <v>-97121</v>
      </c>
      <c r="AI313" s="239">
        <v>-24281</v>
      </c>
      <c r="AJ313" s="239">
        <v>0</v>
      </c>
      <c r="AK313" s="239">
        <v>-242805</v>
      </c>
      <c r="AL313" s="239">
        <v>50804</v>
      </c>
      <c r="AM313" s="239">
        <v>40644</v>
      </c>
      <c r="AN313" s="239">
        <v>10161</v>
      </c>
      <c r="AO313" s="239">
        <v>0</v>
      </c>
      <c r="AP313" s="239">
        <v>101609</v>
      </c>
      <c r="AQ313" s="239">
        <v>-125007</v>
      </c>
      <c r="AR313" s="239">
        <v>-100006</v>
      </c>
      <c r="AS313" s="239">
        <v>-25002</v>
      </c>
      <c r="AT313" s="239">
        <v>0</v>
      </c>
      <c r="AU313" s="239">
        <v>-250015</v>
      </c>
      <c r="AV313" s="239">
        <v>-195606</v>
      </c>
      <c r="AW313" s="239">
        <v>-156483</v>
      </c>
      <c r="AX313" s="239">
        <v>-39122</v>
      </c>
      <c r="AY313" s="239">
        <v>0</v>
      </c>
      <c r="AZ313" s="239">
        <v>-391211</v>
      </c>
      <c r="BA313" s="239">
        <v>-1519452</v>
      </c>
      <c r="BB313" s="239">
        <v>-1215561</v>
      </c>
      <c r="BC313" s="239">
        <v>-303890</v>
      </c>
      <c r="BD313" s="239">
        <v>0</v>
      </c>
      <c r="BE313" s="239">
        <v>-3038903</v>
      </c>
      <c r="BF313" s="239">
        <v>360654</v>
      </c>
      <c r="BG313" s="239">
        <v>288524</v>
      </c>
      <c r="BH313" s="239">
        <v>72131</v>
      </c>
      <c r="BI313" s="239">
        <v>0</v>
      </c>
      <c r="BJ313" s="239">
        <v>721309</v>
      </c>
      <c r="BK313" s="239">
        <v>-186312</v>
      </c>
      <c r="BL313" s="239">
        <v>-149049</v>
      </c>
      <c r="BM313" s="239">
        <v>-37262</v>
      </c>
      <c r="BN313" s="239">
        <v>0</v>
      </c>
      <c r="BO313" s="239">
        <v>-372623</v>
      </c>
      <c r="BP313" s="239">
        <v>-1345110</v>
      </c>
      <c r="BQ313" s="239">
        <v>-1076086</v>
      </c>
      <c r="BR313" s="239">
        <v>-269021</v>
      </c>
      <c r="BS313" s="239">
        <v>0</v>
      </c>
      <c r="BT313" s="239">
        <v>-2690217</v>
      </c>
      <c r="BU313" s="239">
        <v>-1624262</v>
      </c>
      <c r="BV313" s="239">
        <v>-1299409</v>
      </c>
      <c r="BW313" s="239">
        <v>-324852</v>
      </c>
      <c r="BX313" s="239">
        <v>0</v>
      </c>
      <c r="BY313" s="239">
        <v>-3248523</v>
      </c>
      <c r="BZ313" s="239">
        <v>-1357890</v>
      </c>
      <c r="CA313" s="239">
        <v>-1086312</v>
      </c>
      <c r="CB313" s="239">
        <v>-271578</v>
      </c>
      <c r="CC313" s="239">
        <v>0</v>
      </c>
      <c r="CD313" s="239">
        <v>-2715780</v>
      </c>
      <c r="CE313" s="239">
        <v>-266372</v>
      </c>
      <c r="CF313" s="239">
        <v>-213097</v>
      </c>
      <c r="CG313" s="239">
        <v>-53274</v>
      </c>
      <c r="CH313" s="239">
        <v>0</v>
      </c>
      <c r="CI313" s="239">
        <v>-532743</v>
      </c>
      <c r="CJ313" s="239">
        <v>16779577</v>
      </c>
      <c r="CK313" s="239">
        <v>13423662</v>
      </c>
      <c r="CL313" s="239">
        <v>3355916</v>
      </c>
      <c r="CM313" s="239">
        <v>0</v>
      </c>
      <c r="CN313" s="239">
        <v>33559155</v>
      </c>
      <c r="CO313" s="239">
        <v>17203727</v>
      </c>
      <c r="CP313" s="239">
        <v>13762981</v>
      </c>
      <c r="CQ313" s="239">
        <v>3440745</v>
      </c>
      <c r="CR313" s="239">
        <v>0</v>
      </c>
      <c r="CS313" s="239">
        <v>34407453</v>
      </c>
      <c r="CT313" s="239">
        <v>424150</v>
      </c>
      <c r="CU313" s="239">
        <v>339319</v>
      </c>
      <c r="CV313" s="239">
        <v>84829</v>
      </c>
      <c r="CW313" s="239">
        <v>0</v>
      </c>
      <c r="CX313" s="239">
        <v>848298</v>
      </c>
      <c r="CY313" s="239">
        <v>157778</v>
      </c>
      <c r="CZ313" s="239">
        <v>126222</v>
      </c>
      <c r="DA313" s="239">
        <v>31555</v>
      </c>
      <c r="DB313" s="239">
        <v>0</v>
      </c>
      <c r="DC313" s="239">
        <v>315555</v>
      </c>
      <c r="DD313" s="641">
        <v>0.5</v>
      </c>
      <c r="DE313" s="641">
        <v>0.4</v>
      </c>
      <c r="DF313" s="641">
        <v>0.1</v>
      </c>
      <c r="DG313" s="641">
        <v>0</v>
      </c>
      <c r="DH313" s="641">
        <v>1</v>
      </c>
      <c r="DI313" s="214" t="s">
        <v>1190</v>
      </c>
    </row>
    <row r="314" spans="2:113" s="214" customFormat="1" x14ac:dyDescent="0.2">
      <c r="B314" s="609" t="s">
        <v>710</v>
      </c>
      <c r="C314" s="609" t="s">
        <v>709</v>
      </c>
      <c r="D314" s="239">
        <v>6701531</v>
      </c>
      <c r="E314" s="239">
        <v>5361224</v>
      </c>
      <c r="F314" s="239">
        <v>1206275</v>
      </c>
      <c r="G314" s="239">
        <v>134031</v>
      </c>
      <c r="H314" s="239">
        <v>13403061</v>
      </c>
      <c r="I314" s="239">
        <v>0</v>
      </c>
      <c r="J314" s="239">
        <v>0</v>
      </c>
      <c r="K314" s="239">
        <v>6701531</v>
      </c>
      <c r="L314" s="239">
        <v>73383</v>
      </c>
      <c r="M314" s="239">
        <v>73383</v>
      </c>
      <c r="N314" s="239">
        <v>0</v>
      </c>
      <c r="O314" s="239">
        <v>0</v>
      </c>
      <c r="P314" s="239">
        <v>29394</v>
      </c>
      <c r="Q314" s="239">
        <v>0</v>
      </c>
      <c r="R314" s="239">
        <v>29394</v>
      </c>
      <c r="S314" s="239">
        <v>0</v>
      </c>
      <c r="T314" s="239">
        <v>0</v>
      </c>
      <c r="U314" s="239">
        <v>0</v>
      </c>
      <c r="V314" s="239">
        <v>0</v>
      </c>
      <c r="W314" s="239">
        <v>546021</v>
      </c>
      <c r="X314" s="239">
        <v>436816</v>
      </c>
      <c r="Y314" s="239">
        <v>98284</v>
      </c>
      <c r="Z314" s="239">
        <v>10920</v>
      </c>
      <c r="AA314" s="239">
        <v>1092041</v>
      </c>
      <c r="AB314" s="239">
        <v>-235077</v>
      </c>
      <c r="AC314" s="239">
        <v>-188062</v>
      </c>
      <c r="AD314" s="239">
        <v>-42314</v>
      </c>
      <c r="AE314" s="239">
        <v>-4702</v>
      </c>
      <c r="AF314" s="239">
        <v>-470155</v>
      </c>
      <c r="AG314" s="239">
        <v>-70000</v>
      </c>
      <c r="AH314" s="239">
        <v>-56000</v>
      </c>
      <c r="AI314" s="239">
        <v>-12600</v>
      </c>
      <c r="AJ314" s="239">
        <v>-1400</v>
      </c>
      <c r="AK314" s="239">
        <v>-140000</v>
      </c>
      <c r="AL314" s="239">
        <v>32120</v>
      </c>
      <c r="AM314" s="239">
        <v>25695</v>
      </c>
      <c r="AN314" s="239">
        <v>5781</v>
      </c>
      <c r="AO314" s="239">
        <v>642</v>
      </c>
      <c r="AP314" s="239">
        <v>64238</v>
      </c>
      <c r="AQ314" s="239">
        <v>-32120</v>
      </c>
      <c r="AR314" s="239">
        <v>-25695</v>
      </c>
      <c r="AS314" s="239">
        <v>-5781</v>
      </c>
      <c r="AT314" s="239">
        <v>-642</v>
      </c>
      <c r="AU314" s="239">
        <v>-64238</v>
      </c>
      <c r="AV314" s="239">
        <v>-70000</v>
      </c>
      <c r="AW314" s="239">
        <v>-56000</v>
      </c>
      <c r="AX314" s="239">
        <v>-12600</v>
      </c>
      <c r="AY314" s="239">
        <v>-1400</v>
      </c>
      <c r="AZ314" s="239">
        <v>-140000</v>
      </c>
      <c r="BA314" s="239">
        <v>-933758</v>
      </c>
      <c r="BB314" s="239">
        <v>-747007</v>
      </c>
      <c r="BC314" s="239">
        <v>-168077</v>
      </c>
      <c r="BD314" s="239">
        <v>-18675</v>
      </c>
      <c r="BE314" s="239">
        <v>-1867517</v>
      </c>
      <c r="BF314" s="239">
        <v>93262</v>
      </c>
      <c r="BG314" s="239">
        <v>74609</v>
      </c>
      <c r="BH314" s="239">
        <v>16787</v>
      </c>
      <c r="BI314" s="239">
        <v>1865</v>
      </c>
      <c r="BJ314" s="239">
        <v>186523</v>
      </c>
      <c r="BK314" s="239">
        <v>26774</v>
      </c>
      <c r="BL314" s="239">
        <v>21418</v>
      </c>
      <c r="BM314" s="239">
        <v>4819</v>
      </c>
      <c r="BN314" s="239">
        <v>535</v>
      </c>
      <c r="BO314" s="239">
        <v>53546</v>
      </c>
      <c r="BP314" s="239">
        <v>-813722</v>
      </c>
      <c r="BQ314" s="239">
        <v>-650980</v>
      </c>
      <c r="BR314" s="239">
        <v>-146471</v>
      </c>
      <c r="BS314" s="239">
        <v>-16275</v>
      </c>
      <c r="BT314" s="239">
        <v>-1627448</v>
      </c>
      <c r="BU314" s="239">
        <v>-3669476</v>
      </c>
      <c r="BV314" s="239">
        <v>-2935582</v>
      </c>
      <c r="BW314" s="239">
        <v>-660506</v>
      </c>
      <c r="BX314" s="239">
        <v>-73390</v>
      </c>
      <c r="BY314" s="239">
        <v>-7338954</v>
      </c>
      <c r="BZ314" s="239">
        <v>-3411329</v>
      </c>
      <c r="CA314" s="239">
        <v>-2729063</v>
      </c>
      <c r="CB314" s="239">
        <v>-614039</v>
      </c>
      <c r="CC314" s="239">
        <v>-68227</v>
      </c>
      <c r="CD314" s="239">
        <v>-6822658</v>
      </c>
      <c r="CE314" s="239">
        <v>-258147</v>
      </c>
      <c r="CF314" s="239">
        <v>-206519</v>
      </c>
      <c r="CG314" s="239">
        <v>-46467</v>
      </c>
      <c r="CH314" s="239">
        <v>-5163</v>
      </c>
      <c r="CI314" s="239">
        <v>-516296</v>
      </c>
      <c r="CJ314" s="239">
        <v>5457411</v>
      </c>
      <c r="CK314" s="239">
        <v>4365929</v>
      </c>
      <c r="CL314" s="239">
        <v>982334</v>
      </c>
      <c r="CM314" s="239">
        <v>109148</v>
      </c>
      <c r="CN314" s="239">
        <v>10914822</v>
      </c>
      <c r="CO314" s="239">
        <v>6701531</v>
      </c>
      <c r="CP314" s="239">
        <v>5361224</v>
      </c>
      <c r="CQ314" s="239">
        <v>1206275</v>
      </c>
      <c r="CR314" s="239">
        <v>134031</v>
      </c>
      <c r="CS314" s="239">
        <v>13403061</v>
      </c>
      <c r="CT314" s="239">
        <v>1244120</v>
      </c>
      <c r="CU314" s="239">
        <v>995295</v>
      </c>
      <c r="CV314" s="239">
        <v>223941</v>
      </c>
      <c r="CW314" s="239">
        <v>24883</v>
      </c>
      <c r="CX314" s="239">
        <v>2488239</v>
      </c>
      <c r="CY314" s="239">
        <v>985973</v>
      </c>
      <c r="CZ314" s="239">
        <v>788776</v>
      </c>
      <c r="DA314" s="239">
        <v>177474</v>
      </c>
      <c r="DB314" s="239">
        <v>19720</v>
      </c>
      <c r="DC314" s="239">
        <v>1971943</v>
      </c>
      <c r="DD314" s="641">
        <v>0.5</v>
      </c>
      <c r="DE314" s="641">
        <v>0.4</v>
      </c>
      <c r="DF314" s="641">
        <v>0.09</v>
      </c>
      <c r="DG314" s="641">
        <v>0.01</v>
      </c>
      <c r="DH314" s="641">
        <v>1</v>
      </c>
      <c r="DI314" s="214" t="s">
        <v>1190</v>
      </c>
    </row>
    <row r="315" spans="2:113" s="214" customFormat="1" x14ac:dyDescent="0.2">
      <c r="B315" s="609" t="s">
        <v>712</v>
      </c>
      <c r="C315" s="609" t="s">
        <v>711</v>
      </c>
      <c r="D315" s="239">
        <v>947442467</v>
      </c>
      <c r="E315" s="239">
        <v>568465480</v>
      </c>
      <c r="F315" s="239">
        <v>378976987</v>
      </c>
      <c r="G315" s="239">
        <v>0</v>
      </c>
      <c r="H315" s="239">
        <v>1894884934</v>
      </c>
      <c r="I315" s="239">
        <v>0</v>
      </c>
      <c r="J315" s="239">
        <v>0</v>
      </c>
      <c r="K315" s="239">
        <v>947442467</v>
      </c>
      <c r="L315" s="239">
        <v>3097183</v>
      </c>
      <c r="M315" s="239">
        <v>3097183</v>
      </c>
      <c r="N315" s="239">
        <v>0</v>
      </c>
      <c r="O315" s="239">
        <v>0</v>
      </c>
      <c r="P315" s="239">
        <v>0</v>
      </c>
      <c r="Q315" s="239">
        <v>0</v>
      </c>
      <c r="R315" s="239">
        <v>0</v>
      </c>
      <c r="S315" s="239">
        <v>0</v>
      </c>
      <c r="T315" s="239">
        <v>0</v>
      </c>
      <c r="U315" s="239">
        <v>0</v>
      </c>
      <c r="V315" s="239">
        <v>0</v>
      </c>
      <c r="W315" s="239">
        <v>23709805</v>
      </c>
      <c r="X315" s="239">
        <v>14225883</v>
      </c>
      <c r="Y315" s="239">
        <v>9483922</v>
      </c>
      <c r="Z315" s="239">
        <v>0</v>
      </c>
      <c r="AA315" s="239">
        <v>47419610</v>
      </c>
      <c r="AB315" s="239">
        <v>-64836139</v>
      </c>
      <c r="AC315" s="239">
        <v>-38901684</v>
      </c>
      <c r="AD315" s="239">
        <v>-25934456</v>
      </c>
      <c r="AE315" s="239">
        <v>0</v>
      </c>
      <c r="AF315" s="239">
        <v>-129672279</v>
      </c>
      <c r="AG315" s="239">
        <v>-15399822</v>
      </c>
      <c r="AH315" s="239">
        <v>-9239894</v>
      </c>
      <c r="AI315" s="239">
        <v>-6159929</v>
      </c>
      <c r="AJ315" s="239">
        <v>0</v>
      </c>
      <c r="AK315" s="239">
        <v>-30799645</v>
      </c>
      <c r="AL315" s="239">
        <v>0</v>
      </c>
      <c r="AM315" s="239">
        <v>0</v>
      </c>
      <c r="AN315" s="239">
        <v>0</v>
      </c>
      <c r="AO315" s="239">
        <v>0</v>
      </c>
      <c r="AP315" s="239">
        <v>0</v>
      </c>
      <c r="AQ315" s="239">
        <v>2050000</v>
      </c>
      <c r="AR315" s="239">
        <v>1230000</v>
      </c>
      <c r="AS315" s="239">
        <v>820000</v>
      </c>
      <c r="AT315" s="239">
        <v>0</v>
      </c>
      <c r="AU315" s="239">
        <v>4100000</v>
      </c>
      <c r="AV315" s="239">
        <v>-13349822</v>
      </c>
      <c r="AW315" s="239">
        <v>-8009894</v>
      </c>
      <c r="AX315" s="239">
        <v>-5339929</v>
      </c>
      <c r="AY315" s="239">
        <v>0</v>
      </c>
      <c r="AZ315" s="239">
        <v>-26699645</v>
      </c>
      <c r="BA315" s="239">
        <v>-196500000</v>
      </c>
      <c r="BB315" s="239">
        <v>-117900000</v>
      </c>
      <c r="BC315" s="239">
        <v>-78600000</v>
      </c>
      <c r="BD315" s="239">
        <v>0</v>
      </c>
      <c r="BE315" s="239">
        <v>-393000000</v>
      </c>
      <c r="BF315" s="239">
        <v>0</v>
      </c>
      <c r="BG315" s="239">
        <v>0</v>
      </c>
      <c r="BH315" s="239">
        <v>0</v>
      </c>
      <c r="BI315" s="239">
        <v>0</v>
      </c>
      <c r="BJ315" s="239">
        <v>0</v>
      </c>
      <c r="BK315" s="239">
        <v>72500000</v>
      </c>
      <c r="BL315" s="239">
        <v>43500000</v>
      </c>
      <c r="BM315" s="239">
        <v>29000000</v>
      </c>
      <c r="BN315" s="239">
        <v>0</v>
      </c>
      <c r="BO315" s="239">
        <v>145000000</v>
      </c>
      <c r="BP315" s="239">
        <v>-124000000</v>
      </c>
      <c r="BQ315" s="239">
        <v>-74400000</v>
      </c>
      <c r="BR315" s="239">
        <v>-49600000</v>
      </c>
      <c r="BS315" s="239">
        <v>0</v>
      </c>
      <c r="BT315" s="239">
        <v>-248000000</v>
      </c>
      <c r="BU315" s="239">
        <v>-209244434.60100031</v>
      </c>
      <c r="BV315" s="239">
        <v>-125546661</v>
      </c>
      <c r="BW315" s="239">
        <v>-83697774</v>
      </c>
      <c r="BX315" s="239">
        <v>0</v>
      </c>
      <c r="BY315" s="239">
        <v>-418488869.60100031</v>
      </c>
      <c r="BZ315" s="239">
        <v>-148468360.60100031</v>
      </c>
      <c r="CA315" s="239">
        <v>-89081016</v>
      </c>
      <c r="CB315" s="239">
        <v>-59387344</v>
      </c>
      <c r="CC315" s="239">
        <v>0</v>
      </c>
      <c r="CD315" s="239">
        <v>-296936720.60100031</v>
      </c>
      <c r="CE315" s="239">
        <v>-60776074</v>
      </c>
      <c r="CF315" s="239">
        <v>-36465645</v>
      </c>
      <c r="CG315" s="239">
        <v>-24310430</v>
      </c>
      <c r="CH315" s="239">
        <v>0</v>
      </c>
      <c r="CI315" s="239">
        <v>-121552149</v>
      </c>
      <c r="CJ315" s="239">
        <v>877819837</v>
      </c>
      <c r="CK315" s="239">
        <v>526691903</v>
      </c>
      <c r="CL315" s="239">
        <v>351127935</v>
      </c>
      <c r="CM315" s="239">
        <v>0</v>
      </c>
      <c r="CN315" s="239">
        <v>1755639675</v>
      </c>
      <c r="CO315" s="239">
        <v>947442467</v>
      </c>
      <c r="CP315" s="239">
        <v>568465480</v>
      </c>
      <c r="CQ315" s="239">
        <v>378976987</v>
      </c>
      <c r="CR315" s="239">
        <v>0</v>
      </c>
      <c r="CS315" s="239">
        <v>1894884934</v>
      </c>
      <c r="CT315" s="239">
        <v>69622630</v>
      </c>
      <c r="CU315" s="239">
        <v>41773577</v>
      </c>
      <c r="CV315" s="239">
        <v>27849052</v>
      </c>
      <c r="CW315" s="239">
        <v>0</v>
      </c>
      <c r="CX315" s="239">
        <v>139245259</v>
      </c>
      <c r="CY315" s="239">
        <v>8846556</v>
      </c>
      <c r="CZ315" s="239">
        <v>5307932</v>
      </c>
      <c r="DA315" s="239">
        <v>3538622</v>
      </c>
      <c r="DB315" s="239">
        <v>0</v>
      </c>
      <c r="DC315" s="239">
        <v>17693110</v>
      </c>
      <c r="DD315" s="641">
        <v>0.5</v>
      </c>
      <c r="DE315" s="641">
        <v>0.3</v>
      </c>
      <c r="DF315" s="641">
        <v>0.2</v>
      </c>
      <c r="DG315" s="641">
        <v>0</v>
      </c>
      <c r="DH315" s="641">
        <v>1</v>
      </c>
      <c r="DI315" s="214" t="s">
        <v>1193</v>
      </c>
    </row>
    <row r="316" spans="2:113" s="214" customFormat="1" x14ac:dyDescent="0.2">
      <c r="B316" s="609" t="s">
        <v>714</v>
      </c>
      <c r="C316" s="609" t="s">
        <v>713</v>
      </c>
      <c r="D316" s="239">
        <v>7867658</v>
      </c>
      <c r="E316" s="239">
        <v>6294126</v>
      </c>
      <c r="F316" s="239">
        <v>1416178</v>
      </c>
      <c r="G316" s="239">
        <v>157353</v>
      </c>
      <c r="H316" s="239">
        <v>15735315</v>
      </c>
      <c r="I316" s="239">
        <v>0</v>
      </c>
      <c r="J316" s="239">
        <v>0</v>
      </c>
      <c r="K316" s="239">
        <v>7867658</v>
      </c>
      <c r="L316" s="239">
        <v>107015</v>
      </c>
      <c r="M316" s="239">
        <v>107015</v>
      </c>
      <c r="N316" s="239">
        <v>0</v>
      </c>
      <c r="O316" s="239">
        <v>0</v>
      </c>
      <c r="P316" s="239">
        <v>0</v>
      </c>
      <c r="Q316" s="239">
        <v>0</v>
      </c>
      <c r="R316" s="239">
        <v>0</v>
      </c>
      <c r="S316" s="239">
        <v>0</v>
      </c>
      <c r="T316" s="239">
        <v>0</v>
      </c>
      <c r="U316" s="239">
        <v>0</v>
      </c>
      <c r="V316" s="239">
        <v>0</v>
      </c>
      <c r="W316" s="239">
        <v>813364</v>
      </c>
      <c r="X316" s="239">
        <v>650691</v>
      </c>
      <c r="Y316" s="239">
        <v>146405</v>
      </c>
      <c r="Z316" s="239">
        <v>16267</v>
      </c>
      <c r="AA316" s="239">
        <v>1626727</v>
      </c>
      <c r="AB316" s="239">
        <v>-350274</v>
      </c>
      <c r="AC316" s="239">
        <v>-280220</v>
      </c>
      <c r="AD316" s="239">
        <v>-63050</v>
      </c>
      <c r="AE316" s="239">
        <v>-7006</v>
      </c>
      <c r="AF316" s="239">
        <v>-700550</v>
      </c>
      <c r="AG316" s="239">
        <v>-851500</v>
      </c>
      <c r="AH316" s="239">
        <v>-681200</v>
      </c>
      <c r="AI316" s="239">
        <v>-153270</v>
      </c>
      <c r="AJ316" s="239">
        <v>-17030</v>
      </c>
      <c r="AK316" s="239">
        <v>-1703000</v>
      </c>
      <c r="AL316" s="239">
        <v>258197</v>
      </c>
      <c r="AM316" s="239">
        <v>206557</v>
      </c>
      <c r="AN316" s="239">
        <v>46475</v>
      </c>
      <c r="AO316" s="239">
        <v>5164</v>
      </c>
      <c r="AP316" s="239">
        <v>516393</v>
      </c>
      <c r="AQ316" s="239">
        <v>100803</v>
      </c>
      <c r="AR316" s="239">
        <v>80643</v>
      </c>
      <c r="AS316" s="239">
        <v>18145</v>
      </c>
      <c r="AT316" s="239">
        <v>2016</v>
      </c>
      <c r="AU316" s="239">
        <v>201607</v>
      </c>
      <c r="AV316" s="239">
        <v>-492500</v>
      </c>
      <c r="AW316" s="239">
        <v>-394000</v>
      </c>
      <c r="AX316" s="239">
        <v>-88650</v>
      </c>
      <c r="AY316" s="239">
        <v>-9850</v>
      </c>
      <c r="AZ316" s="239">
        <v>-985000</v>
      </c>
      <c r="BA316" s="239">
        <v>-1644426</v>
      </c>
      <c r="BB316" s="239">
        <v>-1315540</v>
      </c>
      <c r="BC316" s="239">
        <v>-295997</v>
      </c>
      <c r="BD316" s="239">
        <v>-32888</v>
      </c>
      <c r="BE316" s="239">
        <v>-3288851</v>
      </c>
      <c r="BF316" s="239">
        <v>198300</v>
      </c>
      <c r="BG316" s="239">
        <v>158640</v>
      </c>
      <c r="BH316" s="239">
        <v>35694</v>
      </c>
      <c r="BI316" s="239">
        <v>3966</v>
      </c>
      <c r="BJ316" s="239">
        <v>396600</v>
      </c>
      <c r="BK316" s="239">
        <v>-1144287</v>
      </c>
      <c r="BL316" s="239">
        <v>-915430</v>
      </c>
      <c r="BM316" s="239">
        <v>-205972</v>
      </c>
      <c r="BN316" s="239">
        <v>-22886</v>
      </c>
      <c r="BO316" s="239">
        <v>-2288575</v>
      </c>
      <c r="BP316" s="239">
        <v>-2590413</v>
      </c>
      <c r="BQ316" s="239">
        <v>-2072330</v>
      </c>
      <c r="BR316" s="239">
        <v>-466275</v>
      </c>
      <c r="BS316" s="239">
        <v>-51808</v>
      </c>
      <c r="BT316" s="239">
        <v>-5180826</v>
      </c>
      <c r="BU316" s="239">
        <v>317042</v>
      </c>
      <c r="BV316" s="239">
        <v>253634</v>
      </c>
      <c r="BW316" s="239">
        <v>57068</v>
      </c>
      <c r="BX316" s="239">
        <v>6341</v>
      </c>
      <c r="BY316" s="239">
        <v>634085</v>
      </c>
      <c r="BZ316" s="239">
        <v>245773</v>
      </c>
      <c r="CA316" s="239">
        <v>196618</v>
      </c>
      <c r="CB316" s="239">
        <v>44239</v>
      </c>
      <c r="CC316" s="239">
        <v>4915</v>
      </c>
      <c r="CD316" s="239">
        <v>491545</v>
      </c>
      <c r="CE316" s="239">
        <v>71269</v>
      </c>
      <c r="CF316" s="239">
        <v>57016</v>
      </c>
      <c r="CG316" s="239">
        <v>12829</v>
      </c>
      <c r="CH316" s="239">
        <v>1426</v>
      </c>
      <c r="CI316" s="239">
        <v>142540</v>
      </c>
      <c r="CJ316" s="239">
        <v>8009008</v>
      </c>
      <c r="CK316" s="239">
        <v>6407207</v>
      </c>
      <c r="CL316" s="239">
        <v>1441622</v>
      </c>
      <c r="CM316" s="239">
        <v>160180</v>
      </c>
      <c r="CN316" s="239">
        <v>16018017</v>
      </c>
      <c r="CO316" s="239">
        <v>7867658</v>
      </c>
      <c r="CP316" s="239">
        <v>6294126</v>
      </c>
      <c r="CQ316" s="239">
        <v>1416178</v>
      </c>
      <c r="CR316" s="239">
        <v>157353</v>
      </c>
      <c r="CS316" s="239">
        <v>15735315</v>
      </c>
      <c r="CT316" s="239">
        <v>-141350</v>
      </c>
      <c r="CU316" s="239">
        <v>-113081</v>
      </c>
      <c r="CV316" s="239">
        <v>-25444</v>
      </c>
      <c r="CW316" s="239">
        <v>-2827</v>
      </c>
      <c r="CX316" s="239">
        <v>-282702</v>
      </c>
      <c r="CY316" s="239">
        <v>-70081</v>
      </c>
      <c r="CZ316" s="239">
        <v>-56065</v>
      </c>
      <c r="DA316" s="239">
        <v>-12615</v>
      </c>
      <c r="DB316" s="239">
        <v>-1401</v>
      </c>
      <c r="DC316" s="239">
        <v>-140162</v>
      </c>
      <c r="DD316" s="641">
        <v>0.5</v>
      </c>
      <c r="DE316" s="641">
        <v>0.4</v>
      </c>
      <c r="DF316" s="641">
        <v>0.09</v>
      </c>
      <c r="DG316" s="641">
        <v>0.01</v>
      </c>
      <c r="DH316" s="641">
        <v>1</v>
      </c>
      <c r="DI316" s="214" t="s">
        <v>1190</v>
      </c>
    </row>
    <row r="317" spans="2:113" s="214" customFormat="1" x14ac:dyDescent="0.2">
      <c r="B317" s="609" t="s">
        <v>716</v>
      </c>
      <c r="C317" s="609" t="s">
        <v>715</v>
      </c>
      <c r="D317" s="239">
        <v>39500776</v>
      </c>
      <c r="E317" s="239">
        <v>38710761</v>
      </c>
      <c r="F317" s="239">
        <v>0</v>
      </c>
      <c r="G317" s="239">
        <v>790016</v>
      </c>
      <c r="H317" s="239">
        <v>79001553</v>
      </c>
      <c r="I317" s="239">
        <v>0</v>
      </c>
      <c r="J317" s="239">
        <v>0</v>
      </c>
      <c r="K317" s="239">
        <v>39500776</v>
      </c>
      <c r="L317" s="239">
        <v>385297</v>
      </c>
      <c r="M317" s="239">
        <v>385297</v>
      </c>
      <c r="N317" s="239">
        <v>0</v>
      </c>
      <c r="O317" s="239">
        <v>0</v>
      </c>
      <c r="P317" s="239">
        <v>0</v>
      </c>
      <c r="Q317" s="239">
        <v>0</v>
      </c>
      <c r="R317" s="239">
        <v>0</v>
      </c>
      <c r="S317" s="239">
        <v>0</v>
      </c>
      <c r="T317" s="239">
        <v>0</v>
      </c>
      <c r="U317" s="239">
        <v>0</v>
      </c>
      <c r="V317" s="239">
        <v>0</v>
      </c>
      <c r="W317" s="239">
        <v>3571881</v>
      </c>
      <c r="X317" s="239">
        <v>3500443</v>
      </c>
      <c r="Y317" s="239">
        <v>0</v>
      </c>
      <c r="Z317" s="239">
        <v>71438</v>
      </c>
      <c r="AA317" s="239">
        <v>7143762</v>
      </c>
      <c r="AB317" s="239">
        <v>-261736</v>
      </c>
      <c r="AC317" s="239">
        <v>-256501</v>
      </c>
      <c r="AD317" s="239">
        <v>0</v>
      </c>
      <c r="AE317" s="239">
        <v>-5235</v>
      </c>
      <c r="AF317" s="239">
        <v>-523472</v>
      </c>
      <c r="AG317" s="239">
        <v>-4401687</v>
      </c>
      <c r="AH317" s="239">
        <v>-1510119</v>
      </c>
      <c r="AI317" s="239">
        <v>0</v>
      </c>
      <c r="AJ317" s="239">
        <v>-59716</v>
      </c>
      <c r="AK317" s="239">
        <v>-5971522</v>
      </c>
      <c r="AL317" s="239">
        <v>631755</v>
      </c>
      <c r="AM317" s="239">
        <v>619120</v>
      </c>
      <c r="AN317" s="239">
        <v>0</v>
      </c>
      <c r="AO317" s="239">
        <v>12635</v>
      </c>
      <c r="AP317" s="239">
        <v>1263510</v>
      </c>
      <c r="AQ317" s="239">
        <v>-624134</v>
      </c>
      <c r="AR317" s="239">
        <v>-611652</v>
      </c>
      <c r="AS317" s="239">
        <v>0</v>
      </c>
      <c r="AT317" s="239">
        <v>-12483</v>
      </c>
      <c r="AU317" s="239">
        <v>-1248269</v>
      </c>
      <c r="AV317" s="239">
        <v>-4394066</v>
      </c>
      <c r="AW317" s="239">
        <v>-1502651</v>
      </c>
      <c r="AX317" s="239">
        <v>0</v>
      </c>
      <c r="AY317" s="239">
        <v>-59564</v>
      </c>
      <c r="AZ317" s="239">
        <v>-5956281</v>
      </c>
      <c r="BA317" s="239">
        <v>-1452577</v>
      </c>
      <c r="BB317" s="239">
        <v>-1423526</v>
      </c>
      <c r="BC317" s="239">
        <v>0</v>
      </c>
      <c r="BD317" s="239">
        <v>-29051</v>
      </c>
      <c r="BE317" s="239">
        <v>-2905154</v>
      </c>
      <c r="BF317" s="239">
        <v>1261261</v>
      </c>
      <c r="BG317" s="239">
        <v>1236036</v>
      </c>
      <c r="BH317" s="239">
        <v>0</v>
      </c>
      <c r="BI317" s="239">
        <v>25225</v>
      </c>
      <c r="BJ317" s="239">
        <v>2522522</v>
      </c>
      <c r="BK317" s="239">
        <v>-1613952</v>
      </c>
      <c r="BL317" s="239">
        <v>-1581673</v>
      </c>
      <c r="BM317" s="239">
        <v>0</v>
      </c>
      <c r="BN317" s="239">
        <v>-32279</v>
      </c>
      <c r="BO317" s="239">
        <v>-3227904</v>
      </c>
      <c r="BP317" s="239">
        <v>-1805268</v>
      </c>
      <c r="BQ317" s="239">
        <v>-1769163</v>
      </c>
      <c r="BR317" s="239">
        <v>0</v>
      </c>
      <c r="BS317" s="239">
        <v>-36105</v>
      </c>
      <c r="BT317" s="239">
        <v>-3610536</v>
      </c>
      <c r="BU317" s="239">
        <v>-4835216</v>
      </c>
      <c r="BV317" s="239">
        <v>-4738511</v>
      </c>
      <c r="BW317" s="239">
        <v>0</v>
      </c>
      <c r="BX317" s="239">
        <v>-96704</v>
      </c>
      <c r="BY317" s="239">
        <v>-9670431</v>
      </c>
      <c r="BZ317" s="239">
        <v>-2970179</v>
      </c>
      <c r="CA317" s="239">
        <v>-2910776</v>
      </c>
      <c r="CB317" s="239">
        <v>0</v>
      </c>
      <c r="CC317" s="239">
        <v>-59404</v>
      </c>
      <c r="CD317" s="239">
        <v>-5940359</v>
      </c>
      <c r="CE317" s="239">
        <v>-1865037</v>
      </c>
      <c r="CF317" s="239">
        <v>-1827735</v>
      </c>
      <c r="CG317" s="239">
        <v>0</v>
      </c>
      <c r="CH317" s="239">
        <v>-37300</v>
      </c>
      <c r="CI317" s="239">
        <v>-3730072</v>
      </c>
      <c r="CJ317" s="239">
        <v>41273315</v>
      </c>
      <c r="CK317" s="239">
        <v>40447849</v>
      </c>
      <c r="CL317" s="239">
        <v>0</v>
      </c>
      <c r="CM317" s="239">
        <v>825466</v>
      </c>
      <c r="CN317" s="239">
        <v>82546630</v>
      </c>
      <c r="CO317" s="239">
        <v>39500776</v>
      </c>
      <c r="CP317" s="239">
        <v>38710761</v>
      </c>
      <c r="CQ317" s="239">
        <v>0</v>
      </c>
      <c r="CR317" s="239">
        <v>790016</v>
      </c>
      <c r="CS317" s="239">
        <v>79001553</v>
      </c>
      <c r="CT317" s="239">
        <v>-1772539</v>
      </c>
      <c r="CU317" s="239">
        <v>-1737088</v>
      </c>
      <c r="CV317" s="239">
        <v>0</v>
      </c>
      <c r="CW317" s="239">
        <v>-35450</v>
      </c>
      <c r="CX317" s="239">
        <v>-3545077</v>
      </c>
      <c r="CY317" s="239">
        <v>-3637576</v>
      </c>
      <c r="CZ317" s="239">
        <v>-3564823</v>
      </c>
      <c r="DA317" s="239">
        <v>0</v>
      </c>
      <c r="DB317" s="239">
        <v>-72750</v>
      </c>
      <c r="DC317" s="239">
        <v>-7275149</v>
      </c>
      <c r="DD317" s="641">
        <v>0.5</v>
      </c>
      <c r="DE317" s="641">
        <v>0.49</v>
      </c>
      <c r="DF317" s="641">
        <v>0</v>
      </c>
      <c r="DG317" s="641">
        <v>0.01</v>
      </c>
      <c r="DH317" s="641">
        <v>1</v>
      </c>
      <c r="DI317" s="214" t="s">
        <v>1192</v>
      </c>
    </row>
    <row r="318" spans="2:113" s="214" customFormat="1" x14ac:dyDescent="0.2">
      <c r="B318" s="609" t="s">
        <v>718</v>
      </c>
      <c r="C318" s="609" t="s">
        <v>717</v>
      </c>
      <c r="D318" s="239">
        <v>75120183</v>
      </c>
      <c r="E318" s="239">
        <v>73617779</v>
      </c>
      <c r="F318" s="239">
        <v>0</v>
      </c>
      <c r="G318" s="239">
        <v>1502404</v>
      </c>
      <c r="H318" s="239">
        <v>150240366</v>
      </c>
      <c r="I318" s="239">
        <v>0</v>
      </c>
      <c r="J318" s="239">
        <v>0</v>
      </c>
      <c r="K318" s="239">
        <v>75120183</v>
      </c>
      <c r="L318" s="239">
        <v>625526</v>
      </c>
      <c r="M318" s="239">
        <v>625526</v>
      </c>
      <c r="N318" s="239">
        <v>0</v>
      </c>
      <c r="O318" s="239">
        <v>0</v>
      </c>
      <c r="P318" s="239">
        <v>1560758</v>
      </c>
      <c r="Q318" s="239">
        <v>0</v>
      </c>
      <c r="R318" s="239">
        <v>1560758</v>
      </c>
      <c r="S318" s="239">
        <v>0</v>
      </c>
      <c r="T318" s="239">
        <v>0</v>
      </c>
      <c r="U318" s="239">
        <v>0</v>
      </c>
      <c r="V318" s="239">
        <v>0</v>
      </c>
      <c r="W318" s="239">
        <v>2359194</v>
      </c>
      <c r="X318" s="239">
        <v>2312011</v>
      </c>
      <c r="Y318" s="239">
        <v>0</v>
      </c>
      <c r="Z318" s="239">
        <v>47184</v>
      </c>
      <c r="AA318" s="239">
        <v>4718389</v>
      </c>
      <c r="AB318" s="239">
        <v>-930353</v>
      </c>
      <c r="AC318" s="239">
        <v>-911746</v>
      </c>
      <c r="AD318" s="239">
        <v>0</v>
      </c>
      <c r="AE318" s="239">
        <v>-18607</v>
      </c>
      <c r="AF318" s="239">
        <v>-1860706</v>
      </c>
      <c r="AG318" s="239">
        <v>-365200</v>
      </c>
      <c r="AH318" s="239">
        <v>-357896</v>
      </c>
      <c r="AI318" s="239">
        <v>0</v>
      </c>
      <c r="AJ318" s="239">
        <v>-7304</v>
      </c>
      <c r="AK318" s="239">
        <v>-730400</v>
      </c>
      <c r="AL318" s="239">
        <v>384738</v>
      </c>
      <c r="AM318" s="239">
        <v>377043</v>
      </c>
      <c r="AN318" s="239">
        <v>0</v>
      </c>
      <c r="AO318" s="239">
        <v>7695</v>
      </c>
      <c r="AP318" s="239">
        <v>769476</v>
      </c>
      <c r="AQ318" s="239">
        <v>-343988</v>
      </c>
      <c r="AR318" s="239">
        <v>-337108</v>
      </c>
      <c r="AS318" s="239">
        <v>0</v>
      </c>
      <c r="AT318" s="239">
        <v>-6880</v>
      </c>
      <c r="AU318" s="239">
        <v>-687976</v>
      </c>
      <c r="AV318" s="239">
        <v>-324450</v>
      </c>
      <c r="AW318" s="239">
        <v>-317961</v>
      </c>
      <c r="AX318" s="239">
        <v>0</v>
      </c>
      <c r="AY318" s="239">
        <v>-6489</v>
      </c>
      <c r="AZ318" s="239">
        <v>-648900</v>
      </c>
      <c r="BA318" s="239">
        <v>-1783970</v>
      </c>
      <c r="BB318" s="239">
        <v>-1748289</v>
      </c>
      <c r="BC318" s="239">
        <v>0</v>
      </c>
      <c r="BD318" s="239">
        <v>-35678</v>
      </c>
      <c r="BE318" s="239">
        <v>-3567937</v>
      </c>
      <c r="BF318" s="239">
        <v>1783969</v>
      </c>
      <c r="BG318" s="239">
        <v>1748289</v>
      </c>
      <c r="BH318" s="239">
        <v>0</v>
      </c>
      <c r="BI318" s="239">
        <v>35679</v>
      </c>
      <c r="BJ318" s="239">
        <v>3567937</v>
      </c>
      <c r="BK318" s="239">
        <v>-1920050</v>
      </c>
      <c r="BL318" s="239">
        <v>-1881649</v>
      </c>
      <c r="BM318" s="239">
        <v>0</v>
      </c>
      <c r="BN318" s="239">
        <v>-38401</v>
      </c>
      <c r="BO318" s="239">
        <v>-3840100</v>
      </c>
      <c r="BP318" s="239">
        <v>-1920051</v>
      </c>
      <c r="BQ318" s="239">
        <v>-1881649</v>
      </c>
      <c r="BR318" s="239">
        <v>0</v>
      </c>
      <c r="BS318" s="239">
        <v>-38400</v>
      </c>
      <c r="BT318" s="239">
        <v>-3840100</v>
      </c>
      <c r="BU318" s="239">
        <v>-4046572</v>
      </c>
      <c r="BV318" s="239">
        <v>-3965640</v>
      </c>
      <c r="BW318" s="239">
        <v>0</v>
      </c>
      <c r="BX318" s="239">
        <v>-80931</v>
      </c>
      <c r="BY318" s="239">
        <v>-8093143</v>
      </c>
      <c r="BZ318" s="239">
        <v>-3671695</v>
      </c>
      <c r="CA318" s="239">
        <v>-3598262</v>
      </c>
      <c r="CB318" s="239">
        <v>0</v>
      </c>
      <c r="CC318" s="239">
        <v>-73434</v>
      </c>
      <c r="CD318" s="239">
        <v>-7343391</v>
      </c>
      <c r="CE318" s="239">
        <v>-374877</v>
      </c>
      <c r="CF318" s="239">
        <v>-367378</v>
      </c>
      <c r="CG318" s="239">
        <v>0</v>
      </c>
      <c r="CH318" s="239">
        <v>-7497</v>
      </c>
      <c r="CI318" s="239">
        <v>-749752</v>
      </c>
      <c r="CJ318" s="239">
        <v>72328277</v>
      </c>
      <c r="CK318" s="239">
        <v>70881712</v>
      </c>
      <c r="CL318" s="239">
        <v>0</v>
      </c>
      <c r="CM318" s="239">
        <v>1446566</v>
      </c>
      <c r="CN318" s="239">
        <v>144656555</v>
      </c>
      <c r="CO318" s="239">
        <v>75120183</v>
      </c>
      <c r="CP318" s="239">
        <v>73617779</v>
      </c>
      <c r="CQ318" s="239">
        <v>0</v>
      </c>
      <c r="CR318" s="239">
        <v>1502404</v>
      </c>
      <c r="CS318" s="239">
        <v>150240366</v>
      </c>
      <c r="CT318" s="239">
        <v>2791906</v>
      </c>
      <c r="CU318" s="239">
        <v>2736067</v>
      </c>
      <c r="CV318" s="239">
        <v>0</v>
      </c>
      <c r="CW318" s="239">
        <v>55838</v>
      </c>
      <c r="CX318" s="239">
        <v>5583811</v>
      </c>
      <c r="CY318" s="239">
        <v>2417029</v>
      </c>
      <c r="CZ318" s="239">
        <v>2368689</v>
      </c>
      <c r="DA318" s="239">
        <v>0</v>
      </c>
      <c r="DB318" s="239">
        <v>48341</v>
      </c>
      <c r="DC318" s="239">
        <v>4834059</v>
      </c>
      <c r="DD318" s="641">
        <v>0.5</v>
      </c>
      <c r="DE318" s="641">
        <v>0.49</v>
      </c>
      <c r="DF318" s="641">
        <v>0</v>
      </c>
      <c r="DG318" s="641">
        <v>0.01</v>
      </c>
      <c r="DH318" s="641">
        <v>1</v>
      </c>
      <c r="DI318" s="214" t="s">
        <v>747</v>
      </c>
    </row>
    <row r="319" spans="2:113" s="214" customFormat="1" x14ac:dyDescent="0.2">
      <c r="B319" s="609" t="s">
        <v>720</v>
      </c>
      <c r="C319" s="609" t="s">
        <v>719</v>
      </c>
      <c r="D319" s="239">
        <v>28591745</v>
      </c>
      <c r="E319" s="239">
        <v>22873396</v>
      </c>
      <c r="F319" s="239">
        <v>5146514</v>
      </c>
      <c r="G319" s="239">
        <v>571835</v>
      </c>
      <c r="H319" s="239">
        <v>57183490</v>
      </c>
      <c r="I319" s="239">
        <v>0</v>
      </c>
      <c r="J319" s="239">
        <v>0</v>
      </c>
      <c r="K319" s="239">
        <v>28591745</v>
      </c>
      <c r="L319" s="239">
        <v>198716</v>
      </c>
      <c r="M319" s="239">
        <v>198716</v>
      </c>
      <c r="N319" s="239">
        <v>0</v>
      </c>
      <c r="O319" s="239">
        <v>0</v>
      </c>
      <c r="P319" s="239">
        <v>286071</v>
      </c>
      <c r="Q319" s="239">
        <v>0</v>
      </c>
      <c r="R319" s="239">
        <v>286071</v>
      </c>
      <c r="S319" s="239">
        <v>0</v>
      </c>
      <c r="T319" s="239">
        <v>0</v>
      </c>
      <c r="U319" s="239">
        <v>0</v>
      </c>
      <c r="V319" s="239">
        <v>0</v>
      </c>
      <c r="W319" s="239">
        <v>978861</v>
      </c>
      <c r="X319" s="239">
        <v>783089</v>
      </c>
      <c r="Y319" s="239">
        <v>176195</v>
      </c>
      <c r="Z319" s="239">
        <v>19577</v>
      </c>
      <c r="AA319" s="239">
        <v>1957722</v>
      </c>
      <c r="AB319" s="239">
        <v>-527183</v>
      </c>
      <c r="AC319" s="239">
        <v>-421746</v>
      </c>
      <c r="AD319" s="239">
        <v>-94893</v>
      </c>
      <c r="AE319" s="239">
        <v>-10544</v>
      </c>
      <c r="AF319" s="239">
        <v>-1054366</v>
      </c>
      <c r="AG319" s="239">
        <v>-734231</v>
      </c>
      <c r="AH319" s="239">
        <v>-587387</v>
      </c>
      <c r="AI319" s="239">
        <v>-132162</v>
      </c>
      <c r="AJ319" s="239">
        <v>-14685</v>
      </c>
      <c r="AK319" s="239">
        <v>-1468465</v>
      </c>
      <c r="AL319" s="239">
        <v>288616</v>
      </c>
      <c r="AM319" s="239">
        <v>230892</v>
      </c>
      <c r="AN319" s="239">
        <v>51951</v>
      </c>
      <c r="AO319" s="239">
        <v>5772</v>
      </c>
      <c r="AP319" s="239">
        <v>577231</v>
      </c>
      <c r="AQ319" s="239">
        <v>-102980</v>
      </c>
      <c r="AR319" s="239">
        <v>-82385</v>
      </c>
      <c r="AS319" s="239">
        <v>-18537</v>
      </c>
      <c r="AT319" s="239">
        <v>-2060</v>
      </c>
      <c r="AU319" s="239">
        <v>-205962</v>
      </c>
      <c r="AV319" s="239">
        <v>-548595</v>
      </c>
      <c r="AW319" s="239">
        <v>-438880</v>
      </c>
      <c r="AX319" s="239">
        <v>-98748</v>
      </c>
      <c r="AY319" s="239">
        <v>-10973</v>
      </c>
      <c r="AZ319" s="239">
        <v>-1097196</v>
      </c>
      <c r="BA319" s="239">
        <v>-3168211</v>
      </c>
      <c r="BB319" s="239">
        <v>-2534567</v>
      </c>
      <c r="BC319" s="239">
        <v>-570279</v>
      </c>
      <c r="BD319" s="239">
        <v>-63364</v>
      </c>
      <c r="BE319" s="239">
        <v>-6336421</v>
      </c>
      <c r="BF319" s="239">
        <v>2569353</v>
      </c>
      <c r="BG319" s="239">
        <v>2055482</v>
      </c>
      <c r="BH319" s="239">
        <v>462483</v>
      </c>
      <c r="BI319" s="239">
        <v>51387</v>
      </c>
      <c r="BJ319" s="239">
        <v>5138705</v>
      </c>
      <c r="BK319" s="239">
        <v>-1305609</v>
      </c>
      <c r="BL319" s="239">
        <v>-1044488</v>
      </c>
      <c r="BM319" s="239">
        <v>-235010</v>
      </c>
      <c r="BN319" s="239">
        <v>-26112</v>
      </c>
      <c r="BO319" s="239">
        <v>-2611219</v>
      </c>
      <c r="BP319" s="239">
        <v>-1904467</v>
      </c>
      <c r="BQ319" s="239">
        <v>-1523573</v>
      </c>
      <c r="BR319" s="239">
        <v>-342806</v>
      </c>
      <c r="BS319" s="239">
        <v>-38089</v>
      </c>
      <c r="BT319" s="239">
        <v>-3808935</v>
      </c>
      <c r="BU319" s="239">
        <v>-3014878</v>
      </c>
      <c r="BV319" s="239">
        <v>-2411902</v>
      </c>
      <c r="BW319" s="239">
        <v>-542678</v>
      </c>
      <c r="BX319" s="239">
        <v>-60298</v>
      </c>
      <c r="BY319" s="239">
        <v>-6029756</v>
      </c>
      <c r="BZ319" s="239">
        <v>-3271351</v>
      </c>
      <c r="CA319" s="239">
        <v>-2617081</v>
      </c>
      <c r="CB319" s="239">
        <v>-588843</v>
      </c>
      <c r="CC319" s="239">
        <v>-65427</v>
      </c>
      <c r="CD319" s="239">
        <v>-6542702</v>
      </c>
      <c r="CE319" s="239">
        <v>256473</v>
      </c>
      <c r="CF319" s="239">
        <v>205179</v>
      </c>
      <c r="CG319" s="239">
        <v>46165</v>
      </c>
      <c r="CH319" s="239">
        <v>5129</v>
      </c>
      <c r="CI319" s="239">
        <v>512946</v>
      </c>
      <c r="CJ319" s="239">
        <v>28405799</v>
      </c>
      <c r="CK319" s="239">
        <v>22724639</v>
      </c>
      <c r="CL319" s="239">
        <v>5113044</v>
      </c>
      <c r="CM319" s="239">
        <v>568116</v>
      </c>
      <c r="CN319" s="239">
        <v>56811598</v>
      </c>
      <c r="CO319" s="239">
        <v>28591745</v>
      </c>
      <c r="CP319" s="239">
        <v>22873396</v>
      </c>
      <c r="CQ319" s="239">
        <v>5146514</v>
      </c>
      <c r="CR319" s="239">
        <v>571835</v>
      </c>
      <c r="CS319" s="239">
        <v>57183490</v>
      </c>
      <c r="CT319" s="239">
        <v>185946</v>
      </c>
      <c r="CU319" s="239">
        <v>148757</v>
      </c>
      <c r="CV319" s="239">
        <v>33470</v>
      </c>
      <c r="CW319" s="239">
        <v>3719</v>
      </c>
      <c r="CX319" s="239">
        <v>371892</v>
      </c>
      <c r="CY319" s="239">
        <v>442419</v>
      </c>
      <c r="CZ319" s="239">
        <v>353936</v>
      </c>
      <c r="DA319" s="239">
        <v>79635</v>
      </c>
      <c r="DB319" s="239">
        <v>8848</v>
      </c>
      <c r="DC319" s="239">
        <v>884838</v>
      </c>
      <c r="DD319" s="641">
        <v>0.5</v>
      </c>
      <c r="DE319" s="641">
        <v>0.4</v>
      </c>
      <c r="DF319" s="641">
        <v>0.09</v>
      </c>
      <c r="DG319" s="641">
        <v>0.01</v>
      </c>
      <c r="DH319" s="641">
        <v>1</v>
      </c>
      <c r="DI319" s="214" t="s">
        <v>1190</v>
      </c>
    </row>
    <row r="320" spans="2:113" s="214" customFormat="1" x14ac:dyDescent="0.2">
      <c r="B320" s="609" t="s">
        <v>722</v>
      </c>
      <c r="C320" s="609" t="s">
        <v>721</v>
      </c>
      <c r="D320" s="239">
        <v>40304932</v>
      </c>
      <c r="E320" s="239">
        <v>39498833</v>
      </c>
      <c r="F320" s="239">
        <v>0</v>
      </c>
      <c r="G320" s="239">
        <v>806099</v>
      </c>
      <c r="H320" s="239">
        <v>80609864</v>
      </c>
      <c r="I320" s="239">
        <v>0</v>
      </c>
      <c r="J320" s="239">
        <v>0</v>
      </c>
      <c r="K320" s="239">
        <v>40304932</v>
      </c>
      <c r="L320" s="239">
        <v>242888</v>
      </c>
      <c r="M320" s="239">
        <v>242888</v>
      </c>
      <c r="N320" s="239">
        <v>0</v>
      </c>
      <c r="O320" s="239">
        <v>0</v>
      </c>
      <c r="P320" s="239">
        <v>7356</v>
      </c>
      <c r="Q320" s="239">
        <v>0</v>
      </c>
      <c r="R320" s="239">
        <v>7356</v>
      </c>
      <c r="S320" s="239">
        <v>0</v>
      </c>
      <c r="T320" s="239">
        <v>0</v>
      </c>
      <c r="U320" s="239">
        <v>0</v>
      </c>
      <c r="V320" s="239">
        <v>0</v>
      </c>
      <c r="W320" s="239">
        <v>1678147</v>
      </c>
      <c r="X320" s="239">
        <v>1644585</v>
      </c>
      <c r="Y320" s="239">
        <v>0</v>
      </c>
      <c r="Z320" s="239">
        <v>33563</v>
      </c>
      <c r="AA320" s="239">
        <v>3356295</v>
      </c>
      <c r="AB320" s="239">
        <v>-646179</v>
      </c>
      <c r="AC320" s="239">
        <v>-633255</v>
      </c>
      <c r="AD320" s="239">
        <v>0</v>
      </c>
      <c r="AE320" s="239">
        <v>-12924</v>
      </c>
      <c r="AF320" s="239">
        <v>-1292358</v>
      </c>
      <c r="AG320" s="239">
        <v>-491754.1</v>
      </c>
      <c r="AH320" s="239">
        <v>-481919</v>
      </c>
      <c r="AI320" s="239">
        <v>0</v>
      </c>
      <c r="AJ320" s="239">
        <v>-9836</v>
      </c>
      <c r="AK320" s="239">
        <v>-983509.10000000009</v>
      </c>
      <c r="AL320" s="239">
        <v>0</v>
      </c>
      <c r="AM320" s="239">
        <v>0</v>
      </c>
      <c r="AN320" s="239">
        <v>0</v>
      </c>
      <c r="AO320" s="239">
        <v>0</v>
      </c>
      <c r="AP320" s="239">
        <v>0</v>
      </c>
      <c r="AQ320" s="239">
        <v>-22500</v>
      </c>
      <c r="AR320" s="239">
        <v>-22050</v>
      </c>
      <c r="AS320" s="239">
        <v>0</v>
      </c>
      <c r="AT320" s="239">
        <v>-450</v>
      </c>
      <c r="AU320" s="239">
        <v>-45000</v>
      </c>
      <c r="AV320" s="239">
        <v>-514254.1</v>
      </c>
      <c r="AW320" s="239">
        <v>-503969</v>
      </c>
      <c r="AX320" s="239">
        <v>0</v>
      </c>
      <c r="AY320" s="239">
        <v>-10286</v>
      </c>
      <c r="AZ320" s="239">
        <v>-1028509.1000000001</v>
      </c>
      <c r="BA320" s="239">
        <v>-1956108</v>
      </c>
      <c r="BB320" s="239">
        <v>-1916986</v>
      </c>
      <c r="BC320" s="239">
        <v>0</v>
      </c>
      <c r="BD320" s="239">
        <v>-39121</v>
      </c>
      <c r="BE320" s="239">
        <v>-3912215</v>
      </c>
      <c r="BF320" s="239">
        <v>0</v>
      </c>
      <c r="BG320" s="239">
        <v>0</v>
      </c>
      <c r="BH320" s="239">
        <v>0</v>
      </c>
      <c r="BI320" s="239">
        <v>0</v>
      </c>
      <c r="BJ320" s="239">
        <v>0</v>
      </c>
      <c r="BK320" s="239">
        <v>0</v>
      </c>
      <c r="BL320" s="239">
        <v>0</v>
      </c>
      <c r="BM320" s="239">
        <v>0</v>
      </c>
      <c r="BN320" s="239">
        <v>0</v>
      </c>
      <c r="BO320" s="239">
        <v>0</v>
      </c>
      <c r="BP320" s="239">
        <v>-1956108</v>
      </c>
      <c r="BQ320" s="239">
        <v>-1916986</v>
      </c>
      <c r="BR320" s="239">
        <v>0</v>
      </c>
      <c r="BS320" s="239">
        <v>-39121</v>
      </c>
      <c r="BT320" s="239">
        <v>-3912215</v>
      </c>
      <c r="BU320" s="239">
        <v>-774629</v>
      </c>
      <c r="BV320" s="239">
        <v>-759136</v>
      </c>
      <c r="BW320" s="239">
        <v>0</v>
      </c>
      <c r="BX320" s="239">
        <v>-15493</v>
      </c>
      <c r="BY320" s="239">
        <v>-1549258</v>
      </c>
      <c r="BZ320" s="239">
        <v>195466</v>
      </c>
      <c r="CA320" s="239">
        <v>191556</v>
      </c>
      <c r="CB320" s="239">
        <v>0</v>
      </c>
      <c r="CC320" s="239">
        <v>3909</v>
      </c>
      <c r="CD320" s="239">
        <v>390931</v>
      </c>
      <c r="CE320" s="239">
        <v>-970095</v>
      </c>
      <c r="CF320" s="239">
        <v>-950692</v>
      </c>
      <c r="CG320" s="239">
        <v>0</v>
      </c>
      <c r="CH320" s="239">
        <v>-19402</v>
      </c>
      <c r="CI320" s="239">
        <v>-1940189</v>
      </c>
      <c r="CJ320" s="239">
        <v>41880430</v>
      </c>
      <c r="CK320" s="239">
        <v>41042821</v>
      </c>
      <c r="CL320" s="239">
        <v>0</v>
      </c>
      <c r="CM320" s="239">
        <v>837609</v>
      </c>
      <c r="CN320" s="239">
        <v>83760860</v>
      </c>
      <c r="CO320" s="239">
        <v>40304932</v>
      </c>
      <c r="CP320" s="239">
        <v>39498833</v>
      </c>
      <c r="CQ320" s="239">
        <v>0</v>
      </c>
      <c r="CR320" s="239">
        <v>806099</v>
      </c>
      <c r="CS320" s="239">
        <v>80609864</v>
      </c>
      <c r="CT320" s="239">
        <v>-1575498</v>
      </c>
      <c r="CU320" s="239">
        <v>-1543988</v>
      </c>
      <c r="CV320" s="239">
        <v>0</v>
      </c>
      <c r="CW320" s="239">
        <v>-31510</v>
      </c>
      <c r="CX320" s="239">
        <v>-3150996</v>
      </c>
      <c r="CY320" s="239">
        <v>-2545593</v>
      </c>
      <c r="CZ320" s="239">
        <v>-2494680</v>
      </c>
      <c r="DA320" s="239">
        <v>0</v>
      </c>
      <c r="DB320" s="239">
        <v>-50912</v>
      </c>
      <c r="DC320" s="239">
        <v>-5091185</v>
      </c>
      <c r="DD320" s="641">
        <v>0.5</v>
      </c>
      <c r="DE320" s="641">
        <v>0.49</v>
      </c>
      <c r="DF320" s="641">
        <v>0</v>
      </c>
      <c r="DG320" s="641">
        <v>0.01</v>
      </c>
      <c r="DH320" s="641">
        <v>1</v>
      </c>
      <c r="DI320" s="214" t="s">
        <v>747</v>
      </c>
    </row>
    <row r="321" spans="2:113" s="214" customFormat="1" x14ac:dyDescent="0.2">
      <c r="B321" s="609" t="s">
        <v>724</v>
      </c>
      <c r="C321" s="609" t="s">
        <v>723</v>
      </c>
      <c r="D321" s="239">
        <v>35860112</v>
      </c>
      <c r="E321" s="239">
        <v>35142909</v>
      </c>
      <c r="F321" s="239">
        <v>0</v>
      </c>
      <c r="G321" s="239">
        <v>717202</v>
      </c>
      <c r="H321" s="239">
        <v>71720223</v>
      </c>
      <c r="I321" s="239">
        <v>136102.35950413224</v>
      </c>
      <c r="J321" s="239">
        <v>136102.35950413224</v>
      </c>
      <c r="K321" s="239">
        <v>35724009.640495867</v>
      </c>
      <c r="L321" s="239">
        <v>337829</v>
      </c>
      <c r="M321" s="239">
        <v>337829</v>
      </c>
      <c r="N321" s="239">
        <v>195982</v>
      </c>
      <c r="O321" s="239">
        <v>195982</v>
      </c>
      <c r="P321" s="239">
        <v>0</v>
      </c>
      <c r="Q321" s="239">
        <v>0</v>
      </c>
      <c r="R321" s="239">
        <v>0</v>
      </c>
      <c r="S321" s="239">
        <v>136102.35950413224</v>
      </c>
      <c r="T321" s="239">
        <v>0</v>
      </c>
      <c r="U321" s="239">
        <v>0</v>
      </c>
      <c r="V321" s="239">
        <v>136102.35950413224</v>
      </c>
      <c r="W321" s="239">
        <v>2462747</v>
      </c>
      <c r="X321" s="239">
        <v>2413492</v>
      </c>
      <c r="Y321" s="239">
        <v>0</v>
      </c>
      <c r="Z321" s="239">
        <v>49255</v>
      </c>
      <c r="AA321" s="239">
        <v>4925494</v>
      </c>
      <c r="AB321" s="239">
        <v>-720615</v>
      </c>
      <c r="AC321" s="239">
        <v>-706203</v>
      </c>
      <c r="AD321" s="239">
        <v>0</v>
      </c>
      <c r="AE321" s="239">
        <v>-14412</v>
      </c>
      <c r="AF321" s="239">
        <v>-1441230</v>
      </c>
      <c r="AG321" s="239">
        <v>-1657098</v>
      </c>
      <c r="AH321" s="239">
        <v>-1623957</v>
      </c>
      <c r="AI321" s="239">
        <v>0</v>
      </c>
      <c r="AJ321" s="239">
        <v>-33141</v>
      </c>
      <c r="AK321" s="239">
        <v>-3314196</v>
      </c>
      <c r="AL321" s="239">
        <v>887083</v>
      </c>
      <c r="AM321" s="239">
        <v>869341</v>
      </c>
      <c r="AN321" s="239">
        <v>0</v>
      </c>
      <c r="AO321" s="239">
        <v>17742</v>
      </c>
      <c r="AP321" s="239">
        <v>1774166</v>
      </c>
      <c r="AQ321" s="239">
        <v>-846255</v>
      </c>
      <c r="AR321" s="239">
        <v>-829330</v>
      </c>
      <c r="AS321" s="239">
        <v>0</v>
      </c>
      <c r="AT321" s="239">
        <v>-16925</v>
      </c>
      <c r="AU321" s="239">
        <v>-1692510</v>
      </c>
      <c r="AV321" s="239">
        <v>-1616270</v>
      </c>
      <c r="AW321" s="239">
        <v>-1583946</v>
      </c>
      <c r="AX321" s="239">
        <v>0</v>
      </c>
      <c r="AY321" s="239">
        <v>-32324</v>
      </c>
      <c r="AZ321" s="239">
        <v>-3232540</v>
      </c>
      <c r="BA321" s="239">
        <v>-2963910</v>
      </c>
      <c r="BB321" s="239">
        <v>-2904631</v>
      </c>
      <c r="BC321" s="239">
        <v>0</v>
      </c>
      <c r="BD321" s="239">
        <v>-59278</v>
      </c>
      <c r="BE321" s="239">
        <v>-5927819</v>
      </c>
      <c r="BF321" s="239">
        <v>97352</v>
      </c>
      <c r="BG321" s="239">
        <v>95404</v>
      </c>
      <c r="BH321" s="239">
        <v>0</v>
      </c>
      <c r="BI321" s="239">
        <v>1947</v>
      </c>
      <c r="BJ321" s="239">
        <v>194703</v>
      </c>
      <c r="BK321" s="239">
        <v>-3385315</v>
      </c>
      <c r="BL321" s="239">
        <v>-3317608</v>
      </c>
      <c r="BM321" s="239">
        <v>0</v>
      </c>
      <c r="BN321" s="239">
        <v>-67706</v>
      </c>
      <c r="BO321" s="239">
        <v>-6770629</v>
      </c>
      <c r="BP321" s="239">
        <v>-6251873</v>
      </c>
      <c r="BQ321" s="239">
        <v>-6126835</v>
      </c>
      <c r="BR321" s="239">
        <v>0</v>
      </c>
      <c r="BS321" s="239">
        <v>-125037</v>
      </c>
      <c r="BT321" s="239">
        <v>-12503745</v>
      </c>
      <c r="BU321" s="239">
        <v>-2230972</v>
      </c>
      <c r="BV321" s="239">
        <v>-2186353</v>
      </c>
      <c r="BW321" s="239">
        <v>0</v>
      </c>
      <c r="BX321" s="239">
        <v>-44619</v>
      </c>
      <c r="BY321" s="239">
        <v>-4461944</v>
      </c>
      <c r="BZ321" s="239">
        <v>-2633814</v>
      </c>
      <c r="CA321" s="239">
        <v>-2581138</v>
      </c>
      <c r="CB321" s="239">
        <v>0</v>
      </c>
      <c r="CC321" s="239">
        <v>-52676</v>
      </c>
      <c r="CD321" s="239">
        <v>-5267628</v>
      </c>
      <c r="CE321" s="239">
        <v>402842</v>
      </c>
      <c r="CF321" s="239">
        <v>394785</v>
      </c>
      <c r="CG321" s="239">
        <v>0</v>
      </c>
      <c r="CH321" s="239">
        <v>8057</v>
      </c>
      <c r="CI321" s="239">
        <v>805684</v>
      </c>
      <c r="CJ321" s="239">
        <v>35536684</v>
      </c>
      <c r="CK321" s="239">
        <v>34825950</v>
      </c>
      <c r="CL321" s="239">
        <v>0</v>
      </c>
      <c r="CM321" s="239">
        <v>710734</v>
      </c>
      <c r="CN321" s="239">
        <v>71073368</v>
      </c>
      <c r="CO321" s="239">
        <v>35860112</v>
      </c>
      <c r="CP321" s="239">
        <v>35142909</v>
      </c>
      <c r="CQ321" s="239">
        <v>0</v>
      </c>
      <c r="CR321" s="239">
        <v>717202</v>
      </c>
      <c r="CS321" s="239">
        <v>71720223</v>
      </c>
      <c r="CT321" s="239">
        <v>323428</v>
      </c>
      <c r="CU321" s="239">
        <v>316959</v>
      </c>
      <c r="CV321" s="239">
        <v>0</v>
      </c>
      <c r="CW321" s="239">
        <v>6468</v>
      </c>
      <c r="CX321" s="239">
        <v>646855</v>
      </c>
      <c r="CY321" s="239">
        <v>726270</v>
      </c>
      <c r="CZ321" s="239">
        <v>711744</v>
      </c>
      <c r="DA321" s="239">
        <v>0</v>
      </c>
      <c r="DB321" s="239">
        <v>14525</v>
      </c>
      <c r="DC321" s="239">
        <v>1452539</v>
      </c>
      <c r="DD321" s="641">
        <v>0.5</v>
      </c>
      <c r="DE321" s="641">
        <v>0.49</v>
      </c>
      <c r="DF321" s="641">
        <v>0</v>
      </c>
      <c r="DG321" s="641">
        <v>0.01</v>
      </c>
      <c r="DH321" s="641">
        <v>1</v>
      </c>
      <c r="DI321" s="214" t="s">
        <v>1192</v>
      </c>
    </row>
    <row r="322" spans="2:113" s="214" customFormat="1" x14ac:dyDescent="0.2">
      <c r="B322" s="609" t="s">
        <v>726</v>
      </c>
      <c r="C322" s="609" t="s">
        <v>725</v>
      </c>
      <c r="D322" s="239">
        <v>24936239</v>
      </c>
      <c r="E322" s="239">
        <v>19948992</v>
      </c>
      <c r="F322" s="239">
        <v>4987248</v>
      </c>
      <c r="G322" s="239">
        <v>0</v>
      </c>
      <c r="H322" s="239">
        <v>49872479</v>
      </c>
      <c r="I322" s="239">
        <v>0</v>
      </c>
      <c r="J322" s="239">
        <v>0</v>
      </c>
      <c r="K322" s="239">
        <v>24936239</v>
      </c>
      <c r="L322" s="239">
        <v>138353</v>
      </c>
      <c r="M322" s="239">
        <v>138353</v>
      </c>
      <c r="N322" s="239">
        <v>0</v>
      </c>
      <c r="O322" s="239">
        <v>0</v>
      </c>
      <c r="P322" s="239">
        <v>0</v>
      </c>
      <c r="Q322" s="239">
        <v>0</v>
      </c>
      <c r="R322" s="239">
        <v>0</v>
      </c>
      <c r="S322" s="239">
        <v>0</v>
      </c>
      <c r="T322" s="239">
        <v>0</v>
      </c>
      <c r="U322" s="239">
        <v>0</v>
      </c>
      <c r="V322" s="239">
        <v>0</v>
      </c>
      <c r="W322" s="239">
        <v>1204112</v>
      </c>
      <c r="X322" s="239">
        <v>963289</v>
      </c>
      <c r="Y322" s="239">
        <v>240822</v>
      </c>
      <c r="Z322" s="239">
        <v>0</v>
      </c>
      <c r="AA322" s="239">
        <v>2408223</v>
      </c>
      <c r="AB322" s="239">
        <v>-496907</v>
      </c>
      <c r="AC322" s="239">
        <v>-397526</v>
      </c>
      <c r="AD322" s="239">
        <v>-99382</v>
      </c>
      <c r="AE322" s="239">
        <v>0</v>
      </c>
      <c r="AF322" s="239">
        <v>-993815</v>
      </c>
      <c r="AG322" s="239">
        <v>-515500</v>
      </c>
      <c r="AH322" s="239">
        <v>-412400</v>
      </c>
      <c r="AI322" s="239">
        <v>-103100</v>
      </c>
      <c r="AJ322" s="239">
        <v>0</v>
      </c>
      <c r="AK322" s="239">
        <v>-1031000</v>
      </c>
      <c r="AL322" s="239">
        <v>0</v>
      </c>
      <c r="AM322" s="239">
        <v>0</v>
      </c>
      <c r="AN322" s="239">
        <v>0</v>
      </c>
      <c r="AO322" s="239">
        <v>0</v>
      </c>
      <c r="AP322" s="239">
        <v>0</v>
      </c>
      <c r="AQ322" s="239">
        <v>13500</v>
      </c>
      <c r="AR322" s="239">
        <v>10800</v>
      </c>
      <c r="AS322" s="239">
        <v>2700</v>
      </c>
      <c r="AT322" s="239">
        <v>0</v>
      </c>
      <c r="AU322" s="239">
        <v>27000</v>
      </c>
      <c r="AV322" s="239">
        <v>-502000</v>
      </c>
      <c r="AW322" s="239">
        <v>-401600</v>
      </c>
      <c r="AX322" s="239">
        <v>-100400</v>
      </c>
      <c r="AY322" s="239">
        <v>0</v>
      </c>
      <c r="AZ322" s="239">
        <v>-1004000</v>
      </c>
      <c r="BA322" s="239">
        <v>-3052444</v>
      </c>
      <c r="BB322" s="239">
        <v>-2441956</v>
      </c>
      <c r="BC322" s="239">
        <v>-610489</v>
      </c>
      <c r="BD322" s="239">
        <v>0</v>
      </c>
      <c r="BE322" s="239">
        <v>-6104889</v>
      </c>
      <c r="BF322" s="239">
        <v>672097</v>
      </c>
      <c r="BG322" s="239">
        <v>537678</v>
      </c>
      <c r="BH322" s="239">
        <v>134419</v>
      </c>
      <c r="BI322" s="239">
        <v>0</v>
      </c>
      <c r="BJ322" s="239">
        <v>1344194</v>
      </c>
      <c r="BK322" s="239">
        <v>600687</v>
      </c>
      <c r="BL322" s="239">
        <v>480549</v>
      </c>
      <c r="BM322" s="239">
        <v>120137</v>
      </c>
      <c r="BN322" s="239">
        <v>0</v>
      </c>
      <c r="BO322" s="239">
        <v>1201373</v>
      </c>
      <c r="BP322" s="239">
        <v>-1779660</v>
      </c>
      <c r="BQ322" s="239">
        <v>-1423729</v>
      </c>
      <c r="BR322" s="239">
        <v>-355933</v>
      </c>
      <c r="BS322" s="239">
        <v>0</v>
      </c>
      <c r="BT322" s="239">
        <v>-3559322</v>
      </c>
      <c r="BU322" s="239">
        <v>1404491</v>
      </c>
      <c r="BV322" s="239">
        <v>1123592</v>
      </c>
      <c r="BW322" s="239">
        <v>280898</v>
      </c>
      <c r="BX322" s="239">
        <v>0</v>
      </c>
      <c r="BY322" s="239">
        <v>2808981</v>
      </c>
      <c r="BZ322" s="239">
        <v>138197</v>
      </c>
      <c r="CA322" s="239">
        <v>110557</v>
      </c>
      <c r="CB322" s="239">
        <v>27639</v>
      </c>
      <c r="CC322" s="239">
        <v>0</v>
      </c>
      <c r="CD322" s="239">
        <v>276393</v>
      </c>
      <c r="CE322" s="239">
        <v>1266294</v>
      </c>
      <c r="CF322" s="239">
        <v>1013035</v>
      </c>
      <c r="CG322" s="239">
        <v>253259</v>
      </c>
      <c r="CH322" s="239">
        <v>0</v>
      </c>
      <c r="CI322" s="239">
        <v>2532588</v>
      </c>
      <c r="CJ322" s="239">
        <v>23769577</v>
      </c>
      <c r="CK322" s="239">
        <v>19015661</v>
      </c>
      <c r="CL322" s="239">
        <v>4753915</v>
      </c>
      <c r="CM322" s="239">
        <v>0</v>
      </c>
      <c r="CN322" s="239">
        <v>47539153</v>
      </c>
      <c r="CO322" s="239">
        <v>24936239</v>
      </c>
      <c r="CP322" s="239">
        <v>19948992</v>
      </c>
      <c r="CQ322" s="239">
        <v>4987248</v>
      </c>
      <c r="CR322" s="239">
        <v>0</v>
      </c>
      <c r="CS322" s="239">
        <v>49872479</v>
      </c>
      <c r="CT322" s="239">
        <v>1166662</v>
      </c>
      <c r="CU322" s="239">
        <v>933331</v>
      </c>
      <c r="CV322" s="239">
        <v>233333</v>
      </c>
      <c r="CW322" s="239">
        <v>0</v>
      </c>
      <c r="CX322" s="239">
        <v>2333326</v>
      </c>
      <c r="CY322" s="239">
        <v>2432956</v>
      </c>
      <c r="CZ322" s="239">
        <v>1946366</v>
      </c>
      <c r="DA322" s="239">
        <v>486592</v>
      </c>
      <c r="DB322" s="239">
        <v>0</v>
      </c>
      <c r="DC322" s="239">
        <v>4865914</v>
      </c>
      <c r="DD322" s="641">
        <v>0.5</v>
      </c>
      <c r="DE322" s="641">
        <v>0.4</v>
      </c>
      <c r="DF322" s="641">
        <v>0.1</v>
      </c>
      <c r="DG322" s="641">
        <v>0</v>
      </c>
      <c r="DH322" s="641">
        <v>1</v>
      </c>
      <c r="DI322" s="214" t="s">
        <v>1190</v>
      </c>
    </row>
    <row r="323" spans="2:113" s="214" customFormat="1" x14ac:dyDescent="0.2">
      <c r="B323" s="609" t="s">
        <v>728</v>
      </c>
      <c r="C323" s="609" t="s">
        <v>727</v>
      </c>
      <c r="D323" s="239">
        <v>27536665</v>
      </c>
      <c r="E323" s="239">
        <v>26985931</v>
      </c>
      <c r="F323" s="239">
        <v>0</v>
      </c>
      <c r="G323" s="239">
        <v>550733</v>
      </c>
      <c r="H323" s="239">
        <v>55073329</v>
      </c>
      <c r="I323" s="239">
        <v>0</v>
      </c>
      <c r="J323" s="239">
        <v>0</v>
      </c>
      <c r="K323" s="239">
        <v>27536665</v>
      </c>
      <c r="L323" s="239">
        <v>183365</v>
      </c>
      <c r="M323" s="239">
        <v>183365</v>
      </c>
      <c r="N323" s="239">
        <v>0</v>
      </c>
      <c r="O323" s="239">
        <v>0</v>
      </c>
      <c r="P323" s="239">
        <v>19880</v>
      </c>
      <c r="Q323" s="239">
        <v>0</v>
      </c>
      <c r="R323" s="239">
        <v>19880</v>
      </c>
      <c r="S323" s="239">
        <v>0</v>
      </c>
      <c r="T323" s="239">
        <v>0</v>
      </c>
      <c r="U323" s="239">
        <v>0</v>
      </c>
      <c r="V323" s="239">
        <v>0</v>
      </c>
      <c r="W323" s="239">
        <v>1174245</v>
      </c>
      <c r="X323" s="239">
        <v>1150761</v>
      </c>
      <c r="Y323" s="239">
        <v>0</v>
      </c>
      <c r="Z323" s="239">
        <v>23485</v>
      </c>
      <c r="AA323" s="239">
        <v>2348491</v>
      </c>
      <c r="AB323" s="239">
        <v>-1066572</v>
      </c>
      <c r="AC323" s="239">
        <v>-1045240</v>
      </c>
      <c r="AD323" s="239">
        <v>0</v>
      </c>
      <c r="AE323" s="239">
        <v>-21331</v>
      </c>
      <c r="AF323" s="239">
        <v>-2133143</v>
      </c>
      <c r="AG323" s="239">
        <v>-423183</v>
      </c>
      <c r="AH323" s="239">
        <v>-414720</v>
      </c>
      <c r="AI323" s="239">
        <v>0</v>
      </c>
      <c r="AJ323" s="239">
        <v>-8464</v>
      </c>
      <c r="AK323" s="239">
        <v>-846367</v>
      </c>
      <c r="AL323" s="239">
        <v>100154</v>
      </c>
      <c r="AM323" s="239">
        <v>98150</v>
      </c>
      <c r="AN323" s="239">
        <v>0</v>
      </c>
      <c r="AO323" s="239">
        <v>2003</v>
      </c>
      <c r="AP323" s="239">
        <v>200307</v>
      </c>
      <c r="AQ323" s="239">
        <v>-125000</v>
      </c>
      <c r="AR323" s="239">
        <v>-122500</v>
      </c>
      <c r="AS323" s="239">
        <v>0</v>
      </c>
      <c r="AT323" s="239">
        <v>-2500</v>
      </c>
      <c r="AU323" s="239">
        <v>-250000</v>
      </c>
      <c r="AV323" s="239">
        <v>-448029</v>
      </c>
      <c r="AW323" s="239">
        <v>-439070</v>
      </c>
      <c r="AX323" s="239">
        <v>0</v>
      </c>
      <c r="AY323" s="239">
        <v>-8961</v>
      </c>
      <c r="AZ323" s="239">
        <v>-896060</v>
      </c>
      <c r="BA323" s="239">
        <v>-625000</v>
      </c>
      <c r="BB323" s="239">
        <v>-612500</v>
      </c>
      <c r="BC323" s="239">
        <v>0</v>
      </c>
      <c r="BD323" s="239">
        <v>-12500</v>
      </c>
      <c r="BE323" s="239">
        <v>-1250000</v>
      </c>
      <c r="BF323" s="239">
        <v>327314</v>
      </c>
      <c r="BG323" s="239">
        <v>320768</v>
      </c>
      <c r="BH323" s="239">
        <v>0</v>
      </c>
      <c r="BI323" s="239">
        <v>6546</v>
      </c>
      <c r="BJ323" s="239">
        <v>654628</v>
      </c>
      <c r="BK323" s="239">
        <v>-2131000</v>
      </c>
      <c r="BL323" s="239">
        <v>-2088380</v>
      </c>
      <c r="BM323" s="239">
        <v>0</v>
      </c>
      <c r="BN323" s="239">
        <v>-42620</v>
      </c>
      <c r="BO323" s="239">
        <v>-4262000</v>
      </c>
      <c r="BP323" s="239">
        <v>-2428686</v>
      </c>
      <c r="BQ323" s="239">
        <v>-2380112</v>
      </c>
      <c r="BR323" s="239">
        <v>0</v>
      </c>
      <c r="BS323" s="239">
        <v>-48574</v>
      </c>
      <c r="BT323" s="239">
        <v>-4857372</v>
      </c>
      <c r="BU323" s="239">
        <v>1762272</v>
      </c>
      <c r="BV323" s="239">
        <v>1727027</v>
      </c>
      <c r="BW323" s="239">
        <v>0</v>
      </c>
      <c r="BX323" s="239">
        <v>35245</v>
      </c>
      <c r="BY323" s="239">
        <v>3524544</v>
      </c>
      <c r="BZ323" s="239">
        <v>-1455295</v>
      </c>
      <c r="CA323" s="239">
        <v>-1426189</v>
      </c>
      <c r="CB323" s="239">
        <v>0</v>
      </c>
      <c r="CC323" s="239">
        <v>-29106</v>
      </c>
      <c r="CD323" s="239">
        <v>-2910590</v>
      </c>
      <c r="CE323" s="239">
        <v>3217567</v>
      </c>
      <c r="CF323" s="239">
        <v>3153216</v>
      </c>
      <c r="CG323" s="239">
        <v>0</v>
      </c>
      <c r="CH323" s="239">
        <v>64351</v>
      </c>
      <c r="CI323" s="239">
        <v>6435134</v>
      </c>
      <c r="CJ323" s="239">
        <v>28847762</v>
      </c>
      <c r="CK323" s="239">
        <v>28270806</v>
      </c>
      <c r="CL323" s="239">
        <v>0</v>
      </c>
      <c r="CM323" s="239">
        <v>576955</v>
      </c>
      <c r="CN323" s="239">
        <v>57695523</v>
      </c>
      <c r="CO323" s="239">
        <v>27536665</v>
      </c>
      <c r="CP323" s="239">
        <v>26985931</v>
      </c>
      <c r="CQ323" s="239">
        <v>0</v>
      </c>
      <c r="CR323" s="239">
        <v>550733</v>
      </c>
      <c r="CS323" s="239">
        <v>55073329</v>
      </c>
      <c r="CT323" s="239">
        <v>-1311097</v>
      </c>
      <c r="CU323" s="239">
        <v>-1284875</v>
      </c>
      <c r="CV323" s="239">
        <v>0</v>
      </c>
      <c r="CW323" s="239">
        <v>-26222</v>
      </c>
      <c r="CX323" s="239">
        <v>-2622194</v>
      </c>
      <c r="CY323" s="239">
        <v>1906470</v>
      </c>
      <c r="CZ323" s="239">
        <v>1868341</v>
      </c>
      <c r="DA323" s="239">
        <v>0</v>
      </c>
      <c r="DB323" s="239">
        <v>38129</v>
      </c>
      <c r="DC323" s="239">
        <v>3812940</v>
      </c>
      <c r="DD323" s="641">
        <v>0.5</v>
      </c>
      <c r="DE323" s="641">
        <v>0.49</v>
      </c>
      <c r="DF323" s="641">
        <v>0</v>
      </c>
      <c r="DG323" s="641">
        <v>0.01</v>
      </c>
      <c r="DH323" s="641">
        <v>1</v>
      </c>
      <c r="DI323" s="214" t="s">
        <v>747</v>
      </c>
    </row>
    <row r="324" spans="2:113" s="214" customFormat="1" x14ac:dyDescent="0.2">
      <c r="B324" s="609" t="s">
        <v>730</v>
      </c>
      <c r="C324" s="609" t="s">
        <v>729</v>
      </c>
      <c r="D324" s="239">
        <v>34759205</v>
      </c>
      <c r="E324" s="239">
        <v>34064021</v>
      </c>
      <c r="F324" s="239">
        <v>0</v>
      </c>
      <c r="G324" s="239">
        <v>695184</v>
      </c>
      <c r="H324" s="239">
        <v>69518410</v>
      </c>
      <c r="I324" s="239">
        <v>0</v>
      </c>
      <c r="J324" s="239">
        <v>0</v>
      </c>
      <c r="K324" s="239">
        <v>34759205</v>
      </c>
      <c r="L324" s="239">
        <v>344356</v>
      </c>
      <c r="M324" s="239">
        <v>344356</v>
      </c>
      <c r="N324" s="239">
        <v>46265</v>
      </c>
      <c r="O324" s="239">
        <v>46265</v>
      </c>
      <c r="P324" s="239">
        <v>0</v>
      </c>
      <c r="Q324" s="239">
        <v>0</v>
      </c>
      <c r="R324" s="239">
        <v>0</v>
      </c>
      <c r="S324" s="239">
        <v>0</v>
      </c>
      <c r="T324" s="239">
        <v>0</v>
      </c>
      <c r="U324" s="239">
        <v>0</v>
      </c>
      <c r="V324" s="239">
        <v>0</v>
      </c>
      <c r="W324" s="239">
        <v>3741427.7</v>
      </c>
      <c r="X324" s="239">
        <v>3666599</v>
      </c>
      <c r="Y324" s="239">
        <v>0</v>
      </c>
      <c r="Z324" s="239">
        <v>74829</v>
      </c>
      <c r="AA324" s="239">
        <v>7482855.7000000002</v>
      </c>
      <c r="AB324" s="239">
        <v>-692120.55</v>
      </c>
      <c r="AC324" s="239">
        <v>-678278</v>
      </c>
      <c r="AD324" s="239">
        <v>0</v>
      </c>
      <c r="AE324" s="239">
        <v>-13842</v>
      </c>
      <c r="AF324" s="239">
        <v>-1384240.55</v>
      </c>
      <c r="AG324" s="239">
        <v>-1717411</v>
      </c>
      <c r="AH324" s="239">
        <v>-1683063</v>
      </c>
      <c r="AI324" s="239">
        <v>0</v>
      </c>
      <c r="AJ324" s="239">
        <v>-34348</v>
      </c>
      <c r="AK324" s="239">
        <v>-3434822</v>
      </c>
      <c r="AL324" s="239">
        <v>904199</v>
      </c>
      <c r="AM324" s="239">
        <v>886116</v>
      </c>
      <c r="AN324" s="239">
        <v>0</v>
      </c>
      <c r="AO324" s="239">
        <v>18084</v>
      </c>
      <c r="AP324" s="239">
        <v>1808399</v>
      </c>
      <c r="AQ324" s="239">
        <v>-2031516</v>
      </c>
      <c r="AR324" s="239">
        <v>-1990886</v>
      </c>
      <c r="AS324" s="239">
        <v>0</v>
      </c>
      <c r="AT324" s="239">
        <v>-40630</v>
      </c>
      <c r="AU324" s="239">
        <v>-4063032</v>
      </c>
      <c r="AV324" s="239">
        <v>-2844728</v>
      </c>
      <c r="AW324" s="239">
        <v>-2787833</v>
      </c>
      <c r="AX324" s="239">
        <v>0</v>
      </c>
      <c r="AY324" s="239">
        <v>-56894</v>
      </c>
      <c r="AZ324" s="239">
        <v>-5689455</v>
      </c>
      <c r="BA324" s="239">
        <v>-6107973</v>
      </c>
      <c r="BB324" s="239">
        <v>-5985813</v>
      </c>
      <c r="BC324" s="239">
        <v>0</v>
      </c>
      <c r="BD324" s="239">
        <v>-122160</v>
      </c>
      <c r="BE324" s="239">
        <v>-12215946</v>
      </c>
      <c r="BF324" s="239">
        <v>1333601</v>
      </c>
      <c r="BG324" s="239">
        <v>1306928</v>
      </c>
      <c r="BH324" s="239">
        <v>0</v>
      </c>
      <c r="BI324" s="239">
        <v>26672</v>
      </c>
      <c r="BJ324" s="239">
        <v>2667201</v>
      </c>
      <c r="BK324" s="239">
        <v>-1534319</v>
      </c>
      <c r="BL324" s="239">
        <v>-1503632</v>
      </c>
      <c r="BM324" s="239">
        <v>0</v>
      </c>
      <c r="BN324" s="239">
        <v>-30686</v>
      </c>
      <c r="BO324" s="239">
        <v>-3068637</v>
      </c>
      <c r="BP324" s="239">
        <v>-6308691</v>
      </c>
      <c r="BQ324" s="239">
        <v>-6182517</v>
      </c>
      <c r="BR324" s="239">
        <v>0</v>
      </c>
      <c r="BS324" s="239">
        <v>-126174</v>
      </c>
      <c r="BT324" s="239">
        <v>-12617382</v>
      </c>
      <c r="BU324" s="239">
        <v>-6793218.6999999993</v>
      </c>
      <c r="BV324" s="239">
        <v>-6657354</v>
      </c>
      <c r="BW324" s="239">
        <v>0</v>
      </c>
      <c r="BX324" s="239">
        <v>-135864</v>
      </c>
      <c r="BY324" s="239">
        <v>-13586436.699999999</v>
      </c>
      <c r="BZ324" s="239">
        <v>-4629207</v>
      </c>
      <c r="CA324" s="239">
        <v>-4536623</v>
      </c>
      <c r="CB324" s="239">
        <v>0</v>
      </c>
      <c r="CC324" s="239">
        <v>-92584</v>
      </c>
      <c r="CD324" s="239">
        <v>-9258414</v>
      </c>
      <c r="CE324" s="239">
        <v>-2164011.6999999993</v>
      </c>
      <c r="CF324" s="239">
        <v>-2120731</v>
      </c>
      <c r="CG324" s="239">
        <v>0</v>
      </c>
      <c r="CH324" s="239">
        <v>-43280</v>
      </c>
      <c r="CI324" s="239">
        <v>-4328022.6999999993</v>
      </c>
      <c r="CJ324" s="239">
        <v>38576922</v>
      </c>
      <c r="CK324" s="239">
        <v>37805383</v>
      </c>
      <c r="CL324" s="239">
        <v>0</v>
      </c>
      <c r="CM324" s="239">
        <v>771538</v>
      </c>
      <c r="CN324" s="239">
        <v>77153843</v>
      </c>
      <c r="CO324" s="239">
        <v>34759205</v>
      </c>
      <c r="CP324" s="239">
        <v>34064021</v>
      </c>
      <c r="CQ324" s="239">
        <v>0</v>
      </c>
      <c r="CR324" s="239">
        <v>695184</v>
      </c>
      <c r="CS324" s="239">
        <v>69518410</v>
      </c>
      <c r="CT324" s="239">
        <v>-3817717</v>
      </c>
      <c r="CU324" s="239">
        <v>-3741362</v>
      </c>
      <c r="CV324" s="239">
        <v>0</v>
      </c>
      <c r="CW324" s="239">
        <v>-76354</v>
      </c>
      <c r="CX324" s="239">
        <v>-7635433</v>
      </c>
      <c r="CY324" s="239">
        <v>-5981728.6999999993</v>
      </c>
      <c r="CZ324" s="239">
        <v>-5862093</v>
      </c>
      <c r="DA324" s="239">
        <v>0</v>
      </c>
      <c r="DB324" s="239">
        <v>-119634</v>
      </c>
      <c r="DC324" s="239">
        <v>-11963455.699999999</v>
      </c>
      <c r="DD324" s="641">
        <v>0.5</v>
      </c>
      <c r="DE324" s="641">
        <v>0.49</v>
      </c>
      <c r="DF324" s="641">
        <v>0</v>
      </c>
      <c r="DG324" s="641">
        <v>0.01</v>
      </c>
      <c r="DH324" s="641">
        <v>1</v>
      </c>
      <c r="DI324" s="214" t="s">
        <v>1192</v>
      </c>
    </row>
    <row r="325" spans="2:113" s="214" customFormat="1" x14ac:dyDescent="0.2">
      <c r="B325" s="609" t="s">
        <v>732</v>
      </c>
      <c r="C325" s="609" t="s">
        <v>731</v>
      </c>
      <c r="D325" s="239">
        <v>20799549</v>
      </c>
      <c r="E325" s="239">
        <v>16639639</v>
      </c>
      <c r="F325" s="239">
        <v>3743919</v>
      </c>
      <c r="G325" s="239">
        <v>415991</v>
      </c>
      <c r="H325" s="239">
        <v>41599098</v>
      </c>
      <c r="I325" s="239">
        <v>0</v>
      </c>
      <c r="J325" s="239">
        <v>0</v>
      </c>
      <c r="K325" s="239">
        <v>20799549</v>
      </c>
      <c r="L325" s="239">
        <v>136997</v>
      </c>
      <c r="M325" s="239">
        <v>136997</v>
      </c>
      <c r="N325" s="239">
        <v>0</v>
      </c>
      <c r="O325" s="239">
        <v>0</v>
      </c>
      <c r="P325" s="239">
        <v>0</v>
      </c>
      <c r="Q325" s="239">
        <v>0</v>
      </c>
      <c r="R325" s="239">
        <v>0</v>
      </c>
      <c r="S325" s="239">
        <v>0</v>
      </c>
      <c r="T325" s="239">
        <v>0</v>
      </c>
      <c r="U325" s="239">
        <v>0</v>
      </c>
      <c r="V325" s="239">
        <v>0</v>
      </c>
      <c r="W325" s="239">
        <v>231967</v>
      </c>
      <c r="X325" s="239">
        <v>185574</v>
      </c>
      <c r="Y325" s="239">
        <v>41754</v>
      </c>
      <c r="Z325" s="239">
        <v>4639</v>
      </c>
      <c r="AA325" s="239">
        <v>463934</v>
      </c>
      <c r="AB325" s="239">
        <v>-250681</v>
      </c>
      <c r="AC325" s="239">
        <v>-200545</v>
      </c>
      <c r="AD325" s="239">
        <v>-45123</v>
      </c>
      <c r="AE325" s="239">
        <v>-5014</v>
      </c>
      <c r="AF325" s="239">
        <v>-501363</v>
      </c>
      <c r="AG325" s="239">
        <v>-147384</v>
      </c>
      <c r="AH325" s="239">
        <v>-117907</v>
      </c>
      <c r="AI325" s="239">
        <v>-26529</v>
      </c>
      <c r="AJ325" s="239">
        <v>-2948</v>
      </c>
      <c r="AK325" s="239">
        <v>-294768</v>
      </c>
      <c r="AL325" s="239">
        <v>94446</v>
      </c>
      <c r="AM325" s="239">
        <v>75557</v>
      </c>
      <c r="AN325" s="239">
        <v>17000</v>
      </c>
      <c r="AO325" s="239">
        <v>1889</v>
      </c>
      <c r="AP325" s="239">
        <v>188892</v>
      </c>
      <c r="AQ325" s="239">
        <v>-94446</v>
      </c>
      <c r="AR325" s="239">
        <v>-75557</v>
      </c>
      <c r="AS325" s="239">
        <v>-17000</v>
      </c>
      <c r="AT325" s="239">
        <v>-1889</v>
      </c>
      <c r="AU325" s="239">
        <v>-188892</v>
      </c>
      <c r="AV325" s="239">
        <v>-147384</v>
      </c>
      <c r="AW325" s="239">
        <v>-117907</v>
      </c>
      <c r="AX325" s="239">
        <v>-26529</v>
      </c>
      <c r="AY325" s="239">
        <v>-2948</v>
      </c>
      <c r="AZ325" s="239">
        <v>-294768</v>
      </c>
      <c r="BA325" s="239">
        <v>-1667585</v>
      </c>
      <c r="BB325" s="239">
        <v>-1334067</v>
      </c>
      <c r="BC325" s="239">
        <v>-300165</v>
      </c>
      <c r="BD325" s="239">
        <v>-33351</v>
      </c>
      <c r="BE325" s="239">
        <v>-3335168</v>
      </c>
      <c r="BF325" s="239">
        <v>141302</v>
      </c>
      <c r="BG325" s="239">
        <v>113041</v>
      </c>
      <c r="BH325" s="239">
        <v>25434</v>
      </c>
      <c r="BI325" s="239">
        <v>2826</v>
      </c>
      <c r="BJ325" s="239">
        <v>282603</v>
      </c>
      <c r="BK325" s="239">
        <v>-335047</v>
      </c>
      <c r="BL325" s="239">
        <v>-268037</v>
      </c>
      <c r="BM325" s="239">
        <v>-60308</v>
      </c>
      <c r="BN325" s="239">
        <v>-6701</v>
      </c>
      <c r="BO325" s="239">
        <v>-670093</v>
      </c>
      <c r="BP325" s="239">
        <v>-1861330</v>
      </c>
      <c r="BQ325" s="239">
        <v>-1489063</v>
      </c>
      <c r="BR325" s="239">
        <v>-335039</v>
      </c>
      <c r="BS325" s="239">
        <v>-37226</v>
      </c>
      <c r="BT325" s="239">
        <v>-3722658</v>
      </c>
      <c r="BU325" s="239">
        <v>-2401820</v>
      </c>
      <c r="BV325" s="239">
        <v>-1921456</v>
      </c>
      <c r="BW325" s="239">
        <v>-432328</v>
      </c>
      <c r="BX325" s="239">
        <v>-48036</v>
      </c>
      <c r="BY325" s="239">
        <v>-4803640</v>
      </c>
      <c r="BZ325" s="239">
        <v>-2113175</v>
      </c>
      <c r="CA325" s="239">
        <v>-1690540</v>
      </c>
      <c r="CB325" s="239">
        <v>-380371</v>
      </c>
      <c r="CC325" s="239">
        <v>-42263</v>
      </c>
      <c r="CD325" s="239">
        <v>-4226349</v>
      </c>
      <c r="CE325" s="239">
        <v>-288645</v>
      </c>
      <c r="CF325" s="239">
        <v>-230916</v>
      </c>
      <c r="CG325" s="239">
        <v>-51957</v>
      </c>
      <c r="CH325" s="239">
        <v>-5773</v>
      </c>
      <c r="CI325" s="239">
        <v>-577291</v>
      </c>
      <c r="CJ325" s="239">
        <v>20399158</v>
      </c>
      <c r="CK325" s="239">
        <v>16319326</v>
      </c>
      <c r="CL325" s="239">
        <v>3671848</v>
      </c>
      <c r="CM325" s="239">
        <v>407983</v>
      </c>
      <c r="CN325" s="239">
        <v>40798315</v>
      </c>
      <c r="CO325" s="239">
        <v>20799549</v>
      </c>
      <c r="CP325" s="239">
        <v>16639639</v>
      </c>
      <c r="CQ325" s="239">
        <v>3743919</v>
      </c>
      <c r="CR325" s="239">
        <v>415991</v>
      </c>
      <c r="CS325" s="239">
        <v>41599098</v>
      </c>
      <c r="CT325" s="239">
        <v>400391</v>
      </c>
      <c r="CU325" s="239">
        <v>320313</v>
      </c>
      <c r="CV325" s="239">
        <v>72071</v>
      </c>
      <c r="CW325" s="239">
        <v>8008</v>
      </c>
      <c r="CX325" s="239">
        <v>800783</v>
      </c>
      <c r="CY325" s="239">
        <v>111746</v>
      </c>
      <c r="CZ325" s="239">
        <v>89397</v>
      </c>
      <c r="DA325" s="239">
        <v>20114</v>
      </c>
      <c r="DB325" s="239">
        <v>2235</v>
      </c>
      <c r="DC325" s="239">
        <v>223492</v>
      </c>
      <c r="DD325" s="641">
        <v>0.5</v>
      </c>
      <c r="DE325" s="641">
        <v>0.4</v>
      </c>
      <c r="DF325" s="641">
        <v>0.09</v>
      </c>
      <c r="DG325" s="641">
        <v>0.01</v>
      </c>
      <c r="DH325" s="641">
        <v>1</v>
      </c>
      <c r="DI325" s="214" t="s">
        <v>1190</v>
      </c>
    </row>
    <row r="326" spans="2:113" s="214" customFormat="1" x14ac:dyDescent="0.2">
      <c r="B326" s="609" t="s">
        <v>734</v>
      </c>
      <c r="C326" s="609" t="s">
        <v>733</v>
      </c>
      <c r="D326" s="239">
        <v>16248980</v>
      </c>
      <c r="E326" s="239">
        <v>12999184</v>
      </c>
      <c r="F326" s="239">
        <v>3249796</v>
      </c>
      <c r="G326" s="239">
        <v>0</v>
      </c>
      <c r="H326" s="239">
        <v>32497960</v>
      </c>
      <c r="I326" s="239">
        <v>0</v>
      </c>
      <c r="J326" s="239">
        <v>0</v>
      </c>
      <c r="K326" s="239">
        <v>16248980</v>
      </c>
      <c r="L326" s="239">
        <v>131043</v>
      </c>
      <c r="M326" s="239">
        <v>131043</v>
      </c>
      <c r="N326" s="239">
        <v>0</v>
      </c>
      <c r="O326" s="239">
        <v>0</v>
      </c>
      <c r="P326" s="239">
        <v>0</v>
      </c>
      <c r="Q326" s="239">
        <v>0</v>
      </c>
      <c r="R326" s="239">
        <v>0</v>
      </c>
      <c r="S326" s="239">
        <v>0</v>
      </c>
      <c r="T326" s="239">
        <v>0</v>
      </c>
      <c r="U326" s="239">
        <v>0</v>
      </c>
      <c r="V326" s="239">
        <v>0</v>
      </c>
      <c r="W326" s="239">
        <v>327247</v>
      </c>
      <c r="X326" s="239">
        <v>261798</v>
      </c>
      <c r="Y326" s="239">
        <v>65450</v>
      </c>
      <c r="Z326" s="239">
        <v>0</v>
      </c>
      <c r="AA326" s="239">
        <v>654495</v>
      </c>
      <c r="AB326" s="239">
        <v>-309142</v>
      </c>
      <c r="AC326" s="239">
        <v>-247314</v>
      </c>
      <c r="AD326" s="239">
        <v>-61828</v>
      </c>
      <c r="AE326" s="239">
        <v>0</v>
      </c>
      <c r="AF326" s="239">
        <v>-618284</v>
      </c>
      <c r="AG326" s="239">
        <v>-565206</v>
      </c>
      <c r="AH326" s="239">
        <v>-452165</v>
      </c>
      <c r="AI326" s="239">
        <v>-113041</v>
      </c>
      <c r="AJ326" s="239">
        <v>0</v>
      </c>
      <c r="AK326" s="239">
        <v>-1130412</v>
      </c>
      <c r="AL326" s="239">
        <v>82876</v>
      </c>
      <c r="AM326" s="239">
        <v>66300</v>
      </c>
      <c r="AN326" s="239">
        <v>16575</v>
      </c>
      <c r="AO326" s="239">
        <v>0</v>
      </c>
      <c r="AP326" s="239">
        <v>165751</v>
      </c>
      <c r="AQ326" s="239">
        <v>-164797</v>
      </c>
      <c r="AR326" s="239">
        <v>-131837</v>
      </c>
      <c r="AS326" s="239">
        <v>-32959</v>
      </c>
      <c r="AT326" s="239">
        <v>0</v>
      </c>
      <c r="AU326" s="239">
        <v>-329593</v>
      </c>
      <c r="AV326" s="239">
        <v>-647127</v>
      </c>
      <c r="AW326" s="239">
        <v>-517702</v>
      </c>
      <c r="AX326" s="239">
        <v>-129425</v>
      </c>
      <c r="AY326" s="239">
        <v>0</v>
      </c>
      <c r="AZ326" s="239">
        <v>-1294254</v>
      </c>
      <c r="BA326" s="239">
        <v>-1311867</v>
      </c>
      <c r="BB326" s="239">
        <v>-1049493</v>
      </c>
      <c r="BC326" s="239">
        <v>-262373</v>
      </c>
      <c r="BD326" s="239">
        <v>0</v>
      </c>
      <c r="BE326" s="239">
        <v>-2623733</v>
      </c>
      <c r="BF326" s="239">
        <v>130580</v>
      </c>
      <c r="BG326" s="239">
        <v>104464</v>
      </c>
      <c r="BH326" s="239">
        <v>26116</v>
      </c>
      <c r="BI326" s="239">
        <v>0</v>
      </c>
      <c r="BJ326" s="239">
        <v>261160</v>
      </c>
      <c r="BK326" s="239">
        <v>48469</v>
      </c>
      <c r="BL326" s="239">
        <v>38775</v>
      </c>
      <c r="BM326" s="239">
        <v>9694</v>
      </c>
      <c r="BN326" s="239">
        <v>0</v>
      </c>
      <c r="BO326" s="239">
        <v>96938</v>
      </c>
      <c r="BP326" s="239">
        <v>-1132818</v>
      </c>
      <c r="BQ326" s="239">
        <v>-906254</v>
      </c>
      <c r="BR326" s="239">
        <v>-226563</v>
      </c>
      <c r="BS326" s="239">
        <v>0</v>
      </c>
      <c r="BT326" s="239">
        <v>-2265635</v>
      </c>
      <c r="BU326" s="239">
        <v>-235807</v>
      </c>
      <c r="BV326" s="239">
        <v>-188646</v>
      </c>
      <c r="BW326" s="239">
        <v>-47162</v>
      </c>
      <c r="BX326" s="239">
        <v>0</v>
      </c>
      <c r="BY326" s="239">
        <v>-471615</v>
      </c>
      <c r="BZ326" s="239">
        <v>-218486</v>
      </c>
      <c r="CA326" s="239">
        <v>-174788</v>
      </c>
      <c r="CB326" s="239">
        <v>-43697</v>
      </c>
      <c r="CC326" s="239">
        <v>0</v>
      </c>
      <c r="CD326" s="239">
        <v>-436971</v>
      </c>
      <c r="CE326" s="239">
        <v>-17321</v>
      </c>
      <c r="CF326" s="239">
        <v>-13858</v>
      </c>
      <c r="CG326" s="239">
        <v>-3465</v>
      </c>
      <c r="CH326" s="239">
        <v>0</v>
      </c>
      <c r="CI326" s="239">
        <v>-34644</v>
      </c>
      <c r="CJ326" s="239">
        <v>16250358</v>
      </c>
      <c r="CK326" s="239">
        <v>13000286</v>
      </c>
      <c r="CL326" s="239">
        <v>3250072</v>
      </c>
      <c r="CM326" s="239">
        <v>0</v>
      </c>
      <c r="CN326" s="239">
        <v>32500716</v>
      </c>
      <c r="CO326" s="239">
        <v>16248980</v>
      </c>
      <c r="CP326" s="239">
        <v>12999184</v>
      </c>
      <c r="CQ326" s="239">
        <v>3249796</v>
      </c>
      <c r="CR326" s="239">
        <v>0</v>
      </c>
      <c r="CS326" s="239">
        <v>32497960</v>
      </c>
      <c r="CT326" s="239">
        <v>-1378</v>
      </c>
      <c r="CU326" s="239">
        <v>-1102</v>
      </c>
      <c r="CV326" s="239">
        <v>-276</v>
      </c>
      <c r="CW326" s="239">
        <v>0</v>
      </c>
      <c r="CX326" s="239">
        <v>-2756</v>
      </c>
      <c r="CY326" s="239">
        <v>-18699</v>
      </c>
      <c r="CZ326" s="239">
        <v>-14960</v>
      </c>
      <c r="DA326" s="239">
        <v>-3741</v>
      </c>
      <c r="DB326" s="239">
        <v>0</v>
      </c>
      <c r="DC326" s="239">
        <v>-37400</v>
      </c>
      <c r="DD326" s="641">
        <v>0.5</v>
      </c>
      <c r="DE326" s="641">
        <v>0.4</v>
      </c>
      <c r="DF326" s="641">
        <v>0.1</v>
      </c>
      <c r="DG326" s="641">
        <v>0</v>
      </c>
      <c r="DH326" s="641">
        <v>1</v>
      </c>
      <c r="DI326" s="214" t="s">
        <v>1190</v>
      </c>
    </row>
    <row r="327" spans="2:113" s="214" customFormat="1" x14ac:dyDescent="0.2">
      <c r="B327" s="609" t="s">
        <v>736</v>
      </c>
      <c r="C327" s="609" t="s">
        <v>735</v>
      </c>
      <c r="D327" s="239">
        <v>20452688</v>
      </c>
      <c r="E327" s="239">
        <v>16362150</v>
      </c>
      <c r="F327" s="239">
        <v>3681484</v>
      </c>
      <c r="G327" s="239">
        <v>409054</v>
      </c>
      <c r="H327" s="239">
        <v>40905376</v>
      </c>
      <c r="I327" s="239">
        <v>0</v>
      </c>
      <c r="J327" s="239">
        <v>0</v>
      </c>
      <c r="K327" s="239">
        <v>20452688</v>
      </c>
      <c r="L327" s="239">
        <v>187199</v>
      </c>
      <c r="M327" s="239">
        <v>187199</v>
      </c>
      <c r="N327" s="239">
        <v>0</v>
      </c>
      <c r="O327" s="239">
        <v>0</v>
      </c>
      <c r="P327" s="239">
        <v>207552</v>
      </c>
      <c r="Q327" s="239">
        <v>0</v>
      </c>
      <c r="R327" s="239">
        <v>207552</v>
      </c>
      <c r="S327" s="239">
        <v>0</v>
      </c>
      <c r="T327" s="239">
        <v>0</v>
      </c>
      <c r="U327" s="239">
        <v>0</v>
      </c>
      <c r="V327" s="239">
        <v>0</v>
      </c>
      <c r="W327" s="239">
        <v>259479</v>
      </c>
      <c r="X327" s="239">
        <v>207583</v>
      </c>
      <c r="Y327" s="239">
        <v>46706</v>
      </c>
      <c r="Z327" s="239">
        <v>5190</v>
      </c>
      <c r="AA327" s="239">
        <v>518958</v>
      </c>
      <c r="AB327" s="239">
        <v>-160375</v>
      </c>
      <c r="AC327" s="239">
        <v>-128300</v>
      </c>
      <c r="AD327" s="239">
        <v>-28868</v>
      </c>
      <c r="AE327" s="239">
        <v>-3208</v>
      </c>
      <c r="AF327" s="239">
        <v>-320751</v>
      </c>
      <c r="AG327" s="239">
        <v>-97500</v>
      </c>
      <c r="AH327" s="239">
        <v>-78000</v>
      </c>
      <c r="AI327" s="239">
        <v>-17550</v>
      </c>
      <c r="AJ327" s="239">
        <v>-1950</v>
      </c>
      <c r="AK327" s="239">
        <v>-195000</v>
      </c>
      <c r="AL327" s="239">
        <v>81465</v>
      </c>
      <c r="AM327" s="239">
        <v>65172</v>
      </c>
      <c r="AN327" s="239">
        <v>14664</v>
      </c>
      <c r="AO327" s="239">
        <v>1629</v>
      </c>
      <c r="AP327" s="239">
        <v>162930</v>
      </c>
      <c r="AQ327" s="239">
        <v>-81465</v>
      </c>
      <c r="AR327" s="239">
        <v>-65172</v>
      </c>
      <c r="AS327" s="239">
        <v>-14664</v>
      </c>
      <c r="AT327" s="239">
        <v>-1629</v>
      </c>
      <c r="AU327" s="239">
        <v>-162930</v>
      </c>
      <c r="AV327" s="239">
        <v>-97500</v>
      </c>
      <c r="AW327" s="239">
        <v>-78000</v>
      </c>
      <c r="AX327" s="239">
        <v>-17550</v>
      </c>
      <c r="AY327" s="239">
        <v>-1950</v>
      </c>
      <c r="AZ327" s="239">
        <v>-195000</v>
      </c>
      <c r="BA327" s="239">
        <v>-1384630</v>
      </c>
      <c r="BB327" s="239">
        <v>-1107702</v>
      </c>
      <c r="BC327" s="239">
        <v>-249231</v>
      </c>
      <c r="BD327" s="239">
        <v>-27692</v>
      </c>
      <c r="BE327" s="239">
        <v>-2769255</v>
      </c>
      <c r="BF327" s="239">
        <v>253909</v>
      </c>
      <c r="BG327" s="239">
        <v>203126</v>
      </c>
      <c r="BH327" s="239">
        <v>45703</v>
      </c>
      <c r="BI327" s="239">
        <v>5078</v>
      </c>
      <c r="BJ327" s="239">
        <v>507816</v>
      </c>
      <c r="BK327" s="239">
        <v>-282012</v>
      </c>
      <c r="BL327" s="239">
        <v>-225609</v>
      </c>
      <c r="BM327" s="239">
        <v>-50762</v>
      </c>
      <c r="BN327" s="239">
        <v>-5640</v>
      </c>
      <c r="BO327" s="239">
        <v>-564023</v>
      </c>
      <c r="BP327" s="239">
        <v>-1412733</v>
      </c>
      <c r="BQ327" s="239">
        <v>-1130185</v>
      </c>
      <c r="BR327" s="239">
        <v>-254290</v>
      </c>
      <c r="BS327" s="239">
        <v>-28254</v>
      </c>
      <c r="BT327" s="239">
        <v>-2825462</v>
      </c>
      <c r="BU327" s="239">
        <v>-2077164</v>
      </c>
      <c r="BV327" s="239">
        <v>-1661731</v>
      </c>
      <c r="BW327" s="239">
        <v>-373889</v>
      </c>
      <c r="BX327" s="239">
        <v>-41543</v>
      </c>
      <c r="BY327" s="239">
        <v>-4154327</v>
      </c>
      <c r="BZ327" s="239">
        <v>-1862883</v>
      </c>
      <c r="CA327" s="239">
        <v>-1490307</v>
      </c>
      <c r="CB327" s="239">
        <v>-335319</v>
      </c>
      <c r="CC327" s="239">
        <v>-37258</v>
      </c>
      <c r="CD327" s="239">
        <v>-3725767</v>
      </c>
      <c r="CE327" s="239">
        <v>-214281</v>
      </c>
      <c r="CF327" s="239">
        <v>-171424</v>
      </c>
      <c r="CG327" s="239">
        <v>-38570</v>
      </c>
      <c r="CH327" s="239">
        <v>-4285</v>
      </c>
      <c r="CI327" s="239">
        <v>-428560</v>
      </c>
      <c r="CJ327" s="239">
        <v>19975589</v>
      </c>
      <c r="CK327" s="239">
        <v>15980472</v>
      </c>
      <c r="CL327" s="239">
        <v>3595606</v>
      </c>
      <c r="CM327" s="239">
        <v>399512</v>
      </c>
      <c r="CN327" s="239">
        <v>39951179</v>
      </c>
      <c r="CO327" s="239">
        <v>20452688</v>
      </c>
      <c r="CP327" s="239">
        <v>16362150</v>
      </c>
      <c r="CQ327" s="239">
        <v>3681484</v>
      </c>
      <c r="CR327" s="239">
        <v>409054</v>
      </c>
      <c r="CS327" s="239">
        <v>40905376</v>
      </c>
      <c r="CT327" s="239">
        <v>477099</v>
      </c>
      <c r="CU327" s="239">
        <v>381678</v>
      </c>
      <c r="CV327" s="239">
        <v>85878</v>
      </c>
      <c r="CW327" s="239">
        <v>9542</v>
      </c>
      <c r="CX327" s="239">
        <v>954197</v>
      </c>
      <c r="CY327" s="239">
        <v>262818</v>
      </c>
      <c r="CZ327" s="239">
        <v>210254</v>
      </c>
      <c r="DA327" s="239">
        <v>47308</v>
      </c>
      <c r="DB327" s="239">
        <v>5257</v>
      </c>
      <c r="DC327" s="239">
        <v>525637</v>
      </c>
      <c r="DD327" s="641">
        <v>0.5</v>
      </c>
      <c r="DE327" s="641">
        <v>0.4</v>
      </c>
      <c r="DF327" s="641">
        <v>0.09</v>
      </c>
      <c r="DG327" s="641">
        <v>0.01</v>
      </c>
      <c r="DH327" s="641">
        <v>1</v>
      </c>
      <c r="DI327" s="214" t="s">
        <v>1190</v>
      </c>
    </row>
    <row r="328" spans="2:113" s="214" customFormat="1" x14ac:dyDescent="0.2">
      <c r="B328" s="609" t="s">
        <v>738</v>
      </c>
      <c r="C328" s="609" t="s">
        <v>737</v>
      </c>
      <c r="D328" s="239">
        <v>36081609</v>
      </c>
      <c r="E328" s="239">
        <v>28865286</v>
      </c>
      <c r="F328" s="239">
        <v>6494689</v>
      </c>
      <c r="G328" s="239">
        <v>721632</v>
      </c>
      <c r="H328" s="239">
        <v>72163216</v>
      </c>
      <c r="I328" s="239">
        <v>0</v>
      </c>
      <c r="J328" s="239">
        <v>0</v>
      </c>
      <c r="K328" s="239">
        <v>36081609</v>
      </c>
      <c r="L328" s="239">
        <v>240953</v>
      </c>
      <c r="M328" s="239">
        <v>240953</v>
      </c>
      <c r="N328" s="239">
        <v>0</v>
      </c>
      <c r="O328" s="239">
        <v>0</v>
      </c>
      <c r="P328" s="239">
        <v>0</v>
      </c>
      <c r="Q328" s="239">
        <v>0</v>
      </c>
      <c r="R328" s="239">
        <v>0</v>
      </c>
      <c r="S328" s="239">
        <v>0</v>
      </c>
      <c r="T328" s="239">
        <v>0</v>
      </c>
      <c r="U328" s="239">
        <v>0</v>
      </c>
      <c r="V328" s="239">
        <v>0</v>
      </c>
      <c r="W328" s="239">
        <v>1344937</v>
      </c>
      <c r="X328" s="239">
        <v>1075950</v>
      </c>
      <c r="Y328" s="239">
        <v>242089</v>
      </c>
      <c r="Z328" s="239">
        <v>26899</v>
      </c>
      <c r="AA328" s="239">
        <v>2689875</v>
      </c>
      <c r="AB328" s="239">
        <v>-1778543</v>
      </c>
      <c r="AC328" s="239">
        <v>-1422835</v>
      </c>
      <c r="AD328" s="239">
        <v>-320138</v>
      </c>
      <c r="AE328" s="239">
        <v>-35571</v>
      </c>
      <c r="AF328" s="239">
        <v>-3557087</v>
      </c>
      <c r="AG328" s="239">
        <v>-1094857</v>
      </c>
      <c r="AH328" s="239">
        <v>-875886</v>
      </c>
      <c r="AI328" s="239">
        <v>-197074</v>
      </c>
      <c r="AJ328" s="239">
        <v>-21898</v>
      </c>
      <c r="AK328" s="239">
        <v>-2189715</v>
      </c>
      <c r="AL328" s="239">
        <v>158170</v>
      </c>
      <c r="AM328" s="239">
        <v>126535</v>
      </c>
      <c r="AN328" s="239">
        <v>28470</v>
      </c>
      <c r="AO328" s="239">
        <v>3163</v>
      </c>
      <c r="AP328" s="239">
        <v>316338</v>
      </c>
      <c r="AQ328" s="239">
        <v>-220312</v>
      </c>
      <c r="AR328" s="239">
        <v>-176249</v>
      </c>
      <c r="AS328" s="239">
        <v>-39656</v>
      </c>
      <c r="AT328" s="239">
        <v>-4406</v>
      </c>
      <c r="AU328" s="239">
        <v>-440623</v>
      </c>
      <c r="AV328" s="239">
        <v>-1156999</v>
      </c>
      <c r="AW328" s="239">
        <v>-925600</v>
      </c>
      <c r="AX328" s="239">
        <v>-208260</v>
      </c>
      <c r="AY328" s="239">
        <v>-23141</v>
      </c>
      <c r="AZ328" s="239">
        <v>-2314000</v>
      </c>
      <c r="BA328" s="239">
        <v>-3510414</v>
      </c>
      <c r="BB328" s="239">
        <v>-2808331</v>
      </c>
      <c r="BC328" s="239">
        <v>-631875</v>
      </c>
      <c r="BD328" s="239">
        <v>-70208</v>
      </c>
      <c r="BE328" s="239">
        <v>-7020828</v>
      </c>
      <c r="BF328" s="239">
        <v>627047</v>
      </c>
      <c r="BG328" s="239">
        <v>501637</v>
      </c>
      <c r="BH328" s="239">
        <v>112868</v>
      </c>
      <c r="BI328" s="239">
        <v>12541</v>
      </c>
      <c r="BJ328" s="239">
        <v>1254093</v>
      </c>
      <c r="BK328" s="239">
        <v>-240031</v>
      </c>
      <c r="BL328" s="239">
        <v>-192025</v>
      </c>
      <c r="BM328" s="239">
        <v>-43206</v>
      </c>
      <c r="BN328" s="239">
        <v>-4801</v>
      </c>
      <c r="BO328" s="239">
        <v>-480063</v>
      </c>
      <c r="BP328" s="239">
        <v>-3123398</v>
      </c>
      <c r="BQ328" s="239">
        <v>-2498719</v>
      </c>
      <c r="BR328" s="239">
        <v>-562213</v>
      </c>
      <c r="BS328" s="239">
        <v>-62468</v>
      </c>
      <c r="BT328" s="239">
        <v>-6246798</v>
      </c>
      <c r="BU328" s="239">
        <v>-3766258</v>
      </c>
      <c r="BV328" s="239">
        <v>-3013006</v>
      </c>
      <c r="BW328" s="239">
        <v>-677926</v>
      </c>
      <c r="BX328" s="239">
        <v>-75325</v>
      </c>
      <c r="BY328" s="239">
        <v>-7532515</v>
      </c>
      <c r="BZ328" s="239">
        <v>-2384007</v>
      </c>
      <c r="CA328" s="239">
        <v>-1907205</v>
      </c>
      <c r="CB328" s="239">
        <v>-429121</v>
      </c>
      <c r="CC328" s="239">
        <v>-47680</v>
      </c>
      <c r="CD328" s="239">
        <v>-4768013</v>
      </c>
      <c r="CE328" s="239">
        <v>-1382251</v>
      </c>
      <c r="CF328" s="239">
        <v>-1105801</v>
      </c>
      <c r="CG328" s="239">
        <v>-248805</v>
      </c>
      <c r="CH328" s="239">
        <v>-27645</v>
      </c>
      <c r="CI328" s="239">
        <v>-2764502</v>
      </c>
      <c r="CJ328" s="239">
        <v>36973909</v>
      </c>
      <c r="CK328" s="239">
        <v>29579126</v>
      </c>
      <c r="CL328" s="239">
        <v>6655303</v>
      </c>
      <c r="CM328" s="239">
        <v>739478</v>
      </c>
      <c r="CN328" s="239">
        <v>73947816</v>
      </c>
      <c r="CO328" s="239">
        <v>36081609</v>
      </c>
      <c r="CP328" s="239">
        <v>28865286</v>
      </c>
      <c r="CQ328" s="239">
        <v>6494689</v>
      </c>
      <c r="CR328" s="239">
        <v>721632</v>
      </c>
      <c r="CS328" s="239">
        <v>72163216</v>
      </c>
      <c r="CT328" s="239">
        <v>-892300</v>
      </c>
      <c r="CU328" s="239">
        <v>-713840</v>
      </c>
      <c r="CV328" s="239">
        <v>-160614</v>
      </c>
      <c r="CW328" s="239">
        <v>-17846</v>
      </c>
      <c r="CX328" s="239">
        <v>-1784600</v>
      </c>
      <c r="CY328" s="239">
        <v>-2274551</v>
      </c>
      <c r="CZ328" s="239">
        <v>-1819641</v>
      </c>
      <c r="DA328" s="239">
        <v>-409419</v>
      </c>
      <c r="DB328" s="239">
        <v>-45491</v>
      </c>
      <c r="DC328" s="239">
        <v>-4549102</v>
      </c>
      <c r="DD328" s="641">
        <v>0.5</v>
      </c>
      <c r="DE328" s="641">
        <v>0.4</v>
      </c>
      <c r="DF328" s="641">
        <v>0.09</v>
      </c>
      <c r="DG328" s="641">
        <v>0.01</v>
      </c>
      <c r="DH328" s="641">
        <v>1</v>
      </c>
      <c r="DI328" s="214" t="s">
        <v>1190</v>
      </c>
    </row>
    <row r="329" spans="2:113" s="214" customFormat="1" x14ac:dyDescent="0.2">
      <c r="B329" s="609" t="s">
        <v>740</v>
      </c>
      <c r="C329" s="609" t="s">
        <v>739</v>
      </c>
      <c r="D329" s="239">
        <v>13118515</v>
      </c>
      <c r="E329" s="239">
        <v>10494812</v>
      </c>
      <c r="F329" s="239">
        <v>2361333</v>
      </c>
      <c r="G329" s="239">
        <v>262370</v>
      </c>
      <c r="H329" s="239">
        <v>26237030</v>
      </c>
      <c r="I329" s="239">
        <v>0</v>
      </c>
      <c r="J329" s="239">
        <v>0</v>
      </c>
      <c r="K329" s="239">
        <v>13118515</v>
      </c>
      <c r="L329" s="239">
        <v>153244</v>
      </c>
      <c r="M329" s="239">
        <v>153244</v>
      </c>
      <c r="N329" s="239">
        <v>55289</v>
      </c>
      <c r="O329" s="239">
        <v>55289</v>
      </c>
      <c r="P329" s="239">
        <v>0</v>
      </c>
      <c r="Q329" s="239">
        <v>0</v>
      </c>
      <c r="R329" s="239">
        <v>0</v>
      </c>
      <c r="S329" s="239">
        <v>0</v>
      </c>
      <c r="T329" s="239">
        <v>0</v>
      </c>
      <c r="U329" s="239">
        <v>0</v>
      </c>
      <c r="V329" s="239">
        <v>0</v>
      </c>
      <c r="W329" s="239">
        <v>555607</v>
      </c>
      <c r="X329" s="239">
        <v>444486</v>
      </c>
      <c r="Y329" s="239">
        <v>100009</v>
      </c>
      <c r="Z329" s="239">
        <v>11112</v>
      </c>
      <c r="AA329" s="239">
        <v>1111214</v>
      </c>
      <c r="AB329" s="239">
        <v>-652540</v>
      </c>
      <c r="AC329" s="239">
        <v>-522032</v>
      </c>
      <c r="AD329" s="239">
        <v>-117457</v>
      </c>
      <c r="AE329" s="239">
        <v>-13051</v>
      </c>
      <c r="AF329" s="239">
        <v>-1305080</v>
      </c>
      <c r="AG329" s="239">
        <v>-344881.85</v>
      </c>
      <c r="AH329" s="239">
        <v>-275905</v>
      </c>
      <c r="AI329" s="239">
        <v>-62078</v>
      </c>
      <c r="AJ329" s="239">
        <v>-6898</v>
      </c>
      <c r="AK329" s="239">
        <v>-689762.85</v>
      </c>
      <c r="AL329" s="239">
        <v>115954</v>
      </c>
      <c r="AM329" s="239">
        <v>92763</v>
      </c>
      <c r="AN329" s="239">
        <v>20872</v>
      </c>
      <c r="AO329" s="239">
        <v>2319</v>
      </c>
      <c r="AP329" s="239">
        <v>231908</v>
      </c>
      <c r="AQ329" s="239">
        <v>-77162</v>
      </c>
      <c r="AR329" s="239">
        <v>-61729</v>
      </c>
      <c r="AS329" s="239">
        <v>-13889</v>
      </c>
      <c r="AT329" s="239">
        <v>-1543</v>
      </c>
      <c r="AU329" s="239">
        <v>-154323</v>
      </c>
      <c r="AV329" s="239">
        <v>-306089.84999999998</v>
      </c>
      <c r="AW329" s="239">
        <v>-244871</v>
      </c>
      <c r="AX329" s="239">
        <v>-55095</v>
      </c>
      <c r="AY329" s="239">
        <v>-6122</v>
      </c>
      <c r="AZ329" s="239">
        <v>-612177.85</v>
      </c>
      <c r="BA329" s="239">
        <v>-1560953.6800000002</v>
      </c>
      <c r="BB329" s="239">
        <v>-1248763</v>
      </c>
      <c r="BC329" s="239">
        <v>-280972</v>
      </c>
      <c r="BD329" s="239">
        <v>-31219</v>
      </c>
      <c r="BE329" s="239">
        <v>-3121907.6</v>
      </c>
      <c r="BF329" s="239">
        <v>0</v>
      </c>
      <c r="BG329" s="239">
        <v>0</v>
      </c>
      <c r="BH329" s="239">
        <v>0</v>
      </c>
      <c r="BI329" s="239">
        <v>0</v>
      </c>
      <c r="BJ329" s="239">
        <v>0</v>
      </c>
      <c r="BK329" s="239">
        <v>-177009</v>
      </c>
      <c r="BL329" s="239">
        <v>-141608</v>
      </c>
      <c r="BM329" s="239">
        <v>-31862</v>
      </c>
      <c r="BN329" s="239">
        <v>-3540</v>
      </c>
      <c r="BO329" s="239">
        <v>-354019</v>
      </c>
      <c r="BP329" s="239">
        <v>-1737962.6800000002</v>
      </c>
      <c r="BQ329" s="239">
        <v>-1390371</v>
      </c>
      <c r="BR329" s="239">
        <v>-312834</v>
      </c>
      <c r="BS329" s="239">
        <v>-34759</v>
      </c>
      <c r="BT329" s="239">
        <v>-3475926.6</v>
      </c>
      <c r="BU329" s="239">
        <v>-1907521</v>
      </c>
      <c r="BV329" s="239">
        <v>-1526016</v>
      </c>
      <c r="BW329" s="239">
        <v>-343354</v>
      </c>
      <c r="BX329" s="239">
        <v>-38150</v>
      </c>
      <c r="BY329" s="239">
        <v>-3815041</v>
      </c>
      <c r="BZ329" s="239">
        <v>-489131</v>
      </c>
      <c r="CA329" s="239">
        <v>-391305</v>
      </c>
      <c r="CB329" s="239">
        <v>-88044</v>
      </c>
      <c r="CC329" s="239">
        <v>-9783</v>
      </c>
      <c r="CD329" s="239">
        <v>-978263</v>
      </c>
      <c r="CE329" s="239">
        <v>-1418390</v>
      </c>
      <c r="CF329" s="239">
        <v>-1134711</v>
      </c>
      <c r="CG329" s="239">
        <v>-255310</v>
      </c>
      <c r="CH329" s="239">
        <v>-28367</v>
      </c>
      <c r="CI329" s="239">
        <v>-2836778</v>
      </c>
      <c r="CJ329" s="239">
        <v>13485608</v>
      </c>
      <c r="CK329" s="239">
        <v>10788486</v>
      </c>
      <c r="CL329" s="239">
        <v>2427409</v>
      </c>
      <c r="CM329" s="239">
        <v>269712</v>
      </c>
      <c r="CN329" s="239">
        <v>26971215</v>
      </c>
      <c r="CO329" s="239">
        <v>13118515</v>
      </c>
      <c r="CP329" s="239">
        <v>10494812</v>
      </c>
      <c r="CQ329" s="239">
        <v>2361333</v>
      </c>
      <c r="CR329" s="239">
        <v>262370</v>
      </c>
      <c r="CS329" s="239">
        <v>26237030</v>
      </c>
      <c r="CT329" s="239">
        <v>-367093</v>
      </c>
      <c r="CU329" s="239">
        <v>-293674</v>
      </c>
      <c r="CV329" s="239">
        <v>-66076</v>
      </c>
      <c r="CW329" s="239">
        <v>-7342</v>
      </c>
      <c r="CX329" s="239">
        <v>-734185</v>
      </c>
      <c r="CY329" s="239">
        <v>-1785483</v>
      </c>
      <c r="CZ329" s="239">
        <v>-1428385</v>
      </c>
      <c r="DA329" s="239">
        <v>-321386</v>
      </c>
      <c r="DB329" s="239">
        <v>-35709</v>
      </c>
      <c r="DC329" s="239">
        <v>-3570963</v>
      </c>
      <c r="DD329" s="641">
        <v>0.5</v>
      </c>
      <c r="DE329" s="641">
        <v>0.4</v>
      </c>
      <c r="DF329" s="641">
        <v>0.09</v>
      </c>
      <c r="DG329" s="641">
        <v>0.01</v>
      </c>
      <c r="DH329" s="641">
        <v>1</v>
      </c>
      <c r="DI329" s="214" t="s">
        <v>1190</v>
      </c>
    </row>
    <row r="330" spans="2:113" s="214" customFormat="1" x14ac:dyDescent="0.2">
      <c r="B330" s="609" t="s">
        <v>742</v>
      </c>
      <c r="C330" s="609" t="s">
        <v>741</v>
      </c>
      <c r="D330" s="239">
        <v>14608246</v>
      </c>
      <c r="E330" s="239">
        <v>11686597</v>
      </c>
      <c r="F330" s="239">
        <v>2629484</v>
      </c>
      <c r="G330" s="239">
        <v>292165</v>
      </c>
      <c r="H330" s="239">
        <v>29216492</v>
      </c>
      <c r="I330" s="239">
        <v>0</v>
      </c>
      <c r="J330" s="239">
        <v>0</v>
      </c>
      <c r="K330" s="239">
        <v>14608246</v>
      </c>
      <c r="L330" s="239">
        <v>134079</v>
      </c>
      <c r="M330" s="239">
        <v>134079</v>
      </c>
      <c r="N330" s="239">
        <v>0</v>
      </c>
      <c r="O330" s="239">
        <v>0</v>
      </c>
      <c r="P330" s="239">
        <v>4237</v>
      </c>
      <c r="Q330" s="239">
        <v>0</v>
      </c>
      <c r="R330" s="239">
        <v>4237</v>
      </c>
      <c r="S330" s="239">
        <v>0</v>
      </c>
      <c r="T330" s="239">
        <v>0</v>
      </c>
      <c r="U330" s="239">
        <v>0</v>
      </c>
      <c r="V330" s="239">
        <v>0</v>
      </c>
      <c r="W330" s="239">
        <v>1099775</v>
      </c>
      <c r="X330" s="239">
        <v>879821</v>
      </c>
      <c r="Y330" s="239">
        <v>197960</v>
      </c>
      <c r="Z330" s="239">
        <v>21996</v>
      </c>
      <c r="AA330" s="239">
        <v>2199552</v>
      </c>
      <c r="AB330" s="239">
        <v>-83029</v>
      </c>
      <c r="AC330" s="239">
        <v>-66424</v>
      </c>
      <c r="AD330" s="239">
        <v>-14945</v>
      </c>
      <c r="AE330" s="239">
        <v>-1661</v>
      </c>
      <c r="AF330" s="239">
        <v>-166059</v>
      </c>
      <c r="AG330" s="239">
        <v>-634976</v>
      </c>
      <c r="AH330" s="239">
        <v>-507982</v>
      </c>
      <c r="AI330" s="239">
        <v>-114296</v>
      </c>
      <c r="AJ330" s="239">
        <v>-12700</v>
      </c>
      <c r="AK330" s="239">
        <v>-1269954</v>
      </c>
      <c r="AL330" s="239">
        <v>478782</v>
      </c>
      <c r="AM330" s="239">
        <v>383026</v>
      </c>
      <c r="AN330" s="239">
        <v>86181</v>
      </c>
      <c r="AO330" s="239">
        <v>9576</v>
      </c>
      <c r="AP330" s="239">
        <v>957565</v>
      </c>
      <c r="AQ330" s="239">
        <v>-359353</v>
      </c>
      <c r="AR330" s="239">
        <v>-287482</v>
      </c>
      <c r="AS330" s="239">
        <v>-64683</v>
      </c>
      <c r="AT330" s="239">
        <v>-7187</v>
      </c>
      <c r="AU330" s="239">
        <v>-718705</v>
      </c>
      <c r="AV330" s="239">
        <v>-515547</v>
      </c>
      <c r="AW330" s="239">
        <v>-412438</v>
      </c>
      <c r="AX330" s="239">
        <v>-92798</v>
      </c>
      <c r="AY330" s="239">
        <v>-10311</v>
      </c>
      <c r="AZ330" s="239">
        <v>-1031094</v>
      </c>
      <c r="BA330" s="239">
        <v>-1477455</v>
      </c>
      <c r="BB330" s="239">
        <v>-1181962</v>
      </c>
      <c r="BC330" s="239">
        <v>-265941</v>
      </c>
      <c r="BD330" s="239">
        <v>-29549</v>
      </c>
      <c r="BE330" s="239">
        <v>-2954907</v>
      </c>
      <c r="BF330" s="239">
        <v>251580</v>
      </c>
      <c r="BG330" s="239">
        <v>201265</v>
      </c>
      <c r="BH330" s="239">
        <v>45285</v>
      </c>
      <c r="BI330" s="239">
        <v>5032</v>
      </c>
      <c r="BJ330" s="239">
        <v>503162</v>
      </c>
      <c r="BK330" s="239">
        <v>-404384</v>
      </c>
      <c r="BL330" s="239">
        <v>-323508</v>
      </c>
      <c r="BM330" s="239">
        <v>-72789</v>
      </c>
      <c r="BN330" s="239">
        <v>-8088</v>
      </c>
      <c r="BO330" s="239">
        <v>-808769</v>
      </c>
      <c r="BP330" s="239">
        <v>-1630259</v>
      </c>
      <c r="BQ330" s="239">
        <v>-1304205</v>
      </c>
      <c r="BR330" s="239">
        <v>-293445</v>
      </c>
      <c r="BS330" s="239">
        <v>-32605</v>
      </c>
      <c r="BT330" s="239">
        <v>-3260514</v>
      </c>
      <c r="BU330" s="239">
        <v>-1665444</v>
      </c>
      <c r="BV330" s="239">
        <v>-1332356</v>
      </c>
      <c r="BW330" s="239">
        <v>-299780</v>
      </c>
      <c r="BX330" s="239">
        <v>-33309</v>
      </c>
      <c r="BY330" s="239">
        <v>-3330889</v>
      </c>
      <c r="BZ330" s="239">
        <v>-1890730</v>
      </c>
      <c r="CA330" s="239">
        <v>-1512584</v>
      </c>
      <c r="CB330" s="239">
        <v>-340331</v>
      </c>
      <c r="CC330" s="239">
        <v>-37815</v>
      </c>
      <c r="CD330" s="239">
        <v>-3781460</v>
      </c>
      <c r="CE330" s="239">
        <v>225286</v>
      </c>
      <c r="CF330" s="239">
        <v>180228</v>
      </c>
      <c r="CG330" s="239">
        <v>40551</v>
      </c>
      <c r="CH330" s="239">
        <v>4506</v>
      </c>
      <c r="CI330" s="239">
        <v>450571</v>
      </c>
      <c r="CJ330" s="239">
        <v>14340630</v>
      </c>
      <c r="CK330" s="239">
        <v>11472504</v>
      </c>
      <c r="CL330" s="239">
        <v>2581313</v>
      </c>
      <c r="CM330" s="239">
        <v>286813</v>
      </c>
      <c r="CN330" s="239">
        <v>28681260</v>
      </c>
      <c r="CO330" s="239">
        <v>14608246</v>
      </c>
      <c r="CP330" s="239">
        <v>11686597</v>
      </c>
      <c r="CQ330" s="239">
        <v>2629484</v>
      </c>
      <c r="CR330" s="239">
        <v>292165</v>
      </c>
      <c r="CS330" s="239">
        <v>29216492</v>
      </c>
      <c r="CT330" s="239">
        <v>267616</v>
      </c>
      <c r="CU330" s="239">
        <v>214093</v>
      </c>
      <c r="CV330" s="239">
        <v>48171</v>
      </c>
      <c r="CW330" s="239">
        <v>5352</v>
      </c>
      <c r="CX330" s="239">
        <v>535232</v>
      </c>
      <c r="CY330" s="239">
        <v>492902</v>
      </c>
      <c r="CZ330" s="239">
        <v>394321</v>
      </c>
      <c r="DA330" s="239">
        <v>88722</v>
      </c>
      <c r="DB330" s="239">
        <v>9858</v>
      </c>
      <c r="DC330" s="239">
        <v>985803</v>
      </c>
      <c r="DD330" s="641">
        <v>0.5</v>
      </c>
      <c r="DE330" s="641">
        <v>0.4</v>
      </c>
      <c r="DF330" s="641">
        <v>0.09</v>
      </c>
      <c r="DG330" s="641">
        <v>0.01</v>
      </c>
      <c r="DH330" s="641">
        <v>1</v>
      </c>
      <c r="DI330" s="214" t="s">
        <v>1190</v>
      </c>
    </row>
    <row r="331" spans="2:113" s="214" customFormat="1" x14ac:dyDescent="0.2">
      <c r="B331" s="609" t="s">
        <v>744</v>
      </c>
      <c r="C331" s="609" t="s">
        <v>743</v>
      </c>
      <c r="D331" s="239">
        <v>52323835</v>
      </c>
      <c r="E331" s="239">
        <v>51277358</v>
      </c>
      <c r="F331" s="239">
        <v>0</v>
      </c>
      <c r="G331" s="239">
        <v>1046477</v>
      </c>
      <c r="H331" s="239">
        <v>104647670</v>
      </c>
      <c r="I331" s="239">
        <v>0</v>
      </c>
      <c r="J331" s="239">
        <v>0</v>
      </c>
      <c r="K331" s="239">
        <v>52323835</v>
      </c>
      <c r="L331" s="239">
        <v>298324</v>
      </c>
      <c r="M331" s="239">
        <v>298324</v>
      </c>
      <c r="N331" s="239">
        <v>0</v>
      </c>
      <c r="O331" s="239">
        <v>0</v>
      </c>
      <c r="P331" s="239">
        <v>0</v>
      </c>
      <c r="Q331" s="239">
        <v>0</v>
      </c>
      <c r="R331" s="239">
        <v>0</v>
      </c>
      <c r="S331" s="239">
        <v>0</v>
      </c>
      <c r="T331" s="239">
        <v>0</v>
      </c>
      <c r="U331" s="239">
        <v>0</v>
      </c>
      <c r="V331" s="239">
        <v>0</v>
      </c>
      <c r="W331" s="239">
        <v>1415061</v>
      </c>
      <c r="X331" s="239">
        <v>1386759</v>
      </c>
      <c r="Y331" s="239">
        <v>0</v>
      </c>
      <c r="Z331" s="239">
        <v>28301</v>
      </c>
      <c r="AA331" s="239">
        <v>2830121</v>
      </c>
      <c r="AB331" s="239">
        <v>-1402117</v>
      </c>
      <c r="AC331" s="239">
        <v>-1374075</v>
      </c>
      <c r="AD331" s="239">
        <v>0</v>
      </c>
      <c r="AE331" s="239">
        <v>-28042</v>
      </c>
      <c r="AF331" s="239">
        <v>-2804234</v>
      </c>
      <c r="AG331" s="239">
        <v>-954761</v>
      </c>
      <c r="AH331" s="239">
        <v>-935665</v>
      </c>
      <c r="AI331" s="239">
        <v>0</v>
      </c>
      <c r="AJ331" s="239">
        <v>-19095</v>
      </c>
      <c r="AK331" s="239">
        <v>-1909521</v>
      </c>
      <c r="AL331" s="239">
        <v>40838</v>
      </c>
      <c r="AM331" s="239">
        <v>40021</v>
      </c>
      <c r="AN331" s="239">
        <v>0</v>
      </c>
      <c r="AO331" s="239">
        <v>817</v>
      </c>
      <c r="AP331" s="239">
        <v>81676</v>
      </c>
      <c r="AQ331" s="239">
        <v>15632</v>
      </c>
      <c r="AR331" s="239">
        <v>15320</v>
      </c>
      <c r="AS331" s="239">
        <v>0</v>
      </c>
      <c r="AT331" s="239">
        <v>313</v>
      </c>
      <c r="AU331" s="239">
        <v>31265</v>
      </c>
      <c r="AV331" s="239">
        <v>-898291</v>
      </c>
      <c r="AW331" s="239">
        <v>-880324</v>
      </c>
      <c r="AX331" s="239">
        <v>0</v>
      </c>
      <c r="AY331" s="239">
        <v>-17965</v>
      </c>
      <c r="AZ331" s="239">
        <v>-1796580</v>
      </c>
      <c r="BA331" s="239">
        <v>-5567763</v>
      </c>
      <c r="BB331" s="239">
        <v>-5456408</v>
      </c>
      <c r="BC331" s="239">
        <v>0</v>
      </c>
      <c r="BD331" s="239">
        <v>-111356</v>
      </c>
      <c r="BE331" s="239">
        <v>-11135527</v>
      </c>
      <c r="BF331" s="239">
        <v>1934027</v>
      </c>
      <c r="BG331" s="239">
        <v>1895347</v>
      </c>
      <c r="BH331" s="239">
        <v>0</v>
      </c>
      <c r="BI331" s="239">
        <v>38681</v>
      </c>
      <c r="BJ331" s="239">
        <v>3868055</v>
      </c>
      <c r="BK331" s="239">
        <v>-16264</v>
      </c>
      <c r="BL331" s="239">
        <v>-15939</v>
      </c>
      <c r="BM331" s="239">
        <v>0</v>
      </c>
      <c r="BN331" s="239">
        <v>-325</v>
      </c>
      <c r="BO331" s="239">
        <v>-32528</v>
      </c>
      <c r="BP331" s="239">
        <v>-3650000</v>
      </c>
      <c r="BQ331" s="239">
        <v>-3577000</v>
      </c>
      <c r="BR331" s="239">
        <v>0</v>
      </c>
      <c r="BS331" s="239">
        <v>-73000</v>
      </c>
      <c r="BT331" s="239">
        <v>-7300000</v>
      </c>
      <c r="BU331" s="239">
        <v>-2165038</v>
      </c>
      <c r="BV331" s="239">
        <v>-2121738</v>
      </c>
      <c r="BW331" s="239">
        <v>0</v>
      </c>
      <c r="BX331" s="239">
        <v>-43301</v>
      </c>
      <c r="BY331" s="239">
        <v>-4330077</v>
      </c>
      <c r="BZ331" s="239">
        <v>0</v>
      </c>
      <c r="CA331" s="239">
        <v>0</v>
      </c>
      <c r="CB331" s="239">
        <v>0</v>
      </c>
      <c r="CC331" s="239">
        <v>0</v>
      </c>
      <c r="CD331" s="239">
        <v>0</v>
      </c>
      <c r="CE331" s="239">
        <v>-2165038</v>
      </c>
      <c r="CF331" s="239">
        <v>-2121738</v>
      </c>
      <c r="CG331" s="239">
        <v>0</v>
      </c>
      <c r="CH331" s="239">
        <v>-43301</v>
      </c>
      <c r="CI331" s="239">
        <v>-4330077</v>
      </c>
      <c r="CJ331" s="239">
        <v>51324493</v>
      </c>
      <c r="CK331" s="239">
        <v>50298003</v>
      </c>
      <c r="CL331" s="239">
        <v>0</v>
      </c>
      <c r="CM331" s="239">
        <v>1026490</v>
      </c>
      <c r="CN331" s="239">
        <v>102648986</v>
      </c>
      <c r="CO331" s="239">
        <v>52323835</v>
      </c>
      <c r="CP331" s="239">
        <v>51277358</v>
      </c>
      <c r="CQ331" s="239">
        <v>0</v>
      </c>
      <c r="CR331" s="239">
        <v>1046477</v>
      </c>
      <c r="CS331" s="239">
        <v>104647670</v>
      </c>
      <c r="CT331" s="239">
        <v>999342</v>
      </c>
      <c r="CU331" s="239">
        <v>979355</v>
      </c>
      <c r="CV331" s="239">
        <v>0</v>
      </c>
      <c r="CW331" s="239">
        <v>19987</v>
      </c>
      <c r="CX331" s="239">
        <v>1998684</v>
      </c>
      <c r="CY331" s="239">
        <v>-1165696</v>
      </c>
      <c r="CZ331" s="239">
        <v>-1142383</v>
      </c>
      <c r="DA331" s="239">
        <v>0</v>
      </c>
      <c r="DB331" s="239">
        <v>-23314</v>
      </c>
      <c r="DC331" s="239">
        <v>-2331393</v>
      </c>
      <c r="DD331" s="641">
        <v>0.5</v>
      </c>
      <c r="DE331" s="641">
        <v>0.49</v>
      </c>
      <c r="DF331" s="641">
        <v>0</v>
      </c>
      <c r="DG331" s="641">
        <v>0.01</v>
      </c>
      <c r="DH331" s="641">
        <v>1</v>
      </c>
      <c r="DI331" s="214" t="s">
        <v>747</v>
      </c>
    </row>
    <row r="332" spans="2:113" s="214" customFormat="1" x14ac:dyDescent="0.2">
      <c r="B332" s="609" t="s">
        <v>1182</v>
      </c>
      <c r="C332" s="609" t="s">
        <v>1176</v>
      </c>
      <c r="D332" s="239">
        <v>11792677953.889999</v>
      </c>
      <c r="E332" s="239">
        <v>9531744493</v>
      </c>
      <c r="F332" s="239">
        <v>2130732697</v>
      </c>
      <c r="G332" s="239">
        <v>130200777</v>
      </c>
      <c r="H332" s="239">
        <v>23585355920.889999</v>
      </c>
      <c r="I332" s="239">
        <v>14315054.78409091</v>
      </c>
      <c r="J332" s="239">
        <v>14315054.78409091</v>
      </c>
      <c r="K332" s="239">
        <v>11778362899.105909</v>
      </c>
      <c r="L332" s="239">
        <v>84113460</v>
      </c>
      <c r="M332" s="239">
        <v>84113460</v>
      </c>
      <c r="N332" s="239">
        <v>28737781</v>
      </c>
      <c r="O332" s="239">
        <v>28737781</v>
      </c>
      <c r="P332" s="239">
        <v>49461247</v>
      </c>
      <c r="Q332" s="239">
        <v>1898219</v>
      </c>
      <c r="R332" s="239">
        <v>51359466</v>
      </c>
      <c r="S332" s="239">
        <v>14026754.415537192</v>
      </c>
      <c r="T332" s="239">
        <v>256327.03694214873</v>
      </c>
      <c r="U332" s="239">
        <v>31973.331611570255</v>
      </c>
      <c r="V332" s="239">
        <v>14315054.78409091</v>
      </c>
      <c r="W332" s="239">
        <v>631040406.54000032</v>
      </c>
      <c r="X332" s="239">
        <v>527662818</v>
      </c>
      <c r="Y332" s="239">
        <v>95432100</v>
      </c>
      <c r="Z332" s="239">
        <v>7945510</v>
      </c>
      <c r="AA332" s="239">
        <v>1262080834.5400002</v>
      </c>
      <c r="AB332" s="239">
        <v>-414031073.85000002</v>
      </c>
      <c r="AC332" s="239">
        <v>-307329287</v>
      </c>
      <c r="AD332" s="239">
        <v>-103562368</v>
      </c>
      <c r="AE332" s="239">
        <v>-3139445</v>
      </c>
      <c r="AF332" s="239">
        <v>-828062173.8499999</v>
      </c>
      <c r="AG332" s="239">
        <v>-342711190.245</v>
      </c>
      <c r="AH332" s="239">
        <v>-287632688.86899996</v>
      </c>
      <c r="AI332" s="239">
        <v>-47672427.936000004</v>
      </c>
      <c r="AJ332" s="239">
        <v>-4511665.16</v>
      </c>
      <c r="AK332" s="239">
        <v>-682527970.73000014</v>
      </c>
      <c r="AL332" s="239">
        <v>105646302</v>
      </c>
      <c r="AM332" s="239">
        <v>93424676</v>
      </c>
      <c r="AN332" s="239">
        <v>10611027</v>
      </c>
      <c r="AO332" s="239">
        <v>1610607</v>
      </c>
      <c r="AP332" s="239">
        <v>211292612</v>
      </c>
      <c r="AQ332" s="239">
        <v>-105599330</v>
      </c>
      <c r="AR332" s="239">
        <v>-91327566</v>
      </c>
      <c r="AS332" s="239">
        <v>-12793924</v>
      </c>
      <c r="AT332" s="239">
        <v>-1477859</v>
      </c>
      <c r="AU332" s="239">
        <v>-211198679</v>
      </c>
      <c r="AV332" s="239">
        <v>-342664218.245</v>
      </c>
      <c r="AW332" s="239">
        <v>-285535578.86899996</v>
      </c>
      <c r="AX332" s="239">
        <v>-49855324.936000004</v>
      </c>
      <c r="AY332" s="239">
        <v>-4378917.16</v>
      </c>
      <c r="AZ332" s="239">
        <v>-682434037.73000014</v>
      </c>
      <c r="BA332" s="239">
        <v>-1401213044.4799998</v>
      </c>
      <c r="BB332" s="239">
        <v>-1115984920</v>
      </c>
      <c r="BC332" s="239">
        <v>-270274728</v>
      </c>
      <c r="BD332" s="239">
        <v>-14953412</v>
      </c>
      <c r="BE332" s="239">
        <v>-2802426102.2400002</v>
      </c>
      <c r="BF332" s="239">
        <v>378544879</v>
      </c>
      <c r="BG332" s="239">
        <v>312587550</v>
      </c>
      <c r="BH332" s="239">
        <v>61105262</v>
      </c>
      <c r="BI332" s="239">
        <v>4852072</v>
      </c>
      <c r="BJ332" s="239">
        <v>757089763</v>
      </c>
      <c r="BK332" s="239">
        <v>-296618291</v>
      </c>
      <c r="BL332" s="239">
        <v>-254336848</v>
      </c>
      <c r="BM332" s="239">
        <v>-38279771</v>
      </c>
      <c r="BN332" s="239">
        <v>-4001702</v>
      </c>
      <c r="BO332" s="239">
        <v>-593236612</v>
      </c>
      <c r="BP332" s="239">
        <v>-1319286456.48</v>
      </c>
      <c r="BQ332" s="239">
        <v>-1057734218</v>
      </c>
      <c r="BR332" s="239">
        <v>-247449237</v>
      </c>
      <c r="BS332" s="239">
        <v>-14103042</v>
      </c>
      <c r="BT332" s="239">
        <v>-2638572951.2400002</v>
      </c>
      <c r="BU332" s="239">
        <v>-842981421.09100044</v>
      </c>
      <c r="BV332" s="239">
        <v>-674718024</v>
      </c>
      <c r="BW332" s="239">
        <v>-159347920</v>
      </c>
      <c r="BX332" s="239">
        <v>-9401044</v>
      </c>
      <c r="BY332" s="239">
        <v>-1686448409.0910006</v>
      </c>
      <c r="BZ332" s="239">
        <v>-628754477.10100031</v>
      </c>
      <c r="CA332" s="239">
        <v>-507788048</v>
      </c>
      <c r="CB332" s="239">
        <v>-113856664</v>
      </c>
      <c r="CC332" s="239">
        <v>-7109788</v>
      </c>
      <c r="CD332" s="239">
        <v>-1257508977.1010003</v>
      </c>
      <c r="CE332" s="239">
        <v>-214226943.98999998</v>
      </c>
      <c r="CF332" s="239">
        <v>-166929976</v>
      </c>
      <c r="CG332" s="239">
        <v>-45491256</v>
      </c>
      <c r="CH332" s="239">
        <v>-2291256</v>
      </c>
      <c r="CI332" s="239">
        <v>-428939431.99000001</v>
      </c>
      <c r="CJ332" s="239">
        <v>11753484229</v>
      </c>
      <c r="CK332" s="239">
        <v>9525063178</v>
      </c>
      <c r="CL332" s="239">
        <v>2097741538</v>
      </c>
      <c r="CM332" s="239">
        <v>130679503</v>
      </c>
      <c r="CN332" s="239">
        <v>23506968448</v>
      </c>
      <c r="CO332" s="239">
        <v>11792677953.889999</v>
      </c>
      <c r="CP332" s="239">
        <v>9531744493</v>
      </c>
      <c r="CQ332" s="239">
        <v>2130732697</v>
      </c>
      <c r="CR332" s="239">
        <v>130200777</v>
      </c>
      <c r="CS332" s="239">
        <v>23585355920.889999</v>
      </c>
      <c r="CT332" s="239">
        <v>39193724.890000001</v>
      </c>
      <c r="CU332" s="239">
        <v>6681315</v>
      </c>
      <c r="CV332" s="239">
        <v>32991159</v>
      </c>
      <c r="CW332" s="239">
        <v>-478726</v>
      </c>
      <c r="CX332" s="239">
        <v>78387472.890000001</v>
      </c>
      <c r="CY332" s="239">
        <v>-175033219.09999996</v>
      </c>
      <c r="CZ332" s="239">
        <v>-160248661</v>
      </c>
      <c r="DA332" s="239">
        <v>-12500097</v>
      </c>
      <c r="DB332" s="239">
        <v>-2769982</v>
      </c>
      <c r="DC332" s="239">
        <v>-350551959.10000002</v>
      </c>
    </row>
  </sheetData>
  <mergeCells count="24">
    <mergeCell ref="AV2:AZ2"/>
    <mergeCell ref="D2:H2"/>
    <mergeCell ref="I2:J2"/>
    <mergeCell ref="L2:M2"/>
    <mergeCell ref="N2:O2"/>
    <mergeCell ref="P2:R2"/>
    <mergeCell ref="S2:V2"/>
    <mergeCell ref="W2:AA2"/>
    <mergeCell ref="AB2:AF2"/>
    <mergeCell ref="AG2:AK2"/>
    <mergeCell ref="AL2:AP2"/>
    <mergeCell ref="AQ2:AU2"/>
    <mergeCell ref="DD2:DH2"/>
    <mergeCell ref="BA2:BE2"/>
    <mergeCell ref="BF2:BJ2"/>
    <mergeCell ref="BK2:BO2"/>
    <mergeCell ref="BP2:BT2"/>
    <mergeCell ref="BU2:BY2"/>
    <mergeCell ref="BZ2:CD2"/>
    <mergeCell ref="CE2:CI2"/>
    <mergeCell ref="CJ2:CN2"/>
    <mergeCell ref="CO2:CS2"/>
    <mergeCell ref="CT2:CX2"/>
    <mergeCell ref="CY2:DC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I57"/>
  <sheetViews>
    <sheetView showGridLines="0" tabSelected="1" zoomScale="80" zoomScaleNormal="80" zoomScaleSheetLayoutView="90" workbookViewId="0"/>
  </sheetViews>
  <sheetFormatPr defaultColWidth="9.140625" defaultRowHeight="15" x14ac:dyDescent="0.2"/>
  <cols>
    <col min="1" max="2" width="1.7109375" style="5" customWidth="1"/>
    <col min="3" max="3" width="13.28515625" style="5" bestFit="1" customWidth="1"/>
    <col min="4" max="4" width="9.140625" style="5"/>
    <col min="5" max="5" width="11.42578125" style="5" bestFit="1" customWidth="1"/>
    <col min="6" max="8" width="9.140625" style="5"/>
    <col min="9" max="9" width="13" style="5" bestFit="1" customWidth="1"/>
    <col min="10" max="10" width="3.7109375" style="5" customWidth="1"/>
    <col min="11" max="11" width="9.28515625" style="5" customWidth="1"/>
    <col min="12" max="12" width="9.85546875" style="5" customWidth="1"/>
    <col min="13" max="13" width="3.7109375" style="5" customWidth="1"/>
    <col min="14" max="15" width="9.140625" style="5"/>
    <col min="16" max="16" width="3.7109375" style="5" customWidth="1"/>
    <col min="17" max="18" width="9.140625" style="5"/>
    <col min="19" max="19" width="6.140625" style="5" customWidth="1"/>
    <col min="20" max="21" width="9.140625" style="5"/>
    <col min="22" max="22" width="3.7109375" style="5" customWidth="1"/>
    <col min="23" max="24" width="9.140625" style="5"/>
    <col min="25" max="25" width="1.7109375" style="5" customWidth="1"/>
    <col min="26" max="26" width="14" style="316" customWidth="1"/>
    <col min="27" max="27" width="10.140625" style="114" hidden="1" customWidth="1"/>
    <col min="28" max="28" width="9.140625" style="5" hidden="1" customWidth="1"/>
    <col min="29" max="29" width="22.85546875" style="5" hidden="1" customWidth="1"/>
    <col min="30" max="31" width="10.140625" style="5" hidden="1" customWidth="1"/>
    <col min="32" max="32" width="17.5703125" style="5" customWidth="1"/>
    <col min="33" max="33" width="10.7109375" style="5" customWidth="1"/>
    <col min="34" max="34" width="9.140625" style="5" customWidth="1"/>
    <col min="35" max="35" width="16.28515625" style="5" bestFit="1" customWidth="1"/>
    <col min="36" max="16384" width="9.140625" style="5"/>
  </cols>
  <sheetData>
    <row r="1" spans="1:35" x14ac:dyDescent="0.2">
      <c r="A1" s="11"/>
      <c r="B1" s="12"/>
      <c r="C1" s="12" t="s">
        <v>989</v>
      </c>
      <c r="D1" s="12"/>
      <c r="E1" s="12"/>
      <c r="F1" s="403">
        <v>327</v>
      </c>
      <c r="G1" s="12"/>
      <c r="H1" s="12"/>
      <c r="I1" s="12"/>
      <c r="J1" s="12"/>
      <c r="K1" s="12"/>
      <c r="L1" s="12"/>
      <c r="M1" s="12"/>
      <c r="N1" s="12"/>
      <c r="O1" s="12"/>
      <c r="P1" s="12"/>
      <c r="Q1" s="12"/>
      <c r="R1" s="779"/>
      <c r="S1" s="779"/>
      <c r="T1" s="12"/>
      <c r="U1" s="12"/>
      <c r="V1" s="12"/>
      <c r="W1" s="12"/>
      <c r="X1" s="12"/>
      <c r="Y1" s="13"/>
    </row>
    <row r="2" spans="1:35" ht="15.75" x14ac:dyDescent="0.25">
      <c r="A2" s="780" t="s">
        <v>40</v>
      </c>
      <c r="B2" s="781"/>
      <c r="C2" s="781"/>
      <c r="D2" s="781"/>
      <c r="E2" s="781"/>
      <c r="F2" s="781"/>
      <c r="G2" s="781"/>
      <c r="H2" s="781"/>
      <c r="I2" s="781"/>
      <c r="J2" s="781"/>
      <c r="K2" s="781"/>
      <c r="L2" s="781"/>
      <c r="M2" s="781"/>
      <c r="N2" s="781"/>
      <c r="O2" s="781"/>
      <c r="P2" s="781"/>
      <c r="Q2" s="781"/>
      <c r="R2" s="781"/>
      <c r="S2" s="781"/>
      <c r="T2" s="781"/>
      <c r="U2" s="781"/>
      <c r="V2" s="781"/>
      <c r="W2" s="781"/>
      <c r="X2" s="781"/>
      <c r="Y2" s="782"/>
    </row>
    <row r="3" spans="1:35" ht="15.75" x14ac:dyDescent="0.25">
      <c r="A3" s="780" t="s">
        <v>1219</v>
      </c>
      <c r="B3" s="781"/>
      <c r="C3" s="781"/>
      <c r="D3" s="781"/>
      <c r="E3" s="781"/>
      <c r="F3" s="781"/>
      <c r="G3" s="781"/>
      <c r="H3" s="781"/>
      <c r="I3" s="781"/>
      <c r="J3" s="781"/>
      <c r="K3" s="781"/>
      <c r="L3" s="781"/>
      <c r="M3" s="781"/>
      <c r="N3" s="781"/>
      <c r="O3" s="781"/>
      <c r="P3" s="781"/>
      <c r="Q3" s="781"/>
      <c r="R3" s="781"/>
      <c r="S3" s="781"/>
      <c r="T3" s="781"/>
      <c r="U3" s="781"/>
      <c r="V3" s="781"/>
      <c r="W3" s="781"/>
      <c r="X3" s="781"/>
      <c r="Y3" s="782"/>
    </row>
    <row r="4" spans="1:35" x14ac:dyDescent="0.2">
      <c r="A4" s="783"/>
      <c r="B4" s="784"/>
      <c r="C4" s="784"/>
      <c r="D4" s="784"/>
      <c r="E4" s="784"/>
      <c r="F4" s="784"/>
      <c r="G4" s="784"/>
      <c r="H4" s="784"/>
      <c r="I4" s="784"/>
      <c r="J4" s="784"/>
      <c r="K4" s="784"/>
      <c r="L4" s="784"/>
      <c r="M4" s="784"/>
      <c r="N4" s="784"/>
      <c r="O4" s="784"/>
      <c r="P4" s="784"/>
      <c r="Q4" s="784"/>
      <c r="R4" s="784"/>
      <c r="S4" s="784"/>
      <c r="T4" s="784"/>
      <c r="U4" s="784"/>
      <c r="V4" s="784"/>
      <c r="W4" s="784"/>
      <c r="X4" s="784"/>
      <c r="Y4" s="785"/>
    </row>
    <row r="5" spans="1:35" x14ac:dyDescent="0.2">
      <c r="A5" s="783"/>
      <c r="B5" s="784"/>
      <c r="C5" s="784"/>
      <c r="D5" s="784"/>
      <c r="E5" s="784"/>
      <c r="F5" s="784"/>
      <c r="G5" s="784"/>
      <c r="H5" s="784"/>
      <c r="I5" s="784"/>
      <c r="J5" s="784"/>
      <c r="K5" s="784"/>
      <c r="L5" s="784"/>
      <c r="M5" s="784"/>
      <c r="N5" s="784"/>
      <c r="O5" s="784"/>
      <c r="P5" s="784"/>
      <c r="Q5" s="784"/>
      <c r="R5" s="784"/>
      <c r="S5" s="784"/>
      <c r="T5" s="784"/>
      <c r="U5" s="784"/>
      <c r="V5" s="784"/>
      <c r="W5" s="784"/>
      <c r="X5" s="784"/>
      <c r="Y5" s="785"/>
    </row>
    <row r="6" spans="1:35" s="213" customFormat="1" x14ac:dyDescent="0.2">
      <c r="A6" s="43"/>
      <c r="B6" s="78"/>
      <c r="C6" s="78"/>
      <c r="D6" s="78"/>
      <c r="E6" s="78"/>
      <c r="F6" s="78"/>
      <c r="G6" s="78"/>
      <c r="H6" s="78"/>
      <c r="I6" s="78"/>
      <c r="J6" s="78"/>
      <c r="K6" s="78"/>
      <c r="L6" s="78"/>
      <c r="M6" s="78"/>
      <c r="N6" s="78"/>
      <c r="O6" s="78"/>
      <c r="P6" s="78"/>
      <c r="Q6" s="78"/>
      <c r="R6" s="78"/>
      <c r="S6" s="78"/>
      <c r="T6" s="78"/>
      <c r="U6" s="78"/>
      <c r="V6" s="78"/>
      <c r="W6" s="78"/>
      <c r="X6" s="78"/>
      <c r="Y6" s="79"/>
      <c r="Z6" s="317"/>
      <c r="AA6" s="315"/>
    </row>
    <row r="7" spans="1:35" ht="15.75" x14ac:dyDescent="0.25">
      <c r="A7" s="786"/>
      <c r="B7" s="787"/>
      <c r="C7" s="787"/>
      <c r="D7" s="787"/>
      <c r="E7" s="787"/>
      <c r="F7" s="787"/>
      <c r="G7" s="787"/>
      <c r="H7" s="787"/>
      <c r="I7" s="787"/>
      <c r="J7" s="787"/>
      <c r="K7" s="787"/>
      <c r="L7" s="787"/>
      <c r="M7" s="787"/>
      <c r="N7" s="787"/>
      <c r="O7" s="787"/>
      <c r="P7" s="787"/>
      <c r="Q7" s="787"/>
      <c r="R7" s="787"/>
      <c r="S7" s="787"/>
      <c r="T7" s="787"/>
      <c r="U7" s="787"/>
      <c r="V7" s="787"/>
      <c r="W7" s="787"/>
      <c r="X7" s="787"/>
      <c r="Y7" s="788"/>
    </row>
    <row r="8" spans="1:35" ht="15.75" thickBot="1" x14ac:dyDescent="0.25">
      <c r="A8" s="767"/>
      <c r="B8" s="768"/>
      <c r="C8" s="768"/>
      <c r="D8" s="768"/>
      <c r="E8" s="768"/>
      <c r="F8" s="768"/>
      <c r="G8" s="768"/>
      <c r="H8" s="768"/>
      <c r="I8" s="768"/>
      <c r="J8" s="768"/>
      <c r="K8" s="768"/>
      <c r="L8" s="768"/>
      <c r="M8" s="768"/>
      <c r="N8" s="768"/>
      <c r="O8" s="768"/>
      <c r="P8" s="768"/>
      <c r="Q8" s="768"/>
      <c r="R8" s="768"/>
      <c r="S8" s="768"/>
      <c r="T8" s="768"/>
      <c r="U8" s="768"/>
      <c r="V8" s="768"/>
      <c r="W8" s="768"/>
      <c r="X8" s="768"/>
      <c r="Y8" s="769"/>
      <c r="AB8" s="5" t="str">
        <f>VLOOKUP(F1,Datasheet1!A6:C332,2,FALSE)</f>
        <v>E0000</v>
      </c>
      <c r="AC8" s="5" t="str">
        <f>VLOOKUP(F1,Datasheet1!A6:C332,3,FALSE)</f>
        <v>England</v>
      </c>
    </row>
    <row r="9" spans="1:35" x14ac:dyDescent="0.2">
      <c r="A9" s="11"/>
      <c r="B9" s="12"/>
      <c r="C9" s="12"/>
      <c r="D9" s="12"/>
      <c r="E9" s="12"/>
      <c r="F9" s="12"/>
      <c r="G9" s="12"/>
      <c r="H9" s="12"/>
      <c r="I9" s="12"/>
      <c r="J9" s="12"/>
      <c r="K9" s="12"/>
      <c r="L9" s="12"/>
      <c r="M9" s="12"/>
      <c r="N9" s="12"/>
      <c r="O9" s="12"/>
      <c r="P9" s="12"/>
      <c r="Q9" s="12"/>
      <c r="R9" s="12"/>
      <c r="S9" s="12"/>
      <c r="T9" s="12"/>
      <c r="U9" s="12"/>
      <c r="V9" s="12"/>
      <c r="W9" s="12"/>
      <c r="X9" s="12"/>
      <c r="Y9" s="13"/>
    </row>
    <row r="10" spans="1:35" x14ac:dyDescent="0.2">
      <c r="A10" s="347"/>
      <c r="B10" s="38"/>
      <c r="C10" s="38"/>
      <c r="D10" s="38"/>
      <c r="E10" s="770" t="s">
        <v>44</v>
      </c>
      <c r="F10" s="770"/>
      <c r="G10" s="770"/>
      <c r="H10" s="770"/>
      <c r="I10" s="770"/>
      <c r="J10" s="770"/>
      <c r="K10" s="38"/>
      <c r="L10" s="33"/>
      <c r="M10" s="33"/>
      <c r="N10" s="33"/>
      <c r="O10" s="34"/>
      <c r="P10" s="38"/>
      <c r="Q10" s="38"/>
      <c r="R10" s="38"/>
      <c r="S10" s="38"/>
      <c r="T10" s="38"/>
      <c r="U10" s="38"/>
      <c r="V10" s="38"/>
      <c r="W10" s="38"/>
      <c r="X10" s="38"/>
      <c r="Y10" s="39"/>
      <c r="AE10" s="252"/>
    </row>
    <row r="11" spans="1:35" ht="15.75" x14ac:dyDescent="0.25">
      <c r="A11" s="347"/>
      <c r="B11" s="38"/>
      <c r="C11" s="38"/>
      <c r="D11" s="38"/>
      <c r="E11" s="38"/>
      <c r="F11" s="34"/>
      <c r="G11" s="34"/>
      <c r="H11" s="34"/>
      <c r="I11" s="34"/>
      <c r="J11" s="34"/>
      <c r="K11" s="34"/>
      <c r="L11" s="33"/>
      <c r="M11" s="33"/>
      <c r="N11" s="33"/>
      <c r="O11" s="34"/>
      <c r="P11" s="38"/>
      <c r="Q11" s="38"/>
      <c r="R11" s="38"/>
      <c r="S11" s="38"/>
      <c r="T11" s="38"/>
      <c r="U11" s="38"/>
      <c r="V11" s="38"/>
      <c r="W11" s="38"/>
      <c r="X11" s="38"/>
      <c r="Y11" s="39"/>
      <c r="Z11" s="321"/>
      <c r="AE11" s="252"/>
      <c r="AI11" s="71"/>
    </row>
    <row r="12" spans="1:35" x14ac:dyDescent="0.2">
      <c r="A12" s="347"/>
      <c r="B12" s="38"/>
      <c r="C12" s="38"/>
      <c r="D12" s="38"/>
      <c r="E12" s="38"/>
      <c r="F12" s="35"/>
      <c r="G12" s="35"/>
      <c r="H12" s="35"/>
      <c r="I12" s="35"/>
      <c r="J12" s="35"/>
      <c r="K12" s="35"/>
      <c r="L12" s="36"/>
      <c r="M12" s="36"/>
      <c r="N12" s="36"/>
      <c r="O12" s="35"/>
      <c r="P12" s="38"/>
      <c r="Q12" s="38"/>
      <c r="R12" s="38"/>
      <c r="S12" s="38"/>
      <c r="T12" s="38"/>
      <c r="U12" s="38"/>
      <c r="V12" s="38"/>
      <c r="W12" s="38"/>
      <c r="X12" s="38"/>
      <c r="Y12" s="39"/>
      <c r="AE12" s="253"/>
    </row>
    <row r="13" spans="1:35" x14ac:dyDescent="0.2">
      <c r="A13" s="347"/>
      <c r="B13" s="38"/>
      <c r="C13" s="38"/>
      <c r="D13" s="38"/>
      <c r="E13" s="38"/>
      <c r="F13" s="35"/>
      <c r="G13" s="35"/>
      <c r="H13" s="35"/>
      <c r="I13" s="35"/>
      <c r="J13" s="35"/>
      <c r="K13" s="35"/>
      <c r="L13" s="36"/>
      <c r="M13" s="36"/>
      <c r="N13" s="36"/>
      <c r="O13" s="35"/>
      <c r="P13" s="38"/>
      <c r="Q13" s="38"/>
      <c r="R13" s="38"/>
      <c r="S13" s="38"/>
      <c r="T13" s="38"/>
      <c r="U13" s="38"/>
      <c r="V13" s="38"/>
      <c r="W13" s="38"/>
      <c r="X13" s="38"/>
      <c r="Y13" s="39"/>
      <c r="AE13" s="252"/>
    </row>
    <row r="14" spans="1:35" x14ac:dyDescent="0.2">
      <c r="A14" s="347"/>
      <c r="B14" s="38"/>
      <c r="C14" s="38"/>
      <c r="D14" s="38"/>
      <c r="E14" s="38"/>
      <c r="F14" s="35"/>
      <c r="G14" s="35"/>
      <c r="H14" s="35"/>
      <c r="I14" s="35"/>
      <c r="J14" s="35"/>
      <c r="K14" s="35"/>
      <c r="L14" s="36"/>
      <c r="M14" s="36"/>
      <c r="N14" s="36"/>
      <c r="O14" s="35"/>
      <c r="P14" s="38"/>
      <c r="Q14" s="38"/>
      <c r="R14" s="38"/>
      <c r="S14" s="38"/>
      <c r="T14" s="38"/>
      <c r="U14" s="38"/>
      <c r="V14" s="38"/>
      <c r="W14" s="38"/>
      <c r="X14" s="38"/>
      <c r="Y14" s="39"/>
      <c r="AE14" s="252"/>
    </row>
    <row r="15" spans="1:35" hidden="1" x14ac:dyDescent="0.2">
      <c r="A15" s="347"/>
      <c r="B15" s="38"/>
      <c r="C15" s="38"/>
      <c r="D15" s="38"/>
      <c r="E15" s="37"/>
      <c r="F15" s="35"/>
      <c r="G15" s="38"/>
      <c r="H15" s="35"/>
      <c r="I15" s="38"/>
      <c r="J15" s="35"/>
      <c r="K15" s="35"/>
      <c r="L15" s="771" t="str">
        <f>VLOOKUP(F1,Data!$A$8:$B$335,2,FALSE)</f>
        <v>England</v>
      </c>
      <c r="M15" s="771"/>
      <c r="N15" s="771"/>
      <c r="O15" s="771"/>
      <c r="P15" s="771"/>
      <c r="Q15" s="772"/>
      <c r="R15" s="38"/>
      <c r="S15" s="38"/>
      <c r="T15" s="38"/>
      <c r="U15" s="38"/>
      <c r="V15" s="38"/>
      <c r="W15" s="38"/>
      <c r="X15" s="38"/>
      <c r="Y15" s="39"/>
      <c r="AE15" s="252"/>
    </row>
    <row r="16" spans="1:35" hidden="1" x14ac:dyDescent="0.2">
      <c r="A16" s="347"/>
      <c r="B16" s="38"/>
      <c r="C16" s="38"/>
      <c r="D16" s="38"/>
      <c r="E16" s="37"/>
      <c r="F16" s="35"/>
      <c r="G16" s="38"/>
      <c r="H16" s="35"/>
      <c r="I16" s="38"/>
      <c r="J16" s="35"/>
      <c r="K16" s="35"/>
      <c r="L16" s="771" t="str">
        <f>VLOOKUP(F1,datar,3,FALSE)</f>
        <v>E0000</v>
      </c>
      <c r="M16" s="773"/>
      <c r="N16" s="773"/>
      <c r="O16" s="773"/>
      <c r="P16" s="773"/>
      <c r="Q16" s="774"/>
      <c r="R16" s="38"/>
      <c r="S16" s="38"/>
      <c r="T16" s="38"/>
      <c r="U16" s="38"/>
      <c r="V16" s="38"/>
      <c r="W16" s="38"/>
      <c r="X16" s="38"/>
      <c r="Y16" s="39"/>
      <c r="AE16" s="253"/>
    </row>
    <row r="17" spans="1:35" ht="15.75" thickBot="1" x14ac:dyDescent="0.25">
      <c r="A17" s="40"/>
      <c r="B17" s="41"/>
      <c r="C17" s="41"/>
      <c r="D17" s="41"/>
      <c r="E17" s="41"/>
      <c r="F17" s="41"/>
      <c r="G17" s="41"/>
      <c r="H17" s="41"/>
      <c r="I17" s="41"/>
      <c r="J17" s="41"/>
      <c r="K17" s="41"/>
      <c r="L17" s="41"/>
      <c r="M17" s="41"/>
      <c r="N17" s="41"/>
      <c r="O17" s="41"/>
      <c r="P17" s="41"/>
      <c r="Q17" s="41"/>
      <c r="R17" s="41"/>
      <c r="S17" s="41"/>
      <c r="T17" s="41"/>
      <c r="U17" s="41"/>
      <c r="V17" s="41"/>
      <c r="W17" s="588"/>
      <c r="X17" s="590"/>
      <c r="Y17" s="42"/>
    </row>
    <row r="18" spans="1:35" x14ac:dyDescent="0.2">
      <c r="A18" s="7"/>
      <c r="B18" s="6"/>
      <c r="C18" s="6"/>
      <c r="D18" s="6"/>
      <c r="E18" s="6"/>
      <c r="F18" s="6"/>
      <c r="G18" s="6"/>
      <c r="H18" s="6"/>
      <c r="I18" s="6"/>
      <c r="J18" s="6"/>
      <c r="K18" s="6"/>
      <c r="L18" s="6"/>
      <c r="M18" s="6"/>
      <c r="N18" s="6"/>
      <c r="O18" s="6"/>
      <c r="P18" s="6"/>
      <c r="Q18" s="6"/>
      <c r="R18" s="6"/>
      <c r="S18" s="6"/>
      <c r="T18" s="6"/>
      <c r="U18" s="6"/>
      <c r="V18" s="6"/>
      <c r="W18" s="6"/>
      <c r="X18" s="6"/>
      <c r="Y18" s="8"/>
      <c r="AB18" s="81"/>
      <c r="AC18" s="80"/>
      <c r="AD18" s="81"/>
      <c r="AE18" s="82"/>
      <c r="AF18" s="4"/>
      <c r="AG18" s="4"/>
      <c r="AH18" s="4"/>
      <c r="AI18" s="83"/>
    </row>
    <row r="19" spans="1:35" ht="15.75" x14ac:dyDescent="0.2">
      <c r="A19" s="7"/>
      <c r="B19" s="6"/>
      <c r="C19" s="777" t="s">
        <v>41</v>
      </c>
      <c r="D19" s="777"/>
      <c r="E19" s="777"/>
      <c r="F19" s="777"/>
      <c r="G19" s="777"/>
      <c r="H19" s="74"/>
      <c r="I19" s="74"/>
      <c r="J19" s="6"/>
      <c r="K19" s="6"/>
      <c r="L19" s="6"/>
      <c r="M19" s="6"/>
      <c r="N19" s="6"/>
      <c r="O19" s="6"/>
      <c r="P19" s="6"/>
      <c r="Q19" s="6"/>
      <c r="R19" s="6"/>
      <c r="S19" s="6"/>
      <c r="T19" s="6"/>
      <c r="U19" s="6"/>
      <c r="V19" s="6"/>
      <c r="W19" s="6"/>
      <c r="X19" s="6"/>
      <c r="Y19" s="8"/>
      <c r="AB19" s="81"/>
      <c r="AC19" s="81"/>
      <c r="AD19" s="81"/>
      <c r="AE19" s="4"/>
      <c r="AF19" s="4"/>
      <c r="AG19" s="4"/>
      <c r="AH19" s="4"/>
      <c r="AI19" s="83"/>
    </row>
    <row r="20" spans="1:35" ht="15.75" x14ac:dyDescent="0.2">
      <c r="A20" s="7"/>
      <c r="B20" s="6"/>
      <c r="C20" s="144"/>
      <c r="D20" s="144"/>
      <c r="E20" s="144"/>
      <c r="F20" s="144"/>
      <c r="G20" s="144"/>
      <c r="H20" s="74"/>
      <c r="I20" s="74"/>
      <c r="J20" s="6"/>
      <c r="K20" s="6"/>
      <c r="L20" s="6"/>
      <c r="M20" s="6"/>
      <c r="N20" s="6"/>
      <c r="O20" s="6"/>
      <c r="P20" s="6"/>
      <c r="Q20" s="6"/>
      <c r="R20" s="6"/>
      <c r="S20" s="6"/>
      <c r="T20" s="6"/>
      <c r="U20" s="6"/>
      <c r="V20" s="6"/>
      <c r="W20" s="6"/>
      <c r="X20" s="6"/>
      <c r="Y20" s="8"/>
      <c r="AB20" s="81"/>
      <c r="AC20" s="106"/>
      <c r="AD20" s="81"/>
      <c r="AE20" s="4"/>
      <c r="AF20" s="4"/>
      <c r="AG20" s="4"/>
      <c r="AH20" s="4"/>
      <c r="AI20" s="83"/>
    </row>
    <row r="21" spans="1:35" ht="16.5" thickBot="1" x14ac:dyDescent="0.3">
      <c r="A21" s="7"/>
      <c r="B21" s="6"/>
      <c r="C21" s="115" t="s">
        <v>48</v>
      </c>
      <c r="D21" s="74"/>
      <c r="E21" s="74"/>
      <c r="F21" s="74"/>
      <c r="G21" s="74"/>
      <c r="H21" s="74"/>
      <c r="I21" s="74"/>
      <c r="J21" s="6"/>
      <c r="K21" s="778" t="s">
        <v>20</v>
      </c>
      <c r="L21" s="778"/>
      <c r="M21" s="6"/>
      <c r="N21" s="6"/>
      <c r="O21" s="6"/>
      <c r="P21" s="6"/>
      <c r="Q21" s="6"/>
      <c r="R21" s="9"/>
      <c r="S21" s="6"/>
      <c r="T21" s="6"/>
      <c r="U21" s="6"/>
      <c r="V21" s="6"/>
      <c r="W21" s="6"/>
      <c r="X21" s="6"/>
      <c r="Y21" s="8"/>
      <c r="AB21" s="81"/>
      <c r="AC21" s="106"/>
      <c r="AD21" s="81"/>
      <c r="AE21" s="4"/>
      <c r="AF21" s="4"/>
      <c r="AG21" s="4"/>
      <c r="AH21" s="4"/>
      <c r="AI21" s="83"/>
    </row>
    <row r="22" spans="1:35" ht="16.5" thickBot="1" x14ac:dyDescent="0.25">
      <c r="A22" s="7"/>
      <c r="B22" s="6"/>
      <c r="C22" s="766" t="s">
        <v>964</v>
      </c>
      <c r="D22" s="775"/>
      <c r="E22" s="775"/>
      <c r="F22" s="775"/>
      <c r="G22" s="775"/>
      <c r="H22" s="775"/>
      <c r="I22" s="775"/>
      <c r="J22" s="6"/>
      <c r="K22" s="759">
        <f>VLOOKUP($L$16,Datasheet1!$B$6:$R$332,3,FALSE)</f>
        <v>23869627172.889999</v>
      </c>
      <c r="L22" s="760"/>
      <c r="M22" s="64"/>
      <c r="N22" s="64"/>
      <c r="O22" s="6"/>
      <c r="P22" s="65"/>
      <c r="Q22" s="65"/>
      <c r="R22" s="66"/>
      <c r="S22" s="64"/>
      <c r="T22" s="64"/>
      <c r="U22" s="64"/>
      <c r="V22" s="64"/>
      <c r="W22" s="64"/>
      <c r="X22" s="64"/>
      <c r="Y22" s="8"/>
      <c r="AB22" s="204"/>
      <c r="AC22" s="97"/>
      <c r="AD22" s="97"/>
      <c r="AE22" s="98"/>
      <c r="AF22" s="98"/>
      <c r="AG22" s="71"/>
      <c r="AH22" s="71"/>
      <c r="AI22" s="71"/>
    </row>
    <row r="23" spans="1:35" ht="15.75" x14ac:dyDescent="0.2">
      <c r="A23" s="7"/>
      <c r="B23" s="6"/>
      <c r="C23" s="766"/>
      <c r="D23" s="775"/>
      <c r="E23" s="775"/>
      <c r="F23" s="775"/>
      <c r="G23" s="775"/>
      <c r="H23" s="775"/>
      <c r="I23" s="775"/>
      <c r="J23" s="64"/>
      <c r="K23" s="64"/>
      <c r="L23" s="64"/>
      <c r="M23" s="64"/>
      <c r="N23" s="64"/>
      <c r="O23" s="6"/>
      <c r="P23" s="65"/>
      <c r="Q23" s="65"/>
      <c r="R23" s="66"/>
      <c r="S23" s="64"/>
      <c r="T23" s="64"/>
      <c r="U23" s="64"/>
      <c r="V23" s="64"/>
      <c r="W23" s="64"/>
      <c r="X23" s="64"/>
      <c r="Y23" s="8"/>
      <c r="Z23" s="318"/>
      <c r="AB23" s="204"/>
      <c r="AC23" s="96"/>
      <c r="AD23" s="97"/>
      <c r="AE23" s="100"/>
      <c r="AF23" s="98"/>
      <c r="AG23" s="71"/>
      <c r="AH23" s="71"/>
      <c r="AI23" s="71"/>
    </row>
    <row r="24" spans="1:35" x14ac:dyDescent="0.2">
      <c r="A24" s="7"/>
      <c r="B24" s="6"/>
      <c r="C24" s="775"/>
      <c r="D24" s="775"/>
      <c r="E24" s="775"/>
      <c r="F24" s="775"/>
      <c r="G24" s="775"/>
      <c r="H24" s="775"/>
      <c r="I24" s="775"/>
      <c r="J24" s="6"/>
      <c r="K24" s="64"/>
      <c r="L24" s="64"/>
      <c r="M24" s="64"/>
      <c r="N24" s="64"/>
      <c r="O24" s="6"/>
      <c r="P24" s="65"/>
      <c r="Q24" s="65"/>
      <c r="R24" s="65"/>
      <c r="S24" s="64"/>
      <c r="T24" s="64"/>
      <c r="U24" s="64"/>
      <c r="V24" s="64"/>
      <c r="W24" s="64"/>
      <c r="X24" s="64"/>
      <c r="Y24" s="8"/>
      <c r="AB24" s="71"/>
      <c r="AC24" s="96"/>
      <c r="AD24" s="98"/>
      <c r="AE24" s="100"/>
      <c r="AF24" s="98"/>
      <c r="AG24" s="71"/>
      <c r="AH24" s="71"/>
    </row>
    <row r="25" spans="1:35" x14ac:dyDescent="0.2">
      <c r="A25" s="7"/>
      <c r="B25" s="6"/>
      <c r="C25" s="74"/>
      <c r="D25" s="74"/>
      <c r="E25" s="74"/>
      <c r="F25" s="74"/>
      <c r="G25" s="74"/>
      <c r="H25" s="74"/>
      <c r="I25" s="74"/>
      <c r="J25" s="10"/>
      <c r="K25" s="64"/>
      <c r="L25" s="64"/>
      <c r="M25" s="64"/>
      <c r="N25" s="64"/>
      <c r="O25" s="6"/>
      <c r="P25" s="65"/>
      <c r="Q25" s="65"/>
      <c r="R25" s="65"/>
      <c r="S25" s="64"/>
      <c r="T25" s="64"/>
      <c r="U25" s="64"/>
      <c r="V25" s="64"/>
      <c r="W25" s="64"/>
      <c r="X25" s="64"/>
      <c r="Y25" s="8"/>
      <c r="AB25" s="71"/>
      <c r="AC25" s="96"/>
      <c r="AD25" s="98"/>
      <c r="AE25" s="100"/>
      <c r="AF25" s="98"/>
      <c r="AG25" s="71"/>
      <c r="AH25" s="71"/>
    </row>
    <row r="26" spans="1:35" ht="16.5" thickBot="1" x14ac:dyDescent="0.25">
      <c r="A26" s="7"/>
      <c r="B26" s="6"/>
      <c r="C26" s="776" t="s">
        <v>15</v>
      </c>
      <c r="D26" s="776"/>
      <c r="E26" s="776"/>
      <c r="F26" s="776"/>
      <c r="G26" s="776"/>
      <c r="H26" s="776"/>
      <c r="I26" s="776"/>
      <c r="J26" s="6"/>
      <c r="K26" s="64"/>
      <c r="L26" s="64"/>
      <c r="M26" s="64"/>
      <c r="N26" s="64"/>
      <c r="O26" s="6"/>
      <c r="P26" s="65"/>
      <c r="Q26" s="65"/>
      <c r="R26" s="65"/>
      <c r="S26" s="64"/>
      <c r="T26" s="64"/>
      <c r="U26" s="64"/>
      <c r="V26" s="64"/>
      <c r="W26" s="64"/>
      <c r="X26" s="64"/>
      <c r="Y26" s="8"/>
      <c r="AB26" s="71"/>
      <c r="AC26" s="96"/>
      <c r="AD26" s="98"/>
      <c r="AE26" s="100"/>
      <c r="AF26" s="98"/>
      <c r="AG26" s="71"/>
      <c r="AH26" s="71"/>
    </row>
    <row r="27" spans="1:35" ht="16.5" thickBot="1" x14ac:dyDescent="0.25">
      <c r="A27" s="7"/>
      <c r="B27" s="6"/>
      <c r="C27" s="74" t="s">
        <v>965</v>
      </c>
      <c r="D27" s="74"/>
      <c r="E27" s="74"/>
      <c r="F27" s="74"/>
      <c r="G27" s="74"/>
      <c r="H27" s="74"/>
      <c r="I27" s="74"/>
      <c r="J27" s="6"/>
      <c r="K27" s="759">
        <f>VLOOKUP($L$16,Datasheet1!$B$6:$R$332,4,FALSE)</f>
        <v>4698663</v>
      </c>
      <c r="L27" s="760"/>
      <c r="M27" s="64"/>
      <c r="N27" s="64"/>
      <c r="O27" s="6"/>
      <c r="P27" s="65"/>
      <c r="Q27" s="65"/>
      <c r="R27" s="65"/>
      <c r="S27" s="64"/>
      <c r="T27" s="64"/>
      <c r="U27" s="64"/>
      <c r="V27" s="64"/>
      <c r="W27" s="64"/>
      <c r="X27" s="64"/>
      <c r="Y27" s="8"/>
      <c r="AB27" s="71"/>
      <c r="AC27" s="96"/>
      <c r="AD27" s="98"/>
      <c r="AE27" s="98"/>
      <c r="AF27" s="98"/>
      <c r="AG27" s="71"/>
      <c r="AH27" s="71"/>
    </row>
    <row r="28" spans="1:35" ht="15.75" thickBot="1" x14ac:dyDescent="0.25">
      <c r="A28" s="7"/>
      <c r="B28" s="6"/>
      <c r="C28" s="74"/>
      <c r="D28" s="74"/>
      <c r="E28" s="74"/>
      <c r="F28" s="74"/>
      <c r="G28" s="74"/>
      <c r="H28" s="74"/>
      <c r="I28" s="74"/>
      <c r="J28" s="6"/>
      <c r="K28" s="64"/>
      <c r="L28" s="64"/>
      <c r="M28" s="64"/>
      <c r="N28" s="64"/>
      <c r="O28" s="67"/>
      <c r="P28" s="65"/>
      <c r="Q28" s="65"/>
      <c r="R28" s="65"/>
      <c r="S28" s="64"/>
      <c r="T28" s="64"/>
      <c r="U28" s="64"/>
      <c r="V28" s="64"/>
      <c r="W28" s="64"/>
      <c r="X28" s="64"/>
      <c r="Y28" s="8"/>
      <c r="AB28" s="71"/>
      <c r="AC28" s="99"/>
      <c r="AD28" s="71"/>
      <c r="AE28" s="71"/>
      <c r="AF28" s="71"/>
      <c r="AG28" s="71"/>
      <c r="AH28" s="71"/>
    </row>
    <row r="29" spans="1:35" ht="16.5" thickBot="1" x14ac:dyDescent="0.25">
      <c r="A29" s="7"/>
      <c r="B29" s="6"/>
      <c r="C29" s="74" t="s">
        <v>966</v>
      </c>
      <c r="D29" s="74"/>
      <c r="E29" s="74"/>
      <c r="F29" s="74"/>
      <c r="G29" s="74"/>
      <c r="H29" s="74"/>
      <c r="I29" s="74"/>
      <c r="J29" s="6"/>
      <c r="K29" s="759">
        <f>VLOOKUP($L$16,Datasheet1!$B$6:$R$332,5,FALSE)</f>
        <v>113720208</v>
      </c>
      <c r="L29" s="760"/>
      <c r="M29" s="64"/>
      <c r="N29" s="64"/>
      <c r="O29" s="67"/>
      <c r="P29" s="65"/>
      <c r="Q29" s="65"/>
      <c r="R29" s="65"/>
      <c r="S29" s="64"/>
      <c r="T29" s="64"/>
      <c r="U29" s="64"/>
      <c r="V29" s="64"/>
      <c r="W29" s="64"/>
      <c r="X29" s="64"/>
      <c r="Y29" s="8"/>
      <c r="AB29" s="71"/>
      <c r="AC29" s="71"/>
      <c r="AD29" s="71"/>
      <c r="AE29" s="71"/>
      <c r="AF29" s="71"/>
      <c r="AG29" s="71"/>
      <c r="AH29" s="71"/>
    </row>
    <row r="30" spans="1:35" x14ac:dyDescent="0.2">
      <c r="A30" s="7"/>
      <c r="B30" s="6"/>
      <c r="C30" s="74"/>
      <c r="D30" s="74"/>
      <c r="E30" s="74"/>
      <c r="F30" s="74"/>
      <c r="G30" s="74"/>
      <c r="H30" s="74"/>
      <c r="I30" s="74"/>
      <c r="J30" s="6"/>
      <c r="K30" s="64"/>
      <c r="L30" s="64"/>
      <c r="M30" s="64"/>
      <c r="N30" s="64"/>
      <c r="O30" s="67"/>
      <c r="P30" s="65"/>
      <c r="Q30" s="65"/>
      <c r="R30" s="65"/>
      <c r="S30" s="64"/>
      <c r="T30" s="64"/>
      <c r="U30" s="64"/>
      <c r="V30" s="64"/>
      <c r="W30" s="64"/>
      <c r="X30" s="64"/>
      <c r="Y30" s="8"/>
    </row>
    <row r="31" spans="1:35" ht="16.5" thickBot="1" x14ac:dyDescent="0.25">
      <c r="A31" s="7"/>
      <c r="B31" s="6"/>
      <c r="C31" s="115" t="s">
        <v>49</v>
      </c>
      <c r="D31" s="115"/>
      <c r="E31" s="115"/>
      <c r="F31" s="115"/>
      <c r="G31" s="74"/>
      <c r="H31" s="74"/>
      <c r="I31" s="74"/>
      <c r="J31" s="6"/>
      <c r="K31" s="64"/>
      <c r="L31" s="64"/>
      <c r="M31" s="64"/>
      <c r="N31" s="64"/>
      <c r="O31" s="67"/>
      <c r="P31" s="65"/>
      <c r="Q31" s="65"/>
      <c r="R31" s="65"/>
      <c r="S31" s="64"/>
      <c r="T31" s="64"/>
      <c r="U31" s="64"/>
      <c r="V31" s="64"/>
      <c r="W31" s="64"/>
      <c r="X31" s="64"/>
      <c r="Y31" s="8"/>
    </row>
    <row r="32" spans="1:35" ht="16.5" thickBot="1" x14ac:dyDescent="0.3">
      <c r="A32" s="7"/>
      <c r="B32" s="6"/>
      <c r="C32" s="74" t="s">
        <v>31</v>
      </c>
      <c r="D32" s="74"/>
      <c r="E32" s="74"/>
      <c r="F32" s="74"/>
      <c r="G32" s="74"/>
      <c r="H32" s="74"/>
      <c r="I32" s="74"/>
      <c r="J32" s="6"/>
      <c r="K32" s="759">
        <f>VLOOKUP($L$16,Datasheet1!$B$6:$R$332,6,FALSE)</f>
        <v>84000006</v>
      </c>
      <c r="L32" s="760"/>
      <c r="M32" s="64"/>
      <c r="N32" s="64"/>
      <c r="O32" s="75"/>
      <c r="P32" s="65"/>
      <c r="Q32" s="65"/>
      <c r="R32" s="65"/>
      <c r="S32" s="64"/>
      <c r="T32" s="64"/>
      <c r="U32" s="64"/>
      <c r="V32" s="64"/>
      <c r="W32" s="64"/>
      <c r="X32" s="64"/>
      <c r="Y32" s="8"/>
      <c r="Z32" s="321"/>
      <c r="AA32" s="320"/>
    </row>
    <row r="33" spans="1:33" ht="16.5" thickBot="1" x14ac:dyDescent="0.25">
      <c r="A33" s="7"/>
      <c r="B33" s="6"/>
      <c r="C33" s="74"/>
      <c r="D33" s="74"/>
      <c r="E33" s="74"/>
      <c r="F33" s="74"/>
      <c r="G33" s="74"/>
      <c r="H33" s="74"/>
      <c r="I33" s="74"/>
      <c r="J33" s="6"/>
      <c r="K33" s="76"/>
      <c r="L33" s="64"/>
      <c r="M33" s="64"/>
      <c r="N33" s="64"/>
      <c r="O33" s="67"/>
      <c r="P33" s="65"/>
      <c r="Q33" s="65"/>
      <c r="R33" s="65"/>
      <c r="S33" s="64"/>
      <c r="T33" s="64"/>
      <c r="U33" s="64"/>
      <c r="V33" s="64"/>
      <c r="W33" s="64"/>
      <c r="X33" s="64"/>
      <c r="Y33" s="8"/>
      <c r="AA33" s="380" t="s">
        <v>1067</v>
      </c>
    </row>
    <row r="34" spans="1:33" ht="16.5" thickBot="1" x14ac:dyDescent="0.25">
      <c r="A34" s="7"/>
      <c r="B34" s="6"/>
      <c r="C34" s="74" t="s">
        <v>967</v>
      </c>
      <c r="D34" s="74"/>
      <c r="E34" s="74"/>
      <c r="F34" s="74"/>
      <c r="G34" s="74"/>
      <c r="H34" s="74"/>
      <c r="I34" s="74"/>
      <c r="J34" s="6"/>
      <c r="K34" s="759">
        <f>VLOOKUP($L$16,Datasheet1!$B$6:$R$332,7,FALSE)</f>
        <v>113454</v>
      </c>
      <c r="L34" s="760"/>
      <c r="M34" s="64"/>
      <c r="N34" s="64"/>
      <c r="O34" s="67"/>
      <c r="P34" s="65"/>
      <c r="Q34" s="65"/>
      <c r="R34" s="65"/>
      <c r="S34" s="64"/>
      <c r="T34" s="64"/>
      <c r="U34" s="64"/>
      <c r="V34" s="64"/>
      <c r="W34" s="64"/>
      <c r="X34" s="64"/>
      <c r="Y34" s="8"/>
      <c r="AA34" s="573">
        <f>ROUND(K34,0)</f>
        <v>113454</v>
      </c>
      <c r="AB34" s="574"/>
      <c r="AC34" s="575">
        <f>K34</f>
        <v>113454</v>
      </c>
      <c r="AD34" s="213"/>
      <c r="AE34" s="575">
        <f>AC34-AA34</f>
        <v>0</v>
      </c>
      <c r="AF34" s="213"/>
      <c r="AG34" s="213" t="str">
        <f>IF(AE34&lt;&gt;0,"Please remove pence. All figures shown in whole £s","")</f>
        <v/>
      </c>
    </row>
    <row r="35" spans="1:33" ht="16.5" thickBot="1" x14ac:dyDescent="0.25">
      <c r="A35" s="7"/>
      <c r="B35" s="6"/>
      <c r="C35" s="74"/>
      <c r="D35" s="74"/>
      <c r="E35" s="74"/>
      <c r="F35" s="74"/>
      <c r="G35" s="74"/>
      <c r="H35" s="74"/>
      <c r="I35" s="74"/>
      <c r="J35" s="6"/>
      <c r="K35" s="76"/>
      <c r="L35" s="64"/>
      <c r="M35" s="64"/>
      <c r="N35" s="64"/>
      <c r="O35" s="67"/>
      <c r="P35" s="65"/>
      <c r="Q35" s="65"/>
      <c r="R35" s="65"/>
      <c r="S35" s="64"/>
      <c r="T35" s="64"/>
      <c r="U35" s="64"/>
      <c r="V35" s="64"/>
      <c r="W35" s="64"/>
      <c r="X35" s="64"/>
      <c r="Y35" s="8"/>
      <c r="AA35" s="315"/>
      <c r="AB35" s="213"/>
      <c r="AC35" s="213"/>
      <c r="AD35" s="213"/>
      <c r="AE35" s="213"/>
      <c r="AF35" s="213"/>
      <c r="AG35" s="213"/>
    </row>
    <row r="36" spans="1:33" ht="16.5" thickBot="1" x14ac:dyDescent="0.25">
      <c r="A36" s="7"/>
      <c r="B36" s="6"/>
      <c r="C36" s="74" t="s">
        <v>968</v>
      </c>
      <c r="D36" s="74"/>
      <c r="E36" s="74"/>
      <c r="F36" s="74"/>
      <c r="G36" s="74"/>
      <c r="H36" s="74"/>
      <c r="I36" s="74"/>
      <c r="J36" s="6"/>
      <c r="K36" s="759">
        <f>VLOOKUP($L$16,Datasheet1!$B$6:$R$332,8,FALSE)</f>
        <v>84113460</v>
      </c>
      <c r="L36" s="760"/>
      <c r="M36" s="64"/>
      <c r="N36" s="64"/>
      <c r="O36" s="67"/>
      <c r="P36" s="65"/>
      <c r="Q36" s="65"/>
      <c r="R36" s="65"/>
      <c r="S36" s="64"/>
      <c r="T36" s="64"/>
      <c r="U36" s="64"/>
      <c r="V36" s="64"/>
      <c r="W36" s="64"/>
      <c r="X36" s="64"/>
      <c r="Y36" s="8"/>
      <c r="AA36" s="315"/>
      <c r="AB36" s="213"/>
      <c r="AC36" s="213"/>
      <c r="AD36" s="213"/>
      <c r="AE36" s="213"/>
      <c r="AF36" s="213"/>
      <c r="AG36" s="213"/>
    </row>
    <row r="37" spans="1:33" ht="15.75" x14ac:dyDescent="0.2">
      <c r="A37" s="7"/>
      <c r="B37" s="6"/>
      <c r="C37" s="74"/>
      <c r="D37" s="74"/>
      <c r="E37" s="74"/>
      <c r="F37" s="74"/>
      <c r="G37" s="74"/>
      <c r="H37" s="74"/>
      <c r="I37" s="74"/>
      <c r="J37" s="6"/>
      <c r="K37" s="76"/>
      <c r="L37" s="64"/>
      <c r="M37" s="64"/>
      <c r="N37" s="64"/>
      <c r="O37" s="67"/>
      <c r="P37" s="65"/>
      <c r="Q37" s="65"/>
      <c r="R37" s="65"/>
      <c r="S37" s="64"/>
      <c r="T37" s="64"/>
      <c r="U37" s="64"/>
      <c r="V37" s="64"/>
      <c r="W37" s="64"/>
      <c r="X37" s="64"/>
      <c r="Y37" s="8"/>
      <c r="AA37" s="315"/>
      <c r="AB37" s="213"/>
      <c r="AC37" s="213"/>
      <c r="AD37" s="213"/>
      <c r="AE37" s="213"/>
      <c r="AF37" s="213"/>
      <c r="AG37" s="213"/>
    </row>
    <row r="38" spans="1:33" ht="16.5" thickBot="1" x14ac:dyDescent="0.25">
      <c r="A38" s="7"/>
      <c r="B38" s="6"/>
      <c r="C38" s="115" t="s">
        <v>32</v>
      </c>
      <c r="D38" s="74"/>
      <c r="E38" s="74"/>
      <c r="F38" s="74"/>
      <c r="G38" s="74"/>
      <c r="H38" s="74"/>
      <c r="I38" s="74"/>
      <c r="J38" s="6"/>
      <c r="K38" s="76"/>
      <c r="L38" s="64"/>
      <c r="M38" s="64"/>
      <c r="N38" s="64"/>
      <c r="O38" s="67"/>
      <c r="P38" s="65"/>
      <c r="Q38" s="65"/>
      <c r="R38" s="65"/>
      <c r="S38" s="64"/>
      <c r="T38" s="64"/>
      <c r="U38" s="64"/>
      <c r="V38" s="64"/>
      <c r="W38" s="64"/>
      <c r="X38" s="64"/>
      <c r="Y38" s="8"/>
      <c r="AA38" s="315"/>
      <c r="AB38" s="213"/>
      <c r="AC38" s="213"/>
      <c r="AD38" s="213"/>
      <c r="AE38" s="213"/>
      <c r="AF38" s="213"/>
      <c r="AG38" s="213"/>
    </row>
    <row r="39" spans="1:33" ht="16.5" thickBot="1" x14ac:dyDescent="0.3">
      <c r="A39" s="7"/>
      <c r="B39" s="6"/>
      <c r="C39" s="74" t="s">
        <v>1177</v>
      </c>
      <c r="D39" s="74"/>
      <c r="E39" s="74"/>
      <c r="F39" s="74"/>
      <c r="G39" s="74"/>
      <c r="H39" s="74"/>
      <c r="I39" s="74"/>
      <c r="J39" s="6"/>
      <c r="K39" s="759">
        <f>VLOOKUP($L$16,Datasheet1!$B$6:$R$332,9,FALSE)</f>
        <v>11039000</v>
      </c>
      <c r="L39" s="760"/>
      <c r="M39" s="64"/>
      <c r="N39" s="64"/>
      <c r="O39" s="67"/>
      <c r="P39" s="65"/>
      <c r="Q39" s="65"/>
      <c r="R39" s="65"/>
      <c r="S39" s="64"/>
      <c r="T39" s="64"/>
      <c r="U39" s="64"/>
      <c r="V39" s="64"/>
      <c r="W39" s="64"/>
      <c r="X39" s="64"/>
      <c r="Y39" s="8"/>
      <c r="Z39" s="321"/>
      <c r="AA39" s="320"/>
      <c r="AB39" s="213"/>
      <c r="AC39" s="213"/>
      <c r="AD39" s="213"/>
      <c r="AE39" s="213"/>
      <c r="AF39" s="213"/>
      <c r="AG39" s="213"/>
    </row>
    <row r="40" spans="1:33" ht="15.75" x14ac:dyDescent="0.2">
      <c r="A40" s="7"/>
      <c r="B40" s="6"/>
      <c r="C40" s="74"/>
      <c r="D40" s="74"/>
      <c r="E40" s="74"/>
      <c r="F40" s="74"/>
      <c r="G40" s="74"/>
      <c r="H40" s="74"/>
      <c r="I40" s="74"/>
      <c r="J40" s="6"/>
      <c r="K40" s="76"/>
      <c r="L40" s="64"/>
      <c r="M40" s="64"/>
      <c r="N40" s="64"/>
      <c r="O40" s="67"/>
      <c r="P40" s="65"/>
      <c r="Q40" s="65"/>
      <c r="R40" s="65"/>
      <c r="S40" s="64"/>
      <c r="T40" s="64"/>
      <c r="U40" s="64"/>
      <c r="V40" s="64"/>
      <c r="W40" s="64"/>
      <c r="X40" s="64"/>
      <c r="Y40" s="8"/>
      <c r="AA40" s="315"/>
      <c r="AB40" s="213"/>
      <c r="AC40" s="213"/>
      <c r="AD40" s="213"/>
      <c r="AE40" s="213"/>
      <c r="AF40" s="213"/>
      <c r="AG40" s="213"/>
    </row>
    <row r="41" spans="1:33" ht="16.5" thickBot="1" x14ac:dyDescent="0.25">
      <c r="A41" s="7"/>
      <c r="B41" s="6"/>
      <c r="C41" s="115" t="s">
        <v>39</v>
      </c>
      <c r="D41" s="74"/>
      <c r="E41" s="74"/>
      <c r="F41" s="74"/>
      <c r="G41" s="74"/>
      <c r="H41" s="74"/>
      <c r="I41" s="74"/>
      <c r="J41" s="6"/>
      <c r="K41" s="64"/>
      <c r="L41" s="64"/>
      <c r="M41" s="64"/>
      <c r="N41" s="64"/>
      <c r="O41" s="67"/>
      <c r="P41" s="65"/>
      <c r="Q41" s="65"/>
      <c r="R41" s="65"/>
      <c r="S41" s="64"/>
      <c r="T41" s="64"/>
      <c r="U41" s="64"/>
      <c r="V41" s="64"/>
      <c r="W41" s="64"/>
      <c r="X41" s="64"/>
      <c r="Y41" s="8"/>
      <c r="AA41" s="315"/>
      <c r="AB41" s="213"/>
      <c r="AC41" s="213"/>
      <c r="AD41" s="213"/>
      <c r="AE41" s="213"/>
      <c r="AF41" s="213"/>
      <c r="AG41" s="213"/>
    </row>
    <row r="42" spans="1:33" ht="16.5" thickBot="1" x14ac:dyDescent="0.25">
      <c r="A42" s="7"/>
      <c r="B42" s="6"/>
      <c r="C42" s="74" t="s">
        <v>969</v>
      </c>
      <c r="D42" s="74"/>
      <c r="E42" s="74"/>
      <c r="F42" s="74"/>
      <c r="G42" s="74"/>
      <c r="H42" s="74"/>
      <c r="I42" s="74"/>
      <c r="J42" s="6"/>
      <c r="K42" s="759">
        <f>VLOOKUP($L$16,Datasheet1!$B$6:$R$332,10,FALSE)</f>
        <v>28737781</v>
      </c>
      <c r="L42" s="760"/>
      <c r="M42" s="64"/>
      <c r="N42" s="64"/>
      <c r="O42" s="67"/>
      <c r="P42" s="65"/>
      <c r="Q42" s="65"/>
      <c r="R42" s="65"/>
      <c r="S42" s="64"/>
      <c r="T42" s="64"/>
      <c r="U42" s="64"/>
      <c r="V42" s="64"/>
      <c r="W42" s="64"/>
      <c r="X42" s="64"/>
      <c r="Y42" s="8"/>
      <c r="AA42" s="315"/>
      <c r="AB42" s="213"/>
      <c r="AC42" s="213"/>
      <c r="AD42" s="213"/>
      <c r="AE42" s="213"/>
      <c r="AF42" s="213"/>
      <c r="AG42" s="213"/>
    </row>
    <row r="43" spans="1:33" ht="15.75" thickBot="1" x14ac:dyDescent="0.25">
      <c r="A43" s="7"/>
      <c r="B43" s="6"/>
      <c r="C43" s="74"/>
      <c r="D43" s="74"/>
      <c r="E43" s="74"/>
      <c r="F43" s="74"/>
      <c r="G43" s="74"/>
      <c r="H43" s="74"/>
      <c r="I43" s="74"/>
      <c r="J43" s="6"/>
      <c r="K43" s="64"/>
      <c r="L43" s="64"/>
      <c r="M43" s="64"/>
      <c r="N43" s="64"/>
      <c r="O43" s="67"/>
      <c r="P43" s="65"/>
      <c r="Q43" s="761"/>
      <c r="R43" s="761"/>
      <c r="S43" s="761"/>
      <c r="T43" s="761"/>
      <c r="U43" s="761"/>
      <c r="V43" s="761"/>
      <c r="W43" s="761"/>
      <c r="X43" s="64"/>
      <c r="Y43" s="8"/>
      <c r="AA43" s="315"/>
      <c r="AB43" s="213"/>
      <c r="AC43" s="213"/>
      <c r="AD43" s="213"/>
      <c r="AE43" s="213"/>
      <c r="AF43" s="213"/>
      <c r="AG43" s="213"/>
    </row>
    <row r="44" spans="1:33" ht="16.5" thickBot="1" x14ac:dyDescent="0.25">
      <c r="A44" s="7"/>
      <c r="B44" s="6"/>
      <c r="C44" s="766" t="s">
        <v>970</v>
      </c>
      <c r="D44" s="766"/>
      <c r="E44" s="766"/>
      <c r="F44" s="766"/>
      <c r="G44" s="766"/>
      <c r="H44" s="766"/>
      <c r="I44" s="766"/>
      <c r="J44" s="6"/>
      <c r="K44" s="759">
        <f>VLOOKUP($L$16,Datasheet1!$B$6:$R$332,11,FALSE)</f>
        <v>51359466</v>
      </c>
      <c r="L44" s="760"/>
      <c r="M44" s="64"/>
      <c r="N44" s="64"/>
      <c r="O44" s="67"/>
      <c r="P44" s="65"/>
      <c r="Q44" s="65"/>
      <c r="R44" s="65"/>
      <c r="S44" s="64"/>
      <c r="T44" s="64"/>
      <c r="U44" s="64"/>
      <c r="V44" s="64"/>
      <c r="W44" s="64"/>
      <c r="X44" s="64"/>
      <c r="Y44" s="8"/>
      <c r="AA44" s="315"/>
      <c r="AB44" s="213"/>
      <c r="AC44" s="213"/>
      <c r="AD44" s="213"/>
      <c r="AE44" s="213"/>
      <c r="AF44" s="213"/>
      <c r="AG44" s="213"/>
    </row>
    <row r="45" spans="1:33" x14ac:dyDescent="0.2">
      <c r="A45" s="7"/>
      <c r="B45" s="6"/>
      <c r="C45" s="766"/>
      <c r="D45" s="766"/>
      <c r="E45" s="766"/>
      <c r="F45" s="766"/>
      <c r="G45" s="766"/>
      <c r="H45" s="766"/>
      <c r="I45" s="766"/>
      <c r="J45" s="6"/>
      <c r="K45" s="64"/>
      <c r="L45" s="64"/>
      <c r="M45" s="64"/>
      <c r="N45" s="64"/>
      <c r="O45" s="67"/>
      <c r="P45" s="65"/>
      <c r="Q45" s="65"/>
      <c r="R45" s="65"/>
      <c r="S45" s="64"/>
      <c r="T45" s="64"/>
      <c r="U45" s="64"/>
      <c r="V45" s="64"/>
      <c r="W45" s="64"/>
      <c r="X45" s="64"/>
      <c r="Y45" s="8"/>
      <c r="AA45" s="315"/>
      <c r="AB45" s="213"/>
      <c r="AC45" s="213"/>
      <c r="AD45" s="213"/>
      <c r="AE45" s="213"/>
      <c r="AF45" s="213"/>
      <c r="AG45" s="213"/>
    </row>
    <row r="46" spans="1:33" x14ac:dyDescent="0.2">
      <c r="A46" s="7"/>
      <c r="B46" s="6"/>
      <c r="C46" s="147"/>
      <c r="D46" s="147"/>
      <c r="E46" s="147"/>
      <c r="F46" s="147"/>
      <c r="G46" s="147"/>
      <c r="H46" s="147"/>
      <c r="I46" s="147"/>
      <c r="J46" s="6"/>
      <c r="K46" s="64"/>
      <c r="L46" s="64"/>
      <c r="M46" s="64"/>
      <c r="N46" s="64"/>
      <c r="O46" s="67"/>
      <c r="P46" s="65"/>
      <c r="Q46" s="65"/>
      <c r="R46" s="65"/>
      <c r="S46" s="64"/>
      <c r="T46" s="64"/>
      <c r="U46" s="64"/>
      <c r="V46" s="64"/>
      <c r="W46" s="64"/>
      <c r="X46" s="64"/>
      <c r="Y46" s="8"/>
      <c r="AA46" s="315"/>
      <c r="AB46" s="213"/>
      <c r="AC46" s="213"/>
      <c r="AD46" s="213"/>
      <c r="AE46" s="213"/>
      <c r="AF46" s="213"/>
      <c r="AG46" s="213"/>
    </row>
    <row r="47" spans="1:33" ht="15.75" thickBot="1" x14ac:dyDescent="0.25">
      <c r="A47" s="7"/>
      <c r="B47" s="6"/>
      <c r="C47" s="74" t="s">
        <v>43</v>
      </c>
      <c r="D47" s="74"/>
      <c r="E47" s="74"/>
      <c r="F47" s="74"/>
      <c r="G47" s="74"/>
      <c r="H47" s="74"/>
      <c r="I47" s="74"/>
      <c r="J47" s="6"/>
      <c r="K47" s="64"/>
      <c r="L47" s="64"/>
      <c r="M47" s="64"/>
      <c r="N47" s="64"/>
      <c r="O47" s="67"/>
      <c r="P47" s="65"/>
      <c r="Q47" s="65"/>
      <c r="R47" s="65"/>
      <c r="S47" s="64"/>
      <c r="T47" s="64"/>
      <c r="U47" s="64"/>
      <c r="V47" s="64"/>
      <c r="W47" s="64"/>
      <c r="X47" s="64"/>
      <c r="Y47" s="8"/>
      <c r="AA47" s="315"/>
      <c r="AB47" s="213"/>
      <c r="AC47" s="213"/>
      <c r="AD47" s="213"/>
      <c r="AE47" s="213"/>
      <c r="AF47" s="213"/>
      <c r="AG47" s="213"/>
    </row>
    <row r="48" spans="1:33" ht="16.5" thickBot="1" x14ac:dyDescent="0.25">
      <c r="A48" s="7"/>
      <c r="B48" s="6"/>
      <c r="C48" s="74" t="s">
        <v>68</v>
      </c>
      <c r="D48" s="74"/>
      <c r="E48" s="74"/>
      <c r="F48" s="74"/>
      <c r="G48" s="74"/>
      <c r="H48" s="74"/>
      <c r="I48" s="74"/>
      <c r="J48" s="6"/>
      <c r="K48" s="759">
        <f>VLOOKUP($L$16,Datasheet1!$B$6:$R$332,12,FALSE)</f>
        <v>49461247</v>
      </c>
      <c r="L48" s="760"/>
      <c r="M48" s="64"/>
      <c r="N48" s="64"/>
      <c r="O48" s="67"/>
      <c r="P48" s="65"/>
      <c r="Q48" s="65"/>
      <c r="R48" s="65"/>
      <c r="S48" s="64"/>
      <c r="T48" s="64"/>
      <c r="U48" s="64"/>
      <c r="V48" s="64"/>
      <c r="W48" s="64"/>
      <c r="X48" s="64"/>
      <c r="Y48" s="8"/>
      <c r="AA48" s="573">
        <f>ROUND(K48,0)</f>
        <v>49461247</v>
      </c>
      <c r="AB48" s="574"/>
      <c r="AC48" s="575">
        <f>K48</f>
        <v>49461247</v>
      </c>
      <c r="AD48" s="213"/>
      <c r="AE48" s="575">
        <f>AC48-AA48</f>
        <v>0</v>
      </c>
      <c r="AF48" s="213"/>
      <c r="AG48" s="213" t="str">
        <f>IF(AE48&lt;&gt;0,"Please remove pence. All figures shown in whole £s","")</f>
        <v/>
      </c>
    </row>
    <row r="49" spans="1:27" ht="15.75" thickBot="1" x14ac:dyDescent="0.25">
      <c r="A49" s="554"/>
      <c r="B49" s="505"/>
      <c r="C49" s="555"/>
      <c r="D49" s="555"/>
      <c r="E49" s="555"/>
      <c r="F49" s="555"/>
      <c r="G49" s="555"/>
      <c r="H49" s="555"/>
      <c r="I49" s="555"/>
      <c r="J49" s="505"/>
      <c r="K49" s="538"/>
      <c r="L49" s="538"/>
      <c r="M49" s="64"/>
      <c r="N49" s="64"/>
      <c r="O49" s="67"/>
      <c r="P49" s="65"/>
      <c r="Q49" s="65"/>
      <c r="R49" s="65"/>
      <c r="S49" s="64"/>
      <c r="T49" s="64"/>
      <c r="U49" s="64"/>
      <c r="V49" s="64"/>
      <c r="W49" s="64"/>
      <c r="X49" s="64"/>
      <c r="Y49" s="8"/>
    </row>
    <row r="50" spans="1:27" ht="16.5" thickBot="1" x14ac:dyDescent="0.25">
      <c r="A50" s="7"/>
      <c r="B50" s="6"/>
      <c r="C50" s="74" t="s">
        <v>69</v>
      </c>
      <c r="D50" s="74"/>
      <c r="E50" s="74"/>
      <c r="F50" s="74"/>
      <c r="G50" s="74"/>
      <c r="H50" s="74"/>
      <c r="I50" s="74"/>
      <c r="J50" s="6"/>
      <c r="K50" s="759">
        <f>VLOOKUP($L$16,Datasheet1!$B$6:$R$332,13,FALSE)</f>
        <v>1898219</v>
      </c>
      <c r="L50" s="760"/>
      <c r="M50" s="64"/>
      <c r="N50" s="64"/>
      <c r="O50" s="67"/>
      <c r="P50" s="65"/>
      <c r="Q50" s="65"/>
      <c r="R50" s="65"/>
      <c r="S50" s="64"/>
      <c r="T50" s="64"/>
      <c r="U50" s="64"/>
      <c r="V50" s="64"/>
      <c r="W50" s="64"/>
      <c r="X50" s="64"/>
      <c r="Y50" s="8"/>
    </row>
    <row r="51" spans="1:27" ht="15.75" x14ac:dyDescent="0.2">
      <c r="A51" s="7"/>
      <c r="B51" s="6"/>
      <c r="C51" s="74"/>
      <c r="D51" s="74"/>
      <c r="E51" s="74"/>
      <c r="F51" s="74"/>
      <c r="G51" s="74"/>
      <c r="H51" s="74"/>
      <c r="I51" s="74"/>
      <c r="J51" s="6"/>
      <c r="K51" s="762" t="str">
        <f>IF(+K48+K50-K44=0,"","Lines 10 &amp; 11 should equal line 9, please check your figures")</f>
        <v/>
      </c>
      <c r="L51" s="763"/>
      <c r="M51" s="763"/>
      <c r="N51" s="763"/>
      <c r="O51" s="763"/>
      <c r="P51" s="763"/>
      <c r="Q51" s="763"/>
      <c r="R51" s="763"/>
      <c r="S51" s="763"/>
      <c r="T51" s="763"/>
      <c r="U51" s="763"/>
      <c r="V51" s="763"/>
      <c r="W51" s="763"/>
      <c r="X51" s="64"/>
      <c r="Y51" s="8"/>
    </row>
    <row r="52" spans="1:27" ht="16.5" thickBot="1" x14ac:dyDescent="0.25">
      <c r="A52" s="7"/>
      <c r="B52" s="6"/>
      <c r="C52" s="115" t="s">
        <v>38</v>
      </c>
      <c r="D52" s="115"/>
      <c r="E52" s="115"/>
      <c r="F52" s="115"/>
      <c r="G52" s="115"/>
      <c r="H52" s="74"/>
      <c r="I52" s="74"/>
      <c r="J52" s="6"/>
      <c r="K52" s="64"/>
      <c r="L52" s="64"/>
      <c r="M52" s="64"/>
      <c r="N52" s="64"/>
      <c r="O52" s="67"/>
      <c r="P52" s="65"/>
      <c r="Q52" s="65"/>
      <c r="R52" s="65"/>
      <c r="S52" s="64"/>
      <c r="T52" s="64"/>
      <c r="U52" s="64"/>
      <c r="V52" s="64"/>
      <c r="W52" s="64"/>
      <c r="X52" s="64"/>
      <c r="Y52" s="8"/>
    </row>
    <row r="53" spans="1:27" ht="16.5" thickBot="1" x14ac:dyDescent="0.25">
      <c r="A53" s="7"/>
      <c r="B53" s="6"/>
      <c r="C53" s="74" t="s">
        <v>971</v>
      </c>
      <c r="D53" s="74"/>
      <c r="E53" s="74"/>
      <c r="F53" s="74"/>
      <c r="G53" s="74"/>
      <c r="H53" s="74"/>
      <c r="I53" s="74"/>
      <c r="J53" s="6"/>
      <c r="K53" s="759">
        <f>VLOOKUP($L$16,Datasheet1!$B$6:$R$332,14,FALSE)</f>
        <v>23585355920.889999</v>
      </c>
      <c r="L53" s="760"/>
      <c r="M53" s="64"/>
      <c r="N53" s="765"/>
      <c r="O53" s="765"/>
      <c r="P53" s="764"/>
      <c r="Q53" s="764"/>
      <c r="R53" s="764"/>
      <c r="S53" s="75"/>
      <c r="T53" s="68"/>
      <c r="U53" s="68"/>
      <c r="V53" s="68"/>
      <c r="W53" s="68"/>
      <c r="X53" s="64"/>
      <c r="Y53" s="8"/>
    </row>
    <row r="54" spans="1:27" ht="15.75" thickBot="1" x14ac:dyDescent="0.25">
      <c r="A54" s="117"/>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8"/>
    </row>
    <row r="55" spans="1:27" s="562" customFormat="1" ht="15.75" x14ac:dyDescent="0.25">
      <c r="A55" s="563"/>
      <c r="B55" s="561"/>
      <c r="C55" s="564"/>
      <c r="D55" s="564"/>
      <c r="E55" s="564"/>
      <c r="F55" s="564"/>
      <c r="G55" s="564"/>
      <c r="H55" s="564"/>
      <c r="I55" s="564"/>
      <c r="J55" s="564"/>
      <c r="K55" s="564"/>
      <c r="L55" s="564"/>
      <c r="M55" s="564"/>
      <c r="N55" s="564"/>
      <c r="O55" s="564"/>
      <c r="P55" s="564"/>
      <c r="Q55" s="564"/>
      <c r="R55" s="564"/>
      <c r="S55" s="564"/>
      <c r="T55" s="564"/>
      <c r="U55" s="564"/>
      <c r="V55" s="564"/>
      <c r="W55" s="564"/>
      <c r="X55" s="564"/>
      <c r="Y55" s="565"/>
      <c r="Z55" s="560"/>
      <c r="AA55" s="561"/>
    </row>
    <row r="56" spans="1:27" s="562" customFormat="1" x14ac:dyDescent="0.2">
      <c r="A56" s="566"/>
      <c r="B56" s="567"/>
      <c r="C56" s="567"/>
      <c r="D56" s="567"/>
      <c r="E56" s="567"/>
      <c r="F56" s="567"/>
      <c r="G56" s="567"/>
      <c r="H56" s="567"/>
      <c r="I56" s="567"/>
      <c r="J56" s="567"/>
      <c r="K56" s="567"/>
      <c r="L56" s="567"/>
      <c r="M56" s="567"/>
      <c r="N56" s="567"/>
      <c r="O56" s="567"/>
      <c r="P56" s="567"/>
      <c r="Q56" s="567"/>
      <c r="R56" s="567"/>
      <c r="S56" s="567"/>
      <c r="T56" s="567"/>
      <c r="U56" s="567"/>
      <c r="V56" s="567"/>
      <c r="W56" s="567"/>
      <c r="X56" s="567"/>
      <c r="Y56" s="568"/>
      <c r="Z56" s="560"/>
      <c r="AA56" s="561"/>
    </row>
    <row r="57" spans="1:27" s="559" customFormat="1" x14ac:dyDescent="0.2">
      <c r="Z57" s="557"/>
      <c r="AA57" s="558"/>
    </row>
  </sheetData>
  <mergeCells count="31">
    <mergeCell ref="R1:S1"/>
    <mergeCell ref="A2:Y2"/>
    <mergeCell ref="A5:Y5"/>
    <mergeCell ref="A3:Y3"/>
    <mergeCell ref="A7:Y7"/>
    <mergeCell ref="A4:Y4"/>
    <mergeCell ref="A8:Y8"/>
    <mergeCell ref="E10:J10"/>
    <mergeCell ref="L15:Q15"/>
    <mergeCell ref="L16:Q16"/>
    <mergeCell ref="K27:L27"/>
    <mergeCell ref="C22:I24"/>
    <mergeCell ref="K22:L22"/>
    <mergeCell ref="C26:I26"/>
    <mergeCell ref="C19:G19"/>
    <mergeCell ref="K21:L21"/>
    <mergeCell ref="K32:L32"/>
    <mergeCell ref="K29:L29"/>
    <mergeCell ref="K42:L42"/>
    <mergeCell ref="C44:I45"/>
    <mergeCell ref="K44:L44"/>
    <mergeCell ref="K34:L34"/>
    <mergeCell ref="K36:L36"/>
    <mergeCell ref="K48:L48"/>
    <mergeCell ref="K50:L50"/>
    <mergeCell ref="K53:L53"/>
    <mergeCell ref="K39:L39"/>
    <mergeCell ref="Q43:W43"/>
    <mergeCell ref="K51:W51"/>
    <mergeCell ref="P53:R53"/>
    <mergeCell ref="N53:O53"/>
  </mergeCells>
  <phoneticPr fontId="5" type="noConversion"/>
  <dataValidations count="1">
    <dataValidation type="whole" operator="greaterThanOrEqual" allowBlank="1" showInputMessage="1" showErrorMessage="1" error="This cell must be positive" sqref="K27:L27 K34:L34 K36:L36 K39:L39 K22:L22 K50:L50 K29:L29 K32:L32 K42:L42 K44:L44 K48:L48 K53:L53">
      <formula1>0</formula1>
    </dataValidation>
  </dataValidations>
  <printOptions horizontalCentered="1"/>
  <pageMargins left="0.39370078740157483" right="0.39370078740157483" top="0.39370078740157483" bottom="0.39370078740157483" header="0.39370078740157483" footer="0.39370078740157483"/>
  <pageSetup paperSize="9" scale="5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9</xdr:row>
                    <xdr:rowOff>9525</xdr:rowOff>
                  </from>
                  <to>
                    <xdr:col>16</xdr:col>
                    <xdr:colOff>581025</xdr:colOff>
                    <xdr:row>13</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V87"/>
  <sheetViews>
    <sheetView showGridLines="0" zoomScale="89" zoomScaleNormal="89" zoomScaleSheetLayoutView="100" workbookViewId="0"/>
  </sheetViews>
  <sheetFormatPr defaultColWidth="9.140625" defaultRowHeight="15" x14ac:dyDescent="0.2"/>
  <cols>
    <col min="1" max="2" width="1.7109375" style="24" customWidth="1"/>
    <col min="3" max="3" width="21.42578125" style="24" customWidth="1"/>
    <col min="4" max="4" width="11" style="24" customWidth="1"/>
    <col min="5" max="5" width="21.42578125" style="24" customWidth="1"/>
    <col min="6" max="6" width="3.7109375" style="24" customWidth="1"/>
    <col min="7" max="8" width="10.7109375" style="24" customWidth="1"/>
    <col min="9" max="9" width="5.5703125" style="24" customWidth="1"/>
    <col min="10" max="10" width="5.42578125" style="24" customWidth="1"/>
    <col min="11" max="12" width="10.5703125" style="24" customWidth="1"/>
    <col min="13" max="14" width="5.42578125" style="24" customWidth="1"/>
    <col min="15" max="16" width="10.7109375" style="24" customWidth="1"/>
    <col min="17" max="18" width="5.42578125" style="24" customWidth="1"/>
    <col min="19" max="19" width="12" style="24" bestFit="1" customWidth="1"/>
    <col min="20" max="20" width="10.28515625" style="24" customWidth="1"/>
    <col min="21" max="22" width="1.7109375" style="24" customWidth="1"/>
    <col min="23" max="16384" width="9.140625" style="24"/>
  </cols>
  <sheetData>
    <row r="1" spans="1:22" x14ac:dyDescent="0.2">
      <c r="A1" s="57"/>
      <c r="B1" s="58"/>
      <c r="C1" s="58"/>
      <c r="D1" s="58"/>
      <c r="E1" s="58"/>
      <c r="F1" s="58"/>
      <c r="G1" s="58"/>
      <c r="H1" s="58"/>
      <c r="I1" s="58"/>
      <c r="J1" s="58"/>
      <c r="K1" s="58"/>
      <c r="L1" s="58"/>
      <c r="M1" s="58"/>
      <c r="N1" s="58"/>
      <c r="O1" s="58"/>
      <c r="P1" s="58"/>
      <c r="Q1" s="58"/>
      <c r="R1" s="58"/>
      <c r="S1" s="58"/>
      <c r="T1" s="52"/>
      <c r="U1" s="52"/>
      <c r="V1" s="59"/>
    </row>
    <row r="2" spans="1:22" ht="15.75" x14ac:dyDescent="0.25">
      <c r="A2" s="810" t="s">
        <v>40</v>
      </c>
      <c r="B2" s="811"/>
      <c r="C2" s="811"/>
      <c r="D2" s="811"/>
      <c r="E2" s="811"/>
      <c r="F2" s="811"/>
      <c r="G2" s="811"/>
      <c r="H2" s="811"/>
      <c r="I2" s="811"/>
      <c r="J2" s="811"/>
      <c r="K2" s="811"/>
      <c r="L2" s="811"/>
      <c r="M2" s="811"/>
      <c r="N2" s="811"/>
      <c r="O2" s="811"/>
      <c r="P2" s="811"/>
      <c r="Q2" s="811"/>
      <c r="R2" s="811"/>
      <c r="S2" s="811"/>
      <c r="T2" s="811"/>
      <c r="U2" s="811"/>
      <c r="V2" s="812"/>
    </row>
    <row r="3" spans="1:22" ht="15.75" x14ac:dyDescent="0.25">
      <c r="A3" s="780" t="s">
        <v>1219</v>
      </c>
      <c r="B3" s="811"/>
      <c r="C3" s="811"/>
      <c r="D3" s="811"/>
      <c r="E3" s="811"/>
      <c r="F3" s="811"/>
      <c r="G3" s="811"/>
      <c r="H3" s="811"/>
      <c r="I3" s="811"/>
      <c r="J3" s="811"/>
      <c r="K3" s="811"/>
      <c r="L3" s="811"/>
      <c r="M3" s="811"/>
      <c r="N3" s="811"/>
      <c r="O3" s="811"/>
      <c r="P3" s="811"/>
      <c r="Q3" s="811"/>
      <c r="R3" s="811"/>
      <c r="S3" s="811"/>
      <c r="T3" s="811"/>
      <c r="U3" s="811"/>
      <c r="V3" s="812"/>
    </row>
    <row r="4" spans="1:22" ht="15.75" x14ac:dyDescent="0.25">
      <c r="A4" s="84"/>
      <c r="B4" s="78"/>
      <c r="C4" s="78"/>
      <c r="D4" s="78"/>
      <c r="E4" s="78"/>
      <c r="F4" s="78"/>
      <c r="G4" s="78"/>
      <c r="H4" s="78"/>
      <c r="I4" s="78"/>
      <c r="J4" s="78"/>
      <c r="K4" s="78"/>
      <c r="L4" s="78"/>
      <c r="M4" s="78"/>
      <c r="N4" s="78"/>
      <c r="O4" s="78"/>
      <c r="P4" s="78"/>
      <c r="Q4" s="78"/>
      <c r="R4" s="78"/>
      <c r="S4" s="78"/>
      <c r="T4" s="78"/>
      <c r="U4" s="78"/>
      <c r="V4" s="79"/>
    </row>
    <row r="5" spans="1:22" x14ac:dyDescent="0.2">
      <c r="A5" s="783"/>
      <c r="B5" s="784"/>
      <c r="C5" s="784"/>
      <c r="D5" s="784"/>
      <c r="E5" s="784"/>
      <c r="F5" s="784"/>
      <c r="G5" s="784"/>
      <c r="H5" s="784"/>
      <c r="I5" s="784"/>
      <c r="J5" s="784"/>
      <c r="K5" s="784"/>
      <c r="L5" s="784"/>
      <c r="M5" s="784"/>
      <c r="N5" s="784"/>
      <c r="O5" s="784"/>
      <c r="P5" s="784"/>
      <c r="Q5" s="784"/>
      <c r="R5" s="784"/>
      <c r="S5" s="784"/>
      <c r="T5" s="784"/>
      <c r="U5" s="784"/>
      <c r="V5" s="785"/>
    </row>
    <row r="6" spans="1:22" x14ac:dyDescent="0.2">
      <c r="A6" s="77"/>
      <c r="B6" s="78"/>
      <c r="C6" s="78"/>
      <c r="D6" s="78"/>
      <c r="E6" s="78"/>
      <c r="F6" s="78"/>
      <c r="G6" s="78"/>
      <c r="H6" s="78"/>
      <c r="I6" s="78"/>
      <c r="J6" s="78"/>
      <c r="K6" s="78"/>
      <c r="L6" s="78"/>
      <c r="M6" s="78"/>
      <c r="N6" s="78"/>
      <c r="O6" s="78"/>
      <c r="P6" s="78"/>
      <c r="Q6" s="78"/>
      <c r="R6" s="78"/>
      <c r="S6" s="78"/>
      <c r="T6" s="78"/>
      <c r="U6" s="78"/>
      <c r="V6" s="79"/>
    </row>
    <row r="7" spans="1:22" x14ac:dyDescent="0.2">
      <c r="A7" s="783"/>
      <c r="B7" s="784"/>
      <c r="C7" s="784"/>
      <c r="D7" s="784"/>
      <c r="E7" s="784"/>
      <c r="F7" s="784"/>
      <c r="G7" s="784"/>
      <c r="H7" s="784"/>
      <c r="I7" s="784"/>
      <c r="J7" s="784"/>
      <c r="K7" s="784"/>
      <c r="L7" s="784"/>
      <c r="M7" s="784"/>
      <c r="N7" s="784"/>
      <c r="O7" s="784"/>
      <c r="P7" s="784"/>
      <c r="Q7" s="784"/>
      <c r="R7" s="784"/>
      <c r="S7" s="784"/>
      <c r="T7" s="784"/>
      <c r="U7" s="784"/>
      <c r="V7" s="785"/>
    </row>
    <row r="8" spans="1:22" ht="15.75" thickBot="1" x14ac:dyDescent="0.25">
      <c r="A8" s="60"/>
      <c r="B8" s="61"/>
      <c r="C8" s="61"/>
      <c r="D8" s="61"/>
      <c r="E8" s="61"/>
      <c r="F8" s="61"/>
      <c r="G8" s="61"/>
      <c r="H8" s="61"/>
      <c r="I8" s="61"/>
      <c r="J8" s="61"/>
      <c r="K8" s="61"/>
      <c r="L8" s="61"/>
      <c r="M8" s="61"/>
      <c r="N8" s="61"/>
      <c r="O8" s="61"/>
      <c r="P8" s="61"/>
      <c r="Q8" s="61"/>
      <c r="R8" s="61"/>
      <c r="S8" s="591"/>
      <c r="T8" s="589"/>
      <c r="U8" s="51"/>
      <c r="V8" s="62"/>
    </row>
    <row r="9" spans="1:22" ht="15.75" customHeight="1" x14ac:dyDescent="0.2">
      <c r="A9" s="14"/>
      <c r="B9" s="2"/>
      <c r="C9" s="814"/>
      <c r="D9" s="814"/>
      <c r="E9" s="814"/>
      <c r="F9" s="814"/>
      <c r="G9" s="814"/>
      <c r="H9" s="2"/>
      <c r="I9" s="2"/>
      <c r="J9" s="2"/>
      <c r="K9" s="2"/>
      <c r="L9" s="2"/>
      <c r="M9" s="2"/>
      <c r="N9" s="2"/>
      <c r="O9" s="2"/>
      <c r="P9" s="2"/>
      <c r="Q9" s="2"/>
      <c r="R9" s="2"/>
      <c r="S9" s="2"/>
      <c r="T9" s="2"/>
      <c r="U9" s="2"/>
      <c r="V9" s="47"/>
    </row>
    <row r="10" spans="1:22" ht="18" x14ac:dyDescent="0.25">
      <c r="A10" s="32"/>
      <c r="B10" s="18"/>
      <c r="C10" s="500" t="str">
        <f>+CONCATENATE("Local Authority : ",+'Part 1'!$L$15)</f>
        <v>Local Authority : England</v>
      </c>
      <c r="D10" s="63"/>
      <c r="E10" s="502"/>
      <c r="F10" s="502"/>
      <c r="G10" s="502"/>
      <c r="H10" s="18"/>
      <c r="I10" s="18"/>
      <c r="J10" s="18"/>
      <c r="K10" s="18"/>
      <c r="L10" s="18"/>
      <c r="M10" s="18"/>
      <c r="N10" s="18"/>
      <c r="O10" s="18"/>
      <c r="P10" s="18"/>
      <c r="Q10" s="18"/>
      <c r="R10" s="18"/>
      <c r="S10" s="18"/>
      <c r="T10" s="18"/>
      <c r="U10" s="18"/>
      <c r="V10" s="19"/>
    </row>
    <row r="11" spans="1:22" ht="15.75" x14ac:dyDescent="0.25">
      <c r="A11" s="28"/>
      <c r="B11" s="502"/>
      <c r="C11" s="502"/>
      <c r="D11" s="502"/>
      <c r="E11" s="29"/>
      <c r="F11" s="31"/>
      <c r="G11" s="31"/>
      <c r="H11" s="31"/>
      <c r="I11" s="31"/>
      <c r="J11" s="18"/>
      <c r="K11" s="18"/>
      <c r="L11" s="18"/>
      <c r="M11" s="18"/>
      <c r="N11" s="18"/>
      <c r="O11" s="18"/>
      <c r="P11" s="18"/>
      <c r="Q11" s="18"/>
      <c r="R11" s="18"/>
      <c r="S11" s="18"/>
      <c r="T11" s="18"/>
      <c r="U11" s="18"/>
      <c r="V11" s="19"/>
    </row>
    <row r="12" spans="1:22" ht="15.75" x14ac:dyDescent="0.25">
      <c r="A12" s="28"/>
      <c r="B12" s="502"/>
      <c r="C12" s="502" t="s">
        <v>0</v>
      </c>
      <c r="D12" s="502"/>
      <c r="E12" s="29"/>
      <c r="F12" s="31"/>
      <c r="G12" s="31"/>
      <c r="H12" s="31"/>
      <c r="I12" s="31"/>
      <c r="J12" s="18"/>
      <c r="K12" s="18"/>
      <c r="L12" s="18"/>
      <c r="M12" s="18"/>
      <c r="N12" s="18"/>
      <c r="O12" s="18"/>
      <c r="P12" s="18"/>
      <c r="Q12" s="18"/>
      <c r="R12" s="18"/>
      <c r="S12" s="18"/>
      <c r="T12" s="18"/>
      <c r="U12" s="18"/>
      <c r="V12" s="19"/>
    </row>
    <row r="13" spans="1:22" ht="15.75" x14ac:dyDescent="0.2">
      <c r="A13" s="30"/>
      <c r="B13" s="29"/>
      <c r="C13" s="827"/>
      <c r="D13" s="827"/>
      <c r="E13" s="827"/>
      <c r="F13" s="827"/>
      <c r="G13" s="827"/>
      <c r="H13" s="827"/>
      <c r="I13" s="497"/>
      <c r="J13" s="497"/>
      <c r="K13" s="821" t="s">
        <v>23</v>
      </c>
      <c r="L13" s="822"/>
      <c r="M13" s="53"/>
      <c r="N13" s="53"/>
      <c r="O13" s="821" t="s">
        <v>24</v>
      </c>
      <c r="P13" s="822"/>
      <c r="Q13" s="18"/>
      <c r="R13" s="18"/>
      <c r="S13" s="821" t="s">
        <v>25</v>
      </c>
      <c r="T13" s="822"/>
      <c r="U13" s="53"/>
      <c r="V13" s="19"/>
    </row>
    <row r="14" spans="1:22" ht="15.75" customHeight="1" x14ac:dyDescent="0.25">
      <c r="A14" s="30"/>
      <c r="B14" s="29"/>
      <c r="C14" s="29"/>
      <c r="D14" s="29"/>
      <c r="E14" s="29"/>
      <c r="F14" s="29"/>
      <c r="G14" s="800"/>
      <c r="H14" s="823"/>
      <c r="I14" s="499"/>
      <c r="J14" s="495"/>
      <c r="K14" s="801" t="s">
        <v>54</v>
      </c>
      <c r="L14" s="801"/>
      <c r="M14" s="50"/>
      <c r="N14" s="50"/>
      <c r="O14" s="800" t="s">
        <v>52</v>
      </c>
      <c r="P14" s="800"/>
      <c r="Q14" s="18"/>
      <c r="R14" s="50"/>
      <c r="S14" s="800" t="s">
        <v>944</v>
      </c>
      <c r="T14" s="823"/>
      <c r="U14" s="50"/>
      <c r="V14" s="19"/>
    </row>
    <row r="15" spans="1:22" ht="15.75" x14ac:dyDescent="0.25">
      <c r="A15" s="30"/>
      <c r="B15" s="29"/>
      <c r="C15" s="29"/>
      <c r="D15" s="29"/>
      <c r="E15" s="29"/>
      <c r="F15" s="29"/>
      <c r="G15" s="824"/>
      <c r="H15" s="824"/>
      <c r="I15" s="499"/>
      <c r="J15" s="495"/>
      <c r="K15" s="801"/>
      <c r="L15" s="801"/>
      <c r="M15" s="50"/>
      <c r="N15" s="50"/>
      <c r="O15" s="800"/>
      <c r="P15" s="800"/>
      <c r="Q15" s="18"/>
      <c r="R15" s="18"/>
      <c r="S15" s="823"/>
      <c r="T15" s="823"/>
      <c r="U15" s="18"/>
      <c r="V15" s="19"/>
    </row>
    <row r="16" spans="1:22" ht="30" customHeight="1" x14ac:dyDescent="0.25">
      <c r="A16" s="30"/>
      <c r="B16" s="29"/>
      <c r="C16" s="29"/>
      <c r="D16" s="29"/>
      <c r="E16" s="29"/>
      <c r="F16" s="29"/>
      <c r="G16" s="820"/>
      <c r="H16" s="820"/>
      <c r="I16" s="499"/>
      <c r="J16" s="495"/>
      <c r="K16" s="833"/>
      <c r="L16" s="833"/>
      <c r="M16" s="29"/>
      <c r="N16" s="29"/>
      <c r="O16" s="833"/>
      <c r="P16" s="833"/>
      <c r="Q16" s="29"/>
      <c r="R16" s="834"/>
      <c r="S16" s="834"/>
      <c r="T16" s="834"/>
      <c r="U16" s="834"/>
      <c r="V16" s="19"/>
    </row>
    <row r="17" spans="1:22" ht="16.5" thickBot="1" x14ac:dyDescent="0.3">
      <c r="A17" s="30"/>
      <c r="B17" s="494" t="s">
        <v>63</v>
      </c>
      <c r="C17" s="29"/>
      <c r="D17" s="137"/>
      <c r="E17" s="49"/>
      <c r="F17" s="29"/>
      <c r="G17" s="820"/>
      <c r="H17" s="820"/>
      <c r="I17" s="499"/>
      <c r="J17" s="18"/>
      <c r="K17" s="835" t="s">
        <v>20</v>
      </c>
      <c r="L17" s="835"/>
      <c r="M17" s="18"/>
      <c r="N17" s="18"/>
      <c r="O17" s="820" t="s">
        <v>20</v>
      </c>
      <c r="P17" s="820"/>
      <c r="Q17" s="18"/>
      <c r="R17" s="324"/>
      <c r="S17" s="813" t="s">
        <v>20</v>
      </c>
      <c r="T17" s="813"/>
      <c r="U17" s="324"/>
      <c r="V17" s="19"/>
    </row>
    <row r="18" spans="1:22" ht="16.5" thickBot="1" x14ac:dyDescent="0.3">
      <c r="A18" s="30"/>
      <c r="B18" s="29"/>
      <c r="C18" s="815" t="s">
        <v>972</v>
      </c>
      <c r="D18" s="815"/>
      <c r="E18" s="815"/>
      <c r="F18" s="29"/>
      <c r="G18" s="819"/>
      <c r="H18" s="819"/>
      <c r="I18" s="499"/>
      <c r="J18" s="54"/>
      <c r="K18" s="796">
        <f>VLOOKUP('Part 1'!$L$16,Datasheet2!$B$6:$AP$332,3,FALSE)</f>
        <v>23777817906.889999</v>
      </c>
      <c r="L18" s="797"/>
      <c r="M18" s="73"/>
      <c r="N18" s="73"/>
      <c r="O18" s="796">
        <f>VLOOKUP('Part 1'!$L$16,Datasheet2!$B$6:$AP$332,4,FALSE)</f>
        <v>163961120</v>
      </c>
      <c r="P18" s="797"/>
      <c r="Q18" s="18"/>
      <c r="R18" s="322"/>
      <c r="S18" s="817">
        <f>VLOOKUP('Part 1'!$L$16,Datasheet2!$B$6:$AP$332,5,FALSE)</f>
        <v>23941779026.889999</v>
      </c>
      <c r="T18" s="818"/>
      <c r="U18" s="324"/>
      <c r="V18" s="19"/>
    </row>
    <row r="19" spans="1:22" x14ac:dyDescent="0.2">
      <c r="A19" s="30"/>
      <c r="B19" s="29"/>
      <c r="C19" s="815"/>
      <c r="D19" s="815"/>
      <c r="E19" s="815"/>
      <c r="F19" s="29"/>
      <c r="G19" s="124"/>
      <c r="H19" s="124"/>
      <c r="I19" s="54"/>
      <c r="J19" s="54"/>
      <c r="K19" s="437"/>
      <c r="L19" s="437"/>
      <c r="M19" s="437"/>
      <c r="N19" s="437"/>
      <c r="O19" s="437"/>
      <c r="P19" s="437"/>
      <c r="Q19" s="509"/>
      <c r="R19" s="438"/>
      <c r="S19" s="438"/>
      <c r="T19" s="438"/>
      <c r="U19" s="324"/>
      <c r="V19" s="19"/>
    </row>
    <row r="20" spans="1:22" x14ac:dyDescent="0.2">
      <c r="A20" s="30"/>
      <c r="B20" s="29"/>
      <c r="C20" s="816"/>
      <c r="D20" s="816"/>
      <c r="E20" s="816"/>
      <c r="F20" s="29"/>
      <c r="G20" s="124"/>
      <c r="H20" s="124"/>
      <c r="I20" s="54"/>
      <c r="J20" s="54"/>
      <c r="K20" s="437"/>
      <c r="L20" s="437"/>
      <c r="M20" s="437"/>
      <c r="N20" s="437"/>
      <c r="O20" s="437"/>
      <c r="P20" s="437"/>
      <c r="Q20" s="437"/>
      <c r="R20" s="438"/>
      <c r="S20" s="438"/>
      <c r="T20" s="438"/>
      <c r="U20" s="324"/>
      <c r="V20" s="19"/>
    </row>
    <row r="21" spans="1:22" x14ac:dyDescent="0.2">
      <c r="A21" s="30"/>
      <c r="B21" s="29"/>
      <c r="C21" s="146"/>
      <c r="D21" s="146"/>
      <c r="E21" s="146"/>
      <c r="F21" s="149"/>
      <c r="G21" s="124"/>
      <c r="H21" s="124"/>
      <c r="I21" s="54"/>
      <c r="J21" s="54"/>
      <c r="K21" s="437"/>
      <c r="L21" s="437"/>
      <c r="M21" s="437"/>
      <c r="N21" s="437"/>
      <c r="O21" s="437"/>
      <c r="P21" s="437"/>
      <c r="Q21" s="437"/>
      <c r="R21" s="438"/>
      <c r="S21" s="438"/>
      <c r="T21" s="438"/>
      <c r="U21" s="324"/>
      <c r="V21" s="19"/>
    </row>
    <row r="22" spans="1:22" ht="15" customHeight="1" thickBot="1" x14ac:dyDescent="0.25">
      <c r="A22" s="30"/>
      <c r="B22" s="825" t="s">
        <v>85</v>
      </c>
      <c r="C22" s="825"/>
      <c r="D22" s="146"/>
      <c r="E22" s="146"/>
      <c r="F22" s="149"/>
      <c r="G22" s="124"/>
      <c r="H22" s="124"/>
      <c r="I22" s="54"/>
      <c r="J22" s="54"/>
      <c r="K22" s="437"/>
      <c r="L22" s="437"/>
      <c r="M22" s="437"/>
      <c r="N22" s="437"/>
      <c r="O22" s="437"/>
      <c r="P22" s="437"/>
      <c r="Q22" s="437"/>
      <c r="R22" s="438"/>
      <c r="S22" s="438"/>
      <c r="T22" s="438"/>
      <c r="U22" s="324"/>
      <c r="V22" s="19"/>
    </row>
    <row r="23" spans="1:22" ht="16.5" thickBot="1" x14ac:dyDescent="0.25">
      <c r="A23" s="30"/>
      <c r="B23" s="29"/>
      <c r="C23" s="826" t="s">
        <v>973</v>
      </c>
      <c r="D23" s="826"/>
      <c r="E23" s="826"/>
      <c r="F23" s="149"/>
      <c r="G23" s="819"/>
      <c r="H23" s="819"/>
      <c r="I23" s="54"/>
      <c r="J23" s="54"/>
      <c r="K23" s="796">
        <f>VLOOKUP('Part 1'!$L$16,Datasheet2!$B$6:$AP$332,6,FALSE)</f>
        <v>-684320</v>
      </c>
      <c r="L23" s="797"/>
      <c r="M23" s="73"/>
      <c r="N23" s="73"/>
      <c r="O23" s="796">
        <f>VLOOKUP('Part 1'!$L$16,Datasheet2!$B$6:$AP$332,7,FALSE)</f>
        <v>-15</v>
      </c>
      <c r="P23" s="797"/>
      <c r="Q23" s="18"/>
      <c r="R23" s="322"/>
      <c r="S23" s="817">
        <f>VLOOKUP('Part 1'!$L$16,Datasheet2!$B$6:$AP$332,8,FALSE)</f>
        <v>-684335</v>
      </c>
      <c r="T23" s="818"/>
      <c r="U23" s="324"/>
      <c r="V23" s="19"/>
    </row>
    <row r="24" spans="1:22" x14ac:dyDescent="0.2">
      <c r="A24" s="30"/>
      <c r="B24" s="29"/>
      <c r="C24" s="146"/>
      <c r="D24" s="146"/>
      <c r="E24" s="146"/>
      <c r="F24" s="149"/>
      <c r="G24" s="124"/>
      <c r="H24" s="124"/>
      <c r="I24" s="54"/>
      <c r="J24" s="54"/>
      <c r="K24" s="437"/>
      <c r="L24" s="437"/>
      <c r="M24" s="437"/>
      <c r="N24" s="437"/>
      <c r="O24" s="437"/>
      <c r="P24" s="437"/>
      <c r="Q24" s="437"/>
      <c r="R24" s="438"/>
      <c r="S24" s="438"/>
      <c r="T24" s="438"/>
      <c r="U24" s="324"/>
      <c r="V24" s="19"/>
    </row>
    <row r="25" spans="1:22" ht="15.75" x14ac:dyDescent="0.2">
      <c r="A25" s="30"/>
      <c r="B25" s="493" t="s">
        <v>65</v>
      </c>
      <c r="C25" s="146"/>
      <c r="D25" s="49"/>
      <c r="E25" s="49"/>
      <c r="F25" s="29"/>
      <c r="G25" s="124"/>
      <c r="H25" s="124"/>
      <c r="I25" s="54"/>
      <c r="J25" s="54"/>
      <c r="K25" s="437"/>
      <c r="L25" s="437"/>
      <c r="M25" s="437"/>
      <c r="N25" s="437"/>
      <c r="O25" s="437"/>
      <c r="P25" s="437"/>
      <c r="Q25" s="437"/>
      <c r="R25" s="438"/>
      <c r="S25" s="438"/>
      <c r="T25" s="438"/>
      <c r="U25" s="324"/>
      <c r="V25" s="19"/>
    </row>
    <row r="26" spans="1:22" ht="14.25" customHeight="1" thickBot="1" x14ac:dyDescent="0.3">
      <c r="A26" s="30"/>
      <c r="B26" s="31"/>
      <c r="C26" s="493" t="s">
        <v>66</v>
      </c>
      <c r="D26" s="148"/>
      <c r="E26" s="49"/>
      <c r="F26" s="29"/>
      <c r="G26" s="124"/>
      <c r="H26" s="124"/>
      <c r="I26" s="54"/>
      <c r="J26" s="54"/>
      <c r="K26" s="437"/>
      <c r="L26" s="437"/>
      <c r="M26" s="437"/>
      <c r="N26" s="437"/>
      <c r="O26" s="437"/>
      <c r="P26" s="437"/>
      <c r="Q26" s="437"/>
      <c r="R26" s="438"/>
      <c r="S26" s="438"/>
      <c r="T26" s="438"/>
      <c r="U26" s="324"/>
      <c r="V26" s="19"/>
    </row>
    <row r="27" spans="1:22" ht="16.5" thickBot="1" x14ac:dyDescent="0.25">
      <c r="A27" s="30"/>
      <c r="B27" s="456"/>
      <c r="C27" s="580" t="s">
        <v>1016</v>
      </c>
      <c r="D27" s="581"/>
      <c r="E27" s="580"/>
      <c r="F27" s="582"/>
      <c r="G27" s="583"/>
      <c r="H27" s="583"/>
      <c r="I27" s="583"/>
      <c r="J27" s="583"/>
      <c r="K27" s="796">
        <f>VLOOKUP('Part 1'!$L$16,Datasheet2!$B$6:$AP$332,9,FALSE)</f>
        <v>-210617571</v>
      </c>
      <c r="L27" s="797"/>
      <c r="M27" s="584"/>
      <c r="N27" s="584"/>
      <c r="O27" s="796">
        <f>VLOOKUP('Part 1'!$L$16,Datasheet2!$B$6:$AP$332,10,FALSE)</f>
        <v>-675041</v>
      </c>
      <c r="P27" s="797"/>
      <c r="Q27" s="584"/>
      <c r="R27" s="322"/>
      <c r="S27" s="817">
        <f>VLOOKUP('Part 1'!$L$16,Datasheet2!$B$6:$AP$332,11,FALSE)</f>
        <v>-211292612</v>
      </c>
      <c r="T27" s="818"/>
      <c r="U27" s="338">
        <f>+S27</f>
        <v>-211292612</v>
      </c>
      <c r="V27" s="19"/>
    </row>
    <row r="28" spans="1:22" ht="16.5" thickBot="1" x14ac:dyDescent="0.25">
      <c r="A28" s="30"/>
      <c r="B28" s="29"/>
      <c r="C28" s="74"/>
      <c r="D28" s="136"/>
      <c r="E28" s="136"/>
      <c r="F28" s="149"/>
      <c r="G28" s="569"/>
      <c r="H28" s="569"/>
      <c r="I28" s="569"/>
      <c r="J28" s="124"/>
      <c r="K28" s="507"/>
      <c r="L28" s="507"/>
      <c r="M28" s="507"/>
      <c r="N28" s="507"/>
      <c r="O28" s="507"/>
      <c r="P28" s="507"/>
      <c r="Q28" s="506"/>
      <c r="R28" s="438"/>
      <c r="S28" s="508"/>
      <c r="T28" s="438"/>
      <c r="U28" s="339"/>
      <c r="V28" s="19"/>
    </row>
    <row r="29" spans="1:22" ht="16.5" thickBot="1" x14ac:dyDescent="0.25">
      <c r="A29" s="30"/>
      <c r="B29" s="29"/>
      <c r="C29" s="766" t="s">
        <v>1017</v>
      </c>
      <c r="D29" s="816"/>
      <c r="E29" s="816"/>
      <c r="F29" s="829"/>
      <c r="G29" s="829"/>
      <c r="H29" s="397"/>
      <c r="I29" s="496"/>
      <c r="J29" s="54"/>
      <c r="K29" s="796">
        <f>VLOOKUP('Part 1'!$L$16,Datasheet2!$B$6:$AP$332,12,FALSE)</f>
        <v>-24115160</v>
      </c>
      <c r="L29" s="797"/>
      <c r="M29" s="73"/>
      <c r="N29" s="73"/>
      <c r="O29" s="796">
        <f>VLOOKUP('Part 1'!$L$16,Datasheet2!$B$6:$AP$332,13,FALSE)</f>
        <v>-6831</v>
      </c>
      <c r="P29" s="797"/>
      <c r="Q29" s="18"/>
      <c r="R29" s="322"/>
      <c r="S29" s="817">
        <f>VLOOKUP('Part 1'!$L$16,Datasheet2!$B$6:$AP$332,14,FALSE)</f>
        <v>-24121991</v>
      </c>
      <c r="T29" s="818"/>
      <c r="U29" s="324"/>
      <c r="V29" s="19"/>
    </row>
    <row r="30" spans="1:22" ht="15.75" x14ac:dyDescent="0.2">
      <c r="A30" s="30"/>
      <c r="B30" s="29"/>
      <c r="C30" s="816"/>
      <c r="D30" s="816"/>
      <c r="E30" s="816"/>
      <c r="F30" s="829"/>
      <c r="G30" s="829"/>
      <c r="H30" s="397"/>
      <c r="I30" s="496"/>
      <c r="J30" s="54"/>
      <c r="K30" s="506"/>
      <c r="L30" s="437"/>
      <c r="M30" s="506"/>
      <c r="N30" s="507"/>
      <c r="O30" s="507"/>
      <c r="P30" s="507"/>
      <c r="Q30" s="437"/>
      <c r="R30" s="438"/>
      <c r="S30" s="508"/>
      <c r="T30" s="438"/>
      <c r="U30" s="324"/>
      <c r="V30" s="19"/>
    </row>
    <row r="31" spans="1:22" ht="16.5" thickBot="1" x14ac:dyDescent="0.25">
      <c r="A31" s="30"/>
      <c r="B31" s="29"/>
      <c r="C31" s="136"/>
      <c r="D31" s="136"/>
      <c r="E31" s="136"/>
      <c r="F31" s="149"/>
      <c r="G31" s="124"/>
      <c r="H31" s="124"/>
      <c r="I31" s="496"/>
      <c r="J31" s="124"/>
      <c r="K31" s="507"/>
      <c r="L31" s="507"/>
      <c r="M31" s="507"/>
      <c r="N31" s="507"/>
      <c r="O31" s="507"/>
      <c r="P31" s="507"/>
      <c r="Q31" s="506"/>
      <c r="R31" s="438"/>
      <c r="S31" s="438"/>
      <c r="T31" s="438"/>
      <c r="U31" s="324"/>
      <c r="V31" s="19"/>
    </row>
    <row r="32" spans="1:22" ht="16.5" customHeight="1" thickBot="1" x14ac:dyDescent="0.25">
      <c r="A32" s="30"/>
      <c r="B32" s="29"/>
      <c r="C32" s="74" t="s">
        <v>1018</v>
      </c>
      <c r="D32" s="136"/>
      <c r="E32" s="49"/>
      <c r="F32" s="29"/>
      <c r="G32" s="819"/>
      <c r="H32" s="819"/>
      <c r="I32" s="496"/>
      <c r="J32" s="54"/>
      <c r="K32" s="796">
        <f>VLOOKUP('Part 1'!$L$16,Datasheet2!$B$6:$AP$332,15,FALSE)</f>
        <v>-210165126</v>
      </c>
      <c r="L32" s="797"/>
      <c r="M32" s="73"/>
      <c r="N32" s="73"/>
      <c r="O32" s="796">
        <f>VLOOKUP('Part 1'!$L$16,Datasheet2!$B$6:$AP$332,16,FALSE)</f>
        <v>-1033553</v>
      </c>
      <c r="P32" s="797"/>
      <c r="Q32" s="18"/>
      <c r="R32" s="322"/>
      <c r="S32" s="817">
        <f>VLOOKUP('Part 1'!$L$16,Datasheet2!$B$6:$AP$332,17,FALSE)</f>
        <v>-211198679</v>
      </c>
      <c r="T32" s="818"/>
      <c r="U32" s="339"/>
      <c r="V32" s="19"/>
    </row>
    <row r="33" spans="1:22" ht="15.75" x14ac:dyDescent="0.2">
      <c r="A33" s="30"/>
      <c r="B33" s="29"/>
      <c r="C33" s="49"/>
      <c r="D33" s="136"/>
      <c r="E33" s="49"/>
      <c r="F33" s="29"/>
      <c r="G33" s="496"/>
      <c r="H33" s="496"/>
      <c r="I33" s="496"/>
      <c r="J33" s="54"/>
      <c r="K33" s="437"/>
      <c r="L33" s="437"/>
      <c r="M33" s="437"/>
      <c r="N33" s="437"/>
      <c r="O33" s="437"/>
      <c r="P33" s="437"/>
      <c r="Q33" s="506"/>
      <c r="R33" s="438"/>
      <c r="S33" s="508"/>
      <c r="T33" s="438"/>
      <c r="U33" s="339"/>
      <c r="V33" s="19"/>
    </row>
    <row r="34" spans="1:22" ht="16.5" thickBot="1" x14ac:dyDescent="0.25">
      <c r="A34" s="30"/>
      <c r="B34" s="29"/>
      <c r="C34" s="493" t="s">
        <v>67</v>
      </c>
      <c r="D34" s="148"/>
      <c r="E34" s="49"/>
      <c r="F34" s="29"/>
      <c r="G34" s="124"/>
      <c r="H34" s="124"/>
      <c r="I34" s="496"/>
      <c r="J34" s="54"/>
      <c r="K34" s="437"/>
      <c r="L34" s="437"/>
      <c r="M34" s="437"/>
      <c r="N34" s="437"/>
      <c r="O34" s="437"/>
      <c r="P34" s="437"/>
      <c r="Q34" s="506"/>
      <c r="R34" s="438"/>
      <c r="S34" s="438"/>
      <c r="T34" s="438"/>
      <c r="U34" s="339"/>
      <c r="V34" s="19"/>
    </row>
    <row r="35" spans="1:22" ht="16.5" thickBot="1" x14ac:dyDescent="0.25">
      <c r="A35" s="30"/>
      <c r="B35" s="29"/>
      <c r="C35" s="74" t="s">
        <v>1019</v>
      </c>
      <c r="D35" s="148"/>
      <c r="E35" s="49"/>
      <c r="F35" s="29"/>
      <c r="G35" s="397"/>
      <c r="H35" s="397"/>
      <c r="I35" s="496"/>
      <c r="J35" s="54"/>
      <c r="K35" s="796">
        <f>VLOOKUP('Part 1'!$L$16,Datasheet2!$B$6:$AP$332,18,FALSE)</f>
        <v>754347360</v>
      </c>
      <c r="L35" s="797"/>
      <c r="M35" s="73"/>
      <c r="N35" s="73"/>
      <c r="O35" s="796">
        <f>VLOOKUP('Part 1'!$L$16,Datasheet2!$B$6:$AP$332,19,FALSE)</f>
        <v>2742403</v>
      </c>
      <c r="P35" s="797"/>
      <c r="Q35" s="18"/>
      <c r="R35" s="322"/>
      <c r="S35" s="817">
        <f>VLOOKUP('Part 1'!$L$16,Datasheet2!$B$6:$AP$332,20,FALSE)</f>
        <v>757089763</v>
      </c>
      <c r="T35" s="818"/>
      <c r="U35" s="339"/>
      <c r="V35" s="19"/>
    </row>
    <row r="36" spans="1:22" ht="16.5" thickBot="1" x14ac:dyDescent="0.25">
      <c r="A36" s="30"/>
      <c r="B36" s="29"/>
      <c r="C36" s="74"/>
      <c r="D36" s="148"/>
      <c r="E36" s="49"/>
      <c r="F36" s="29"/>
      <c r="G36" s="124"/>
      <c r="H36" s="124"/>
      <c r="I36" s="496"/>
      <c r="J36" s="54"/>
      <c r="K36" s="437"/>
      <c r="L36" s="437"/>
      <c r="M36" s="437"/>
      <c r="N36" s="437"/>
      <c r="O36" s="437"/>
      <c r="P36" s="437"/>
      <c r="Q36" s="506"/>
      <c r="R36" s="438"/>
      <c r="S36" s="438"/>
      <c r="T36" s="438"/>
      <c r="U36" s="339"/>
      <c r="V36" s="19"/>
    </row>
    <row r="37" spans="1:22" ht="16.5" thickBot="1" x14ac:dyDescent="0.25">
      <c r="A37" s="30"/>
      <c r="B37" s="29"/>
      <c r="C37" s="74" t="s">
        <v>1020</v>
      </c>
      <c r="D37" s="136"/>
      <c r="E37" s="49"/>
      <c r="F37" s="29"/>
      <c r="G37" s="819"/>
      <c r="H37" s="819"/>
      <c r="I37" s="496"/>
      <c r="J37" s="54"/>
      <c r="K37" s="796">
        <f>VLOOKUP('Part 1'!$L$16,Datasheet2!$B$6:$AP$332,21,FALSE)</f>
        <v>-590513018</v>
      </c>
      <c r="L37" s="797"/>
      <c r="M37" s="73"/>
      <c r="N37" s="73"/>
      <c r="O37" s="796">
        <f>VLOOKUP('Part 1'!$L$16,Datasheet2!$B$6:$AP$332,22,FALSE)</f>
        <v>-2723594</v>
      </c>
      <c r="P37" s="797"/>
      <c r="Q37" s="18"/>
      <c r="R37" s="322"/>
      <c r="S37" s="817">
        <f>VLOOKUP('Part 1'!$L$16,Datasheet2!$B$6:$AP$332,23,FALSE)</f>
        <v>-593236612</v>
      </c>
      <c r="T37" s="818"/>
      <c r="U37" s="339"/>
      <c r="V37" s="19"/>
    </row>
    <row r="38" spans="1:22" ht="16.5" thickBot="1" x14ac:dyDescent="0.25">
      <c r="A38" s="30"/>
      <c r="B38" s="29"/>
      <c r="C38" s="49"/>
      <c r="D38" s="49"/>
      <c r="E38" s="49"/>
      <c r="F38" s="29"/>
      <c r="G38" s="496"/>
      <c r="H38" s="496"/>
      <c r="I38" s="55"/>
      <c r="J38" s="54"/>
      <c r="K38" s="437"/>
      <c r="L38" s="437"/>
      <c r="M38" s="437"/>
      <c r="N38" s="437"/>
      <c r="O38" s="543"/>
      <c r="P38" s="543"/>
      <c r="Q38" s="506"/>
      <c r="R38" s="438"/>
      <c r="S38" s="508"/>
      <c r="T38" s="438"/>
      <c r="U38" s="339"/>
      <c r="V38" s="19"/>
    </row>
    <row r="39" spans="1:22" ht="15.75" x14ac:dyDescent="0.2">
      <c r="A39" s="30"/>
      <c r="B39" s="87"/>
      <c r="C39" s="138"/>
      <c r="D39" s="138"/>
      <c r="E39" s="138"/>
      <c r="F39" s="88"/>
      <c r="G39" s="205"/>
      <c r="H39" s="205"/>
      <c r="I39" s="89"/>
      <c r="J39" s="90"/>
      <c r="K39" s="546"/>
      <c r="L39" s="546"/>
      <c r="M39" s="546"/>
      <c r="N39" s="546"/>
      <c r="O39" s="547"/>
      <c r="P39" s="547"/>
      <c r="Q39" s="547"/>
      <c r="R39" s="548"/>
      <c r="S39" s="549"/>
      <c r="T39" s="548"/>
      <c r="U39" s="340"/>
      <c r="V39" s="19"/>
    </row>
    <row r="40" spans="1:22" ht="16.5" thickBot="1" x14ac:dyDescent="0.25">
      <c r="A40" s="30"/>
      <c r="B40" s="91"/>
      <c r="C40" s="493" t="s">
        <v>64</v>
      </c>
      <c r="D40" s="49"/>
      <c r="E40" s="49"/>
      <c r="F40" s="29"/>
      <c r="G40" s="124"/>
      <c r="H40" s="124"/>
      <c r="I40" s="54"/>
      <c r="J40" s="54"/>
      <c r="K40" s="437"/>
      <c r="L40" s="437"/>
      <c r="M40" s="437"/>
      <c r="N40" s="437"/>
      <c r="O40" s="437"/>
      <c r="P40" s="437"/>
      <c r="Q40" s="437"/>
      <c r="R40" s="438"/>
      <c r="S40" s="438"/>
      <c r="T40" s="438"/>
      <c r="U40" s="341"/>
      <c r="V40" s="19"/>
    </row>
    <row r="41" spans="1:22" ht="16.5" thickBot="1" x14ac:dyDescent="0.3">
      <c r="A41" s="30"/>
      <c r="B41" s="92"/>
      <c r="C41" s="74" t="s">
        <v>1021</v>
      </c>
      <c r="D41" s="49"/>
      <c r="E41" s="49"/>
      <c r="F41" s="29"/>
      <c r="G41" s="830"/>
      <c r="H41" s="831"/>
      <c r="I41" s="496"/>
      <c r="J41" s="54"/>
      <c r="K41" s="796">
        <f>VLOOKUP('Part 1'!$L$16,Datasheet2!$B$6:$AP$332,24,FALSE)</f>
        <v>23706687642.889999</v>
      </c>
      <c r="L41" s="797"/>
      <c r="M41" s="437"/>
      <c r="N41" s="437"/>
      <c r="O41" s="796">
        <f>VLOOKUP('Part 1'!$L$16,Datasheet2!$B$6:$AP$332,25,FALSE)</f>
        <v>162939530</v>
      </c>
      <c r="P41" s="797"/>
      <c r="Q41" s="437"/>
      <c r="R41" s="438"/>
      <c r="S41" s="817">
        <f>VLOOKUP('Part 1'!$L$16,Datasheet2!$B$6:$AP$332,26,FALSE)</f>
        <v>23869627172.889999</v>
      </c>
      <c r="T41" s="818"/>
      <c r="U41" s="342"/>
      <c r="V41" s="19"/>
    </row>
    <row r="42" spans="1:22" ht="15.75" thickBot="1" x14ac:dyDescent="0.25">
      <c r="A42" s="30"/>
      <c r="B42" s="93"/>
      <c r="C42" s="139"/>
      <c r="D42" s="139"/>
      <c r="E42" s="139"/>
      <c r="F42" s="94"/>
      <c r="G42" s="206"/>
      <c r="H42" s="206"/>
      <c r="I42" s="95"/>
      <c r="J42" s="95"/>
      <c r="K42" s="551"/>
      <c r="L42" s="551"/>
      <c r="M42" s="551"/>
      <c r="N42" s="551"/>
      <c r="O42" s="551"/>
      <c r="P42" s="551"/>
      <c r="Q42" s="551"/>
      <c r="R42" s="552"/>
      <c r="S42" s="552"/>
      <c r="T42" s="552"/>
      <c r="U42" s="343"/>
      <c r="V42" s="19"/>
    </row>
    <row r="43" spans="1:22" ht="15.75" thickBot="1" x14ac:dyDescent="0.25">
      <c r="A43" s="30"/>
      <c r="B43" s="29"/>
      <c r="C43" s="49"/>
      <c r="D43" s="49"/>
      <c r="E43" s="49"/>
      <c r="F43" s="29"/>
      <c r="G43" s="437"/>
      <c r="H43" s="437"/>
      <c r="I43" s="437"/>
      <c r="J43" s="437"/>
      <c r="K43" s="437"/>
      <c r="L43" s="437"/>
      <c r="M43" s="437"/>
      <c r="N43" s="437"/>
      <c r="O43" s="437"/>
      <c r="P43" s="437"/>
      <c r="Q43" s="437"/>
      <c r="R43" s="437"/>
      <c r="S43" s="437"/>
      <c r="T43" s="437"/>
      <c r="U43" s="18"/>
      <c r="V43" s="19"/>
    </row>
    <row r="44" spans="1:22" x14ac:dyDescent="0.2">
      <c r="A44" s="207"/>
      <c r="B44" s="208"/>
      <c r="C44" s="209"/>
      <c r="D44" s="209"/>
      <c r="E44" s="209"/>
      <c r="F44" s="208"/>
      <c r="G44" s="550"/>
      <c r="H44" s="550"/>
      <c r="I44" s="550"/>
      <c r="J44" s="550"/>
      <c r="K44" s="550"/>
      <c r="L44" s="550"/>
      <c r="M44" s="550"/>
      <c r="N44" s="550"/>
      <c r="O44" s="550"/>
      <c r="P44" s="550"/>
      <c r="Q44" s="550"/>
      <c r="R44" s="550"/>
      <c r="S44" s="550"/>
      <c r="T44" s="550"/>
      <c r="U44" s="210"/>
      <c r="V44" s="211"/>
    </row>
    <row r="45" spans="1:22" ht="15.75" x14ac:dyDescent="0.2">
      <c r="A45" s="30"/>
      <c r="B45" s="29"/>
      <c r="C45" s="493" t="s">
        <v>86</v>
      </c>
      <c r="D45" s="49"/>
      <c r="E45" s="49"/>
      <c r="F45" s="29"/>
      <c r="G45" s="437"/>
      <c r="H45" s="437"/>
      <c r="I45" s="437"/>
      <c r="J45" s="437"/>
      <c r="K45" s="437"/>
      <c r="L45" s="437"/>
      <c r="M45" s="437"/>
      <c r="N45" s="437"/>
      <c r="O45" s="437"/>
      <c r="P45" s="437"/>
      <c r="Q45" s="437"/>
      <c r="R45" s="437"/>
      <c r="S45" s="437"/>
      <c r="T45" s="437"/>
      <c r="U45" s="18"/>
      <c r="V45" s="19"/>
    </row>
    <row r="46" spans="1:22" ht="15.75" x14ac:dyDescent="0.2">
      <c r="A46" s="30"/>
      <c r="B46" s="29"/>
      <c r="C46" s="346"/>
      <c r="D46" s="49"/>
      <c r="E46" s="49"/>
      <c r="F46" s="29"/>
      <c r="G46" s="828"/>
      <c r="H46" s="828"/>
      <c r="I46" s="437"/>
      <c r="J46" s="437"/>
      <c r="K46" s="828" t="s">
        <v>23</v>
      </c>
      <c r="L46" s="828"/>
      <c r="M46" s="437"/>
      <c r="N46" s="437"/>
      <c r="O46" s="828" t="s">
        <v>24</v>
      </c>
      <c r="P46" s="832"/>
      <c r="Q46" s="437"/>
      <c r="R46" s="437"/>
      <c r="S46" s="828" t="s">
        <v>25</v>
      </c>
      <c r="T46" s="832"/>
      <c r="U46" s="18"/>
      <c r="V46" s="19"/>
    </row>
    <row r="47" spans="1:22" ht="15.75" customHeight="1" x14ac:dyDescent="0.2">
      <c r="A47" s="30"/>
      <c r="B47" s="29"/>
      <c r="C47" s="493"/>
      <c r="D47" s="49"/>
      <c r="E47" s="49"/>
      <c r="F47" s="29"/>
      <c r="G47" s="437"/>
      <c r="H47" s="437"/>
      <c r="I47" s="437"/>
      <c r="J47" s="437"/>
      <c r="K47" s="801" t="s">
        <v>54</v>
      </c>
      <c r="L47" s="801"/>
      <c r="M47" s="437"/>
      <c r="N47" s="437"/>
      <c r="O47" s="800" t="s">
        <v>52</v>
      </c>
      <c r="P47" s="800"/>
      <c r="Q47" s="437"/>
      <c r="R47" s="438"/>
      <c r="S47" s="792" t="s">
        <v>7</v>
      </c>
      <c r="T47" s="792"/>
      <c r="U47" s="324"/>
      <c r="V47" s="19"/>
    </row>
    <row r="48" spans="1:22" ht="32.25" customHeight="1" x14ac:dyDescent="0.2">
      <c r="A48" s="30"/>
      <c r="B48" s="29"/>
      <c r="C48" s="493"/>
      <c r="D48" s="49"/>
      <c r="E48" s="49"/>
      <c r="F48" s="29"/>
      <c r="G48" s="437"/>
      <c r="H48" s="437"/>
      <c r="I48" s="437"/>
      <c r="J48" s="437"/>
      <c r="K48" s="801"/>
      <c r="L48" s="801"/>
      <c r="M48" s="437"/>
      <c r="N48" s="437"/>
      <c r="O48" s="800"/>
      <c r="P48" s="800"/>
      <c r="Q48" s="437"/>
      <c r="R48" s="438"/>
      <c r="S48" s="792"/>
      <c r="T48" s="792"/>
      <c r="U48" s="324"/>
      <c r="V48" s="19"/>
    </row>
    <row r="49" spans="1:22" ht="32.25" customHeight="1" thickBot="1" x14ac:dyDescent="0.3">
      <c r="A49" s="30"/>
      <c r="B49" s="29"/>
      <c r="C49" s="178" t="s">
        <v>48</v>
      </c>
      <c r="D49" s="49"/>
      <c r="E49" s="49"/>
      <c r="F49" s="29"/>
      <c r="G49" s="437"/>
      <c r="H49" s="437"/>
      <c r="I49" s="437"/>
      <c r="J49" s="437"/>
      <c r="K49" s="795"/>
      <c r="L49" s="795"/>
      <c r="M49" s="437"/>
      <c r="N49" s="437"/>
      <c r="O49" s="795"/>
      <c r="P49" s="795"/>
      <c r="Q49" s="437"/>
      <c r="R49" s="438"/>
      <c r="S49" s="792" t="s">
        <v>1220</v>
      </c>
      <c r="T49" s="792"/>
      <c r="U49" s="324"/>
      <c r="V49" s="19"/>
    </row>
    <row r="50" spans="1:22" ht="16.5" thickBot="1" x14ac:dyDescent="0.25">
      <c r="A50" s="30"/>
      <c r="B50" s="29"/>
      <c r="C50" s="74" t="s">
        <v>1024</v>
      </c>
      <c r="D50" s="49"/>
      <c r="E50" s="49"/>
      <c r="F50" s="29"/>
      <c r="G50" s="54"/>
      <c r="H50" s="54"/>
      <c r="I50" s="54"/>
      <c r="J50" s="54"/>
      <c r="K50" s="795"/>
      <c r="L50" s="795"/>
      <c r="M50" s="437"/>
      <c r="N50" s="437"/>
      <c r="O50" s="796">
        <f>VLOOKUP('Part 1'!$L$16,Datasheet2!$B$6:$AP$332,27,FALSE)</f>
        <v>162939530</v>
      </c>
      <c r="P50" s="797"/>
      <c r="Q50" s="54"/>
      <c r="R50" s="438"/>
      <c r="S50" s="793">
        <f>VLOOKUP('Part 1'!$L$16,Datasheet2!$B$6:$AP$332,28,FALSE)</f>
        <v>162939530</v>
      </c>
      <c r="T50" s="794"/>
      <c r="U50" s="439"/>
      <c r="V50" s="19"/>
    </row>
    <row r="51" spans="1:22" ht="15.75" x14ac:dyDescent="0.2">
      <c r="A51" s="30"/>
      <c r="B51" s="29"/>
      <c r="C51" s="493"/>
      <c r="D51" s="49"/>
      <c r="E51" s="49"/>
      <c r="F51" s="29"/>
      <c r="G51" s="553"/>
      <c r="H51" s="437"/>
      <c r="I51" s="553"/>
      <c r="J51" s="437"/>
      <c r="K51" s="553"/>
      <c r="L51" s="553"/>
      <c r="M51" s="553"/>
      <c r="N51" s="553"/>
      <c r="O51" s="553"/>
      <c r="P51" s="553"/>
      <c r="Q51" s="437"/>
      <c r="R51" s="438"/>
      <c r="S51" s="438"/>
      <c r="T51" s="438"/>
      <c r="U51" s="439"/>
      <c r="V51" s="19"/>
    </row>
    <row r="52" spans="1:22" ht="15.75" x14ac:dyDescent="0.2">
      <c r="A52" s="30"/>
      <c r="B52" s="29"/>
      <c r="C52" s="493"/>
      <c r="D52" s="49"/>
      <c r="E52" s="49"/>
      <c r="F52" s="29"/>
      <c r="G52" s="437"/>
      <c r="H52" s="437"/>
      <c r="I52" s="553"/>
      <c r="J52" s="437"/>
      <c r="K52" s="437"/>
      <c r="L52" s="437"/>
      <c r="M52" s="437"/>
      <c r="N52" s="437"/>
      <c r="O52" s="437"/>
      <c r="P52" s="437"/>
      <c r="Q52" s="437"/>
      <c r="R52" s="438"/>
      <c r="S52" s="438"/>
      <c r="T52" s="438"/>
      <c r="U52" s="439"/>
      <c r="V52" s="19"/>
    </row>
    <row r="53" spans="1:22" ht="15" customHeight="1" x14ac:dyDescent="0.2">
      <c r="A53" s="30"/>
      <c r="B53" s="29"/>
      <c r="C53" s="126"/>
      <c r="D53" s="49"/>
      <c r="E53" s="49"/>
      <c r="F53" s="29"/>
      <c r="G53" s="789"/>
      <c r="H53" s="789"/>
      <c r="I53" s="437"/>
      <c r="J53" s="437"/>
      <c r="K53" s="437"/>
      <c r="L53" s="437"/>
      <c r="M53" s="437"/>
      <c r="N53" s="437"/>
      <c r="O53" s="437"/>
      <c r="P53" s="437"/>
      <c r="Q53" s="437"/>
      <c r="R53" s="438"/>
      <c r="S53" s="798" t="s">
        <v>944</v>
      </c>
      <c r="T53" s="799"/>
      <c r="U53" s="439"/>
      <c r="V53" s="19"/>
    </row>
    <row r="54" spans="1:22" ht="16.5" customHeight="1" thickBot="1" x14ac:dyDescent="0.3">
      <c r="A54" s="30"/>
      <c r="B54" s="31"/>
      <c r="C54" s="593" t="s">
        <v>1180</v>
      </c>
      <c r="D54" s="49"/>
      <c r="E54" s="49"/>
      <c r="F54" s="29"/>
      <c r="G54" s="789"/>
      <c r="H54" s="789"/>
      <c r="I54" s="437"/>
      <c r="J54" s="437"/>
      <c r="K54" s="437"/>
      <c r="L54" s="437"/>
      <c r="M54" s="437"/>
      <c r="N54" s="437"/>
      <c r="O54" s="437"/>
      <c r="P54" s="437"/>
      <c r="Q54" s="437"/>
      <c r="R54" s="438"/>
      <c r="S54" s="799"/>
      <c r="T54" s="799"/>
      <c r="U54" s="440"/>
      <c r="V54" s="19"/>
    </row>
    <row r="55" spans="1:22" ht="16.5" thickBot="1" x14ac:dyDescent="0.25">
      <c r="A55" s="30"/>
      <c r="B55" s="18"/>
      <c r="C55" s="74" t="s">
        <v>1025</v>
      </c>
      <c r="D55" s="49"/>
      <c r="E55" s="49"/>
      <c r="F55" s="18"/>
      <c r="G55" s="789"/>
      <c r="H55" s="789"/>
      <c r="I55" s="54"/>
      <c r="J55" s="54"/>
      <c r="K55" s="796">
        <f>VLOOKUP('Part 1'!$L$16,Datasheet2!$B$6:$AP$332,29,FALSE)</f>
        <v>50780684</v>
      </c>
      <c r="L55" s="797"/>
      <c r="M55" s="437"/>
      <c r="N55" s="437"/>
      <c r="O55" s="796">
        <f>VLOOKUP('Part 1'!$L$16,Datasheet2!$B$6:$AP$332,30,FALSE)</f>
        <v>578782</v>
      </c>
      <c r="P55" s="797"/>
      <c r="Q55" s="18"/>
      <c r="R55" s="438"/>
      <c r="S55" s="793">
        <f>VLOOKUP('Part 1'!$L$16,Datasheet2!$B$6:$AP$332,31,FALSE)</f>
        <v>51359466</v>
      </c>
      <c r="T55" s="794"/>
      <c r="U55" s="441"/>
      <c r="V55" s="19"/>
    </row>
    <row r="56" spans="1:22" ht="15.75" thickBot="1" x14ac:dyDescent="0.25">
      <c r="A56" s="30"/>
      <c r="B56" s="18"/>
      <c r="C56" s="49"/>
      <c r="D56" s="49"/>
      <c r="E56" s="49"/>
      <c r="F56" s="18"/>
      <c r="G56" s="789"/>
      <c r="H56" s="789"/>
      <c r="I56" s="437"/>
      <c r="J56" s="437"/>
      <c r="K56" s="437"/>
      <c r="L56" s="437"/>
      <c r="M56" s="437"/>
      <c r="N56" s="437"/>
      <c r="O56" s="437"/>
      <c r="P56" s="437"/>
      <c r="Q56" s="437"/>
      <c r="R56" s="438"/>
      <c r="S56" s="438"/>
      <c r="T56" s="438"/>
      <c r="U56" s="439"/>
      <c r="V56" s="19"/>
    </row>
    <row r="57" spans="1:22" ht="16.5" thickBot="1" x14ac:dyDescent="0.25">
      <c r="A57" s="30"/>
      <c r="B57" s="18"/>
      <c r="C57" s="74" t="s">
        <v>1026</v>
      </c>
      <c r="D57" s="49"/>
      <c r="E57" s="49"/>
      <c r="F57" s="18"/>
      <c r="G57" s="54"/>
      <c r="H57" s="54"/>
      <c r="I57" s="54"/>
      <c r="J57" s="54"/>
      <c r="K57" s="437"/>
      <c r="L57" s="437"/>
      <c r="M57" s="437"/>
      <c r="N57" s="437"/>
      <c r="O57" s="796">
        <f>VLOOKUP('Part 1'!$L$16,Datasheet2!$B$6:$AP$332,32,FALSE)</f>
        <v>-770117</v>
      </c>
      <c r="P57" s="797"/>
      <c r="Q57" s="54"/>
      <c r="R57" s="438"/>
      <c r="S57" s="793">
        <f>VLOOKUP('Part 1'!$L$16,Datasheet2!$B$6:$AP$332,33,FALSE)</f>
        <v>-770117</v>
      </c>
      <c r="T57" s="794"/>
      <c r="U57" s="439"/>
      <c r="V57" s="19"/>
    </row>
    <row r="58" spans="1:22" ht="15.75" thickBot="1" x14ac:dyDescent="0.25">
      <c r="A58" s="30"/>
      <c r="B58" s="18"/>
      <c r="C58" s="49"/>
      <c r="D58" s="49"/>
      <c r="E58" s="49"/>
      <c r="F58" s="18"/>
      <c r="G58" s="437"/>
      <c r="H58" s="437"/>
      <c r="I58" s="437"/>
      <c r="J58" s="437"/>
      <c r="K58" s="437"/>
      <c r="L58" s="437"/>
      <c r="M58" s="437"/>
      <c r="N58" s="437"/>
      <c r="O58" s="437"/>
      <c r="P58" s="437"/>
      <c r="Q58" s="437"/>
      <c r="R58" s="438"/>
      <c r="S58" s="438"/>
      <c r="T58" s="438"/>
      <c r="U58" s="439"/>
      <c r="V58" s="19"/>
    </row>
    <row r="59" spans="1:22" ht="16.5" thickBot="1" x14ac:dyDescent="0.25">
      <c r="A59" s="32"/>
      <c r="B59" s="18"/>
      <c r="C59" s="74" t="s">
        <v>1027</v>
      </c>
      <c r="D59" s="49"/>
      <c r="E59" s="49"/>
      <c r="F59" s="18"/>
      <c r="G59" s="54"/>
      <c r="H59" s="54"/>
      <c r="I59" s="54"/>
      <c r="J59" s="54"/>
      <c r="K59" s="437"/>
      <c r="L59" s="437"/>
      <c r="M59" s="437"/>
      <c r="N59" s="437"/>
      <c r="O59" s="796">
        <f>VLOOKUP('Part 1'!$L$16,Datasheet2!$B$6:$AP$332,34,FALSE)</f>
        <v>149591263</v>
      </c>
      <c r="P59" s="797"/>
      <c r="Q59" s="54"/>
      <c r="R59" s="438"/>
      <c r="S59" s="790">
        <f>VLOOKUP('Part 1'!$L$16,Datasheet2!$B$6:$AP$332,35,FALSE)</f>
        <v>149591263</v>
      </c>
      <c r="T59" s="791"/>
      <c r="U59" s="439"/>
      <c r="V59" s="19"/>
    </row>
    <row r="60" spans="1:22" ht="16.5" thickBot="1" x14ac:dyDescent="0.25">
      <c r="A60" s="32"/>
      <c r="B60" s="18"/>
      <c r="C60" s="49"/>
      <c r="D60" s="49"/>
      <c r="E60" s="49"/>
      <c r="F60" s="18"/>
      <c r="G60" s="437"/>
      <c r="H60" s="437"/>
      <c r="I60" s="437"/>
      <c r="J60" s="437"/>
      <c r="K60" s="437"/>
      <c r="L60" s="437"/>
      <c r="M60" s="437"/>
      <c r="N60" s="437"/>
      <c r="O60" s="543"/>
      <c r="P60" s="437"/>
      <c r="Q60" s="437"/>
      <c r="R60" s="438"/>
      <c r="S60" s="438"/>
      <c r="T60" s="438"/>
      <c r="U60" s="439"/>
      <c r="V60" s="19"/>
    </row>
    <row r="61" spans="1:22" x14ac:dyDescent="0.2">
      <c r="A61" s="32"/>
      <c r="B61" s="25"/>
      <c r="C61" s="140"/>
      <c r="D61" s="140"/>
      <c r="E61" s="140"/>
      <c r="F61" s="20"/>
      <c r="G61" s="442"/>
      <c r="H61" s="442"/>
      <c r="I61" s="442"/>
      <c r="J61" s="442"/>
      <c r="K61" s="442"/>
      <c r="L61" s="442"/>
      <c r="M61" s="442"/>
      <c r="N61" s="442"/>
      <c r="O61" s="442"/>
      <c r="P61" s="442"/>
      <c r="Q61" s="442"/>
      <c r="R61" s="442"/>
      <c r="S61" s="442"/>
      <c r="T61" s="442"/>
      <c r="U61" s="443"/>
      <c r="V61" s="19"/>
    </row>
    <row r="62" spans="1:22" ht="15.75" x14ac:dyDescent="0.2">
      <c r="A62" s="32"/>
      <c r="B62" s="26"/>
      <c r="C62" s="142"/>
      <c r="D62" s="142"/>
      <c r="E62" s="142"/>
      <c r="F62" s="21"/>
      <c r="G62" s="56"/>
      <c r="H62" s="56"/>
      <c r="I62" s="56"/>
      <c r="J62" s="56"/>
      <c r="K62" s="436"/>
      <c r="L62" s="436"/>
      <c r="M62" s="436"/>
      <c r="N62" s="436"/>
      <c r="O62" s="436"/>
      <c r="P62" s="436"/>
      <c r="Q62" s="56"/>
      <c r="R62" s="808" t="s">
        <v>70</v>
      </c>
      <c r="S62" s="808"/>
      <c r="T62" s="808"/>
      <c r="U62" s="809"/>
      <c r="V62" s="19"/>
    </row>
    <row r="63" spans="1:22" ht="16.5" thickBot="1" x14ac:dyDescent="0.25">
      <c r="A63" s="32"/>
      <c r="B63" s="26"/>
      <c r="C63" s="141" t="s">
        <v>39</v>
      </c>
      <c r="D63" s="142"/>
      <c r="E63" s="142"/>
      <c r="F63" s="21"/>
      <c r="G63" s="56"/>
      <c r="H63" s="56"/>
      <c r="I63" s="56"/>
      <c r="J63" s="56"/>
      <c r="K63" s="436"/>
      <c r="L63" s="436"/>
      <c r="M63" s="436"/>
      <c r="N63" s="436"/>
      <c r="O63" s="804"/>
      <c r="P63" s="804"/>
      <c r="Q63" s="203"/>
      <c r="R63" s="444"/>
      <c r="S63" s="807" t="s">
        <v>20</v>
      </c>
      <c r="T63" s="807"/>
      <c r="U63" s="445"/>
      <c r="V63" s="19"/>
    </row>
    <row r="64" spans="1:22" ht="16.5" thickBot="1" x14ac:dyDescent="0.25">
      <c r="A64" s="32"/>
      <c r="B64" s="26"/>
      <c r="C64" s="145" t="s">
        <v>1028</v>
      </c>
      <c r="D64" s="142"/>
      <c r="E64" s="142"/>
      <c r="F64" s="21"/>
      <c r="G64" s="56"/>
      <c r="H64" s="56"/>
      <c r="I64" s="56"/>
      <c r="J64" s="56"/>
      <c r="K64" s="436"/>
      <c r="L64" s="436"/>
      <c r="M64" s="436"/>
      <c r="N64" s="436"/>
      <c r="O64" s="804"/>
      <c r="P64" s="804"/>
      <c r="Q64" s="216"/>
      <c r="R64" s="444"/>
      <c r="S64" s="805">
        <f>VLOOKUP('Part 1'!$L$16,Datasheet2!$B$6:$AP$332,36,FALSE)</f>
        <v>28737781</v>
      </c>
      <c r="T64" s="806"/>
      <c r="U64" s="445"/>
      <c r="V64" s="19"/>
    </row>
    <row r="65" spans="1:22" ht="15.75" thickBot="1" x14ac:dyDescent="0.25">
      <c r="A65" s="32"/>
      <c r="B65" s="27"/>
      <c r="C65" s="143"/>
      <c r="D65" s="143"/>
      <c r="E65" s="143"/>
      <c r="F65" s="22"/>
      <c r="G65" s="112"/>
      <c r="H65" s="112"/>
      <c r="I65" s="112"/>
      <c r="J65" s="112"/>
      <c r="K65" s="112"/>
      <c r="L65" s="112"/>
      <c r="M65" s="112"/>
      <c r="N65" s="112"/>
      <c r="O65" s="112"/>
      <c r="P65" s="112"/>
      <c r="Q65" s="112"/>
      <c r="R65" s="112"/>
      <c r="S65" s="112"/>
      <c r="T65" s="112"/>
      <c r="U65" s="23"/>
      <c r="V65" s="19"/>
    </row>
    <row r="66" spans="1:22" ht="15.75" thickBot="1" x14ac:dyDescent="0.25">
      <c r="A66" s="32"/>
      <c r="B66" s="18"/>
      <c r="C66" s="49"/>
      <c r="D66" s="49"/>
      <c r="E66" s="49"/>
      <c r="F66" s="18"/>
      <c r="G66" s="113"/>
      <c r="H66" s="113"/>
      <c r="I66" s="113"/>
      <c r="J66" s="113"/>
      <c r="K66" s="113"/>
      <c r="L66" s="113"/>
      <c r="M66" s="113"/>
      <c r="N66" s="113"/>
      <c r="O66" s="113"/>
      <c r="P66" s="113"/>
      <c r="Q66" s="113"/>
      <c r="R66" s="113"/>
      <c r="S66" s="113"/>
      <c r="T66" s="113"/>
      <c r="U66" s="18"/>
      <c r="V66" s="19"/>
    </row>
    <row r="67" spans="1:22" x14ac:dyDescent="0.2">
      <c r="A67" s="32"/>
      <c r="B67" s="190"/>
      <c r="C67" s="191"/>
      <c r="D67" s="191"/>
      <c r="E67" s="191"/>
      <c r="F67" s="192"/>
      <c r="G67" s="192"/>
      <c r="H67" s="193"/>
      <c r="I67" s="193"/>
      <c r="J67" s="193"/>
      <c r="K67" s="193"/>
      <c r="L67" s="193"/>
      <c r="M67" s="193"/>
      <c r="N67" s="193"/>
      <c r="O67" s="193"/>
      <c r="P67" s="193"/>
      <c r="Q67" s="193"/>
      <c r="R67" s="193"/>
      <c r="S67" s="193"/>
      <c r="T67" s="193"/>
      <c r="U67" s="194"/>
      <c r="V67" s="19"/>
    </row>
    <row r="68" spans="1:22" ht="16.5" thickBot="1" x14ac:dyDescent="0.25">
      <c r="A68" s="32"/>
      <c r="B68" s="195"/>
      <c r="C68" s="196" t="s">
        <v>50</v>
      </c>
      <c r="D68" s="179"/>
      <c r="E68" s="179"/>
      <c r="F68" s="189"/>
      <c r="G68" s="189"/>
      <c r="H68" s="189"/>
      <c r="I68" s="189"/>
      <c r="J68" s="189"/>
      <c r="K68" s="189"/>
      <c r="L68" s="189"/>
      <c r="M68" s="189"/>
      <c r="N68" s="189"/>
      <c r="O68" s="189"/>
      <c r="P68" s="189"/>
      <c r="Q68" s="189"/>
      <c r="R68" s="189"/>
      <c r="S68" s="197"/>
      <c r="T68" s="197"/>
      <c r="U68" s="198"/>
      <c r="V68" s="19"/>
    </row>
    <row r="69" spans="1:22" ht="16.5" thickBot="1" x14ac:dyDescent="0.25">
      <c r="A69" s="32"/>
      <c r="B69" s="195"/>
      <c r="C69" s="181" t="s">
        <v>1029</v>
      </c>
      <c r="D69" s="179"/>
      <c r="E69" s="179"/>
      <c r="F69" s="189"/>
      <c r="G69" s="189"/>
      <c r="H69" s="189"/>
      <c r="I69" s="189"/>
      <c r="J69" s="189"/>
      <c r="K69" s="189"/>
      <c r="L69" s="189"/>
      <c r="M69" s="189"/>
      <c r="N69" s="189"/>
      <c r="O69" s="189"/>
      <c r="P69" s="189"/>
      <c r="Q69" s="189"/>
      <c r="R69" s="189"/>
      <c r="S69" s="802">
        <f>VLOOKUP('Part 1'!$L$16,Datasheet2!$B$6:$AP$332,37,FALSE)</f>
        <v>1262080834.5400002</v>
      </c>
      <c r="T69" s="803"/>
      <c r="U69" s="199"/>
      <c r="V69" s="19"/>
    </row>
    <row r="70" spans="1:22" ht="15.75" thickBot="1" x14ac:dyDescent="0.25">
      <c r="A70" s="32"/>
      <c r="B70" s="195"/>
      <c r="C70" s="179"/>
      <c r="D70" s="179"/>
      <c r="E70" s="179"/>
      <c r="F70" s="189"/>
      <c r="G70" s="189"/>
      <c r="H70" s="189"/>
      <c r="I70" s="189"/>
      <c r="J70" s="189"/>
      <c r="K70" s="189"/>
      <c r="L70" s="189"/>
      <c r="M70" s="189"/>
      <c r="N70" s="189"/>
      <c r="O70" s="189"/>
      <c r="P70" s="189"/>
      <c r="Q70" s="189"/>
      <c r="R70" s="189"/>
      <c r="S70" s="183"/>
      <c r="T70" s="183"/>
      <c r="U70" s="199"/>
      <c r="V70" s="19"/>
    </row>
    <row r="71" spans="1:22" ht="16.5" thickBot="1" x14ac:dyDescent="0.25">
      <c r="A71" s="32"/>
      <c r="B71" s="195"/>
      <c r="C71" s="181" t="s">
        <v>1030</v>
      </c>
      <c r="D71" s="179"/>
      <c r="E71" s="179"/>
      <c r="F71" s="189"/>
      <c r="G71" s="189"/>
      <c r="H71" s="189"/>
      <c r="I71" s="189"/>
      <c r="J71" s="189"/>
      <c r="K71" s="189"/>
      <c r="L71" s="189"/>
      <c r="M71" s="189"/>
      <c r="N71" s="189"/>
      <c r="O71" s="189"/>
      <c r="P71" s="189"/>
      <c r="Q71" s="189"/>
      <c r="R71" s="189"/>
      <c r="S71" s="802">
        <f>VLOOKUP('Part 1'!$L$16,Datasheet2!$B$6:$AP$332,38,FALSE)</f>
        <v>-828062173.8499999</v>
      </c>
      <c r="T71" s="803"/>
      <c r="U71" s="199"/>
      <c r="V71" s="19"/>
    </row>
    <row r="72" spans="1:22" ht="15.75" thickBot="1" x14ac:dyDescent="0.25">
      <c r="A72" s="32"/>
      <c r="B72" s="200"/>
      <c r="C72" s="201"/>
      <c r="D72" s="201"/>
      <c r="E72" s="201"/>
      <c r="F72" s="201"/>
      <c r="G72" s="201"/>
      <c r="H72" s="201"/>
      <c r="I72" s="201"/>
      <c r="J72" s="201"/>
      <c r="K72" s="201"/>
      <c r="L72" s="201"/>
      <c r="M72" s="201"/>
      <c r="N72" s="201"/>
      <c r="O72" s="201"/>
      <c r="P72" s="201"/>
      <c r="Q72" s="201"/>
      <c r="R72" s="201"/>
      <c r="S72" s="201"/>
      <c r="T72" s="201"/>
      <c r="U72" s="202"/>
      <c r="V72" s="19"/>
    </row>
    <row r="73" spans="1:22" ht="15.75" thickBot="1" x14ac:dyDescent="0.25">
      <c r="A73" s="601"/>
      <c r="B73" s="70"/>
      <c r="C73" s="70"/>
      <c r="D73" s="70"/>
      <c r="E73" s="70"/>
      <c r="F73" s="70"/>
      <c r="G73" s="70"/>
      <c r="H73" s="70"/>
      <c r="I73" s="70"/>
      <c r="J73" s="70"/>
      <c r="K73" s="70"/>
      <c r="L73" s="70"/>
      <c r="M73" s="70"/>
      <c r="N73" s="70"/>
      <c r="O73" s="70"/>
      <c r="P73" s="70"/>
      <c r="Q73" s="70"/>
      <c r="R73" s="70"/>
      <c r="S73" s="70"/>
      <c r="T73" s="70"/>
      <c r="U73" s="70"/>
      <c r="V73" s="602"/>
    </row>
    <row r="75" spans="1:22" x14ac:dyDescent="0.2">
      <c r="G75" s="348"/>
    </row>
    <row r="76" spans="1:22" x14ac:dyDescent="0.2">
      <c r="G76" s="348"/>
    </row>
    <row r="77" spans="1:22" x14ac:dyDescent="0.2">
      <c r="G77" s="348"/>
    </row>
    <row r="78" spans="1:22" x14ac:dyDescent="0.2">
      <c r="E78" s="348"/>
      <c r="G78" s="348"/>
      <c r="I78" s="348"/>
    </row>
    <row r="79" spans="1:22" x14ac:dyDescent="0.2">
      <c r="G79" s="348"/>
    </row>
    <row r="80" spans="1:22" x14ac:dyDescent="0.2">
      <c r="G80" s="348"/>
    </row>
    <row r="81" spans="3:22" x14ac:dyDescent="0.2">
      <c r="G81" s="348"/>
    </row>
    <row r="82" spans="3:22" x14ac:dyDescent="0.2">
      <c r="C82" s="348"/>
      <c r="D82" s="348"/>
      <c r="E82" s="348"/>
      <c r="F82" s="348"/>
      <c r="G82" s="348"/>
      <c r="H82" s="348"/>
      <c r="I82" s="348"/>
      <c r="J82" s="348"/>
      <c r="K82" s="348"/>
      <c r="L82" s="348"/>
      <c r="M82" s="348"/>
      <c r="N82" s="348"/>
      <c r="O82" s="348"/>
      <c r="P82" s="348"/>
      <c r="Q82" s="348"/>
      <c r="R82" s="348"/>
      <c r="S82" s="348"/>
      <c r="T82" s="348"/>
      <c r="U82" s="348"/>
      <c r="V82" s="348"/>
    </row>
    <row r="83" spans="3:22" x14ac:dyDescent="0.2">
      <c r="G83" s="348"/>
    </row>
    <row r="84" spans="3:22" x14ac:dyDescent="0.2">
      <c r="G84" s="348"/>
    </row>
    <row r="85" spans="3:22" x14ac:dyDescent="0.2">
      <c r="G85" s="348"/>
    </row>
    <row r="86" spans="3:22" x14ac:dyDescent="0.2">
      <c r="G86" s="348"/>
    </row>
    <row r="87" spans="3:22" x14ac:dyDescent="0.2">
      <c r="G87" s="348"/>
    </row>
  </sheetData>
  <mergeCells count="84">
    <mergeCell ref="G23:H23"/>
    <mergeCell ref="O17:P17"/>
    <mergeCell ref="K23:L23"/>
    <mergeCell ref="O29:P29"/>
    <mergeCell ref="K17:L17"/>
    <mergeCell ref="O23:P23"/>
    <mergeCell ref="S37:T37"/>
    <mergeCell ref="S29:T29"/>
    <mergeCell ref="S46:T46"/>
    <mergeCell ref="O35:P35"/>
    <mergeCell ref="K16:L16"/>
    <mergeCell ref="O46:P46"/>
    <mergeCell ref="O41:P41"/>
    <mergeCell ref="S41:T41"/>
    <mergeCell ref="O16:P16"/>
    <mergeCell ref="R16:U16"/>
    <mergeCell ref="G37:H37"/>
    <mergeCell ref="K29:L29"/>
    <mergeCell ref="K35:L35"/>
    <mergeCell ref="K37:L37"/>
    <mergeCell ref="K46:L46"/>
    <mergeCell ref="K32:L32"/>
    <mergeCell ref="C29:G30"/>
    <mergeCell ref="G41:H41"/>
    <mergeCell ref="K41:L41"/>
    <mergeCell ref="G46:H46"/>
    <mergeCell ref="A7:V7"/>
    <mergeCell ref="O27:P27"/>
    <mergeCell ref="G17:H17"/>
    <mergeCell ref="S13:T13"/>
    <mergeCell ref="G18:H18"/>
    <mergeCell ref="S14:T15"/>
    <mergeCell ref="O13:P13"/>
    <mergeCell ref="G14:H15"/>
    <mergeCell ref="S27:T27"/>
    <mergeCell ref="B22:C22"/>
    <mergeCell ref="C23:E23"/>
    <mergeCell ref="O14:P15"/>
    <mergeCell ref="K13:L13"/>
    <mergeCell ref="K14:L15"/>
    <mergeCell ref="G16:H16"/>
    <mergeCell ref="C13:H13"/>
    <mergeCell ref="A2:V2"/>
    <mergeCell ref="A3:V3"/>
    <mergeCell ref="O18:P18"/>
    <mergeCell ref="O37:P37"/>
    <mergeCell ref="S17:T17"/>
    <mergeCell ref="C9:G9"/>
    <mergeCell ref="C18:E20"/>
    <mergeCell ref="S35:T35"/>
    <mergeCell ref="S32:T32"/>
    <mergeCell ref="G32:H32"/>
    <mergeCell ref="O32:P32"/>
    <mergeCell ref="S23:T23"/>
    <mergeCell ref="S18:T18"/>
    <mergeCell ref="K18:L18"/>
    <mergeCell ref="K27:L27"/>
    <mergeCell ref="A5:V5"/>
    <mergeCell ref="S69:T69"/>
    <mergeCell ref="S71:T71"/>
    <mergeCell ref="O55:P55"/>
    <mergeCell ref="O63:P63"/>
    <mergeCell ref="O64:P64"/>
    <mergeCell ref="S64:T64"/>
    <mergeCell ref="S63:T63"/>
    <mergeCell ref="O57:P57"/>
    <mergeCell ref="O59:P59"/>
    <mergeCell ref="R62:U62"/>
    <mergeCell ref="S55:T55"/>
    <mergeCell ref="G55:H56"/>
    <mergeCell ref="S59:T59"/>
    <mergeCell ref="S47:T48"/>
    <mergeCell ref="S57:T57"/>
    <mergeCell ref="K50:L50"/>
    <mergeCell ref="O50:P50"/>
    <mergeCell ref="S50:T50"/>
    <mergeCell ref="O49:P49"/>
    <mergeCell ref="S53:T54"/>
    <mergeCell ref="S49:T49"/>
    <mergeCell ref="O47:P48"/>
    <mergeCell ref="K55:L55"/>
    <mergeCell ref="G53:H54"/>
    <mergeCell ref="K47:L48"/>
    <mergeCell ref="K49:L49"/>
  </mergeCells>
  <phoneticPr fontId="5" type="noConversion"/>
  <dataValidations count="3">
    <dataValidation type="whole" operator="greaterThanOrEqual" allowBlank="1" showInputMessage="1" showErrorMessage="1" error="Must be a positive number" sqref="S64:T64">
      <formula1>0</formula1>
    </dataValidation>
    <dataValidation type="whole" operator="lessThanOrEqual" allowBlank="1" showInputMessage="1" showErrorMessage="1" error="Total column should be negative_x000a_" sqref="U27">
      <formula1>0</formula1>
    </dataValidation>
    <dataValidation type="whole" operator="equal" allowBlank="1" showInputMessage="1" showErrorMessage="1" errorTitle="Don't overwrite this cell" error="Does not equal col1 + col2" sqref="S18:T18 S27:T27 S23:T23 S29:T30 S32:T32 S35:T35 S37:T37 S41:T41">
      <formula1>+K18+O18</formula1>
    </dataValidation>
  </dataValidations>
  <printOptions horizontalCentered="1" verticalCentered="1"/>
  <pageMargins left="0.39370078740157483" right="0.39370078740157483" top="0.59055118110236227" bottom="0.59055118110236227" header="0.51181102362204722" footer="0.51181102362204722"/>
  <pageSetup paperSize="9" scale="5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59"/>
  <sheetViews>
    <sheetView zoomScaleNormal="100" workbookViewId="0">
      <selection sqref="A1:S1"/>
    </sheetView>
  </sheetViews>
  <sheetFormatPr defaultColWidth="9.28515625" defaultRowHeight="15" x14ac:dyDescent="0.2"/>
  <cols>
    <col min="1" max="1" width="1.28515625" style="664" customWidth="1"/>
    <col min="2" max="2" width="28.28515625" style="664" hidden="1" customWidth="1"/>
    <col min="3" max="3" width="62.42578125" style="664" customWidth="1"/>
    <col min="4" max="4" width="1.42578125" style="664" customWidth="1"/>
    <col min="5" max="5" width="26.42578125" style="664" customWidth="1"/>
    <col min="6" max="6" width="1.140625" style="664" customWidth="1"/>
    <col min="7" max="7" width="1.42578125" style="648" customWidth="1"/>
    <col min="8" max="8" width="14.140625" style="664" customWidth="1"/>
    <col min="9" max="9" width="1.28515625" style="664" customWidth="1"/>
    <col min="10" max="10" width="14" style="664" customWidth="1"/>
    <col min="11" max="11" width="1.140625" style="664" customWidth="1"/>
    <col min="12" max="12" width="17.140625" style="664" customWidth="1"/>
    <col min="13" max="13" width="1.140625" style="664" customWidth="1"/>
    <col min="14" max="14" width="14.42578125" style="664" customWidth="1"/>
    <col min="15" max="15" width="1" style="664" customWidth="1"/>
    <col min="16" max="16" width="17.140625" style="664" customWidth="1"/>
    <col min="17" max="17" width="1.140625" style="664" customWidth="1"/>
    <col min="18" max="18" width="17.140625" style="664" customWidth="1"/>
    <col min="19" max="19" width="1" style="664" hidden="1" customWidth="1"/>
    <col min="20" max="20" width="9.5703125" style="688" customWidth="1"/>
    <col min="21" max="21" width="12.28515625" style="660" customWidth="1"/>
    <col min="22" max="22" width="11" style="661" bestFit="1" customWidth="1"/>
    <col min="23" max="23" width="32.28515625" style="662" bestFit="1" customWidth="1"/>
    <col min="24" max="50" width="9.28515625" style="663"/>
    <col min="51" max="16384" width="9.28515625" style="664"/>
  </cols>
  <sheetData>
    <row r="1" spans="1:50" s="648" customFormat="1" ht="18" x14ac:dyDescent="0.25">
      <c r="A1" s="838" t="s">
        <v>52</v>
      </c>
      <c r="B1" s="839"/>
      <c r="C1" s="839"/>
      <c r="D1" s="839"/>
      <c r="E1" s="839"/>
      <c r="F1" s="839"/>
      <c r="G1" s="839"/>
      <c r="H1" s="839"/>
      <c r="I1" s="839"/>
      <c r="J1" s="839"/>
      <c r="K1" s="839"/>
      <c r="L1" s="839"/>
      <c r="M1" s="839"/>
      <c r="N1" s="839"/>
      <c r="O1" s="839"/>
      <c r="P1" s="839"/>
      <c r="Q1" s="839"/>
      <c r="R1" s="839"/>
      <c r="S1" s="840"/>
      <c r="T1" s="643"/>
      <c r="U1" s="644"/>
      <c r="V1" s="645"/>
      <c r="W1" s="646"/>
      <c r="X1" s="647"/>
      <c r="Y1" s="647"/>
      <c r="Z1" s="647"/>
      <c r="AA1" s="647"/>
      <c r="AB1" s="647"/>
      <c r="AC1" s="647"/>
      <c r="AD1" s="647"/>
      <c r="AE1" s="647"/>
      <c r="AF1" s="647"/>
      <c r="AG1" s="647"/>
      <c r="AH1" s="647"/>
      <c r="AI1" s="647"/>
      <c r="AJ1" s="647"/>
      <c r="AK1" s="647"/>
      <c r="AL1" s="647"/>
      <c r="AM1" s="647"/>
      <c r="AN1" s="647"/>
      <c r="AO1" s="647"/>
      <c r="AP1" s="647"/>
      <c r="AQ1" s="647"/>
      <c r="AR1" s="647"/>
      <c r="AS1" s="647"/>
      <c r="AT1" s="647"/>
      <c r="AU1" s="647"/>
      <c r="AV1" s="647"/>
      <c r="AW1" s="647"/>
      <c r="AX1" s="647"/>
    </row>
    <row r="2" spans="1:50" ht="15.75" customHeight="1" x14ac:dyDescent="0.2">
      <c r="A2" s="649"/>
      <c r="B2" s="650"/>
      <c r="C2" s="651"/>
      <c r="D2" s="651"/>
      <c r="E2" s="651"/>
      <c r="F2" s="651"/>
      <c r="G2" s="652"/>
      <c r="H2" s="651"/>
      <c r="I2" s="651"/>
      <c r="J2" s="653"/>
      <c r="K2" s="654"/>
      <c r="L2" s="655"/>
      <c r="M2" s="656"/>
      <c r="N2" s="657"/>
      <c r="O2" s="657"/>
      <c r="P2" s="651"/>
      <c r="Q2" s="651"/>
      <c r="R2" s="655"/>
      <c r="S2" s="658"/>
      <c r="T2" s="659"/>
    </row>
    <row r="3" spans="1:50" ht="18" customHeight="1" x14ac:dyDescent="0.25">
      <c r="A3" s="649"/>
      <c r="B3" s="650"/>
      <c r="C3" s="665" t="str">
        <f>IF(ISERROR(VLOOKUP($E3,DatasheetDA!$A$4:$C$156,3,FALSE)),'Part 1'!AC8,VLOOKUP($E3,DatasheetDA!$A$4:$C$156,3,FALSE))</f>
        <v>England</v>
      </c>
      <c r="D3" s="665"/>
      <c r="E3" s="655" t="str">
        <f>'Part 1'!AB8</f>
        <v>E0000</v>
      </c>
      <c r="F3" s="654"/>
      <c r="G3" s="665"/>
      <c r="H3" s="655"/>
      <c r="I3" s="654"/>
      <c r="J3" s="655"/>
      <c r="K3" s="656"/>
      <c r="L3" s="657"/>
      <c r="M3" s="657"/>
      <c r="N3" s="665"/>
      <c r="O3" s="665"/>
      <c r="P3" s="655"/>
      <c r="Q3" s="654"/>
      <c r="R3" s="657"/>
      <c r="S3" s="658"/>
      <c r="T3" s="661"/>
      <c r="U3" s="666"/>
      <c r="V3" s="663"/>
      <c r="W3" s="667"/>
    </row>
    <row r="4" spans="1:50" ht="18" customHeight="1" x14ac:dyDescent="0.25">
      <c r="A4" s="649"/>
      <c r="B4" s="665"/>
      <c r="C4" s="668"/>
      <c r="D4" s="665"/>
      <c r="E4" s="735" t="s">
        <v>1321</v>
      </c>
      <c r="F4" s="654"/>
      <c r="G4" s="652"/>
      <c r="H4" s="841" t="s">
        <v>1322</v>
      </c>
      <c r="I4" s="842"/>
      <c r="J4" s="842"/>
      <c r="K4" s="842"/>
      <c r="L4" s="842"/>
      <c r="M4" s="842"/>
      <c r="N4" s="843"/>
      <c r="O4" s="657"/>
      <c r="P4" s="841" t="s">
        <v>1323</v>
      </c>
      <c r="Q4" s="844"/>
      <c r="R4" s="845"/>
      <c r="S4" s="658"/>
      <c r="T4" s="643"/>
      <c r="W4" s="669"/>
    </row>
    <row r="5" spans="1:50" ht="14.25" customHeight="1" thickBot="1" x14ac:dyDescent="0.3">
      <c r="A5" s="649"/>
      <c r="B5" s="670"/>
      <c r="C5" s="670"/>
      <c r="D5" s="671"/>
      <c r="E5" s="672"/>
      <c r="F5" s="673"/>
      <c r="G5" s="652"/>
      <c r="H5" s="674"/>
      <c r="I5" s="673"/>
      <c r="J5" s="673"/>
      <c r="K5" s="673"/>
      <c r="L5" s="673"/>
      <c r="M5" s="673"/>
      <c r="N5" s="675"/>
      <c r="O5" s="676"/>
      <c r="P5" s="674"/>
      <c r="Q5" s="673"/>
      <c r="R5" s="677"/>
      <c r="S5" s="658"/>
      <c r="T5" s="643"/>
      <c r="W5" s="669"/>
    </row>
    <row r="6" spans="1:50" ht="17.25" customHeight="1" thickBot="1" x14ac:dyDescent="0.25">
      <c r="A6" s="649"/>
      <c r="B6" s="670"/>
      <c r="C6" s="650" t="s">
        <v>1324</v>
      </c>
      <c r="D6" s="671"/>
      <c r="E6" s="736">
        <f>SUM(E13:E53)</f>
        <v>0</v>
      </c>
      <c r="F6" s="737"/>
      <c r="G6" s="738"/>
      <c r="H6" s="739">
        <f>SUM(H13:H53)</f>
        <v>0</v>
      </c>
      <c r="I6" s="737"/>
      <c r="J6" s="740">
        <f>SUM(J13:J53)</f>
        <v>0</v>
      </c>
      <c r="K6" s="741"/>
      <c r="L6" s="740">
        <f>SUM(L13:L53)</f>
        <v>0</v>
      </c>
      <c r="M6" s="741"/>
      <c r="N6" s="742">
        <f>SUM(N13:N53)</f>
        <v>0</v>
      </c>
      <c r="O6" s="741"/>
      <c r="P6" s="739">
        <f>SUM(P13:P53)</f>
        <v>0</v>
      </c>
      <c r="Q6" s="737"/>
      <c r="R6" s="742">
        <f>SUM(R13:R53)</f>
        <v>0</v>
      </c>
      <c r="S6" s="658"/>
      <c r="T6" s="643"/>
      <c r="W6" s="666"/>
    </row>
    <row r="7" spans="1:50" s="690" customFormat="1" ht="15" customHeight="1" x14ac:dyDescent="0.25">
      <c r="A7" s="678"/>
      <c r="B7" s="670"/>
      <c r="C7" s="670"/>
      <c r="D7" s="651"/>
      <c r="E7" s="679"/>
      <c r="F7" s="651"/>
      <c r="G7" s="680"/>
      <c r="H7" s="681"/>
      <c r="I7" s="651"/>
      <c r="J7" s="670"/>
      <c r="K7" s="682"/>
      <c r="L7" s="682"/>
      <c r="M7" s="682"/>
      <c r="N7" s="683"/>
      <c r="O7" s="684"/>
      <c r="P7" s="685"/>
      <c r="Q7" s="651"/>
      <c r="R7" s="683"/>
      <c r="S7" s="686"/>
      <c r="T7" s="643"/>
      <c r="U7" s="687"/>
      <c r="V7" s="688"/>
      <c r="W7" s="669"/>
      <c r="X7" s="689"/>
      <c r="Y7" s="689"/>
      <c r="Z7" s="689"/>
      <c r="AA7" s="689"/>
      <c r="AB7" s="689"/>
      <c r="AC7" s="689"/>
      <c r="AD7" s="689"/>
      <c r="AE7" s="689"/>
      <c r="AF7" s="689"/>
      <c r="AG7" s="689"/>
      <c r="AH7" s="689"/>
      <c r="AI7" s="689"/>
      <c r="AJ7" s="689"/>
      <c r="AK7" s="689"/>
      <c r="AL7" s="689"/>
      <c r="AM7" s="689"/>
      <c r="AN7" s="689"/>
      <c r="AO7" s="689"/>
      <c r="AP7" s="689"/>
      <c r="AQ7" s="689"/>
      <c r="AR7" s="689"/>
      <c r="AS7" s="689"/>
      <c r="AT7" s="689"/>
      <c r="AU7" s="689"/>
      <c r="AV7" s="689"/>
      <c r="AW7" s="689"/>
      <c r="AX7" s="689"/>
    </row>
    <row r="8" spans="1:50" s="690" customFormat="1" ht="18.75" customHeight="1" x14ac:dyDescent="0.2">
      <c r="A8" s="678"/>
      <c r="B8" s="670"/>
      <c r="C8" s="670"/>
      <c r="D8" s="651"/>
      <c r="E8" s="691"/>
      <c r="F8" s="651"/>
      <c r="G8" s="682"/>
      <c r="H8" s="681"/>
      <c r="I8" s="651"/>
      <c r="J8" s="682"/>
      <c r="K8" s="682"/>
      <c r="L8" s="682"/>
      <c r="M8" s="682"/>
      <c r="N8" s="683"/>
      <c r="O8" s="682"/>
      <c r="P8" s="685"/>
      <c r="Q8" s="682"/>
      <c r="R8" s="683"/>
      <c r="S8" s="686"/>
      <c r="T8" s="643"/>
      <c r="U8" s="687"/>
      <c r="V8" s="688"/>
      <c r="W8" s="666"/>
      <c r="X8" s="689"/>
      <c r="Y8" s="689"/>
      <c r="Z8" s="689"/>
      <c r="AA8" s="689"/>
      <c r="AB8" s="689"/>
      <c r="AC8" s="689"/>
      <c r="AD8" s="689"/>
      <c r="AE8" s="689"/>
      <c r="AF8" s="689"/>
      <c r="AG8" s="689"/>
      <c r="AH8" s="689"/>
      <c r="AI8" s="689"/>
      <c r="AJ8" s="689"/>
      <c r="AK8" s="689"/>
      <c r="AL8" s="689"/>
      <c r="AM8" s="689"/>
      <c r="AN8" s="689"/>
      <c r="AO8" s="689"/>
      <c r="AP8" s="689"/>
      <c r="AQ8" s="689"/>
      <c r="AR8" s="689"/>
      <c r="AS8" s="689"/>
      <c r="AT8" s="689"/>
      <c r="AU8" s="689"/>
      <c r="AV8" s="689"/>
      <c r="AW8" s="689"/>
      <c r="AX8" s="689"/>
    </row>
    <row r="9" spans="1:50" ht="43.5" customHeight="1" x14ac:dyDescent="0.2">
      <c r="A9" s="649"/>
      <c r="B9" s="670"/>
      <c r="C9" s="734" t="s">
        <v>1325</v>
      </c>
      <c r="D9" s="651"/>
      <c r="E9" s="692" t="s">
        <v>48</v>
      </c>
      <c r="F9" s="693"/>
      <c r="G9" s="694"/>
      <c r="H9" s="846" t="s">
        <v>1322</v>
      </c>
      <c r="I9" s="847"/>
      <c r="J9" s="847"/>
      <c r="K9" s="847"/>
      <c r="L9" s="847"/>
      <c r="M9" s="848"/>
      <c r="N9" s="849"/>
      <c r="O9" s="694"/>
      <c r="P9" s="850"/>
      <c r="Q9" s="847"/>
      <c r="R9" s="695"/>
      <c r="S9" s="658"/>
      <c r="T9" s="643"/>
      <c r="W9" s="666"/>
    </row>
    <row r="10" spans="1:50" ht="21" customHeight="1" x14ac:dyDescent="0.2">
      <c r="A10" s="649"/>
      <c r="B10" s="670"/>
      <c r="C10" s="670"/>
      <c r="D10" s="651"/>
      <c r="E10" s="692">
        <v>1</v>
      </c>
      <c r="F10" s="696"/>
      <c r="G10" s="697"/>
      <c r="H10" s="698">
        <v>2</v>
      </c>
      <c r="I10" s="696"/>
      <c r="J10" s="697">
        <v>3</v>
      </c>
      <c r="K10" s="697"/>
      <c r="L10" s="697">
        <v>4</v>
      </c>
      <c r="M10" s="697"/>
      <c r="N10" s="699">
        <v>5</v>
      </c>
      <c r="O10" s="697"/>
      <c r="P10" s="700" t="s">
        <v>1326</v>
      </c>
      <c r="Q10" s="697"/>
      <c r="R10" s="699" t="s">
        <v>1327</v>
      </c>
      <c r="S10" s="658"/>
      <c r="T10" s="643"/>
      <c r="W10" s="666"/>
    </row>
    <row r="11" spans="1:50" ht="120" customHeight="1" x14ac:dyDescent="0.2">
      <c r="A11" s="649"/>
      <c r="B11" s="651"/>
      <c r="C11" s="650" t="s">
        <v>933</v>
      </c>
      <c r="D11" s="651"/>
      <c r="E11" s="731" t="s">
        <v>1328</v>
      </c>
      <c r="F11" s="651"/>
      <c r="G11" s="652"/>
      <c r="H11" s="701" t="s">
        <v>1329</v>
      </c>
      <c r="I11" s="702"/>
      <c r="J11" s="702" t="s">
        <v>1330</v>
      </c>
      <c r="K11" s="702"/>
      <c r="L11" s="702" t="s">
        <v>1331</v>
      </c>
      <c r="M11" s="703"/>
      <c r="N11" s="704" t="s">
        <v>1099</v>
      </c>
      <c r="O11" s="676"/>
      <c r="P11" s="705" t="s">
        <v>1332</v>
      </c>
      <c r="Q11" s="706"/>
      <c r="R11" s="730" t="s">
        <v>1333</v>
      </c>
      <c r="S11" s="658"/>
      <c r="T11" s="643"/>
      <c r="W11" s="666"/>
    </row>
    <row r="12" spans="1:50" ht="49.5" customHeight="1" thickBot="1" x14ac:dyDescent="0.3">
      <c r="A12" s="649"/>
      <c r="B12" s="851"/>
      <c r="C12" s="852"/>
      <c r="D12" s="651"/>
      <c r="E12" s="707">
        <v>4</v>
      </c>
      <c r="F12" s="708"/>
      <c r="G12" s="709"/>
      <c r="H12" s="707">
        <v>5</v>
      </c>
      <c r="I12" s="708"/>
      <c r="J12" s="729">
        <v>6</v>
      </c>
      <c r="K12" s="710"/>
      <c r="L12" s="729">
        <v>7</v>
      </c>
      <c r="M12" s="711"/>
      <c r="N12" s="707">
        <v>8</v>
      </c>
      <c r="O12" s="707"/>
      <c r="P12" s="707">
        <v>9</v>
      </c>
      <c r="Q12" s="708"/>
      <c r="R12" s="707">
        <v>10</v>
      </c>
      <c r="S12" s="658"/>
      <c r="T12" s="643"/>
      <c r="W12" s="666"/>
    </row>
    <row r="13" spans="1:50" s="719" customFormat="1" ht="21" customHeight="1" thickBot="1" x14ac:dyDescent="0.25">
      <c r="A13" s="712">
        <v>1</v>
      </c>
      <c r="B13" s="670" t="str">
        <f>CONCATENATE($E$3,"EZ",A13)</f>
        <v>E0000EZ1</v>
      </c>
      <c r="C13" s="732" t="str">
        <f>IFERROR(VLOOKUP(B13,DatasheetDA!$B$4:$D$156,3,0),"")</f>
        <v/>
      </c>
      <c r="D13" s="713"/>
      <c r="E13" s="743" t="str">
        <f>IFERROR(VLOOKUP($B13,DatasheetDA!$B$4:$K$156,E$12,FALSE),"")</f>
        <v/>
      </c>
      <c r="F13" s="744"/>
      <c r="G13" s="745"/>
      <c r="H13" s="743" t="str">
        <f>IFERROR(VLOOKUP($B13,DatasheetDA!$B$4:$K$156,H$12,FALSE),"")</f>
        <v/>
      </c>
      <c r="I13" s="744"/>
      <c r="J13" s="743" t="str">
        <f>IFERROR(VLOOKUP($B13,DatasheetDA!$B$4:$K$156,J$12,FALSE),"")</f>
        <v/>
      </c>
      <c r="K13" s="746"/>
      <c r="L13" s="743" t="str">
        <f>IFERROR(VLOOKUP($B13,DatasheetDA!$B$4:$K$156,L$12,FALSE),"")</f>
        <v/>
      </c>
      <c r="M13" s="746"/>
      <c r="N13" s="743" t="str">
        <f>IFERROR(VLOOKUP($B13,DatasheetDA!$B$4:$K$156,N$12,FALSE),"")</f>
        <v/>
      </c>
      <c r="O13" s="746"/>
      <c r="P13" s="743" t="str">
        <f>IFERROR(VLOOKUP($B13,DatasheetDA!$B$4:$K$156,P$12,FALSE),"")</f>
        <v/>
      </c>
      <c r="Q13" s="744"/>
      <c r="R13" s="743" t="str">
        <f>IFERROR(VLOOKUP($B13,DatasheetDA!$B$4:$K$156,R$12,FALSE),"")</f>
        <v/>
      </c>
      <c r="S13" s="714"/>
      <c r="T13" s="715"/>
      <c r="U13" s="716"/>
      <c r="V13" s="717"/>
      <c r="W13" s="666"/>
      <c r="X13" s="718"/>
      <c r="Y13" s="718"/>
      <c r="Z13" s="718"/>
      <c r="AA13" s="718"/>
      <c r="AB13" s="718"/>
      <c r="AC13" s="718"/>
      <c r="AD13" s="718"/>
      <c r="AE13" s="718"/>
      <c r="AF13" s="718"/>
      <c r="AG13" s="718"/>
      <c r="AH13" s="718"/>
      <c r="AI13" s="718"/>
      <c r="AJ13" s="718"/>
      <c r="AK13" s="718"/>
      <c r="AL13" s="718"/>
      <c r="AM13" s="718"/>
      <c r="AN13" s="718"/>
      <c r="AO13" s="718"/>
      <c r="AP13" s="718"/>
      <c r="AQ13" s="718"/>
      <c r="AR13" s="718"/>
      <c r="AS13" s="718"/>
      <c r="AT13" s="718"/>
      <c r="AU13" s="718"/>
      <c r="AV13" s="718"/>
      <c r="AW13" s="718"/>
      <c r="AX13" s="718"/>
    </row>
    <row r="14" spans="1:50" s="719" customFormat="1" ht="19.5" customHeight="1" thickBot="1" x14ac:dyDescent="0.25">
      <c r="A14" s="712">
        <v>2</v>
      </c>
      <c r="B14" s="670" t="str">
        <f t="shared" ref="B14:B53" si="0">CONCATENATE($E$3,"EZ",A14)</f>
        <v>E0000EZ2</v>
      </c>
      <c r="C14" s="732" t="str">
        <f>IFERROR(VLOOKUP(B14,DatasheetDA!$B$4:$D$156,3,0),"")</f>
        <v/>
      </c>
      <c r="D14" s="713"/>
      <c r="E14" s="743" t="str">
        <f>IFERROR(VLOOKUP($B14,DatasheetDA!$B$4:$K$156,E$12,FALSE),"")</f>
        <v/>
      </c>
      <c r="F14" s="744"/>
      <c r="G14" s="745"/>
      <c r="H14" s="743" t="str">
        <f>IFERROR(VLOOKUP($B14,DatasheetDA!$B$4:$K$156,H$12,FALSE),"")</f>
        <v/>
      </c>
      <c r="I14" s="744"/>
      <c r="J14" s="743" t="str">
        <f>IFERROR(VLOOKUP($B14,DatasheetDA!$B$4:$K$156,J$12,FALSE),"")</f>
        <v/>
      </c>
      <c r="K14" s="746"/>
      <c r="L14" s="743" t="str">
        <f>IFERROR(VLOOKUP($B14,DatasheetDA!$B$4:$K$156,L$12,FALSE),"")</f>
        <v/>
      </c>
      <c r="M14" s="746"/>
      <c r="N14" s="743" t="str">
        <f>IFERROR(VLOOKUP($B14,DatasheetDA!$B$4:$K$156,N$12,FALSE),"")</f>
        <v/>
      </c>
      <c r="O14" s="746"/>
      <c r="P14" s="743" t="str">
        <f>IFERROR(VLOOKUP($B14,DatasheetDA!$B$4:$K$156,P$12,FALSE),"")</f>
        <v/>
      </c>
      <c r="Q14" s="744"/>
      <c r="R14" s="743" t="str">
        <f>IFERROR(VLOOKUP($B14,DatasheetDA!$B$4:$K$156,R$12,FALSE),"")</f>
        <v/>
      </c>
      <c r="S14" s="714"/>
      <c r="T14" s="715"/>
      <c r="U14" s="716"/>
      <c r="V14" s="717"/>
      <c r="W14" s="666"/>
      <c r="X14" s="718"/>
      <c r="Y14" s="718"/>
      <c r="Z14" s="718"/>
      <c r="AA14" s="718"/>
      <c r="AB14" s="718"/>
      <c r="AC14" s="718"/>
      <c r="AD14" s="718"/>
      <c r="AE14" s="718"/>
      <c r="AF14" s="718"/>
      <c r="AG14" s="718"/>
      <c r="AH14" s="718"/>
      <c r="AI14" s="718"/>
      <c r="AJ14" s="718"/>
      <c r="AK14" s="718"/>
      <c r="AL14" s="718"/>
      <c r="AM14" s="718"/>
      <c r="AN14" s="718"/>
      <c r="AO14" s="718"/>
      <c r="AP14" s="718"/>
      <c r="AQ14" s="718"/>
      <c r="AR14" s="718"/>
      <c r="AS14" s="718"/>
      <c r="AT14" s="718"/>
      <c r="AU14" s="718"/>
      <c r="AV14" s="718"/>
      <c r="AW14" s="718"/>
      <c r="AX14" s="718"/>
    </row>
    <row r="15" spans="1:50" s="719" customFormat="1" ht="21" customHeight="1" thickBot="1" x14ac:dyDescent="0.25">
      <c r="A15" s="712">
        <v>3</v>
      </c>
      <c r="B15" s="670" t="str">
        <f t="shared" si="0"/>
        <v>E0000EZ3</v>
      </c>
      <c r="C15" s="732" t="str">
        <f>IFERROR(VLOOKUP(B15,DatasheetDA!$B$4:$D$156,3,0),"")</f>
        <v/>
      </c>
      <c r="D15" s="713"/>
      <c r="E15" s="743" t="str">
        <f>IFERROR(VLOOKUP($B15,DatasheetDA!$B$4:$K$156,E$12,FALSE),"")</f>
        <v/>
      </c>
      <c r="F15" s="744"/>
      <c r="G15" s="745"/>
      <c r="H15" s="743" t="str">
        <f>IFERROR(VLOOKUP($B15,DatasheetDA!$B$4:$K$156,H$12,FALSE),"")</f>
        <v/>
      </c>
      <c r="I15" s="744"/>
      <c r="J15" s="743" t="str">
        <f>IFERROR(VLOOKUP($B15,DatasheetDA!$B$4:$K$156,J$12,FALSE),"")</f>
        <v/>
      </c>
      <c r="K15" s="746"/>
      <c r="L15" s="743" t="str">
        <f>IFERROR(VLOOKUP($B15,DatasheetDA!$B$4:$K$156,L$12,FALSE),"")</f>
        <v/>
      </c>
      <c r="M15" s="746"/>
      <c r="N15" s="743" t="str">
        <f>IFERROR(VLOOKUP($B15,DatasheetDA!$B$4:$K$156,N$12,FALSE),"")</f>
        <v/>
      </c>
      <c r="O15" s="746"/>
      <c r="P15" s="743" t="str">
        <f>IFERROR(VLOOKUP($B15,DatasheetDA!$B$4:$K$156,P$12,FALSE),"")</f>
        <v/>
      </c>
      <c r="Q15" s="744"/>
      <c r="R15" s="743" t="str">
        <f>IFERROR(VLOOKUP($B15,DatasheetDA!$B$4:$K$156,R$12,FALSE),"")</f>
        <v/>
      </c>
      <c r="S15" s="714"/>
      <c r="T15" s="715"/>
      <c r="U15" s="716"/>
      <c r="V15" s="717"/>
      <c r="W15" s="666"/>
      <c r="X15" s="718"/>
      <c r="Y15" s="718"/>
      <c r="Z15" s="718"/>
      <c r="AA15" s="718"/>
      <c r="AB15" s="718"/>
      <c r="AC15" s="718"/>
      <c r="AD15" s="718"/>
      <c r="AE15" s="718"/>
      <c r="AF15" s="718"/>
      <c r="AG15" s="718"/>
      <c r="AH15" s="718"/>
      <c r="AI15" s="718"/>
      <c r="AJ15" s="718"/>
      <c r="AK15" s="718"/>
      <c r="AL15" s="718"/>
      <c r="AM15" s="718"/>
      <c r="AN15" s="718"/>
      <c r="AO15" s="718"/>
      <c r="AP15" s="718"/>
      <c r="AQ15" s="718"/>
      <c r="AR15" s="718"/>
      <c r="AS15" s="718"/>
      <c r="AT15" s="718"/>
      <c r="AU15" s="718"/>
      <c r="AV15" s="718"/>
      <c r="AW15" s="718"/>
      <c r="AX15" s="718"/>
    </row>
    <row r="16" spans="1:50" s="719" customFormat="1" ht="21" customHeight="1" thickBot="1" x14ac:dyDescent="0.25">
      <c r="A16" s="712">
        <v>4</v>
      </c>
      <c r="B16" s="670" t="str">
        <f t="shared" si="0"/>
        <v>E0000EZ4</v>
      </c>
      <c r="C16" s="732" t="str">
        <f>IFERROR(VLOOKUP(B16,DatasheetDA!$B$4:$D$156,3,0),"")</f>
        <v/>
      </c>
      <c r="D16" s="713"/>
      <c r="E16" s="743" t="str">
        <f>IFERROR(VLOOKUP($B16,DatasheetDA!$B$4:$K$156,E$12,FALSE),"")</f>
        <v/>
      </c>
      <c r="F16" s="744"/>
      <c r="G16" s="745"/>
      <c r="H16" s="743" t="str">
        <f>IFERROR(VLOOKUP($B16,DatasheetDA!$B$4:$K$156,H$12,FALSE),"")</f>
        <v/>
      </c>
      <c r="I16" s="744"/>
      <c r="J16" s="743" t="str">
        <f>IFERROR(VLOOKUP($B16,DatasheetDA!$B$4:$K$156,J$12,FALSE),"")</f>
        <v/>
      </c>
      <c r="K16" s="746"/>
      <c r="L16" s="743" t="str">
        <f>IFERROR(VLOOKUP($B16,DatasheetDA!$B$4:$K$156,L$12,FALSE),"")</f>
        <v/>
      </c>
      <c r="M16" s="746"/>
      <c r="N16" s="743" t="str">
        <f>IFERROR(VLOOKUP($B16,DatasheetDA!$B$4:$K$156,N$12,FALSE),"")</f>
        <v/>
      </c>
      <c r="O16" s="746"/>
      <c r="P16" s="743" t="str">
        <f>IFERROR(VLOOKUP($B16,DatasheetDA!$B$4:$K$156,P$12,FALSE),"")</f>
        <v/>
      </c>
      <c r="Q16" s="744"/>
      <c r="R16" s="743" t="str">
        <f>IFERROR(VLOOKUP($B16,DatasheetDA!$B$4:$K$156,R$12,FALSE),"")</f>
        <v/>
      </c>
      <c r="S16" s="714"/>
      <c r="T16" s="715"/>
      <c r="U16" s="716"/>
      <c r="V16" s="717"/>
      <c r="W16" s="666"/>
      <c r="X16" s="718"/>
      <c r="Y16" s="718"/>
      <c r="Z16" s="718"/>
      <c r="AA16" s="718"/>
      <c r="AB16" s="718"/>
      <c r="AC16" s="718"/>
      <c r="AD16" s="718"/>
      <c r="AE16" s="718"/>
      <c r="AF16" s="718"/>
      <c r="AG16" s="718"/>
      <c r="AH16" s="718"/>
      <c r="AI16" s="718"/>
      <c r="AJ16" s="718"/>
      <c r="AK16" s="718"/>
      <c r="AL16" s="718"/>
      <c r="AM16" s="718"/>
      <c r="AN16" s="718"/>
      <c r="AO16" s="718"/>
      <c r="AP16" s="718"/>
      <c r="AQ16" s="718"/>
      <c r="AR16" s="718"/>
      <c r="AS16" s="718"/>
      <c r="AT16" s="718"/>
      <c r="AU16" s="718"/>
      <c r="AV16" s="718"/>
      <c r="AW16" s="718"/>
      <c r="AX16" s="718"/>
    </row>
    <row r="17" spans="1:50" s="719" customFormat="1" ht="21" customHeight="1" thickBot="1" x14ac:dyDescent="0.25">
      <c r="A17" s="712">
        <v>5</v>
      </c>
      <c r="B17" s="670" t="str">
        <f t="shared" si="0"/>
        <v>E0000EZ5</v>
      </c>
      <c r="C17" s="732" t="str">
        <f>IFERROR(VLOOKUP(B17,DatasheetDA!$B$4:$D$156,3,0),"")</f>
        <v/>
      </c>
      <c r="D17" s="713"/>
      <c r="E17" s="743" t="str">
        <f>IFERROR(VLOOKUP($B17,DatasheetDA!$B$4:$K$156,E$12,FALSE),"")</f>
        <v/>
      </c>
      <c r="F17" s="744"/>
      <c r="G17" s="745"/>
      <c r="H17" s="743" t="str">
        <f>IFERROR(VLOOKUP($B17,DatasheetDA!$B$4:$K$156,H$12,FALSE),"")</f>
        <v/>
      </c>
      <c r="I17" s="744"/>
      <c r="J17" s="743" t="str">
        <f>IFERROR(VLOOKUP($B17,DatasheetDA!$B$4:$K$156,J$12,FALSE),"")</f>
        <v/>
      </c>
      <c r="K17" s="746"/>
      <c r="L17" s="743" t="str">
        <f>IFERROR(VLOOKUP($B17,DatasheetDA!$B$4:$K$156,L$12,FALSE),"")</f>
        <v/>
      </c>
      <c r="M17" s="746"/>
      <c r="N17" s="743" t="str">
        <f>IFERROR(VLOOKUP($B17,DatasheetDA!$B$4:$K$156,N$12,FALSE),"")</f>
        <v/>
      </c>
      <c r="O17" s="746"/>
      <c r="P17" s="743" t="str">
        <f>IFERROR(VLOOKUP($B17,DatasheetDA!$B$4:$K$156,P$12,FALSE),"")</f>
        <v/>
      </c>
      <c r="Q17" s="744"/>
      <c r="R17" s="743" t="str">
        <f>IFERROR(VLOOKUP($B17,DatasheetDA!$B$4:$K$156,R$12,FALSE),"")</f>
        <v/>
      </c>
      <c r="S17" s="714"/>
      <c r="T17" s="715"/>
      <c r="U17" s="716"/>
      <c r="V17" s="717"/>
      <c r="W17" s="666"/>
      <c r="X17" s="718"/>
      <c r="Y17" s="718"/>
      <c r="Z17" s="718"/>
      <c r="AA17" s="718"/>
      <c r="AB17" s="718"/>
      <c r="AC17" s="718"/>
      <c r="AD17" s="718"/>
      <c r="AE17" s="718"/>
      <c r="AF17" s="718"/>
      <c r="AG17" s="718"/>
      <c r="AH17" s="718"/>
      <c r="AI17" s="718"/>
      <c r="AJ17" s="718"/>
      <c r="AK17" s="718"/>
      <c r="AL17" s="718"/>
      <c r="AM17" s="718"/>
      <c r="AN17" s="718"/>
      <c r="AO17" s="718"/>
      <c r="AP17" s="718"/>
      <c r="AQ17" s="718"/>
      <c r="AR17" s="718"/>
      <c r="AS17" s="718"/>
      <c r="AT17" s="718"/>
      <c r="AU17" s="718"/>
      <c r="AV17" s="718"/>
      <c r="AW17" s="718"/>
      <c r="AX17" s="718"/>
    </row>
    <row r="18" spans="1:50" s="719" customFormat="1" ht="21" customHeight="1" thickBot="1" x14ac:dyDescent="0.25">
      <c r="A18" s="712">
        <v>6</v>
      </c>
      <c r="B18" s="670" t="str">
        <f t="shared" si="0"/>
        <v>E0000EZ6</v>
      </c>
      <c r="C18" s="732" t="str">
        <f>IFERROR(VLOOKUP(B18,DatasheetDA!$B$4:$D$156,3,0),"")</f>
        <v/>
      </c>
      <c r="D18" s="713"/>
      <c r="E18" s="743" t="str">
        <f>IFERROR(VLOOKUP($B18,DatasheetDA!$B$4:$K$156,E$12,FALSE),"")</f>
        <v/>
      </c>
      <c r="F18" s="744"/>
      <c r="G18" s="745"/>
      <c r="H18" s="743" t="str">
        <f>IFERROR(VLOOKUP($B18,DatasheetDA!$B$4:$K$156,H$12,FALSE),"")</f>
        <v/>
      </c>
      <c r="I18" s="744"/>
      <c r="J18" s="743" t="str">
        <f>IFERROR(VLOOKUP($B18,DatasheetDA!$B$4:$K$156,J$12,FALSE),"")</f>
        <v/>
      </c>
      <c r="K18" s="746"/>
      <c r="L18" s="743" t="str">
        <f>IFERROR(VLOOKUP($B18,DatasheetDA!$B$4:$K$156,L$12,FALSE),"")</f>
        <v/>
      </c>
      <c r="M18" s="746"/>
      <c r="N18" s="743" t="str">
        <f>IFERROR(VLOOKUP($B18,DatasheetDA!$B$4:$K$156,N$12,FALSE),"")</f>
        <v/>
      </c>
      <c r="O18" s="746"/>
      <c r="P18" s="743" t="str">
        <f>IFERROR(VLOOKUP($B18,DatasheetDA!$B$4:$K$156,P$12,FALSE),"")</f>
        <v/>
      </c>
      <c r="Q18" s="744"/>
      <c r="R18" s="743" t="str">
        <f>IFERROR(VLOOKUP($B18,DatasheetDA!$B$4:$K$156,R$12,FALSE),"")</f>
        <v/>
      </c>
      <c r="S18" s="714"/>
      <c r="T18" s="715"/>
      <c r="U18" s="716"/>
      <c r="V18" s="717"/>
      <c r="W18" s="666"/>
      <c r="X18" s="718"/>
      <c r="Y18" s="718"/>
      <c r="Z18" s="718"/>
      <c r="AA18" s="718"/>
      <c r="AB18" s="718"/>
      <c r="AC18" s="718"/>
      <c r="AD18" s="718"/>
      <c r="AE18" s="718"/>
      <c r="AF18" s="718"/>
      <c r="AG18" s="718"/>
      <c r="AH18" s="718"/>
      <c r="AI18" s="718"/>
      <c r="AJ18" s="718"/>
      <c r="AK18" s="718"/>
      <c r="AL18" s="718"/>
      <c r="AM18" s="718"/>
      <c r="AN18" s="718"/>
      <c r="AO18" s="718"/>
      <c r="AP18" s="718"/>
      <c r="AQ18" s="718"/>
      <c r="AR18" s="718"/>
      <c r="AS18" s="718"/>
      <c r="AT18" s="718"/>
      <c r="AU18" s="718"/>
      <c r="AV18" s="718"/>
      <c r="AW18" s="718"/>
      <c r="AX18" s="718"/>
    </row>
    <row r="19" spans="1:50" s="719" customFormat="1" ht="21" customHeight="1" thickBot="1" x14ac:dyDescent="0.25">
      <c r="A19" s="712">
        <v>7</v>
      </c>
      <c r="B19" s="670" t="str">
        <f t="shared" si="0"/>
        <v>E0000EZ7</v>
      </c>
      <c r="C19" s="732" t="str">
        <f>IFERROR(VLOOKUP(B19,DatasheetDA!$B$4:$D$156,3,0),"")</f>
        <v/>
      </c>
      <c r="D19" s="713"/>
      <c r="E19" s="743" t="str">
        <f>IFERROR(VLOOKUP($B19,DatasheetDA!$B$4:$K$156,E$12,FALSE),"")</f>
        <v/>
      </c>
      <c r="F19" s="744"/>
      <c r="G19" s="745"/>
      <c r="H19" s="743" t="str">
        <f>IFERROR(VLOOKUP($B19,DatasheetDA!$B$4:$K$156,H$12,FALSE),"")</f>
        <v/>
      </c>
      <c r="I19" s="744"/>
      <c r="J19" s="743" t="str">
        <f>IFERROR(VLOOKUP($B19,DatasheetDA!$B$4:$K$156,J$12,FALSE),"")</f>
        <v/>
      </c>
      <c r="K19" s="746"/>
      <c r="L19" s="743" t="str">
        <f>IFERROR(VLOOKUP($B19,DatasheetDA!$B$4:$K$156,L$12,FALSE),"")</f>
        <v/>
      </c>
      <c r="M19" s="746"/>
      <c r="N19" s="743" t="str">
        <f>IFERROR(VLOOKUP($B19,DatasheetDA!$B$4:$K$156,N$12,FALSE),"")</f>
        <v/>
      </c>
      <c r="O19" s="746"/>
      <c r="P19" s="743" t="str">
        <f>IFERROR(VLOOKUP($B19,DatasheetDA!$B$4:$K$156,P$12,FALSE),"")</f>
        <v/>
      </c>
      <c r="Q19" s="744"/>
      <c r="R19" s="743" t="str">
        <f>IFERROR(VLOOKUP($B19,DatasheetDA!$B$4:$K$156,R$12,FALSE),"")</f>
        <v/>
      </c>
      <c r="S19" s="714"/>
      <c r="T19" s="715"/>
      <c r="U19" s="716"/>
      <c r="V19" s="717"/>
      <c r="W19" s="666"/>
      <c r="X19" s="718"/>
      <c r="Y19" s="718"/>
      <c r="Z19" s="718"/>
      <c r="AA19" s="718"/>
      <c r="AB19" s="718"/>
      <c r="AC19" s="718"/>
      <c r="AD19" s="718"/>
      <c r="AE19" s="718"/>
      <c r="AF19" s="718"/>
      <c r="AG19" s="718"/>
      <c r="AH19" s="718"/>
      <c r="AI19" s="718"/>
      <c r="AJ19" s="718"/>
      <c r="AK19" s="718"/>
      <c r="AL19" s="718"/>
      <c r="AM19" s="718"/>
      <c r="AN19" s="718"/>
      <c r="AO19" s="718"/>
      <c r="AP19" s="718"/>
      <c r="AQ19" s="718"/>
      <c r="AR19" s="718"/>
      <c r="AS19" s="718"/>
      <c r="AT19" s="718"/>
      <c r="AU19" s="718"/>
      <c r="AV19" s="718"/>
      <c r="AW19" s="718"/>
      <c r="AX19" s="718"/>
    </row>
    <row r="20" spans="1:50" s="719" customFormat="1" ht="21" customHeight="1" thickBot="1" x14ac:dyDescent="0.25">
      <c r="A20" s="712">
        <v>8</v>
      </c>
      <c r="B20" s="670" t="str">
        <f t="shared" si="0"/>
        <v>E0000EZ8</v>
      </c>
      <c r="C20" s="732" t="str">
        <f>IFERROR(VLOOKUP(B20,DatasheetDA!$B$4:$D$156,3,0),"")</f>
        <v/>
      </c>
      <c r="D20" s="713"/>
      <c r="E20" s="743" t="str">
        <f>IFERROR(VLOOKUP($B20,DatasheetDA!$B$4:$K$156,E$12,FALSE),"")</f>
        <v/>
      </c>
      <c r="F20" s="744"/>
      <c r="G20" s="745"/>
      <c r="H20" s="743" t="str">
        <f>IFERROR(VLOOKUP($B20,DatasheetDA!$B$4:$K$156,H$12,FALSE),"")</f>
        <v/>
      </c>
      <c r="I20" s="744"/>
      <c r="J20" s="743" t="str">
        <f>IFERROR(VLOOKUP($B20,DatasheetDA!$B$4:$K$156,J$12,FALSE),"")</f>
        <v/>
      </c>
      <c r="K20" s="746"/>
      <c r="L20" s="743" t="str">
        <f>IFERROR(VLOOKUP($B20,DatasheetDA!$B$4:$K$156,L$12,FALSE),"")</f>
        <v/>
      </c>
      <c r="M20" s="746"/>
      <c r="N20" s="743" t="str">
        <f>IFERROR(VLOOKUP($B20,DatasheetDA!$B$4:$K$156,N$12,FALSE),"")</f>
        <v/>
      </c>
      <c r="O20" s="746"/>
      <c r="P20" s="743" t="str">
        <f>IFERROR(VLOOKUP($B20,DatasheetDA!$B$4:$K$156,P$12,FALSE),"")</f>
        <v/>
      </c>
      <c r="Q20" s="744"/>
      <c r="R20" s="743" t="str">
        <f>IFERROR(VLOOKUP($B20,DatasheetDA!$B$4:$K$156,R$12,FALSE),"")</f>
        <v/>
      </c>
      <c r="S20" s="714"/>
      <c r="T20" s="715"/>
      <c r="U20" s="716"/>
      <c r="V20" s="717"/>
      <c r="W20" s="666"/>
      <c r="X20" s="718"/>
      <c r="Y20" s="718"/>
      <c r="Z20" s="718"/>
      <c r="AA20" s="718"/>
      <c r="AB20" s="718"/>
      <c r="AC20" s="718"/>
      <c r="AD20" s="718"/>
      <c r="AE20" s="718"/>
      <c r="AF20" s="718"/>
      <c r="AG20" s="718"/>
      <c r="AH20" s="718"/>
      <c r="AI20" s="718"/>
      <c r="AJ20" s="718"/>
      <c r="AK20" s="718"/>
      <c r="AL20" s="718"/>
      <c r="AM20" s="718"/>
      <c r="AN20" s="718"/>
      <c r="AO20" s="718"/>
      <c r="AP20" s="718"/>
      <c r="AQ20" s="718"/>
      <c r="AR20" s="718"/>
      <c r="AS20" s="718"/>
      <c r="AT20" s="718"/>
      <c r="AU20" s="718"/>
      <c r="AV20" s="718"/>
      <c r="AW20" s="718"/>
      <c r="AX20" s="718"/>
    </row>
    <row r="21" spans="1:50" s="719" customFormat="1" ht="21" customHeight="1" thickBot="1" x14ac:dyDescent="0.25">
      <c r="A21" s="712">
        <v>9</v>
      </c>
      <c r="B21" s="670" t="str">
        <f t="shared" si="0"/>
        <v>E0000EZ9</v>
      </c>
      <c r="C21" s="732" t="str">
        <f>IFERROR(VLOOKUP(B21,DatasheetDA!$B$4:$D$156,3,0),"")</f>
        <v/>
      </c>
      <c r="D21" s="713"/>
      <c r="E21" s="743" t="str">
        <f>IFERROR(VLOOKUP($B21,DatasheetDA!$B$4:$K$156,E$12,FALSE),"")</f>
        <v/>
      </c>
      <c r="F21" s="744"/>
      <c r="G21" s="745"/>
      <c r="H21" s="743" t="str">
        <f>IFERROR(VLOOKUP($B21,DatasheetDA!$B$4:$K$156,H$12,FALSE),"")</f>
        <v/>
      </c>
      <c r="I21" s="744"/>
      <c r="J21" s="743" t="str">
        <f>IFERROR(VLOOKUP($B21,DatasheetDA!$B$4:$K$156,J$12,FALSE),"")</f>
        <v/>
      </c>
      <c r="K21" s="746"/>
      <c r="L21" s="743" t="str">
        <f>IFERROR(VLOOKUP($B21,DatasheetDA!$B$4:$K$156,L$12,FALSE),"")</f>
        <v/>
      </c>
      <c r="M21" s="746"/>
      <c r="N21" s="743" t="str">
        <f>IFERROR(VLOOKUP($B21,DatasheetDA!$B$4:$K$156,N$12,FALSE),"")</f>
        <v/>
      </c>
      <c r="O21" s="746"/>
      <c r="P21" s="743" t="str">
        <f>IFERROR(VLOOKUP($B21,DatasheetDA!$B$4:$K$156,P$12,FALSE),"")</f>
        <v/>
      </c>
      <c r="Q21" s="744"/>
      <c r="R21" s="743" t="str">
        <f>IFERROR(VLOOKUP($B21,DatasheetDA!$B$4:$K$156,R$12,FALSE),"")</f>
        <v/>
      </c>
      <c r="S21" s="714"/>
      <c r="T21" s="715"/>
      <c r="U21" s="716"/>
      <c r="V21" s="717"/>
      <c r="W21" s="666"/>
      <c r="X21" s="718"/>
      <c r="Y21" s="718"/>
      <c r="Z21" s="718"/>
      <c r="AA21" s="718"/>
      <c r="AB21" s="718"/>
      <c r="AC21" s="718"/>
      <c r="AD21" s="718"/>
      <c r="AE21" s="718"/>
      <c r="AF21" s="718"/>
      <c r="AG21" s="718"/>
      <c r="AH21" s="718"/>
      <c r="AI21" s="718"/>
      <c r="AJ21" s="718"/>
      <c r="AK21" s="718"/>
      <c r="AL21" s="718"/>
      <c r="AM21" s="718"/>
      <c r="AN21" s="718"/>
      <c r="AO21" s="718"/>
      <c r="AP21" s="718"/>
      <c r="AQ21" s="718"/>
      <c r="AR21" s="718"/>
      <c r="AS21" s="718"/>
      <c r="AT21" s="718"/>
      <c r="AU21" s="718"/>
      <c r="AV21" s="718"/>
      <c r="AW21" s="718"/>
      <c r="AX21" s="718"/>
    </row>
    <row r="22" spans="1:50" s="719" customFormat="1" ht="21" customHeight="1" thickBot="1" x14ac:dyDescent="0.25">
      <c r="A22" s="712">
        <v>10</v>
      </c>
      <c r="B22" s="670" t="str">
        <f t="shared" si="0"/>
        <v>E0000EZ10</v>
      </c>
      <c r="C22" s="732" t="str">
        <f>IFERROR(VLOOKUP(B22,DatasheetDA!$B$4:$D$156,3,0),"")</f>
        <v/>
      </c>
      <c r="D22" s="713"/>
      <c r="E22" s="743" t="str">
        <f>IFERROR(VLOOKUP($B22,DatasheetDA!$B$4:$K$156,E$12,FALSE),"")</f>
        <v/>
      </c>
      <c r="F22" s="744"/>
      <c r="G22" s="745"/>
      <c r="H22" s="743" t="str">
        <f>IFERROR(VLOOKUP($B22,DatasheetDA!$B$4:$K$156,H$12,FALSE),"")</f>
        <v/>
      </c>
      <c r="I22" s="744"/>
      <c r="J22" s="743" t="str">
        <f>IFERROR(VLOOKUP($B22,DatasheetDA!$B$4:$K$156,J$12,FALSE),"")</f>
        <v/>
      </c>
      <c r="K22" s="746"/>
      <c r="L22" s="743" t="str">
        <f>IFERROR(VLOOKUP($B22,DatasheetDA!$B$4:$K$156,L$12,FALSE),"")</f>
        <v/>
      </c>
      <c r="M22" s="746"/>
      <c r="N22" s="743" t="str">
        <f>IFERROR(VLOOKUP($B22,DatasheetDA!$B$4:$K$156,N$12,FALSE),"")</f>
        <v/>
      </c>
      <c r="O22" s="746"/>
      <c r="P22" s="743" t="str">
        <f>IFERROR(VLOOKUP($B22,DatasheetDA!$B$4:$K$156,P$12,FALSE),"")</f>
        <v/>
      </c>
      <c r="Q22" s="744"/>
      <c r="R22" s="743" t="str">
        <f>IFERROR(VLOOKUP($B22,DatasheetDA!$B$4:$K$156,R$12,FALSE),"")</f>
        <v/>
      </c>
      <c r="S22" s="714"/>
      <c r="T22" s="715"/>
      <c r="U22" s="716"/>
      <c r="V22" s="717"/>
      <c r="W22" s="666"/>
      <c r="X22" s="718"/>
      <c r="Y22" s="718"/>
      <c r="Z22" s="718"/>
      <c r="AA22" s="718"/>
      <c r="AB22" s="718"/>
      <c r="AC22" s="718"/>
      <c r="AD22" s="718"/>
      <c r="AE22" s="718"/>
      <c r="AF22" s="718"/>
      <c r="AG22" s="718"/>
      <c r="AH22" s="718"/>
      <c r="AI22" s="718"/>
      <c r="AJ22" s="718"/>
      <c r="AK22" s="718"/>
      <c r="AL22" s="718"/>
      <c r="AM22" s="718"/>
      <c r="AN22" s="718"/>
      <c r="AO22" s="718"/>
      <c r="AP22" s="718"/>
      <c r="AQ22" s="718"/>
      <c r="AR22" s="718"/>
      <c r="AS22" s="718"/>
      <c r="AT22" s="718"/>
      <c r="AU22" s="718"/>
      <c r="AV22" s="718"/>
      <c r="AW22" s="718"/>
      <c r="AX22" s="718"/>
    </row>
    <row r="23" spans="1:50" s="719" customFormat="1" ht="21" customHeight="1" thickBot="1" x14ac:dyDescent="0.25">
      <c r="A23" s="712">
        <v>11</v>
      </c>
      <c r="B23" s="670" t="str">
        <f t="shared" si="0"/>
        <v>E0000EZ11</v>
      </c>
      <c r="C23" s="732" t="str">
        <f>IFERROR(VLOOKUP(B23,DatasheetDA!$B$4:$D$156,3,0),"")</f>
        <v/>
      </c>
      <c r="D23" s="713"/>
      <c r="E23" s="743" t="str">
        <f>IFERROR(VLOOKUP($B23,DatasheetDA!$B$4:$K$156,E$12,FALSE),"")</f>
        <v/>
      </c>
      <c r="F23" s="744"/>
      <c r="G23" s="745"/>
      <c r="H23" s="743" t="str">
        <f>IFERROR(VLOOKUP($B23,DatasheetDA!$B$4:$K$156,H$12,FALSE),"")</f>
        <v/>
      </c>
      <c r="I23" s="744"/>
      <c r="J23" s="743" t="str">
        <f>IFERROR(VLOOKUP($B23,DatasheetDA!$B$4:$K$156,J$12,FALSE),"")</f>
        <v/>
      </c>
      <c r="K23" s="746"/>
      <c r="L23" s="743" t="str">
        <f>IFERROR(VLOOKUP($B23,DatasheetDA!$B$4:$K$156,L$12,FALSE),"")</f>
        <v/>
      </c>
      <c r="M23" s="746"/>
      <c r="N23" s="743" t="str">
        <f>IFERROR(VLOOKUP($B23,DatasheetDA!$B$4:$K$156,N$12,FALSE),"")</f>
        <v/>
      </c>
      <c r="O23" s="746"/>
      <c r="P23" s="743" t="str">
        <f>IFERROR(VLOOKUP($B23,DatasheetDA!$B$4:$K$156,P$12,FALSE),"")</f>
        <v/>
      </c>
      <c r="Q23" s="744"/>
      <c r="R23" s="743" t="str">
        <f>IFERROR(VLOOKUP($B23,DatasheetDA!$B$4:$K$156,R$12,FALSE),"")</f>
        <v/>
      </c>
      <c r="S23" s="714"/>
      <c r="T23" s="715"/>
      <c r="U23" s="716"/>
      <c r="V23" s="717"/>
      <c r="W23" s="666"/>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c r="AT23" s="718"/>
      <c r="AU23" s="718"/>
      <c r="AV23" s="718"/>
      <c r="AW23" s="718"/>
      <c r="AX23" s="718"/>
    </row>
    <row r="24" spans="1:50" s="719" customFormat="1" ht="21" customHeight="1" thickBot="1" x14ac:dyDescent="0.25">
      <c r="A24" s="712">
        <v>12</v>
      </c>
      <c r="B24" s="670" t="str">
        <f t="shared" si="0"/>
        <v>E0000EZ12</v>
      </c>
      <c r="C24" s="732" t="str">
        <f>IFERROR(VLOOKUP(B24,DatasheetDA!$B$4:$D$156,3,0),"")</f>
        <v/>
      </c>
      <c r="D24" s="713"/>
      <c r="E24" s="743" t="str">
        <f>IFERROR(VLOOKUP($B24,DatasheetDA!$B$4:$K$156,E$12,FALSE),"")</f>
        <v/>
      </c>
      <c r="F24" s="744"/>
      <c r="G24" s="745"/>
      <c r="H24" s="743" t="str">
        <f>IFERROR(VLOOKUP($B24,DatasheetDA!$B$4:$K$156,H$12,FALSE),"")</f>
        <v/>
      </c>
      <c r="I24" s="744"/>
      <c r="J24" s="743" t="str">
        <f>IFERROR(VLOOKUP($B24,DatasheetDA!$B$4:$K$156,J$12,FALSE),"")</f>
        <v/>
      </c>
      <c r="K24" s="746"/>
      <c r="L24" s="743" t="str">
        <f>IFERROR(VLOOKUP($B24,DatasheetDA!$B$4:$K$156,L$12,FALSE),"")</f>
        <v/>
      </c>
      <c r="M24" s="746"/>
      <c r="N24" s="743" t="str">
        <f>IFERROR(VLOOKUP($B24,DatasheetDA!$B$4:$K$156,N$12,FALSE),"")</f>
        <v/>
      </c>
      <c r="O24" s="746"/>
      <c r="P24" s="743" t="str">
        <f>IFERROR(VLOOKUP($B24,DatasheetDA!$B$4:$K$156,P$12,FALSE),"")</f>
        <v/>
      </c>
      <c r="Q24" s="744"/>
      <c r="R24" s="743" t="str">
        <f>IFERROR(VLOOKUP($B24,DatasheetDA!$B$4:$K$156,R$12,FALSE),"")</f>
        <v/>
      </c>
      <c r="S24" s="714"/>
      <c r="T24" s="715"/>
      <c r="U24" s="716"/>
      <c r="V24" s="717"/>
      <c r="W24" s="666"/>
      <c r="X24" s="718"/>
      <c r="Y24" s="718"/>
      <c r="Z24" s="718"/>
      <c r="AA24" s="718"/>
      <c r="AB24" s="718"/>
      <c r="AC24" s="718"/>
      <c r="AD24" s="718"/>
      <c r="AE24" s="718"/>
      <c r="AF24" s="718"/>
      <c r="AG24" s="718"/>
      <c r="AH24" s="718"/>
      <c r="AI24" s="718"/>
      <c r="AJ24" s="718"/>
      <c r="AK24" s="718"/>
      <c r="AL24" s="718"/>
      <c r="AM24" s="718"/>
      <c r="AN24" s="718"/>
      <c r="AO24" s="718"/>
      <c r="AP24" s="718"/>
      <c r="AQ24" s="718"/>
      <c r="AR24" s="718"/>
      <c r="AS24" s="718"/>
      <c r="AT24" s="718"/>
      <c r="AU24" s="718"/>
      <c r="AV24" s="718"/>
      <c r="AW24" s="718"/>
      <c r="AX24" s="718"/>
    </row>
    <row r="25" spans="1:50" s="719" customFormat="1" ht="21" customHeight="1" thickBot="1" x14ac:dyDescent="0.25">
      <c r="A25" s="712">
        <v>13</v>
      </c>
      <c r="B25" s="670" t="str">
        <f t="shared" si="0"/>
        <v>E0000EZ13</v>
      </c>
      <c r="C25" s="732" t="str">
        <f>IFERROR(VLOOKUP(B25,DatasheetDA!$B$4:$D$156,3,0),"")</f>
        <v/>
      </c>
      <c r="D25" s="713"/>
      <c r="E25" s="743" t="str">
        <f>IFERROR(VLOOKUP($B25,DatasheetDA!$B$4:$K$156,E$12,FALSE),"")</f>
        <v/>
      </c>
      <c r="F25" s="744"/>
      <c r="G25" s="745"/>
      <c r="H25" s="743" t="str">
        <f>IFERROR(VLOOKUP($B25,DatasheetDA!$B$4:$K$156,H$12,FALSE),"")</f>
        <v/>
      </c>
      <c r="I25" s="744"/>
      <c r="J25" s="743" t="str">
        <f>IFERROR(VLOOKUP($B25,DatasheetDA!$B$4:$K$156,J$12,FALSE),"")</f>
        <v/>
      </c>
      <c r="K25" s="746"/>
      <c r="L25" s="743" t="str">
        <f>IFERROR(VLOOKUP($B25,DatasheetDA!$B$4:$K$156,L$12,FALSE),"")</f>
        <v/>
      </c>
      <c r="M25" s="746"/>
      <c r="N25" s="743" t="str">
        <f>IFERROR(VLOOKUP($B25,DatasheetDA!$B$4:$K$156,N$12,FALSE),"")</f>
        <v/>
      </c>
      <c r="O25" s="746"/>
      <c r="P25" s="743" t="str">
        <f>IFERROR(VLOOKUP($B25,DatasheetDA!$B$4:$K$156,P$12,FALSE),"")</f>
        <v/>
      </c>
      <c r="Q25" s="744"/>
      <c r="R25" s="743" t="str">
        <f>IFERROR(VLOOKUP($B25,DatasheetDA!$B$4:$K$156,R$12,FALSE),"")</f>
        <v/>
      </c>
      <c r="S25" s="714"/>
      <c r="T25" s="715"/>
      <c r="U25" s="716"/>
      <c r="V25" s="717"/>
      <c r="W25" s="666"/>
      <c r="X25" s="718"/>
      <c r="Y25" s="718"/>
      <c r="Z25" s="718"/>
      <c r="AA25" s="718"/>
      <c r="AB25" s="718"/>
      <c r="AC25" s="718"/>
      <c r="AD25" s="718"/>
      <c r="AE25" s="718"/>
      <c r="AF25" s="718"/>
      <c r="AG25" s="718"/>
      <c r="AH25" s="718"/>
      <c r="AI25" s="718"/>
      <c r="AJ25" s="718"/>
      <c r="AK25" s="718"/>
      <c r="AL25" s="718"/>
      <c r="AM25" s="718"/>
      <c r="AN25" s="718"/>
      <c r="AO25" s="718"/>
      <c r="AP25" s="718"/>
      <c r="AQ25" s="718"/>
      <c r="AR25" s="718"/>
      <c r="AS25" s="718"/>
      <c r="AT25" s="718"/>
      <c r="AU25" s="718"/>
      <c r="AV25" s="718"/>
      <c r="AW25" s="718"/>
      <c r="AX25" s="718"/>
    </row>
    <row r="26" spans="1:50" s="719" customFormat="1" ht="21" customHeight="1" thickBot="1" x14ac:dyDescent="0.25">
      <c r="A26" s="712">
        <v>14</v>
      </c>
      <c r="B26" s="670" t="str">
        <f t="shared" si="0"/>
        <v>E0000EZ14</v>
      </c>
      <c r="C26" s="732" t="str">
        <f>IFERROR(VLOOKUP(B26,DatasheetDA!$B$4:$D$156,3,0),"")</f>
        <v/>
      </c>
      <c r="D26" s="713"/>
      <c r="E26" s="743" t="str">
        <f>IFERROR(VLOOKUP($B26,DatasheetDA!$B$4:$K$156,E$12,FALSE),"")</f>
        <v/>
      </c>
      <c r="F26" s="744"/>
      <c r="G26" s="745"/>
      <c r="H26" s="743" t="str">
        <f>IFERROR(VLOOKUP($B26,DatasheetDA!$B$4:$K$156,H$12,FALSE),"")</f>
        <v/>
      </c>
      <c r="I26" s="744"/>
      <c r="J26" s="743" t="str">
        <f>IFERROR(VLOOKUP($B26,DatasheetDA!$B$4:$K$156,J$12,FALSE),"")</f>
        <v/>
      </c>
      <c r="K26" s="746"/>
      <c r="L26" s="743" t="str">
        <f>IFERROR(VLOOKUP($B26,DatasheetDA!$B$4:$K$156,L$12,FALSE),"")</f>
        <v/>
      </c>
      <c r="M26" s="746"/>
      <c r="N26" s="743" t="str">
        <f>IFERROR(VLOOKUP($B26,DatasheetDA!$B$4:$K$156,N$12,FALSE),"")</f>
        <v/>
      </c>
      <c r="O26" s="746"/>
      <c r="P26" s="743" t="str">
        <f>IFERROR(VLOOKUP($B26,DatasheetDA!$B$4:$K$156,P$12,FALSE),"")</f>
        <v/>
      </c>
      <c r="Q26" s="744"/>
      <c r="R26" s="743" t="str">
        <f>IFERROR(VLOOKUP($B26,DatasheetDA!$B$4:$K$156,R$12,FALSE),"")</f>
        <v/>
      </c>
      <c r="S26" s="714"/>
      <c r="T26" s="715"/>
      <c r="U26" s="716"/>
      <c r="V26" s="717"/>
      <c r="W26" s="666"/>
      <c r="X26" s="718"/>
      <c r="Y26" s="718"/>
      <c r="Z26" s="718"/>
      <c r="AA26" s="718"/>
      <c r="AB26" s="718"/>
      <c r="AC26" s="718"/>
      <c r="AD26" s="718"/>
      <c r="AE26" s="718"/>
      <c r="AF26" s="718"/>
      <c r="AG26" s="718"/>
      <c r="AH26" s="718"/>
      <c r="AI26" s="718"/>
      <c r="AJ26" s="718"/>
      <c r="AK26" s="718"/>
      <c r="AL26" s="718"/>
      <c r="AM26" s="718"/>
      <c r="AN26" s="718"/>
      <c r="AO26" s="718"/>
      <c r="AP26" s="718"/>
      <c r="AQ26" s="718"/>
      <c r="AR26" s="718"/>
      <c r="AS26" s="718"/>
      <c r="AT26" s="718"/>
      <c r="AU26" s="718"/>
      <c r="AV26" s="718"/>
      <c r="AW26" s="718"/>
      <c r="AX26" s="718"/>
    </row>
    <row r="27" spans="1:50" s="719" customFormat="1" ht="21" customHeight="1" thickBot="1" x14ac:dyDescent="0.25">
      <c r="A27" s="712">
        <v>15</v>
      </c>
      <c r="B27" s="670" t="str">
        <f t="shared" si="0"/>
        <v>E0000EZ15</v>
      </c>
      <c r="C27" s="732" t="str">
        <f>IFERROR(VLOOKUP(B27,DatasheetDA!$B$4:$D$156,3,0),"")</f>
        <v/>
      </c>
      <c r="D27" s="713"/>
      <c r="E27" s="743" t="str">
        <f>IFERROR(VLOOKUP($B27,DatasheetDA!$B$4:$K$156,E$12,FALSE),"")</f>
        <v/>
      </c>
      <c r="F27" s="744"/>
      <c r="G27" s="745"/>
      <c r="H27" s="743" t="str">
        <f>IFERROR(VLOOKUP($B27,DatasheetDA!$B$4:$K$156,H$12,FALSE),"")</f>
        <v/>
      </c>
      <c r="I27" s="744"/>
      <c r="J27" s="743" t="str">
        <f>IFERROR(VLOOKUP($B27,DatasheetDA!$B$4:$K$156,J$12,FALSE),"")</f>
        <v/>
      </c>
      <c r="K27" s="746"/>
      <c r="L27" s="743" t="str">
        <f>IFERROR(VLOOKUP($B27,DatasheetDA!$B$4:$K$156,L$12,FALSE),"")</f>
        <v/>
      </c>
      <c r="M27" s="746"/>
      <c r="N27" s="743" t="str">
        <f>IFERROR(VLOOKUP($B27,DatasheetDA!$B$4:$K$156,N$12,FALSE),"")</f>
        <v/>
      </c>
      <c r="O27" s="746"/>
      <c r="P27" s="743" t="str">
        <f>IFERROR(VLOOKUP($B27,DatasheetDA!$B$4:$K$156,P$12,FALSE),"")</f>
        <v/>
      </c>
      <c r="Q27" s="744"/>
      <c r="R27" s="743" t="str">
        <f>IFERROR(VLOOKUP($B27,DatasheetDA!$B$4:$K$156,R$12,FALSE),"")</f>
        <v/>
      </c>
      <c r="S27" s="714"/>
      <c r="T27" s="715"/>
      <c r="U27" s="716"/>
      <c r="V27" s="717"/>
      <c r="W27" s="666"/>
      <c r="X27" s="718"/>
      <c r="Y27" s="718"/>
      <c r="Z27" s="718"/>
      <c r="AA27" s="718"/>
      <c r="AB27" s="718"/>
      <c r="AC27" s="718"/>
      <c r="AD27" s="718"/>
      <c r="AE27" s="718"/>
      <c r="AF27" s="718"/>
      <c r="AG27" s="718"/>
      <c r="AH27" s="718"/>
      <c r="AI27" s="718"/>
      <c r="AJ27" s="718"/>
      <c r="AK27" s="718"/>
      <c r="AL27" s="718"/>
      <c r="AM27" s="718"/>
      <c r="AN27" s="718"/>
      <c r="AO27" s="718"/>
      <c r="AP27" s="718"/>
      <c r="AQ27" s="718"/>
      <c r="AR27" s="718"/>
      <c r="AS27" s="718"/>
      <c r="AT27" s="718"/>
      <c r="AU27" s="718"/>
      <c r="AV27" s="718"/>
      <c r="AW27" s="718"/>
      <c r="AX27" s="718"/>
    </row>
    <row r="28" spans="1:50" s="719" customFormat="1" ht="21" customHeight="1" thickBot="1" x14ac:dyDescent="0.25">
      <c r="A28" s="712">
        <v>16</v>
      </c>
      <c r="B28" s="670" t="str">
        <f t="shared" si="0"/>
        <v>E0000EZ16</v>
      </c>
      <c r="C28" s="732" t="str">
        <f>IFERROR(VLOOKUP(B28,DatasheetDA!$B$4:$D$156,3,0),"")</f>
        <v/>
      </c>
      <c r="D28" s="713"/>
      <c r="E28" s="743" t="str">
        <f>IFERROR(VLOOKUP($B28,DatasheetDA!$B$4:$K$156,E$12,FALSE),"")</f>
        <v/>
      </c>
      <c r="F28" s="744"/>
      <c r="G28" s="745"/>
      <c r="H28" s="743" t="str">
        <f>IFERROR(VLOOKUP($B28,DatasheetDA!$B$4:$K$156,H$12,FALSE),"")</f>
        <v/>
      </c>
      <c r="I28" s="744"/>
      <c r="J28" s="743" t="str">
        <f>IFERROR(VLOOKUP($B28,DatasheetDA!$B$4:$K$156,J$12,FALSE),"")</f>
        <v/>
      </c>
      <c r="K28" s="746"/>
      <c r="L28" s="743" t="str">
        <f>IFERROR(VLOOKUP($B28,DatasheetDA!$B$4:$K$156,L$12,FALSE),"")</f>
        <v/>
      </c>
      <c r="M28" s="746"/>
      <c r="N28" s="743" t="str">
        <f>IFERROR(VLOOKUP($B28,DatasheetDA!$B$4:$K$156,N$12,FALSE),"")</f>
        <v/>
      </c>
      <c r="O28" s="746"/>
      <c r="P28" s="743" t="str">
        <f>IFERROR(VLOOKUP($B28,DatasheetDA!$B$4:$K$156,P$12,FALSE),"")</f>
        <v/>
      </c>
      <c r="Q28" s="744"/>
      <c r="R28" s="743" t="str">
        <f>IFERROR(VLOOKUP($B28,DatasheetDA!$B$4:$K$156,R$12,FALSE),"")</f>
        <v/>
      </c>
      <c r="S28" s="714"/>
      <c r="T28" s="715"/>
      <c r="U28" s="716"/>
      <c r="V28" s="717"/>
      <c r="W28" s="666"/>
      <c r="X28" s="718"/>
      <c r="Y28" s="718"/>
      <c r="Z28" s="718"/>
      <c r="AA28" s="718"/>
      <c r="AB28" s="718"/>
      <c r="AC28" s="718"/>
      <c r="AD28" s="718"/>
      <c r="AE28" s="718"/>
      <c r="AF28" s="718"/>
      <c r="AG28" s="718"/>
      <c r="AH28" s="718"/>
      <c r="AI28" s="718"/>
      <c r="AJ28" s="718"/>
      <c r="AK28" s="718"/>
      <c r="AL28" s="718"/>
      <c r="AM28" s="718"/>
      <c r="AN28" s="718"/>
      <c r="AO28" s="718"/>
      <c r="AP28" s="718"/>
      <c r="AQ28" s="718"/>
      <c r="AR28" s="718"/>
      <c r="AS28" s="718"/>
      <c r="AT28" s="718"/>
      <c r="AU28" s="718"/>
      <c r="AV28" s="718"/>
      <c r="AW28" s="718"/>
      <c r="AX28" s="718"/>
    </row>
    <row r="29" spans="1:50" s="719" customFormat="1" ht="21" customHeight="1" thickBot="1" x14ac:dyDescent="0.25">
      <c r="A29" s="712">
        <v>17</v>
      </c>
      <c r="B29" s="670" t="str">
        <f t="shared" si="0"/>
        <v>E0000EZ17</v>
      </c>
      <c r="C29" s="732" t="str">
        <f>IFERROR(VLOOKUP(B29,DatasheetDA!$B$4:$D$156,3,0),"")</f>
        <v/>
      </c>
      <c r="D29" s="713"/>
      <c r="E29" s="743" t="str">
        <f>IFERROR(VLOOKUP($B29,DatasheetDA!$B$4:$K$156,E$12,FALSE),"")</f>
        <v/>
      </c>
      <c r="F29" s="744"/>
      <c r="G29" s="745"/>
      <c r="H29" s="743" t="str">
        <f>IFERROR(VLOOKUP($B29,DatasheetDA!$B$4:$K$156,H$12,FALSE),"")</f>
        <v/>
      </c>
      <c r="I29" s="744"/>
      <c r="J29" s="743" t="str">
        <f>IFERROR(VLOOKUP($B29,DatasheetDA!$B$4:$K$156,J$12,FALSE),"")</f>
        <v/>
      </c>
      <c r="K29" s="746"/>
      <c r="L29" s="743" t="str">
        <f>IFERROR(VLOOKUP($B29,DatasheetDA!$B$4:$K$156,L$12,FALSE),"")</f>
        <v/>
      </c>
      <c r="M29" s="746"/>
      <c r="N29" s="743" t="str">
        <f>IFERROR(VLOOKUP($B29,DatasheetDA!$B$4:$K$156,N$12,FALSE),"")</f>
        <v/>
      </c>
      <c r="O29" s="746"/>
      <c r="P29" s="743" t="str">
        <f>IFERROR(VLOOKUP($B29,DatasheetDA!$B$4:$K$156,P$12,FALSE),"")</f>
        <v/>
      </c>
      <c r="Q29" s="744"/>
      <c r="R29" s="743" t="str">
        <f>IFERROR(VLOOKUP($B29,DatasheetDA!$B$4:$K$156,R$12,FALSE),"")</f>
        <v/>
      </c>
      <c r="S29" s="714"/>
      <c r="T29" s="715"/>
      <c r="U29" s="716"/>
      <c r="V29" s="717"/>
      <c r="W29" s="666"/>
      <c r="X29" s="718"/>
      <c r="Y29" s="718"/>
      <c r="Z29" s="718"/>
      <c r="AA29" s="718"/>
      <c r="AB29" s="718"/>
      <c r="AC29" s="718"/>
      <c r="AD29" s="718"/>
      <c r="AE29" s="718"/>
      <c r="AF29" s="718"/>
      <c r="AG29" s="718"/>
      <c r="AH29" s="718"/>
      <c r="AI29" s="718"/>
      <c r="AJ29" s="718"/>
      <c r="AK29" s="718"/>
      <c r="AL29" s="718"/>
      <c r="AM29" s="718"/>
      <c r="AN29" s="718"/>
      <c r="AO29" s="718"/>
      <c r="AP29" s="718"/>
      <c r="AQ29" s="718"/>
      <c r="AR29" s="718"/>
      <c r="AS29" s="718"/>
      <c r="AT29" s="718"/>
      <c r="AU29" s="718"/>
      <c r="AV29" s="718"/>
      <c r="AW29" s="718"/>
      <c r="AX29" s="718"/>
    </row>
    <row r="30" spans="1:50" s="719" customFormat="1" ht="21" customHeight="1" thickBot="1" x14ac:dyDescent="0.25">
      <c r="A30" s="712">
        <v>18</v>
      </c>
      <c r="B30" s="670" t="str">
        <f t="shared" si="0"/>
        <v>E0000EZ18</v>
      </c>
      <c r="C30" s="732" t="str">
        <f>IFERROR(VLOOKUP(B30,DatasheetDA!$B$4:$D$156,3,0),"")</f>
        <v/>
      </c>
      <c r="D30" s="713"/>
      <c r="E30" s="743" t="str">
        <f>IFERROR(VLOOKUP($B30,DatasheetDA!$B$4:$K$156,E$12,FALSE),"")</f>
        <v/>
      </c>
      <c r="F30" s="744"/>
      <c r="G30" s="745"/>
      <c r="H30" s="743" t="str">
        <f>IFERROR(VLOOKUP($B30,DatasheetDA!$B$4:$K$156,H$12,FALSE),"")</f>
        <v/>
      </c>
      <c r="I30" s="744"/>
      <c r="J30" s="743" t="str">
        <f>IFERROR(VLOOKUP($B30,DatasheetDA!$B$4:$K$156,J$12,FALSE),"")</f>
        <v/>
      </c>
      <c r="K30" s="746"/>
      <c r="L30" s="743" t="str">
        <f>IFERROR(VLOOKUP($B30,DatasheetDA!$B$4:$K$156,L$12,FALSE),"")</f>
        <v/>
      </c>
      <c r="M30" s="746"/>
      <c r="N30" s="743" t="str">
        <f>IFERROR(VLOOKUP($B30,DatasheetDA!$B$4:$K$156,N$12,FALSE),"")</f>
        <v/>
      </c>
      <c r="O30" s="746"/>
      <c r="P30" s="743" t="str">
        <f>IFERROR(VLOOKUP($B30,DatasheetDA!$B$4:$K$156,P$12,FALSE),"")</f>
        <v/>
      </c>
      <c r="Q30" s="744"/>
      <c r="R30" s="743" t="str">
        <f>IFERROR(VLOOKUP($B30,DatasheetDA!$B$4:$K$156,R$12,FALSE),"")</f>
        <v/>
      </c>
      <c r="S30" s="714"/>
      <c r="T30" s="715"/>
      <c r="U30" s="716"/>
      <c r="V30" s="717"/>
      <c r="W30" s="666"/>
      <c r="X30" s="718"/>
      <c r="Y30" s="718"/>
      <c r="Z30" s="718"/>
      <c r="AA30" s="718"/>
      <c r="AB30" s="718"/>
      <c r="AC30" s="718"/>
      <c r="AD30" s="718"/>
      <c r="AE30" s="718"/>
      <c r="AF30" s="718"/>
      <c r="AG30" s="718"/>
      <c r="AH30" s="718"/>
      <c r="AI30" s="718"/>
      <c r="AJ30" s="718"/>
      <c r="AK30" s="718"/>
      <c r="AL30" s="718"/>
      <c r="AM30" s="718"/>
      <c r="AN30" s="718"/>
      <c r="AO30" s="718"/>
      <c r="AP30" s="718"/>
      <c r="AQ30" s="718"/>
      <c r="AR30" s="718"/>
      <c r="AS30" s="718"/>
      <c r="AT30" s="718"/>
      <c r="AU30" s="718"/>
      <c r="AV30" s="718"/>
      <c r="AW30" s="718"/>
      <c r="AX30" s="718"/>
    </row>
    <row r="31" spans="1:50" s="719" customFormat="1" ht="21" customHeight="1" thickBot="1" x14ac:dyDescent="0.25">
      <c r="A31" s="712">
        <v>19</v>
      </c>
      <c r="B31" s="670" t="str">
        <f t="shared" si="0"/>
        <v>E0000EZ19</v>
      </c>
      <c r="C31" s="732" t="str">
        <f>IFERROR(VLOOKUP(B31,DatasheetDA!$B$4:$D$156,3,0),"")</f>
        <v/>
      </c>
      <c r="D31" s="713"/>
      <c r="E31" s="743" t="str">
        <f>IFERROR(VLOOKUP($B31,DatasheetDA!$B$4:$K$156,E$12,FALSE),"")</f>
        <v/>
      </c>
      <c r="F31" s="744"/>
      <c r="G31" s="745"/>
      <c r="H31" s="743" t="str">
        <f>IFERROR(VLOOKUP($B31,DatasheetDA!$B$4:$K$156,H$12,FALSE),"")</f>
        <v/>
      </c>
      <c r="I31" s="744"/>
      <c r="J31" s="743" t="str">
        <f>IFERROR(VLOOKUP($B31,DatasheetDA!$B$4:$K$156,J$12,FALSE),"")</f>
        <v/>
      </c>
      <c r="K31" s="746"/>
      <c r="L31" s="743" t="str">
        <f>IFERROR(VLOOKUP($B31,DatasheetDA!$B$4:$K$156,L$12,FALSE),"")</f>
        <v/>
      </c>
      <c r="M31" s="746"/>
      <c r="N31" s="743" t="str">
        <f>IFERROR(VLOOKUP($B31,DatasheetDA!$B$4:$K$156,N$12,FALSE),"")</f>
        <v/>
      </c>
      <c r="O31" s="746"/>
      <c r="P31" s="743" t="str">
        <f>IFERROR(VLOOKUP($B31,DatasheetDA!$B$4:$K$156,P$12,FALSE),"")</f>
        <v/>
      </c>
      <c r="Q31" s="744"/>
      <c r="R31" s="743" t="str">
        <f>IFERROR(VLOOKUP($B31,DatasheetDA!$B$4:$K$156,R$12,FALSE),"")</f>
        <v/>
      </c>
      <c r="S31" s="714"/>
      <c r="T31" s="715"/>
      <c r="U31" s="716"/>
      <c r="V31" s="717"/>
      <c r="W31" s="666"/>
      <c r="X31" s="718"/>
      <c r="Y31" s="718"/>
      <c r="Z31" s="718"/>
      <c r="AA31" s="718"/>
      <c r="AB31" s="718"/>
      <c r="AC31" s="718"/>
      <c r="AD31" s="718"/>
      <c r="AE31" s="718"/>
      <c r="AF31" s="718"/>
      <c r="AG31" s="718"/>
      <c r="AH31" s="718"/>
      <c r="AI31" s="718"/>
      <c r="AJ31" s="718"/>
      <c r="AK31" s="718"/>
      <c r="AL31" s="718"/>
      <c r="AM31" s="718"/>
      <c r="AN31" s="718"/>
      <c r="AO31" s="718"/>
      <c r="AP31" s="718"/>
      <c r="AQ31" s="718"/>
      <c r="AR31" s="718"/>
      <c r="AS31" s="718"/>
      <c r="AT31" s="718"/>
      <c r="AU31" s="718"/>
      <c r="AV31" s="718"/>
      <c r="AW31" s="718"/>
      <c r="AX31" s="718"/>
    </row>
    <row r="32" spans="1:50" s="719" customFormat="1" ht="21" customHeight="1" thickBot="1" x14ac:dyDescent="0.25">
      <c r="A32" s="712">
        <v>20</v>
      </c>
      <c r="B32" s="670" t="str">
        <f t="shared" si="0"/>
        <v>E0000EZ20</v>
      </c>
      <c r="C32" s="732" t="str">
        <f>IFERROR(VLOOKUP(B32,DatasheetDA!$B$4:$D$156,3,0),"")</f>
        <v/>
      </c>
      <c r="D32" s="713"/>
      <c r="E32" s="743" t="str">
        <f>IFERROR(VLOOKUP($B32,DatasheetDA!$B$4:$K$156,E$12,FALSE),"")</f>
        <v/>
      </c>
      <c r="F32" s="744"/>
      <c r="G32" s="745"/>
      <c r="H32" s="743" t="str">
        <f>IFERROR(VLOOKUP($B32,DatasheetDA!$B$4:$K$156,H$12,FALSE),"")</f>
        <v/>
      </c>
      <c r="I32" s="744"/>
      <c r="J32" s="743" t="str">
        <f>IFERROR(VLOOKUP($B32,DatasheetDA!$B$4:$K$156,J$12,FALSE),"")</f>
        <v/>
      </c>
      <c r="K32" s="746"/>
      <c r="L32" s="743" t="str">
        <f>IFERROR(VLOOKUP($B32,DatasheetDA!$B$4:$K$156,L$12,FALSE),"")</f>
        <v/>
      </c>
      <c r="M32" s="746"/>
      <c r="N32" s="743" t="str">
        <f>IFERROR(VLOOKUP($B32,DatasheetDA!$B$4:$K$156,N$12,FALSE),"")</f>
        <v/>
      </c>
      <c r="O32" s="746"/>
      <c r="P32" s="743" t="str">
        <f>IFERROR(VLOOKUP($B32,DatasheetDA!$B$4:$K$156,P$12,FALSE),"")</f>
        <v/>
      </c>
      <c r="Q32" s="744"/>
      <c r="R32" s="743" t="str">
        <f>IFERROR(VLOOKUP($B32,DatasheetDA!$B$4:$K$156,R$12,FALSE),"")</f>
        <v/>
      </c>
      <c r="S32" s="714"/>
      <c r="T32" s="715"/>
      <c r="U32" s="716"/>
      <c r="V32" s="717"/>
      <c r="W32" s="666"/>
      <c r="X32" s="718"/>
      <c r="Y32" s="718"/>
      <c r="Z32" s="718"/>
      <c r="AA32" s="718"/>
      <c r="AB32" s="718"/>
      <c r="AC32" s="718"/>
      <c r="AD32" s="718"/>
      <c r="AE32" s="718"/>
      <c r="AF32" s="718"/>
      <c r="AG32" s="718"/>
      <c r="AH32" s="718"/>
      <c r="AI32" s="718"/>
      <c r="AJ32" s="718"/>
      <c r="AK32" s="718"/>
      <c r="AL32" s="718"/>
      <c r="AM32" s="718"/>
      <c r="AN32" s="718"/>
      <c r="AO32" s="718"/>
      <c r="AP32" s="718"/>
      <c r="AQ32" s="718"/>
      <c r="AR32" s="718"/>
      <c r="AS32" s="718"/>
      <c r="AT32" s="718"/>
      <c r="AU32" s="718"/>
      <c r="AV32" s="718"/>
      <c r="AW32" s="718"/>
      <c r="AX32" s="718"/>
    </row>
    <row r="33" spans="1:50" s="719" customFormat="1" ht="21" customHeight="1" thickBot="1" x14ac:dyDescent="0.25">
      <c r="A33" s="712">
        <v>21</v>
      </c>
      <c r="B33" s="670" t="str">
        <f t="shared" si="0"/>
        <v>E0000EZ21</v>
      </c>
      <c r="C33" s="732" t="str">
        <f>IFERROR(VLOOKUP(B33,DatasheetDA!$B$4:$D$156,3,0),"")</f>
        <v/>
      </c>
      <c r="D33" s="713"/>
      <c r="E33" s="743" t="str">
        <f>IFERROR(VLOOKUP($B33,DatasheetDA!$B$4:$K$156,E$12,FALSE),"")</f>
        <v/>
      </c>
      <c r="F33" s="744"/>
      <c r="G33" s="745"/>
      <c r="H33" s="743" t="str">
        <f>IFERROR(VLOOKUP($B33,DatasheetDA!$B$4:$K$156,H$12,FALSE),"")</f>
        <v/>
      </c>
      <c r="I33" s="744"/>
      <c r="J33" s="743" t="str">
        <f>IFERROR(VLOOKUP($B33,DatasheetDA!$B$4:$K$156,J$12,FALSE),"")</f>
        <v/>
      </c>
      <c r="K33" s="746"/>
      <c r="L33" s="743" t="str">
        <f>IFERROR(VLOOKUP($B33,DatasheetDA!$B$4:$K$156,L$12,FALSE),"")</f>
        <v/>
      </c>
      <c r="M33" s="746"/>
      <c r="N33" s="743" t="str">
        <f>IFERROR(VLOOKUP($B33,DatasheetDA!$B$4:$K$156,N$12,FALSE),"")</f>
        <v/>
      </c>
      <c r="O33" s="746"/>
      <c r="P33" s="743" t="str">
        <f>IFERROR(VLOOKUP($B33,DatasheetDA!$B$4:$K$156,P$12,FALSE),"")</f>
        <v/>
      </c>
      <c r="Q33" s="744"/>
      <c r="R33" s="743" t="str">
        <f>IFERROR(VLOOKUP($B33,DatasheetDA!$B$4:$K$156,R$12,FALSE),"")</f>
        <v/>
      </c>
      <c r="S33" s="714"/>
      <c r="T33" s="715"/>
      <c r="U33" s="716"/>
      <c r="V33" s="717"/>
      <c r="W33" s="666"/>
      <c r="X33" s="718"/>
      <c r="Y33" s="718"/>
      <c r="Z33" s="718"/>
      <c r="AA33" s="718"/>
      <c r="AB33" s="718"/>
      <c r="AC33" s="718"/>
      <c r="AD33" s="718"/>
      <c r="AE33" s="718"/>
      <c r="AF33" s="718"/>
      <c r="AG33" s="718"/>
      <c r="AH33" s="718"/>
      <c r="AI33" s="718"/>
      <c r="AJ33" s="718"/>
      <c r="AK33" s="718"/>
      <c r="AL33" s="718"/>
      <c r="AM33" s="718"/>
      <c r="AN33" s="718"/>
      <c r="AO33" s="718"/>
      <c r="AP33" s="718"/>
      <c r="AQ33" s="718"/>
      <c r="AR33" s="718"/>
      <c r="AS33" s="718"/>
      <c r="AT33" s="718"/>
      <c r="AU33" s="718"/>
      <c r="AV33" s="718"/>
      <c r="AW33" s="718"/>
      <c r="AX33" s="718"/>
    </row>
    <row r="34" spans="1:50" s="719" customFormat="1" ht="21" customHeight="1" thickBot="1" x14ac:dyDescent="0.25">
      <c r="A34" s="712">
        <v>22</v>
      </c>
      <c r="B34" s="670" t="str">
        <f t="shared" si="0"/>
        <v>E0000EZ22</v>
      </c>
      <c r="C34" s="732" t="str">
        <f>IFERROR(VLOOKUP(B34,DatasheetDA!$B$4:$D$156,3,0),"")</f>
        <v/>
      </c>
      <c r="D34" s="713"/>
      <c r="E34" s="743" t="str">
        <f>IFERROR(VLOOKUP($B34,DatasheetDA!$B$4:$K$156,E$12,FALSE),"")</f>
        <v/>
      </c>
      <c r="F34" s="744"/>
      <c r="G34" s="745"/>
      <c r="H34" s="743" t="str">
        <f>IFERROR(VLOOKUP($B34,DatasheetDA!$B$4:$K$156,H$12,FALSE),"")</f>
        <v/>
      </c>
      <c r="I34" s="744"/>
      <c r="J34" s="743" t="str">
        <f>IFERROR(VLOOKUP($B34,DatasheetDA!$B$4:$K$156,J$12,FALSE),"")</f>
        <v/>
      </c>
      <c r="K34" s="746"/>
      <c r="L34" s="743" t="str">
        <f>IFERROR(VLOOKUP($B34,DatasheetDA!$B$4:$K$156,L$12,FALSE),"")</f>
        <v/>
      </c>
      <c r="M34" s="746"/>
      <c r="N34" s="743" t="str">
        <f>IFERROR(VLOOKUP($B34,DatasheetDA!$B$4:$K$156,N$12,FALSE),"")</f>
        <v/>
      </c>
      <c r="O34" s="746"/>
      <c r="P34" s="743" t="str">
        <f>IFERROR(VLOOKUP($B34,DatasheetDA!$B$4:$K$156,P$12,FALSE),"")</f>
        <v/>
      </c>
      <c r="Q34" s="744"/>
      <c r="R34" s="743" t="str">
        <f>IFERROR(VLOOKUP($B34,DatasheetDA!$B$4:$K$156,R$12,FALSE),"")</f>
        <v/>
      </c>
      <c r="S34" s="714"/>
      <c r="T34" s="715"/>
      <c r="U34" s="716"/>
      <c r="V34" s="717"/>
      <c r="W34" s="666"/>
      <c r="X34" s="718"/>
      <c r="Y34" s="718"/>
      <c r="Z34" s="718"/>
      <c r="AA34" s="718"/>
      <c r="AB34" s="718"/>
      <c r="AC34" s="718"/>
      <c r="AD34" s="718"/>
      <c r="AE34" s="718"/>
      <c r="AF34" s="718"/>
      <c r="AG34" s="718"/>
      <c r="AH34" s="718"/>
      <c r="AI34" s="718"/>
      <c r="AJ34" s="718"/>
      <c r="AK34" s="718"/>
      <c r="AL34" s="718"/>
      <c r="AM34" s="718"/>
      <c r="AN34" s="718"/>
      <c r="AO34" s="718"/>
      <c r="AP34" s="718"/>
      <c r="AQ34" s="718"/>
      <c r="AR34" s="718"/>
      <c r="AS34" s="718"/>
      <c r="AT34" s="718"/>
      <c r="AU34" s="718"/>
      <c r="AV34" s="718"/>
      <c r="AW34" s="718"/>
      <c r="AX34" s="718"/>
    </row>
    <row r="35" spans="1:50" s="719" customFormat="1" ht="21" customHeight="1" thickBot="1" x14ac:dyDescent="0.25">
      <c r="A35" s="712">
        <v>23</v>
      </c>
      <c r="B35" s="670" t="str">
        <f t="shared" si="0"/>
        <v>E0000EZ23</v>
      </c>
      <c r="C35" s="732" t="str">
        <f>IFERROR(VLOOKUP(B35,DatasheetDA!$B$4:$D$156,3,0),"")</f>
        <v/>
      </c>
      <c r="D35" s="713"/>
      <c r="E35" s="743" t="str">
        <f>IFERROR(VLOOKUP($B35,DatasheetDA!$B$4:$K$156,E$12,FALSE),"")</f>
        <v/>
      </c>
      <c r="F35" s="744"/>
      <c r="G35" s="745"/>
      <c r="H35" s="743" t="str">
        <f>IFERROR(VLOOKUP($B35,DatasheetDA!$B$4:$K$156,H$12,FALSE),"")</f>
        <v/>
      </c>
      <c r="I35" s="744"/>
      <c r="J35" s="743" t="str">
        <f>IFERROR(VLOOKUP($B35,DatasheetDA!$B$4:$K$156,J$12,FALSE),"")</f>
        <v/>
      </c>
      <c r="K35" s="746"/>
      <c r="L35" s="743" t="str">
        <f>IFERROR(VLOOKUP($B35,DatasheetDA!$B$4:$K$156,L$12,FALSE),"")</f>
        <v/>
      </c>
      <c r="M35" s="746"/>
      <c r="N35" s="743" t="str">
        <f>IFERROR(VLOOKUP($B35,DatasheetDA!$B$4:$K$156,N$12,FALSE),"")</f>
        <v/>
      </c>
      <c r="O35" s="746"/>
      <c r="P35" s="743" t="str">
        <f>IFERROR(VLOOKUP($B35,DatasheetDA!$B$4:$K$156,P$12,FALSE),"")</f>
        <v/>
      </c>
      <c r="Q35" s="744"/>
      <c r="R35" s="743" t="str">
        <f>IFERROR(VLOOKUP($B35,DatasheetDA!$B$4:$K$156,R$12,FALSE),"")</f>
        <v/>
      </c>
      <c r="S35" s="714"/>
      <c r="T35" s="715"/>
      <c r="U35" s="716"/>
      <c r="V35" s="717"/>
      <c r="W35" s="666"/>
      <c r="X35" s="718"/>
      <c r="Y35" s="718"/>
      <c r="Z35" s="718"/>
      <c r="AA35" s="718"/>
      <c r="AB35" s="718"/>
      <c r="AC35" s="718"/>
      <c r="AD35" s="718"/>
      <c r="AE35" s="718"/>
      <c r="AF35" s="718"/>
      <c r="AG35" s="718"/>
      <c r="AH35" s="718"/>
      <c r="AI35" s="718"/>
      <c r="AJ35" s="718"/>
      <c r="AK35" s="718"/>
      <c r="AL35" s="718"/>
      <c r="AM35" s="718"/>
      <c r="AN35" s="718"/>
      <c r="AO35" s="718"/>
      <c r="AP35" s="718"/>
      <c r="AQ35" s="718"/>
      <c r="AR35" s="718"/>
      <c r="AS35" s="718"/>
      <c r="AT35" s="718"/>
      <c r="AU35" s="718"/>
      <c r="AV35" s="718"/>
      <c r="AW35" s="718"/>
      <c r="AX35" s="718"/>
    </row>
    <row r="36" spans="1:50" s="719" customFormat="1" ht="21" customHeight="1" thickBot="1" x14ac:dyDescent="0.25">
      <c r="A36" s="712">
        <v>24</v>
      </c>
      <c r="B36" s="670" t="str">
        <f t="shared" si="0"/>
        <v>E0000EZ24</v>
      </c>
      <c r="C36" s="732" t="str">
        <f>IFERROR(VLOOKUP(B36,DatasheetDA!$B$4:$D$156,3,0),"")</f>
        <v/>
      </c>
      <c r="D36" s="713"/>
      <c r="E36" s="743" t="str">
        <f>IFERROR(VLOOKUP($B36,DatasheetDA!$B$4:$K$156,E$12,FALSE),"")</f>
        <v/>
      </c>
      <c r="F36" s="744"/>
      <c r="G36" s="745"/>
      <c r="H36" s="743" t="str">
        <f>IFERROR(VLOOKUP($B36,DatasheetDA!$B$4:$K$156,H$12,FALSE),"")</f>
        <v/>
      </c>
      <c r="I36" s="744"/>
      <c r="J36" s="743" t="str">
        <f>IFERROR(VLOOKUP($B36,DatasheetDA!$B$4:$K$156,J$12,FALSE),"")</f>
        <v/>
      </c>
      <c r="K36" s="746"/>
      <c r="L36" s="743" t="str">
        <f>IFERROR(VLOOKUP($B36,DatasheetDA!$B$4:$K$156,L$12,FALSE),"")</f>
        <v/>
      </c>
      <c r="M36" s="746"/>
      <c r="N36" s="743" t="str">
        <f>IFERROR(VLOOKUP($B36,DatasheetDA!$B$4:$K$156,N$12,FALSE),"")</f>
        <v/>
      </c>
      <c r="O36" s="746"/>
      <c r="P36" s="743" t="str">
        <f>IFERROR(VLOOKUP($B36,DatasheetDA!$B$4:$K$156,P$12,FALSE),"")</f>
        <v/>
      </c>
      <c r="Q36" s="744"/>
      <c r="R36" s="743" t="str">
        <f>IFERROR(VLOOKUP($B36,DatasheetDA!$B$4:$K$156,R$12,FALSE),"")</f>
        <v/>
      </c>
      <c r="S36" s="714"/>
      <c r="T36" s="715"/>
      <c r="U36" s="716"/>
      <c r="V36" s="720"/>
      <c r="W36" s="666"/>
      <c r="X36" s="718"/>
      <c r="Y36" s="718"/>
      <c r="Z36" s="718"/>
      <c r="AA36" s="718"/>
      <c r="AB36" s="718"/>
      <c r="AC36" s="718"/>
      <c r="AD36" s="718"/>
      <c r="AE36" s="718"/>
      <c r="AF36" s="718"/>
      <c r="AG36" s="718"/>
      <c r="AH36" s="718"/>
      <c r="AI36" s="718"/>
      <c r="AJ36" s="718"/>
      <c r="AK36" s="718"/>
      <c r="AL36" s="718"/>
      <c r="AM36" s="718"/>
      <c r="AN36" s="718"/>
      <c r="AO36" s="718"/>
      <c r="AP36" s="718"/>
      <c r="AQ36" s="718"/>
      <c r="AR36" s="718"/>
      <c r="AS36" s="718"/>
      <c r="AT36" s="718"/>
      <c r="AU36" s="718"/>
      <c r="AV36" s="718"/>
      <c r="AW36" s="718"/>
      <c r="AX36" s="718"/>
    </row>
    <row r="37" spans="1:50" s="719" customFormat="1" ht="21" customHeight="1" thickBot="1" x14ac:dyDescent="0.25">
      <c r="A37" s="712">
        <v>25</v>
      </c>
      <c r="B37" s="670" t="str">
        <f t="shared" si="0"/>
        <v>E0000EZ25</v>
      </c>
      <c r="C37" s="732" t="str">
        <f>IFERROR(VLOOKUP(B37,DatasheetDA!$B$4:$D$156,3,0),"")</f>
        <v/>
      </c>
      <c r="D37" s="713"/>
      <c r="E37" s="743" t="str">
        <f>IFERROR(VLOOKUP($B37,DatasheetDA!$B$4:$K$156,E$12,FALSE),"")</f>
        <v/>
      </c>
      <c r="F37" s="744"/>
      <c r="G37" s="745"/>
      <c r="H37" s="743" t="str">
        <f>IFERROR(VLOOKUP($B37,DatasheetDA!$B$4:$K$156,H$12,FALSE),"")</f>
        <v/>
      </c>
      <c r="I37" s="744"/>
      <c r="J37" s="743" t="str">
        <f>IFERROR(VLOOKUP($B37,DatasheetDA!$B$4:$K$156,J$12,FALSE),"")</f>
        <v/>
      </c>
      <c r="K37" s="746"/>
      <c r="L37" s="743" t="str">
        <f>IFERROR(VLOOKUP($B37,DatasheetDA!$B$4:$K$156,L$12,FALSE),"")</f>
        <v/>
      </c>
      <c r="M37" s="746"/>
      <c r="N37" s="743" t="str">
        <f>IFERROR(VLOOKUP($B37,DatasheetDA!$B$4:$K$156,N$12,FALSE),"")</f>
        <v/>
      </c>
      <c r="O37" s="746"/>
      <c r="P37" s="743" t="str">
        <f>IFERROR(VLOOKUP($B37,DatasheetDA!$B$4:$K$156,P$12,FALSE),"")</f>
        <v/>
      </c>
      <c r="Q37" s="744"/>
      <c r="R37" s="743" t="str">
        <f>IFERROR(VLOOKUP($B37,DatasheetDA!$B$4:$K$156,R$12,FALSE),"")</f>
        <v/>
      </c>
      <c r="S37" s="714"/>
      <c r="T37" s="715"/>
      <c r="U37" s="716"/>
      <c r="V37" s="720"/>
      <c r="W37" s="666"/>
      <c r="X37" s="718"/>
      <c r="Y37" s="718"/>
      <c r="Z37" s="718"/>
      <c r="AA37" s="718"/>
      <c r="AB37" s="718"/>
      <c r="AC37" s="718"/>
      <c r="AD37" s="718"/>
      <c r="AE37" s="718"/>
      <c r="AF37" s="718"/>
      <c r="AG37" s="718"/>
      <c r="AH37" s="718"/>
      <c r="AI37" s="718"/>
      <c r="AJ37" s="718"/>
      <c r="AK37" s="718"/>
      <c r="AL37" s="718"/>
      <c r="AM37" s="718"/>
      <c r="AN37" s="718"/>
      <c r="AO37" s="718"/>
      <c r="AP37" s="718"/>
      <c r="AQ37" s="718"/>
      <c r="AR37" s="718"/>
      <c r="AS37" s="718"/>
      <c r="AT37" s="718"/>
      <c r="AU37" s="718"/>
      <c r="AV37" s="718"/>
      <c r="AW37" s="718"/>
      <c r="AX37" s="718"/>
    </row>
    <row r="38" spans="1:50" s="719" customFormat="1" ht="21" customHeight="1" thickBot="1" x14ac:dyDescent="0.25">
      <c r="A38" s="712">
        <v>26</v>
      </c>
      <c r="B38" s="670" t="str">
        <f t="shared" si="0"/>
        <v>E0000EZ26</v>
      </c>
      <c r="C38" s="732" t="str">
        <f>IFERROR(VLOOKUP(B38,DatasheetDA!$B$4:$D$156,3,0),"")</f>
        <v/>
      </c>
      <c r="D38" s="713"/>
      <c r="E38" s="743" t="str">
        <f>IFERROR(VLOOKUP($B38,DatasheetDA!$B$4:$K$156,E$12,FALSE),"")</f>
        <v/>
      </c>
      <c r="F38" s="744"/>
      <c r="G38" s="745"/>
      <c r="H38" s="743" t="str">
        <f>IFERROR(VLOOKUP($B38,DatasheetDA!$B$4:$K$156,H$12,FALSE),"")</f>
        <v/>
      </c>
      <c r="I38" s="744"/>
      <c r="J38" s="743" t="str">
        <f>IFERROR(VLOOKUP($B38,DatasheetDA!$B$4:$K$156,J$12,FALSE),"")</f>
        <v/>
      </c>
      <c r="K38" s="746"/>
      <c r="L38" s="743" t="str">
        <f>IFERROR(VLOOKUP($B38,DatasheetDA!$B$4:$K$156,L$12,FALSE),"")</f>
        <v/>
      </c>
      <c r="M38" s="746"/>
      <c r="N38" s="743" t="str">
        <f>IFERROR(VLOOKUP($B38,DatasheetDA!$B$4:$K$156,N$12,FALSE),"")</f>
        <v/>
      </c>
      <c r="O38" s="746"/>
      <c r="P38" s="743" t="str">
        <f>IFERROR(VLOOKUP($B38,DatasheetDA!$B$4:$K$156,P$12,FALSE),"")</f>
        <v/>
      </c>
      <c r="Q38" s="744"/>
      <c r="R38" s="743" t="str">
        <f>IFERROR(VLOOKUP($B38,DatasheetDA!$B$4:$K$156,R$12,FALSE),"")</f>
        <v/>
      </c>
      <c r="S38" s="714"/>
      <c r="T38" s="715"/>
      <c r="U38" s="716"/>
      <c r="V38" s="720"/>
      <c r="W38" s="666"/>
      <c r="X38" s="718"/>
      <c r="Y38" s="718"/>
      <c r="Z38" s="718"/>
      <c r="AA38" s="718"/>
      <c r="AB38" s="718"/>
      <c r="AC38" s="718"/>
      <c r="AD38" s="718"/>
      <c r="AE38" s="718"/>
      <c r="AF38" s="718"/>
      <c r="AG38" s="718"/>
      <c r="AH38" s="718"/>
      <c r="AI38" s="718"/>
      <c r="AJ38" s="718"/>
      <c r="AK38" s="718"/>
      <c r="AL38" s="718"/>
      <c r="AM38" s="718"/>
      <c r="AN38" s="718"/>
      <c r="AO38" s="718"/>
      <c r="AP38" s="718"/>
      <c r="AQ38" s="718"/>
      <c r="AR38" s="718"/>
      <c r="AS38" s="718"/>
      <c r="AT38" s="718"/>
      <c r="AU38" s="718"/>
      <c r="AV38" s="718"/>
      <c r="AW38" s="718"/>
      <c r="AX38" s="718"/>
    </row>
    <row r="39" spans="1:50" s="719" customFormat="1" ht="21" customHeight="1" thickBot="1" x14ac:dyDescent="0.25">
      <c r="A39" s="712">
        <v>27</v>
      </c>
      <c r="B39" s="670" t="str">
        <f t="shared" si="0"/>
        <v>E0000EZ27</v>
      </c>
      <c r="C39" s="732" t="str">
        <f>IFERROR(VLOOKUP(B39,DatasheetDA!$B$4:$D$156,3,0),"")</f>
        <v/>
      </c>
      <c r="D39" s="713"/>
      <c r="E39" s="743" t="str">
        <f>IFERROR(VLOOKUP($B39,DatasheetDA!$B$4:$K$156,E$12,FALSE),"")</f>
        <v/>
      </c>
      <c r="F39" s="744"/>
      <c r="G39" s="745"/>
      <c r="H39" s="743" t="str">
        <f>IFERROR(VLOOKUP($B39,DatasheetDA!$B$4:$K$156,H$12,FALSE),"")</f>
        <v/>
      </c>
      <c r="I39" s="744"/>
      <c r="J39" s="743" t="str">
        <f>IFERROR(VLOOKUP($B39,DatasheetDA!$B$4:$K$156,J$12,FALSE),"")</f>
        <v/>
      </c>
      <c r="K39" s="746"/>
      <c r="L39" s="743" t="str">
        <f>IFERROR(VLOOKUP($B39,DatasheetDA!$B$4:$K$156,L$12,FALSE),"")</f>
        <v/>
      </c>
      <c r="M39" s="746"/>
      <c r="N39" s="743" t="str">
        <f>IFERROR(VLOOKUP($B39,DatasheetDA!$B$4:$K$156,N$12,FALSE),"")</f>
        <v/>
      </c>
      <c r="O39" s="746"/>
      <c r="P39" s="743" t="str">
        <f>IFERROR(VLOOKUP($B39,DatasheetDA!$B$4:$K$156,P$12,FALSE),"")</f>
        <v/>
      </c>
      <c r="Q39" s="744"/>
      <c r="R39" s="743" t="str">
        <f>IFERROR(VLOOKUP($B39,DatasheetDA!$B$4:$K$156,R$12,FALSE),"")</f>
        <v/>
      </c>
      <c r="S39" s="714"/>
      <c r="T39" s="715"/>
      <c r="U39" s="716"/>
      <c r="V39" s="720"/>
      <c r="W39" s="666"/>
      <c r="X39" s="718"/>
      <c r="Y39" s="718"/>
      <c r="Z39" s="718"/>
      <c r="AA39" s="718"/>
      <c r="AB39" s="718"/>
      <c r="AC39" s="718"/>
      <c r="AD39" s="718"/>
      <c r="AE39" s="718"/>
      <c r="AF39" s="718"/>
      <c r="AG39" s="718"/>
      <c r="AH39" s="718"/>
      <c r="AI39" s="718"/>
      <c r="AJ39" s="718"/>
      <c r="AK39" s="718"/>
      <c r="AL39" s="718"/>
      <c r="AM39" s="718"/>
      <c r="AN39" s="718"/>
      <c r="AO39" s="718"/>
      <c r="AP39" s="718"/>
      <c r="AQ39" s="718"/>
      <c r="AR39" s="718"/>
      <c r="AS39" s="718"/>
      <c r="AT39" s="718"/>
      <c r="AU39" s="718"/>
      <c r="AV39" s="718"/>
      <c r="AW39" s="718"/>
      <c r="AX39" s="718"/>
    </row>
    <row r="40" spans="1:50" s="719" customFormat="1" ht="21" customHeight="1" thickBot="1" x14ac:dyDescent="0.25">
      <c r="A40" s="712">
        <v>28</v>
      </c>
      <c r="B40" s="670" t="str">
        <f t="shared" si="0"/>
        <v>E0000EZ28</v>
      </c>
      <c r="C40" s="732" t="str">
        <f>IFERROR(VLOOKUP(B40,DatasheetDA!$B$4:$D$156,3,0),"")</f>
        <v/>
      </c>
      <c r="D40" s="713"/>
      <c r="E40" s="743" t="str">
        <f>IFERROR(VLOOKUP($B40,DatasheetDA!$B$4:$K$156,E$12,FALSE),"")</f>
        <v/>
      </c>
      <c r="F40" s="744"/>
      <c r="G40" s="745"/>
      <c r="H40" s="743" t="str">
        <f>IFERROR(VLOOKUP($B40,DatasheetDA!$B$4:$K$156,H$12,FALSE),"")</f>
        <v/>
      </c>
      <c r="I40" s="744"/>
      <c r="J40" s="743" t="str">
        <f>IFERROR(VLOOKUP($B40,DatasheetDA!$B$4:$K$156,J$12,FALSE),"")</f>
        <v/>
      </c>
      <c r="K40" s="746"/>
      <c r="L40" s="743" t="str">
        <f>IFERROR(VLOOKUP($B40,DatasheetDA!$B$4:$K$156,L$12,FALSE),"")</f>
        <v/>
      </c>
      <c r="M40" s="746"/>
      <c r="N40" s="743" t="str">
        <f>IFERROR(VLOOKUP($B40,DatasheetDA!$B$4:$K$156,N$12,FALSE),"")</f>
        <v/>
      </c>
      <c r="O40" s="746"/>
      <c r="P40" s="743" t="str">
        <f>IFERROR(VLOOKUP($B40,DatasheetDA!$B$4:$K$156,P$12,FALSE),"")</f>
        <v/>
      </c>
      <c r="Q40" s="744"/>
      <c r="R40" s="743" t="str">
        <f>IFERROR(VLOOKUP($B40,DatasheetDA!$B$4:$K$156,R$12,FALSE),"")</f>
        <v/>
      </c>
      <c r="S40" s="714"/>
      <c r="T40" s="715"/>
      <c r="U40" s="716"/>
      <c r="V40" s="720"/>
      <c r="W40" s="666"/>
      <c r="X40" s="718"/>
      <c r="Y40" s="718"/>
      <c r="Z40" s="718"/>
      <c r="AA40" s="718"/>
      <c r="AB40" s="718"/>
      <c r="AC40" s="718"/>
      <c r="AD40" s="718"/>
      <c r="AE40" s="718"/>
      <c r="AF40" s="718"/>
      <c r="AG40" s="718"/>
      <c r="AH40" s="718"/>
      <c r="AI40" s="718"/>
      <c r="AJ40" s="718"/>
      <c r="AK40" s="718"/>
      <c r="AL40" s="718"/>
      <c r="AM40" s="718"/>
      <c r="AN40" s="718"/>
      <c r="AO40" s="718"/>
      <c r="AP40" s="718"/>
      <c r="AQ40" s="718"/>
      <c r="AR40" s="718"/>
      <c r="AS40" s="718"/>
      <c r="AT40" s="718"/>
      <c r="AU40" s="718"/>
      <c r="AV40" s="718"/>
      <c r="AW40" s="718"/>
      <c r="AX40" s="718"/>
    </row>
    <row r="41" spans="1:50" s="719" customFormat="1" ht="21" customHeight="1" thickBot="1" x14ac:dyDescent="0.25">
      <c r="A41" s="712">
        <v>29</v>
      </c>
      <c r="B41" s="670" t="str">
        <f t="shared" si="0"/>
        <v>E0000EZ29</v>
      </c>
      <c r="C41" s="732" t="str">
        <f>IFERROR(VLOOKUP(B41,DatasheetDA!$B$4:$D$156,3,0),"")</f>
        <v/>
      </c>
      <c r="D41" s="713"/>
      <c r="E41" s="743" t="str">
        <f>IFERROR(VLOOKUP($B41,DatasheetDA!$B$4:$K$156,E$12,FALSE),"")</f>
        <v/>
      </c>
      <c r="F41" s="744"/>
      <c r="G41" s="745"/>
      <c r="H41" s="743" t="str">
        <f>IFERROR(VLOOKUP($B41,DatasheetDA!$B$4:$K$156,H$12,FALSE),"")</f>
        <v/>
      </c>
      <c r="I41" s="744"/>
      <c r="J41" s="743" t="str">
        <f>IFERROR(VLOOKUP($B41,DatasheetDA!$B$4:$K$156,J$12,FALSE),"")</f>
        <v/>
      </c>
      <c r="K41" s="746"/>
      <c r="L41" s="743" t="str">
        <f>IFERROR(VLOOKUP($B41,DatasheetDA!$B$4:$K$156,L$12,FALSE),"")</f>
        <v/>
      </c>
      <c r="M41" s="746"/>
      <c r="N41" s="743" t="str">
        <f>IFERROR(VLOOKUP($B41,DatasheetDA!$B$4:$K$156,N$12,FALSE),"")</f>
        <v/>
      </c>
      <c r="O41" s="746"/>
      <c r="P41" s="743" t="str">
        <f>IFERROR(VLOOKUP($B41,DatasheetDA!$B$4:$K$156,P$12,FALSE),"")</f>
        <v/>
      </c>
      <c r="Q41" s="744"/>
      <c r="R41" s="743" t="str">
        <f>IFERROR(VLOOKUP($B41,DatasheetDA!$B$4:$K$156,R$12,FALSE),"")</f>
        <v/>
      </c>
      <c r="S41" s="714"/>
      <c r="T41" s="715"/>
      <c r="U41" s="716"/>
      <c r="V41" s="720"/>
      <c r="W41" s="666"/>
      <c r="X41" s="718"/>
      <c r="Y41" s="718"/>
      <c r="Z41" s="718"/>
      <c r="AA41" s="718"/>
      <c r="AB41" s="718"/>
      <c r="AC41" s="718"/>
      <c r="AD41" s="718"/>
      <c r="AE41" s="718"/>
      <c r="AF41" s="718"/>
      <c r="AG41" s="718"/>
      <c r="AH41" s="718"/>
      <c r="AI41" s="718"/>
      <c r="AJ41" s="718"/>
      <c r="AK41" s="718"/>
      <c r="AL41" s="718"/>
      <c r="AM41" s="718"/>
      <c r="AN41" s="718"/>
      <c r="AO41" s="718"/>
      <c r="AP41" s="718"/>
      <c r="AQ41" s="718"/>
      <c r="AR41" s="718"/>
      <c r="AS41" s="718"/>
      <c r="AT41" s="718"/>
      <c r="AU41" s="718"/>
      <c r="AV41" s="718"/>
      <c r="AW41" s="718"/>
      <c r="AX41" s="718"/>
    </row>
    <row r="42" spans="1:50" s="719" customFormat="1" ht="21" customHeight="1" thickBot="1" x14ac:dyDescent="0.25">
      <c r="A42" s="712">
        <v>30</v>
      </c>
      <c r="B42" s="670" t="str">
        <f t="shared" si="0"/>
        <v>E0000EZ30</v>
      </c>
      <c r="C42" s="732" t="str">
        <f>IFERROR(VLOOKUP(B42,DatasheetDA!$B$4:$D$156,3,0),"")</f>
        <v/>
      </c>
      <c r="D42" s="713"/>
      <c r="E42" s="743" t="str">
        <f>IFERROR(VLOOKUP($B42,DatasheetDA!$B$4:$K$156,E$12,FALSE),"")</f>
        <v/>
      </c>
      <c r="F42" s="744"/>
      <c r="G42" s="745"/>
      <c r="H42" s="743" t="str">
        <f>IFERROR(VLOOKUP($B42,DatasheetDA!$B$4:$K$156,H$12,FALSE),"")</f>
        <v/>
      </c>
      <c r="I42" s="744"/>
      <c r="J42" s="743" t="str">
        <f>IFERROR(VLOOKUP($B42,DatasheetDA!$B$4:$K$156,J$12,FALSE),"")</f>
        <v/>
      </c>
      <c r="K42" s="746"/>
      <c r="L42" s="743" t="str">
        <f>IFERROR(VLOOKUP($B42,DatasheetDA!$B$4:$K$156,L$12,FALSE),"")</f>
        <v/>
      </c>
      <c r="M42" s="746"/>
      <c r="N42" s="743" t="str">
        <f>IFERROR(VLOOKUP($B42,DatasheetDA!$B$4:$K$156,N$12,FALSE),"")</f>
        <v/>
      </c>
      <c r="O42" s="746"/>
      <c r="P42" s="743" t="str">
        <f>IFERROR(VLOOKUP($B42,DatasheetDA!$B$4:$K$156,P$12,FALSE),"")</f>
        <v/>
      </c>
      <c r="Q42" s="744"/>
      <c r="R42" s="743" t="str">
        <f>IFERROR(VLOOKUP($B42,DatasheetDA!$B$4:$K$156,R$12,FALSE),"")</f>
        <v/>
      </c>
      <c r="S42" s="714"/>
      <c r="T42" s="715"/>
      <c r="U42" s="716"/>
      <c r="V42" s="720"/>
      <c r="W42" s="666"/>
      <c r="X42" s="718"/>
      <c r="Y42" s="718"/>
      <c r="Z42" s="718"/>
      <c r="AA42" s="718"/>
      <c r="AB42" s="718"/>
      <c r="AC42" s="718"/>
      <c r="AD42" s="718"/>
      <c r="AE42" s="718"/>
      <c r="AF42" s="718"/>
      <c r="AG42" s="718"/>
      <c r="AH42" s="718"/>
      <c r="AI42" s="718"/>
      <c r="AJ42" s="718"/>
      <c r="AK42" s="718"/>
      <c r="AL42" s="718"/>
      <c r="AM42" s="718"/>
      <c r="AN42" s="718"/>
      <c r="AO42" s="718"/>
      <c r="AP42" s="718"/>
      <c r="AQ42" s="718"/>
      <c r="AR42" s="718"/>
      <c r="AS42" s="718"/>
      <c r="AT42" s="718"/>
      <c r="AU42" s="718"/>
      <c r="AV42" s="718"/>
      <c r="AW42" s="718"/>
      <c r="AX42" s="718"/>
    </row>
    <row r="43" spans="1:50" s="719" customFormat="1" ht="21" customHeight="1" thickBot="1" x14ac:dyDescent="0.25">
      <c r="A43" s="712">
        <v>31</v>
      </c>
      <c r="B43" s="670" t="str">
        <f t="shared" si="0"/>
        <v>E0000EZ31</v>
      </c>
      <c r="C43" s="732" t="str">
        <f>IFERROR(VLOOKUP(B43,DatasheetDA!$B$4:$D$156,3,0),"")</f>
        <v/>
      </c>
      <c r="D43" s="713"/>
      <c r="E43" s="743" t="str">
        <f>IFERROR(VLOOKUP($B43,DatasheetDA!$B$4:$K$156,E$12,FALSE),"")</f>
        <v/>
      </c>
      <c r="F43" s="744"/>
      <c r="G43" s="745"/>
      <c r="H43" s="743" t="str">
        <f>IFERROR(VLOOKUP($B43,DatasheetDA!$B$4:$K$156,H$12,FALSE),"")</f>
        <v/>
      </c>
      <c r="I43" s="744"/>
      <c r="J43" s="743" t="str">
        <f>IFERROR(VLOOKUP($B43,DatasheetDA!$B$4:$K$156,J$12,FALSE),"")</f>
        <v/>
      </c>
      <c r="K43" s="746"/>
      <c r="L43" s="743" t="str">
        <f>IFERROR(VLOOKUP($B43,DatasheetDA!$B$4:$K$156,L$12,FALSE),"")</f>
        <v/>
      </c>
      <c r="M43" s="746"/>
      <c r="N43" s="743" t="str">
        <f>IFERROR(VLOOKUP($B43,DatasheetDA!$B$4:$K$156,N$12,FALSE),"")</f>
        <v/>
      </c>
      <c r="O43" s="746"/>
      <c r="P43" s="743" t="str">
        <f>IFERROR(VLOOKUP($B43,DatasheetDA!$B$4:$K$156,P$12,FALSE),"")</f>
        <v/>
      </c>
      <c r="Q43" s="744"/>
      <c r="R43" s="743" t="str">
        <f>IFERROR(VLOOKUP($B43,DatasheetDA!$B$4:$K$156,R$12,FALSE),"")</f>
        <v/>
      </c>
      <c r="S43" s="714"/>
      <c r="T43" s="715"/>
      <c r="U43" s="716"/>
      <c r="V43" s="720"/>
      <c r="W43" s="666"/>
      <c r="X43" s="718"/>
      <c r="Y43" s="718"/>
      <c r="Z43" s="718"/>
      <c r="AA43" s="718"/>
      <c r="AB43" s="718"/>
      <c r="AC43" s="718"/>
      <c r="AD43" s="718"/>
      <c r="AE43" s="718"/>
      <c r="AF43" s="718"/>
      <c r="AG43" s="718"/>
      <c r="AH43" s="718"/>
      <c r="AI43" s="718"/>
      <c r="AJ43" s="718"/>
      <c r="AK43" s="718"/>
      <c r="AL43" s="718"/>
      <c r="AM43" s="718"/>
      <c r="AN43" s="718"/>
      <c r="AO43" s="718"/>
      <c r="AP43" s="718"/>
      <c r="AQ43" s="718"/>
      <c r="AR43" s="718"/>
      <c r="AS43" s="718"/>
      <c r="AT43" s="718"/>
      <c r="AU43" s="718"/>
      <c r="AV43" s="718"/>
      <c r="AW43" s="718"/>
      <c r="AX43" s="718"/>
    </row>
    <row r="44" spans="1:50" s="719" customFormat="1" ht="21" customHeight="1" thickBot="1" x14ac:dyDescent="0.25">
      <c r="A44" s="712">
        <v>32</v>
      </c>
      <c r="B44" s="670" t="str">
        <f t="shared" si="0"/>
        <v>E0000EZ32</v>
      </c>
      <c r="C44" s="732" t="str">
        <f>IFERROR(VLOOKUP(B44,DatasheetDA!$B$4:$D$156,3,0),"")</f>
        <v/>
      </c>
      <c r="D44" s="713"/>
      <c r="E44" s="743" t="str">
        <f>IFERROR(VLOOKUP($B44,DatasheetDA!$B$4:$K$156,E$12,FALSE),"")</f>
        <v/>
      </c>
      <c r="F44" s="744"/>
      <c r="G44" s="745"/>
      <c r="H44" s="743" t="str">
        <f>IFERROR(VLOOKUP($B44,DatasheetDA!$B$4:$K$156,H$12,FALSE),"")</f>
        <v/>
      </c>
      <c r="I44" s="744"/>
      <c r="J44" s="743" t="str">
        <f>IFERROR(VLOOKUP($B44,DatasheetDA!$B$4:$K$156,J$12,FALSE),"")</f>
        <v/>
      </c>
      <c r="K44" s="746"/>
      <c r="L44" s="743" t="str">
        <f>IFERROR(VLOOKUP($B44,DatasheetDA!$B$4:$K$156,L$12,FALSE),"")</f>
        <v/>
      </c>
      <c r="M44" s="746"/>
      <c r="N44" s="743" t="str">
        <f>IFERROR(VLOOKUP($B44,DatasheetDA!$B$4:$K$156,N$12,FALSE),"")</f>
        <v/>
      </c>
      <c r="O44" s="746"/>
      <c r="P44" s="743" t="str">
        <f>IFERROR(VLOOKUP($B44,DatasheetDA!$B$4:$K$156,P$12,FALSE),"")</f>
        <v/>
      </c>
      <c r="Q44" s="744"/>
      <c r="R44" s="743" t="str">
        <f>IFERROR(VLOOKUP($B44,DatasheetDA!$B$4:$K$156,R$12,FALSE),"")</f>
        <v/>
      </c>
      <c r="S44" s="714"/>
      <c r="T44" s="715"/>
      <c r="U44" s="716"/>
      <c r="V44" s="720"/>
      <c r="W44" s="666"/>
      <c r="X44" s="718"/>
      <c r="Y44" s="718"/>
      <c r="Z44" s="718"/>
      <c r="AA44" s="718"/>
      <c r="AB44" s="718"/>
      <c r="AC44" s="718"/>
      <c r="AD44" s="718"/>
      <c r="AE44" s="718"/>
      <c r="AF44" s="718"/>
      <c r="AG44" s="718"/>
      <c r="AH44" s="718"/>
      <c r="AI44" s="718"/>
      <c r="AJ44" s="718"/>
      <c r="AK44" s="718"/>
      <c r="AL44" s="718"/>
      <c r="AM44" s="718"/>
      <c r="AN44" s="718"/>
      <c r="AO44" s="718"/>
      <c r="AP44" s="718"/>
      <c r="AQ44" s="718"/>
      <c r="AR44" s="718"/>
      <c r="AS44" s="718"/>
      <c r="AT44" s="718"/>
      <c r="AU44" s="718"/>
      <c r="AV44" s="718"/>
      <c r="AW44" s="718"/>
      <c r="AX44" s="718"/>
    </row>
    <row r="45" spans="1:50" s="719" customFormat="1" ht="21" customHeight="1" thickBot="1" x14ac:dyDescent="0.25">
      <c r="A45" s="712">
        <v>33</v>
      </c>
      <c r="B45" s="670" t="str">
        <f t="shared" si="0"/>
        <v>E0000EZ33</v>
      </c>
      <c r="C45" s="732" t="str">
        <f>IFERROR(VLOOKUP(B45,DatasheetDA!$B$4:$D$156,3,0),"")</f>
        <v/>
      </c>
      <c r="D45" s="713"/>
      <c r="E45" s="743" t="str">
        <f>IFERROR(VLOOKUP($B45,DatasheetDA!$B$4:$K$156,E$12,FALSE),"")</f>
        <v/>
      </c>
      <c r="F45" s="744"/>
      <c r="G45" s="745"/>
      <c r="H45" s="743" t="str">
        <f>IFERROR(VLOOKUP($B45,DatasheetDA!$B$4:$K$156,H$12,FALSE),"")</f>
        <v/>
      </c>
      <c r="I45" s="744"/>
      <c r="J45" s="743" t="str">
        <f>IFERROR(VLOOKUP($B45,DatasheetDA!$B$4:$K$156,J$12,FALSE),"")</f>
        <v/>
      </c>
      <c r="K45" s="746"/>
      <c r="L45" s="743" t="str">
        <f>IFERROR(VLOOKUP($B45,DatasheetDA!$B$4:$K$156,L$12,FALSE),"")</f>
        <v/>
      </c>
      <c r="M45" s="746"/>
      <c r="N45" s="743" t="str">
        <f>IFERROR(VLOOKUP($B45,DatasheetDA!$B$4:$K$156,N$12,FALSE),"")</f>
        <v/>
      </c>
      <c r="O45" s="746"/>
      <c r="P45" s="743" t="str">
        <f>IFERROR(VLOOKUP($B45,DatasheetDA!$B$4:$K$156,P$12,FALSE),"")</f>
        <v/>
      </c>
      <c r="Q45" s="744"/>
      <c r="R45" s="743" t="str">
        <f>IFERROR(VLOOKUP($B45,DatasheetDA!$B$4:$K$156,R$12,FALSE),"")</f>
        <v/>
      </c>
      <c r="S45" s="714"/>
      <c r="T45" s="715"/>
      <c r="U45" s="716"/>
      <c r="V45" s="720"/>
      <c r="W45" s="666"/>
      <c r="X45" s="718"/>
      <c r="Y45" s="718"/>
      <c r="Z45" s="718"/>
      <c r="AA45" s="718"/>
      <c r="AB45" s="718"/>
      <c r="AC45" s="718"/>
      <c r="AD45" s="718"/>
      <c r="AE45" s="718"/>
      <c r="AF45" s="718"/>
      <c r="AG45" s="718"/>
      <c r="AH45" s="718"/>
      <c r="AI45" s="718"/>
      <c r="AJ45" s="718"/>
      <c r="AK45" s="718"/>
      <c r="AL45" s="718"/>
      <c r="AM45" s="718"/>
      <c r="AN45" s="718"/>
      <c r="AO45" s="718"/>
      <c r="AP45" s="718"/>
      <c r="AQ45" s="718"/>
      <c r="AR45" s="718"/>
      <c r="AS45" s="718"/>
      <c r="AT45" s="718"/>
      <c r="AU45" s="718"/>
      <c r="AV45" s="718"/>
      <c r="AW45" s="718"/>
      <c r="AX45" s="718"/>
    </row>
    <row r="46" spans="1:50" s="719" customFormat="1" ht="21" customHeight="1" thickBot="1" x14ac:dyDescent="0.25">
      <c r="A46" s="712">
        <v>34</v>
      </c>
      <c r="B46" s="670" t="str">
        <f t="shared" si="0"/>
        <v>E0000EZ34</v>
      </c>
      <c r="C46" s="732" t="str">
        <f>IFERROR(VLOOKUP(B46,DatasheetDA!$B$4:$D$156,3,0),"")</f>
        <v/>
      </c>
      <c r="D46" s="713"/>
      <c r="E46" s="743" t="str">
        <f>IFERROR(VLOOKUP($B46,DatasheetDA!$B$4:$K$156,E$12,FALSE),"")</f>
        <v/>
      </c>
      <c r="F46" s="744"/>
      <c r="G46" s="745"/>
      <c r="H46" s="743" t="str">
        <f>IFERROR(VLOOKUP($B46,DatasheetDA!$B$4:$K$156,H$12,FALSE),"")</f>
        <v/>
      </c>
      <c r="I46" s="744"/>
      <c r="J46" s="743" t="str">
        <f>IFERROR(VLOOKUP($B46,DatasheetDA!$B$4:$K$156,J$12,FALSE),"")</f>
        <v/>
      </c>
      <c r="K46" s="746"/>
      <c r="L46" s="743" t="str">
        <f>IFERROR(VLOOKUP($B46,DatasheetDA!$B$4:$K$156,L$12,FALSE),"")</f>
        <v/>
      </c>
      <c r="M46" s="746"/>
      <c r="N46" s="743" t="str">
        <f>IFERROR(VLOOKUP($B46,DatasheetDA!$B$4:$K$156,N$12,FALSE),"")</f>
        <v/>
      </c>
      <c r="O46" s="746"/>
      <c r="P46" s="743" t="str">
        <f>IFERROR(VLOOKUP($B46,DatasheetDA!$B$4:$K$156,P$12,FALSE),"")</f>
        <v/>
      </c>
      <c r="Q46" s="744"/>
      <c r="R46" s="743" t="str">
        <f>IFERROR(VLOOKUP($B46,DatasheetDA!$B$4:$K$156,R$12,FALSE),"")</f>
        <v/>
      </c>
      <c r="S46" s="714"/>
      <c r="T46" s="715"/>
      <c r="U46" s="716"/>
      <c r="V46" s="720"/>
      <c r="W46" s="666"/>
      <c r="X46" s="718"/>
      <c r="Y46" s="718"/>
      <c r="Z46" s="718"/>
      <c r="AA46" s="718"/>
      <c r="AB46" s="718"/>
      <c r="AC46" s="718"/>
      <c r="AD46" s="718"/>
      <c r="AE46" s="718"/>
      <c r="AF46" s="718"/>
      <c r="AG46" s="718"/>
      <c r="AH46" s="718"/>
      <c r="AI46" s="718"/>
      <c r="AJ46" s="718"/>
      <c r="AK46" s="718"/>
      <c r="AL46" s="718"/>
      <c r="AM46" s="718"/>
      <c r="AN46" s="718"/>
      <c r="AO46" s="718"/>
      <c r="AP46" s="718"/>
      <c r="AQ46" s="718"/>
      <c r="AR46" s="718"/>
      <c r="AS46" s="718"/>
      <c r="AT46" s="718"/>
      <c r="AU46" s="718"/>
      <c r="AV46" s="718"/>
      <c r="AW46" s="718"/>
      <c r="AX46" s="718"/>
    </row>
    <row r="47" spans="1:50" s="719" customFormat="1" ht="21" customHeight="1" thickBot="1" x14ac:dyDescent="0.25">
      <c r="A47" s="712">
        <v>35</v>
      </c>
      <c r="B47" s="670" t="str">
        <f t="shared" si="0"/>
        <v>E0000EZ35</v>
      </c>
      <c r="C47" s="732" t="str">
        <f>IFERROR(VLOOKUP(B47,DatasheetDA!$B$4:$D$156,3,0),"")</f>
        <v/>
      </c>
      <c r="D47" s="713"/>
      <c r="E47" s="743" t="str">
        <f>IFERROR(VLOOKUP($B47,DatasheetDA!$B$4:$K$156,E$12,FALSE),"")</f>
        <v/>
      </c>
      <c r="F47" s="744"/>
      <c r="G47" s="745"/>
      <c r="H47" s="743" t="str">
        <f>IFERROR(VLOOKUP($B47,DatasheetDA!$B$4:$K$156,H$12,FALSE),"")</f>
        <v/>
      </c>
      <c r="I47" s="744"/>
      <c r="J47" s="743" t="str">
        <f>IFERROR(VLOOKUP($B47,DatasheetDA!$B$4:$K$156,J$12,FALSE),"")</f>
        <v/>
      </c>
      <c r="K47" s="746"/>
      <c r="L47" s="743" t="str">
        <f>IFERROR(VLOOKUP($B47,DatasheetDA!$B$4:$K$156,L$12,FALSE),"")</f>
        <v/>
      </c>
      <c r="M47" s="746"/>
      <c r="N47" s="743" t="str">
        <f>IFERROR(VLOOKUP($B47,DatasheetDA!$B$4:$K$156,N$12,FALSE),"")</f>
        <v/>
      </c>
      <c r="O47" s="746"/>
      <c r="P47" s="743" t="str">
        <f>IFERROR(VLOOKUP($B47,DatasheetDA!$B$4:$K$156,P$12,FALSE),"")</f>
        <v/>
      </c>
      <c r="Q47" s="744"/>
      <c r="R47" s="743" t="str">
        <f>IFERROR(VLOOKUP($B47,DatasheetDA!$B$4:$K$156,R$12,FALSE),"")</f>
        <v/>
      </c>
      <c r="S47" s="714"/>
      <c r="T47" s="715"/>
      <c r="U47" s="716"/>
      <c r="V47" s="720"/>
      <c r="W47" s="666"/>
      <c r="X47" s="718"/>
      <c r="Y47" s="718"/>
      <c r="Z47" s="718"/>
      <c r="AA47" s="718"/>
      <c r="AB47" s="718"/>
      <c r="AC47" s="718"/>
      <c r="AD47" s="718"/>
      <c r="AE47" s="718"/>
      <c r="AF47" s="718"/>
      <c r="AG47" s="718"/>
      <c r="AH47" s="718"/>
      <c r="AI47" s="718"/>
      <c r="AJ47" s="718"/>
      <c r="AK47" s="718"/>
      <c r="AL47" s="718"/>
      <c r="AM47" s="718"/>
      <c r="AN47" s="718"/>
      <c r="AO47" s="718"/>
      <c r="AP47" s="718"/>
      <c r="AQ47" s="718"/>
      <c r="AR47" s="718"/>
      <c r="AS47" s="718"/>
      <c r="AT47" s="718"/>
      <c r="AU47" s="718"/>
      <c r="AV47" s="718"/>
      <c r="AW47" s="718"/>
      <c r="AX47" s="718"/>
    </row>
    <row r="48" spans="1:50" s="719" customFormat="1" ht="21" customHeight="1" thickBot="1" x14ac:dyDescent="0.25">
      <c r="A48" s="712">
        <v>36</v>
      </c>
      <c r="B48" s="670" t="str">
        <f t="shared" si="0"/>
        <v>E0000EZ36</v>
      </c>
      <c r="C48" s="732" t="str">
        <f>IFERROR(VLOOKUP(B48,DatasheetDA!$B$4:$D$156,3,0),"")</f>
        <v/>
      </c>
      <c r="D48" s="713"/>
      <c r="E48" s="743" t="str">
        <f>IFERROR(VLOOKUP($B48,DatasheetDA!$B$4:$K$156,E$12,FALSE),"")</f>
        <v/>
      </c>
      <c r="F48" s="744"/>
      <c r="G48" s="745"/>
      <c r="H48" s="743" t="str">
        <f>IFERROR(VLOOKUP($B48,DatasheetDA!$B$4:$K$156,H$12,FALSE),"")</f>
        <v/>
      </c>
      <c r="I48" s="744"/>
      <c r="J48" s="743" t="str">
        <f>IFERROR(VLOOKUP($B48,DatasheetDA!$B$4:$K$156,J$12,FALSE),"")</f>
        <v/>
      </c>
      <c r="K48" s="746"/>
      <c r="L48" s="743" t="str">
        <f>IFERROR(VLOOKUP($B48,DatasheetDA!$B$4:$K$156,L$12,FALSE),"")</f>
        <v/>
      </c>
      <c r="M48" s="746"/>
      <c r="N48" s="743" t="str">
        <f>IFERROR(VLOOKUP($B48,DatasheetDA!$B$4:$K$156,N$12,FALSE),"")</f>
        <v/>
      </c>
      <c r="O48" s="746"/>
      <c r="P48" s="743" t="str">
        <f>IFERROR(VLOOKUP($B48,DatasheetDA!$B$4:$K$156,P$12,FALSE),"")</f>
        <v/>
      </c>
      <c r="Q48" s="744"/>
      <c r="R48" s="743" t="str">
        <f>IFERROR(VLOOKUP($B48,DatasheetDA!$B$4:$K$156,R$12,FALSE),"")</f>
        <v/>
      </c>
      <c r="S48" s="714"/>
      <c r="T48" s="715"/>
      <c r="U48" s="716"/>
      <c r="V48" s="720"/>
      <c r="W48" s="666"/>
      <c r="X48" s="718"/>
      <c r="Y48" s="718"/>
      <c r="Z48" s="718"/>
      <c r="AA48" s="718"/>
      <c r="AB48" s="718"/>
      <c r="AC48" s="718"/>
      <c r="AD48" s="718"/>
      <c r="AE48" s="718"/>
      <c r="AF48" s="718"/>
      <c r="AG48" s="718"/>
      <c r="AH48" s="718"/>
      <c r="AI48" s="718"/>
      <c r="AJ48" s="718"/>
      <c r="AK48" s="718"/>
      <c r="AL48" s="718"/>
      <c r="AM48" s="718"/>
      <c r="AN48" s="718"/>
      <c r="AO48" s="718"/>
      <c r="AP48" s="718"/>
      <c r="AQ48" s="718"/>
      <c r="AR48" s="718"/>
      <c r="AS48" s="718"/>
      <c r="AT48" s="718"/>
      <c r="AU48" s="718"/>
      <c r="AV48" s="718"/>
      <c r="AW48" s="718"/>
      <c r="AX48" s="718"/>
    </row>
    <row r="49" spans="1:50" s="719" customFormat="1" ht="18.75" thickBot="1" x14ac:dyDescent="0.25">
      <c r="A49" s="712">
        <v>37</v>
      </c>
      <c r="B49" s="670" t="str">
        <f t="shared" si="0"/>
        <v>E0000EZ37</v>
      </c>
      <c r="C49" s="732" t="str">
        <f>IFERROR(VLOOKUP(B49,DatasheetDA!$B$4:$D$156,3,0),"")</f>
        <v/>
      </c>
      <c r="D49" s="713"/>
      <c r="E49" s="743" t="str">
        <f>IFERROR(VLOOKUP($B49,DatasheetDA!$B$4:$K$156,E$12,FALSE),"")</f>
        <v/>
      </c>
      <c r="F49" s="744"/>
      <c r="G49" s="745"/>
      <c r="H49" s="743" t="str">
        <f>IFERROR(VLOOKUP($B49,DatasheetDA!$B$4:$K$156,H$12,FALSE),"")</f>
        <v/>
      </c>
      <c r="I49" s="744"/>
      <c r="J49" s="743" t="str">
        <f>IFERROR(VLOOKUP($B49,DatasheetDA!$B$4:$K$156,J$12,FALSE),"")</f>
        <v/>
      </c>
      <c r="K49" s="746"/>
      <c r="L49" s="743" t="str">
        <f>IFERROR(VLOOKUP($B49,DatasheetDA!$B$4:$K$156,L$12,FALSE),"")</f>
        <v/>
      </c>
      <c r="M49" s="746"/>
      <c r="N49" s="743" t="str">
        <f>IFERROR(VLOOKUP($B49,DatasheetDA!$B$4:$K$156,N$12,FALSE),"")</f>
        <v/>
      </c>
      <c r="O49" s="746"/>
      <c r="P49" s="743" t="str">
        <f>IFERROR(VLOOKUP($B49,DatasheetDA!$B$4:$K$156,P$12,FALSE),"")</f>
        <v/>
      </c>
      <c r="Q49" s="744"/>
      <c r="R49" s="743" t="str">
        <f>IFERROR(VLOOKUP($B49,DatasheetDA!$B$4:$K$156,R$12,FALSE),"")</f>
        <v/>
      </c>
      <c r="S49" s="714"/>
      <c r="T49" s="715"/>
      <c r="U49" s="716"/>
      <c r="V49" s="720"/>
      <c r="W49" s="666"/>
      <c r="X49" s="718"/>
      <c r="Y49" s="718"/>
      <c r="Z49" s="718"/>
      <c r="AA49" s="718"/>
      <c r="AB49" s="718"/>
      <c r="AC49" s="718"/>
      <c r="AD49" s="718"/>
      <c r="AE49" s="718"/>
      <c r="AF49" s="718"/>
      <c r="AG49" s="718"/>
      <c r="AH49" s="718"/>
      <c r="AI49" s="718"/>
      <c r="AJ49" s="718"/>
      <c r="AK49" s="718"/>
      <c r="AL49" s="718"/>
      <c r="AM49" s="718"/>
      <c r="AN49" s="718"/>
      <c r="AO49" s="718"/>
      <c r="AP49" s="718"/>
      <c r="AQ49" s="718"/>
      <c r="AR49" s="718"/>
      <c r="AS49" s="718"/>
      <c r="AT49" s="718"/>
      <c r="AU49" s="718"/>
      <c r="AV49" s="718"/>
      <c r="AW49" s="718"/>
      <c r="AX49" s="718"/>
    </row>
    <row r="50" spans="1:50" s="719" customFormat="1" ht="18.75" thickBot="1" x14ac:dyDescent="0.25">
      <c r="A50" s="712">
        <v>38</v>
      </c>
      <c r="B50" s="670" t="str">
        <f t="shared" si="0"/>
        <v>E0000EZ38</v>
      </c>
      <c r="C50" s="732" t="str">
        <f>IFERROR(VLOOKUP(B50,DatasheetDA!$B$4:$D$156,3,0),"")</f>
        <v/>
      </c>
      <c r="D50" s="713"/>
      <c r="E50" s="743" t="str">
        <f>IFERROR(VLOOKUP($B50,DatasheetDA!$B$4:$K$156,E$12,FALSE),"")</f>
        <v/>
      </c>
      <c r="F50" s="744"/>
      <c r="G50" s="745"/>
      <c r="H50" s="743" t="str">
        <f>IFERROR(VLOOKUP($B50,DatasheetDA!$B$4:$K$156,H$12,FALSE),"")</f>
        <v/>
      </c>
      <c r="I50" s="744"/>
      <c r="J50" s="743" t="str">
        <f>IFERROR(VLOOKUP($B50,DatasheetDA!$B$4:$K$156,J$12,FALSE),"")</f>
        <v/>
      </c>
      <c r="K50" s="746"/>
      <c r="L50" s="743" t="str">
        <f>IFERROR(VLOOKUP($B50,DatasheetDA!$B$4:$K$156,L$12,FALSE),"")</f>
        <v/>
      </c>
      <c r="M50" s="746"/>
      <c r="N50" s="743" t="str">
        <f>IFERROR(VLOOKUP($B50,DatasheetDA!$B$4:$K$156,N$12,FALSE),"")</f>
        <v/>
      </c>
      <c r="O50" s="746"/>
      <c r="P50" s="743" t="str">
        <f>IFERROR(VLOOKUP($B50,DatasheetDA!$B$4:$K$156,P$12,FALSE),"")</f>
        <v/>
      </c>
      <c r="Q50" s="744"/>
      <c r="R50" s="743" t="str">
        <f>IFERROR(VLOOKUP($B50,DatasheetDA!$B$4:$K$156,R$12,FALSE),"")</f>
        <v/>
      </c>
      <c r="S50" s="714"/>
      <c r="T50" s="715"/>
      <c r="U50" s="716"/>
      <c r="V50" s="720"/>
      <c r="W50" s="666"/>
      <c r="X50" s="718"/>
      <c r="Y50" s="718"/>
      <c r="Z50" s="718"/>
      <c r="AA50" s="718"/>
      <c r="AB50" s="718"/>
      <c r="AC50" s="718"/>
      <c r="AD50" s="718"/>
      <c r="AE50" s="718"/>
      <c r="AF50" s="718"/>
      <c r="AG50" s="718"/>
      <c r="AH50" s="718"/>
      <c r="AI50" s="718"/>
      <c r="AJ50" s="718"/>
      <c r="AK50" s="718"/>
      <c r="AL50" s="718"/>
      <c r="AM50" s="718"/>
      <c r="AN50" s="718"/>
      <c r="AO50" s="718"/>
      <c r="AP50" s="718"/>
      <c r="AQ50" s="718"/>
      <c r="AR50" s="718"/>
      <c r="AS50" s="718"/>
      <c r="AT50" s="718"/>
      <c r="AU50" s="718"/>
      <c r="AV50" s="718"/>
      <c r="AW50" s="718"/>
      <c r="AX50" s="718"/>
    </row>
    <row r="51" spans="1:50" s="719" customFormat="1" ht="18.75" thickBot="1" x14ac:dyDescent="0.25">
      <c r="A51" s="712">
        <v>39</v>
      </c>
      <c r="B51" s="670" t="str">
        <f t="shared" si="0"/>
        <v>E0000EZ39</v>
      </c>
      <c r="C51" s="732" t="str">
        <f>IFERROR(VLOOKUP(B51,DatasheetDA!$B$4:$D$156,3,0),"")</f>
        <v/>
      </c>
      <c r="D51" s="713"/>
      <c r="E51" s="743" t="str">
        <f>IFERROR(VLOOKUP($B51,DatasheetDA!$B$4:$K$156,E$12,FALSE),"")</f>
        <v/>
      </c>
      <c r="F51" s="744"/>
      <c r="G51" s="745"/>
      <c r="H51" s="743" t="str">
        <f>IFERROR(VLOOKUP($B51,DatasheetDA!$B$4:$K$156,H$12,FALSE),"")</f>
        <v/>
      </c>
      <c r="I51" s="744"/>
      <c r="J51" s="743" t="str">
        <f>IFERROR(VLOOKUP($B51,DatasheetDA!$B$4:$K$156,J$12,FALSE),"")</f>
        <v/>
      </c>
      <c r="K51" s="746"/>
      <c r="L51" s="743" t="str">
        <f>IFERROR(VLOOKUP($B51,DatasheetDA!$B$4:$K$156,L$12,FALSE),"")</f>
        <v/>
      </c>
      <c r="M51" s="746"/>
      <c r="N51" s="743" t="str">
        <f>IFERROR(VLOOKUP($B51,DatasheetDA!$B$4:$K$156,N$12,FALSE),"")</f>
        <v/>
      </c>
      <c r="O51" s="746"/>
      <c r="P51" s="743" t="str">
        <f>IFERROR(VLOOKUP($B51,DatasheetDA!$B$4:$K$156,P$12,FALSE),"")</f>
        <v/>
      </c>
      <c r="Q51" s="744"/>
      <c r="R51" s="743" t="str">
        <f>IFERROR(VLOOKUP($B51,DatasheetDA!$B$4:$K$156,R$12,FALSE),"")</f>
        <v/>
      </c>
      <c r="S51" s="714"/>
      <c r="T51" s="715"/>
      <c r="U51" s="716"/>
      <c r="V51" s="720"/>
      <c r="W51" s="666"/>
      <c r="X51" s="718"/>
      <c r="Y51" s="718"/>
      <c r="Z51" s="718"/>
      <c r="AA51" s="718"/>
      <c r="AB51" s="718"/>
      <c r="AC51" s="718"/>
      <c r="AD51" s="718"/>
      <c r="AE51" s="718"/>
      <c r="AF51" s="718"/>
      <c r="AG51" s="718"/>
      <c r="AH51" s="718"/>
      <c r="AI51" s="718"/>
      <c r="AJ51" s="718"/>
      <c r="AK51" s="718"/>
      <c r="AL51" s="718"/>
      <c r="AM51" s="718"/>
      <c r="AN51" s="718"/>
      <c r="AO51" s="718"/>
      <c r="AP51" s="718"/>
      <c r="AQ51" s="718"/>
      <c r="AR51" s="718"/>
      <c r="AS51" s="718"/>
      <c r="AT51" s="718"/>
      <c r="AU51" s="718"/>
      <c r="AV51" s="718"/>
      <c r="AW51" s="718"/>
      <c r="AX51" s="718"/>
    </row>
    <row r="52" spans="1:50" s="719" customFormat="1" ht="18.75" thickBot="1" x14ac:dyDescent="0.25">
      <c r="A52" s="712">
        <v>40</v>
      </c>
      <c r="B52" s="670" t="str">
        <f t="shared" si="0"/>
        <v>E0000EZ40</v>
      </c>
      <c r="C52" s="732" t="str">
        <f>IFERROR(VLOOKUP(B52,DatasheetDA!$B$4:$D$156,3,0),"")</f>
        <v/>
      </c>
      <c r="D52" s="713"/>
      <c r="E52" s="743" t="str">
        <f>IFERROR(VLOOKUP($B52,DatasheetDA!$B$4:$K$156,E$12,FALSE),"")</f>
        <v/>
      </c>
      <c r="F52" s="744"/>
      <c r="G52" s="745"/>
      <c r="H52" s="743" t="str">
        <f>IFERROR(VLOOKUP($B52,DatasheetDA!$B$4:$K$156,H$12,FALSE),"")</f>
        <v/>
      </c>
      <c r="I52" s="744"/>
      <c r="J52" s="743" t="str">
        <f>IFERROR(VLOOKUP($B52,DatasheetDA!$B$4:$K$156,J$12,FALSE),"")</f>
        <v/>
      </c>
      <c r="K52" s="746"/>
      <c r="L52" s="743" t="str">
        <f>IFERROR(VLOOKUP($B52,DatasheetDA!$B$4:$K$156,L$12,FALSE),"")</f>
        <v/>
      </c>
      <c r="M52" s="746"/>
      <c r="N52" s="743" t="str">
        <f>IFERROR(VLOOKUP($B52,DatasheetDA!$B$4:$K$156,N$12,FALSE),"")</f>
        <v/>
      </c>
      <c r="O52" s="746"/>
      <c r="P52" s="743" t="str">
        <f>IFERROR(VLOOKUP($B52,DatasheetDA!$B$4:$K$156,P$12,FALSE),"")</f>
        <v/>
      </c>
      <c r="Q52" s="744"/>
      <c r="R52" s="743" t="str">
        <f>IFERROR(VLOOKUP($B52,DatasheetDA!$B$4:$K$156,R$12,FALSE),"")</f>
        <v/>
      </c>
      <c r="S52" s="714"/>
      <c r="T52" s="715"/>
      <c r="U52" s="716"/>
      <c r="V52" s="720"/>
      <c r="W52" s="666"/>
      <c r="X52" s="718"/>
      <c r="Y52" s="718"/>
      <c r="Z52" s="718"/>
      <c r="AA52" s="718"/>
      <c r="AB52" s="718"/>
      <c r="AC52" s="718"/>
      <c r="AD52" s="718"/>
      <c r="AE52" s="718"/>
      <c r="AF52" s="718"/>
      <c r="AG52" s="718"/>
      <c r="AH52" s="718"/>
      <c r="AI52" s="718"/>
      <c r="AJ52" s="718"/>
      <c r="AK52" s="718"/>
      <c r="AL52" s="718"/>
      <c r="AM52" s="718"/>
      <c r="AN52" s="718"/>
      <c r="AO52" s="718"/>
      <c r="AP52" s="718"/>
      <c r="AQ52" s="718"/>
      <c r="AR52" s="718"/>
      <c r="AS52" s="718"/>
      <c r="AT52" s="718"/>
      <c r="AU52" s="718"/>
      <c r="AV52" s="718"/>
      <c r="AW52" s="718"/>
      <c r="AX52" s="718"/>
    </row>
    <row r="53" spans="1:50" s="719" customFormat="1" ht="18.75" thickBot="1" x14ac:dyDescent="0.25">
      <c r="A53" s="712">
        <v>41</v>
      </c>
      <c r="B53" s="670" t="str">
        <f t="shared" si="0"/>
        <v>E0000EZ41</v>
      </c>
      <c r="C53" s="732" t="str">
        <f>IFERROR(VLOOKUP(B53,DatasheetDA!$B$4:$D$156,3,0),"")</f>
        <v/>
      </c>
      <c r="D53" s="713"/>
      <c r="E53" s="743" t="str">
        <f>IFERROR(VLOOKUP($B53,DatasheetDA!$B$4:$K$156,E$12,FALSE),"")</f>
        <v/>
      </c>
      <c r="F53" s="744"/>
      <c r="G53" s="745"/>
      <c r="H53" s="743" t="str">
        <f>IFERROR(VLOOKUP($B53,DatasheetDA!$B$4:$K$156,H$12,FALSE),"")</f>
        <v/>
      </c>
      <c r="I53" s="744"/>
      <c r="J53" s="743" t="str">
        <f>IFERROR(VLOOKUP($B53,DatasheetDA!$B$4:$K$156,J$12,FALSE),"")</f>
        <v/>
      </c>
      <c r="K53" s="746"/>
      <c r="L53" s="743" t="str">
        <f>IFERROR(VLOOKUP($B53,DatasheetDA!$B$4:$K$156,L$12,FALSE),"")</f>
        <v/>
      </c>
      <c r="M53" s="746"/>
      <c r="N53" s="743" t="str">
        <f>IFERROR(VLOOKUP($B53,DatasheetDA!$B$4:$K$156,N$12,FALSE),"")</f>
        <v/>
      </c>
      <c r="O53" s="746"/>
      <c r="P53" s="743" t="str">
        <f>IFERROR(VLOOKUP($B53,DatasheetDA!$B$4:$K$156,P$12,FALSE),"")</f>
        <v/>
      </c>
      <c r="Q53" s="744"/>
      <c r="R53" s="743" t="str">
        <f>IFERROR(VLOOKUP($B53,DatasheetDA!$B$4:$K$156,R$12,FALSE),"")</f>
        <v/>
      </c>
      <c r="S53" s="714"/>
      <c r="T53" s="715"/>
      <c r="U53" s="716"/>
      <c r="V53" s="720"/>
      <c r="W53" s="666"/>
      <c r="X53" s="718"/>
      <c r="Y53" s="718"/>
      <c r="Z53" s="718"/>
      <c r="AA53" s="718"/>
      <c r="AB53" s="718"/>
      <c r="AC53" s="718"/>
      <c r="AD53" s="718"/>
      <c r="AE53" s="718"/>
      <c r="AF53" s="718"/>
      <c r="AG53" s="718"/>
      <c r="AH53" s="718"/>
      <c r="AI53" s="718"/>
      <c r="AJ53" s="718"/>
      <c r="AK53" s="718"/>
      <c r="AL53" s="718"/>
      <c r="AM53" s="718"/>
      <c r="AN53" s="718"/>
      <c r="AO53" s="718"/>
      <c r="AP53" s="718"/>
      <c r="AQ53" s="718"/>
      <c r="AR53" s="718"/>
      <c r="AS53" s="718"/>
      <c r="AT53" s="718"/>
      <c r="AU53" s="718"/>
      <c r="AV53" s="718"/>
      <c r="AW53" s="718"/>
      <c r="AX53" s="718"/>
    </row>
    <row r="54" spans="1:50" ht="18.75" thickBot="1" x14ac:dyDescent="0.25">
      <c r="A54" s="721"/>
      <c r="B54" s="722"/>
      <c r="C54" s="722"/>
      <c r="D54" s="722"/>
      <c r="E54" s="722"/>
      <c r="F54" s="722"/>
      <c r="G54" s="722"/>
      <c r="H54" s="722"/>
      <c r="I54" s="722"/>
      <c r="J54" s="722"/>
      <c r="K54" s="722"/>
      <c r="L54" s="722"/>
      <c r="M54" s="722"/>
      <c r="N54" s="722"/>
      <c r="O54" s="722"/>
      <c r="P54" s="722"/>
      <c r="Q54" s="722"/>
      <c r="R54" s="722"/>
      <c r="S54" s="723"/>
      <c r="T54" s="643"/>
    </row>
    <row r="55" spans="1:50" ht="18" x14ac:dyDescent="0.2">
      <c r="A55" s="670"/>
      <c r="B55" s="670"/>
      <c r="C55" s="670"/>
      <c r="D55" s="670"/>
      <c r="E55" s="670"/>
      <c r="F55" s="670"/>
      <c r="G55" s="670"/>
      <c r="H55" s="670"/>
      <c r="I55" s="670"/>
      <c r="J55" s="670"/>
      <c r="K55" s="670"/>
      <c r="L55" s="670"/>
      <c r="M55" s="670"/>
      <c r="N55" s="670"/>
      <c r="O55" s="670"/>
      <c r="P55" s="670"/>
      <c r="Q55" s="670"/>
      <c r="R55" s="670"/>
      <c r="S55" s="724"/>
      <c r="T55" s="643"/>
    </row>
    <row r="56" spans="1:50" x14ac:dyDescent="0.2">
      <c r="A56" s="670"/>
      <c r="B56" s="670"/>
      <c r="C56" s="670"/>
      <c r="D56" s="670"/>
      <c r="E56" s="670"/>
      <c r="F56" s="670"/>
      <c r="G56" s="670"/>
      <c r="H56" s="670"/>
      <c r="I56" s="670"/>
      <c r="J56" s="670"/>
      <c r="K56" s="670"/>
      <c r="L56" s="670"/>
      <c r="M56" s="670"/>
      <c r="N56" s="670"/>
      <c r="O56" s="670"/>
      <c r="P56" s="670"/>
      <c r="Q56" s="670"/>
      <c r="R56" s="670"/>
      <c r="S56" s="670"/>
      <c r="T56" s="643"/>
    </row>
    <row r="57" spans="1:50" x14ac:dyDescent="0.2">
      <c r="A57" s="648"/>
      <c r="B57" s="725"/>
      <c r="C57" s="726"/>
      <c r="D57" s="726"/>
      <c r="E57" s="726"/>
      <c r="F57" s="726"/>
      <c r="H57" s="726"/>
      <c r="I57" s="726"/>
      <c r="J57" s="726"/>
      <c r="K57" s="726"/>
      <c r="L57" s="727"/>
      <c r="P57" s="726"/>
      <c r="Q57" s="726"/>
      <c r="R57" s="727"/>
    </row>
    <row r="58" spans="1:50" x14ac:dyDescent="0.2">
      <c r="A58" s="648"/>
      <c r="B58" s="728"/>
      <c r="C58" s="728"/>
      <c r="D58" s="728"/>
      <c r="E58" s="728"/>
      <c r="F58" s="728"/>
      <c r="H58" s="728"/>
      <c r="I58" s="728"/>
      <c r="J58" s="728"/>
      <c r="K58" s="728"/>
      <c r="L58" s="728"/>
      <c r="P58" s="728"/>
      <c r="Q58" s="728"/>
      <c r="R58" s="728"/>
    </row>
    <row r="59" spans="1:50" x14ac:dyDescent="0.2">
      <c r="A59" s="648"/>
      <c r="B59" s="836"/>
      <c r="C59" s="837"/>
      <c r="D59" s="837"/>
      <c r="E59" s="837"/>
      <c r="F59" s="837"/>
      <c r="H59" s="648"/>
      <c r="I59" s="648"/>
      <c r="J59" s="648"/>
      <c r="K59" s="648"/>
      <c r="L59" s="648"/>
    </row>
  </sheetData>
  <mergeCells count="7">
    <mergeCell ref="B59:F59"/>
    <mergeCell ref="A1:S1"/>
    <mergeCell ref="H4:N4"/>
    <mergeCell ref="P4:R4"/>
    <mergeCell ref="H9:N9"/>
    <mergeCell ref="P9:Q9"/>
    <mergeCell ref="B12:C12"/>
  </mergeCells>
  <dataValidations count="1">
    <dataValidation type="custom" operator="equal" allowBlank="1" showInputMessage="1" showErrorMessage="1" error="The number setting their own council tax precept exceeds the sum of parishes and Charter Trustees" sqref="S13:S55">
      <formula1>#REF!=0</formula1>
    </dataValidation>
  </dataValidations>
  <pageMargins left="0.7" right="0.7" top="0.75" bottom="0.75" header="0.3" footer="0.3"/>
  <pageSetup paperSize="9" scale="38" orientation="portrait" r:id="rId1"/>
  <colBreaks count="1" manualBreakCount="1">
    <brk id="1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Y216"/>
  <sheetViews>
    <sheetView showGridLines="0" zoomScaleNormal="100" zoomScaleSheetLayoutView="84" workbookViewId="0"/>
  </sheetViews>
  <sheetFormatPr defaultRowHeight="12.75" x14ac:dyDescent="0.2"/>
  <cols>
    <col min="1" max="2" width="1.7109375" customWidth="1"/>
    <col min="4" max="6" width="10.140625" customWidth="1"/>
    <col min="7" max="7" width="17.85546875" customWidth="1"/>
    <col min="8" max="8" width="3.85546875" customWidth="1"/>
    <col min="9" max="9" width="2.85546875" customWidth="1"/>
    <col min="10" max="11" width="11.42578125" customWidth="1"/>
    <col min="12" max="13" width="2.7109375" customWidth="1"/>
    <col min="14" max="15" width="11.42578125" customWidth="1"/>
    <col min="16" max="17" width="3.42578125" customWidth="1"/>
    <col min="18" max="19" width="11.42578125" customWidth="1"/>
    <col min="20" max="21" width="1.7109375" customWidth="1"/>
    <col min="22" max="22" width="8.7109375" style="214" customWidth="1"/>
  </cols>
  <sheetData>
    <row r="1" spans="1:23" ht="15" x14ac:dyDescent="0.2">
      <c r="A1" s="409"/>
      <c r="B1" s="410"/>
      <c r="C1" s="410"/>
      <c r="D1" s="410"/>
      <c r="E1" s="410"/>
      <c r="F1" s="410"/>
      <c r="G1" s="410"/>
      <c r="H1" s="410"/>
      <c r="I1" s="410"/>
      <c r="J1" s="410"/>
      <c r="K1" s="410"/>
      <c r="L1" s="410"/>
      <c r="M1" s="410"/>
      <c r="N1" s="410"/>
      <c r="O1" s="410"/>
      <c r="P1" s="410"/>
      <c r="Q1" s="410"/>
      <c r="R1" s="410"/>
      <c r="S1" s="410"/>
      <c r="T1" s="410"/>
      <c r="U1" s="411"/>
      <c r="V1" s="378"/>
    </row>
    <row r="2" spans="1:23" ht="15.75" x14ac:dyDescent="0.25">
      <c r="A2" s="810" t="s">
        <v>40</v>
      </c>
      <c r="B2" s="811"/>
      <c r="C2" s="811"/>
      <c r="D2" s="811"/>
      <c r="E2" s="811"/>
      <c r="F2" s="811"/>
      <c r="G2" s="811"/>
      <c r="H2" s="811"/>
      <c r="I2" s="811"/>
      <c r="J2" s="811"/>
      <c r="K2" s="811"/>
      <c r="L2" s="811"/>
      <c r="M2" s="811"/>
      <c r="N2" s="811"/>
      <c r="O2" s="811"/>
      <c r="P2" s="811"/>
      <c r="Q2" s="811"/>
      <c r="R2" s="811"/>
      <c r="S2" s="811"/>
      <c r="T2" s="811"/>
      <c r="U2" s="812"/>
      <c r="V2" s="319"/>
    </row>
    <row r="3" spans="1:23" ht="15.75" x14ac:dyDescent="0.25">
      <c r="A3" s="780" t="s">
        <v>1219</v>
      </c>
      <c r="B3" s="811"/>
      <c r="C3" s="811"/>
      <c r="D3" s="811"/>
      <c r="E3" s="811"/>
      <c r="F3" s="811"/>
      <c r="G3" s="811"/>
      <c r="H3" s="811"/>
      <c r="I3" s="811"/>
      <c r="J3" s="811"/>
      <c r="K3" s="811"/>
      <c r="L3" s="811"/>
      <c r="M3" s="811"/>
      <c r="N3" s="811"/>
      <c r="O3" s="811"/>
      <c r="P3" s="811"/>
      <c r="Q3" s="811"/>
      <c r="R3" s="811"/>
      <c r="S3" s="811"/>
      <c r="T3" s="811"/>
      <c r="U3" s="812"/>
      <c r="V3" s="319"/>
    </row>
    <row r="4" spans="1:23" ht="15" x14ac:dyDescent="0.2">
      <c r="A4" s="783"/>
      <c r="B4" s="784"/>
      <c r="C4" s="784"/>
      <c r="D4" s="784"/>
      <c r="E4" s="784"/>
      <c r="F4" s="784"/>
      <c r="G4" s="784"/>
      <c r="H4" s="784"/>
      <c r="I4" s="784"/>
      <c r="J4" s="784"/>
      <c r="K4" s="784"/>
      <c r="L4" s="784"/>
      <c r="M4" s="784"/>
      <c r="N4" s="784"/>
      <c r="O4" s="784"/>
      <c r="P4" s="784"/>
      <c r="Q4" s="784"/>
      <c r="R4" s="784"/>
      <c r="S4" s="784"/>
      <c r="T4" s="784"/>
      <c r="U4" s="785"/>
      <c r="V4" s="316"/>
    </row>
    <row r="5" spans="1:23" ht="15" x14ac:dyDescent="0.2">
      <c r="A5" s="783"/>
      <c r="B5" s="784"/>
      <c r="C5" s="784"/>
      <c r="D5" s="784"/>
      <c r="E5" s="784"/>
      <c r="F5" s="784"/>
      <c r="G5" s="784"/>
      <c r="H5" s="784"/>
      <c r="I5" s="784"/>
      <c r="J5" s="784"/>
      <c r="K5" s="784"/>
      <c r="L5" s="784"/>
      <c r="M5" s="784"/>
      <c r="N5" s="784"/>
      <c r="O5" s="784"/>
      <c r="P5" s="784"/>
      <c r="Q5" s="784"/>
      <c r="R5" s="784"/>
      <c r="S5" s="784"/>
      <c r="T5" s="784"/>
      <c r="U5" s="785"/>
      <c r="V5" s="316"/>
    </row>
    <row r="6" spans="1:23" ht="15" x14ac:dyDescent="0.2">
      <c r="A6" s="783"/>
      <c r="B6" s="784"/>
      <c r="C6" s="784"/>
      <c r="D6" s="784"/>
      <c r="E6" s="784"/>
      <c r="F6" s="784"/>
      <c r="G6" s="784"/>
      <c r="H6" s="784"/>
      <c r="I6" s="784"/>
      <c r="J6" s="784"/>
      <c r="K6" s="784"/>
      <c r="L6" s="784"/>
      <c r="M6" s="784"/>
      <c r="N6" s="784"/>
      <c r="O6" s="784"/>
      <c r="P6" s="784"/>
      <c r="Q6" s="784"/>
      <c r="R6" s="784"/>
      <c r="S6" s="784"/>
      <c r="T6" s="784"/>
      <c r="U6" s="785"/>
      <c r="V6" s="316"/>
    </row>
    <row r="7" spans="1:23" ht="15" x14ac:dyDescent="0.2">
      <c r="A7" s="783"/>
      <c r="B7" s="784"/>
      <c r="C7" s="784"/>
      <c r="D7" s="784"/>
      <c r="E7" s="784"/>
      <c r="F7" s="784"/>
      <c r="G7" s="784"/>
      <c r="H7" s="784"/>
      <c r="I7" s="784"/>
      <c r="J7" s="784"/>
      <c r="K7" s="784"/>
      <c r="L7" s="784"/>
      <c r="M7" s="784"/>
      <c r="N7" s="784"/>
      <c r="O7" s="784"/>
      <c r="P7" s="784"/>
      <c r="Q7" s="784"/>
      <c r="R7" s="784"/>
      <c r="S7" s="784"/>
      <c r="T7" s="784"/>
      <c r="U7" s="785"/>
      <c r="V7" s="316"/>
    </row>
    <row r="8" spans="1:23" ht="15.75" thickBot="1" x14ac:dyDescent="0.25">
      <c r="A8" s="60"/>
      <c r="B8" s="61"/>
      <c r="C8" s="61"/>
      <c r="D8" s="61"/>
      <c r="E8" s="61"/>
      <c r="F8" s="61"/>
      <c r="G8" s="61"/>
      <c r="H8" s="61"/>
      <c r="I8" s="61"/>
      <c r="J8" s="61"/>
      <c r="K8" s="61"/>
      <c r="L8" s="61"/>
      <c r="M8" s="61"/>
      <c r="N8" s="61"/>
      <c r="O8" s="61"/>
      <c r="P8" s="61"/>
      <c r="Q8" s="61"/>
      <c r="R8" s="61"/>
      <c r="S8" s="85"/>
      <c r="T8" s="61"/>
      <c r="U8" s="62"/>
      <c r="V8" s="378"/>
    </row>
    <row r="9" spans="1:23" x14ac:dyDescent="0.2">
      <c r="A9" s="412"/>
      <c r="B9" s="413"/>
      <c r="C9" s="867"/>
      <c r="D9" s="867"/>
      <c r="E9" s="867"/>
      <c r="F9" s="867"/>
      <c r="G9" s="867"/>
      <c r="H9" s="867"/>
      <c r="I9" s="413"/>
      <c r="J9" s="413"/>
      <c r="K9" s="413"/>
      <c r="L9" s="413"/>
      <c r="M9" s="413"/>
      <c r="N9" s="413"/>
      <c r="O9" s="413"/>
      <c r="P9" s="516"/>
      <c r="Q9" s="413"/>
      <c r="R9" s="413"/>
      <c r="S9" s="413"/>
      <c r="T9" s="413"/>
      <c r="U9" s="414"/>
      <c r="V9" s="251"/>
    </row>
    <row r="10" spans="1:23" s="24" customFormat="1" ht="18" x14ac:dyDescent="0.25">
      <c r="A10" s="32"/>
      <c r="B10" s="18"/>
      <c r="C10" s="500" t="str">
        <f>+CONCATENATE("Local Authority : ",+'Part 1'!L15)</f>
        <v>Local Authority : England</v>
      </c>
      <c r="D10" s="63"/>
      <c r="E10" s="63"/>
      <c r="F10" s="502"/>
      <c r="G10" s="502"/>
      <c r="H10" s="502"/>
      <c r="I10" s="18"/>
      <c r="J10" s="18"/>
      <c r="K10" s="18"/>
      <c r="L10" s="18"/>
      <c r="M10" s="18"/>
      <c r="N10" s="18"/>
      <c r="O10" s="18"/>
      <c r="P10" s="509"/>
      <c r="Q10" s="18"/>
      <c r="R10" s="18"/>
      <c r="S10" s="18"/>
      <c r="T10" s="18"/>
      <c r="U10" s="19"/>
      <c r="V10" s="379"/>
    </row>
    <row r="11" spans="1:23" s="24" customFormat="1" ht="18" x14ac:dyDescent="0.25">
      <c r="A11" s="32"/>
      <c r="B11" s="18"/>
      <c r="C11" s="63"/>
      <c r="D11" s="63"/>
      <c r="E11" s="63"/>
      <c r="F11" s="502"/>
      <c r="G11" s="502"/>
      <c r="H11" s="502"/>
      <c r="I11" s="18"/>
      <c r="J11" s="18"/>
      <c r="K11" s="18"/>
      <c r="L11" s="18"/>
      <c r="M11" s="18"/>
      <c r="N11" s="18"/>
      <c r="O11" s="18"/>
      <c r="P11" s="509"/>
      <c r="Q11" s="18"/>
      <c r="R11" s="18"/>
      <c r="S11" s="18"/>
      <c r="T11" s="18"/>
      <c r="U11" s="19"/>
      <c r="V11" s="379"/>
    </row>
    <row r="12" spans="1:23" ht="15.75" x14ac:dyDescent="0.25">
      <c r="A12" s="14"/>
      <c r="B12" s="2"/>
      <c r="C12" s="871" t="s">
        <v>42</v>
      </c>
      <c r="D12" s="871"/>
      <c r="E12" s="871"/>
      <c r="F12" s="871"/>
      <c r="G12" s="871"/>
      <c r="H12" s="871"/>
      <c r="I12" s="18"/>
      <c r="J12" s="822" t="s">
        <v>23</v>
      </c>
      <c r="K12" s="822"/>
      <c r="L12" s="497"/>
      <c r="M12" s="497"/>
      <c r="N12" s="822" t="s">
        <v>24</v>
      </c>
      <c r="O12" s="822"/>
      <c r="P12" s="517"/>
      <c r="Q12" s="497"/>
      <c r="R12" s="821" t="s">
        <v>25</v>
      </c>
      <c r="S12" s="822"/>
      <c r="T12" s="1"/>
      <c r="U12" s="47"/>
      <c r="V12" s="251"/>
    </row>
    <row r="13" spans="1:23" ht="15.75" customHeight="1" x14ac:dyDescent="0.25">
      <c r="A13" s="14"/>
      <c r="B13" s="2"/>
      <c r="C13" s="827"/>
      <c r="D13" s="827"/>
      <c r="E13" s="827"/>
      <c r="F13" s="827"/>
      <c r="G13" s="827"/>
      <c r="H13" s="827"/>
      <c r="I13" s="18"/>
      <c r="J13" s="800" t="s">
        <v>53</v>
      </c>
      <c r="K13" s="823"/>
      <c r="L13" s="495"/>
      <c r="M13" s="495"/>
      <c r="N13" s="800" t="s">
        <v>52</v>
      </c>
      <c r="O13" s="800"/>
      <c r="P13" s="518"/>
      <c r="Q13" s="495"/>
      <c r="R13" s="800" t="s">
        <v>944</v>
      </c>
      <c r="S13" s="823"/>
      <c r="T13" s="3"/>
      <c r="U13" s="47"/>
      <c r="V13" s="251"/>
    </row>
    <row r="14" spans="1:23" ht="15.75" customHeight="1" x14ac:dyDescent="0.25">
      <c r="A14" s="14"/>
      <c r="B14" s="2"/>
      <c r="C14" s="18"/>
      <c r="D14" s="18"/>
      <c r="E14" s="18"/>
      <c r="F14" s="18"/>
      <c r="G14" s="18"/>
      <c r="H14" s="18"/>
      <c r="I14" s="18"/>
      <c r="J14" s="749"/>
      <c r="K14" s="749"/>
      <c r="L14" s="29"/>
      <c r="M14" s="556"/>
      <c r="N14" s="800"/>
      <c r="O14" s="800"/>
      <c r="P14" s="518"/>
      <c r="Q14" s="29"/>
      <c r="R14" s="823"/>
      <c r="S14" s="823"/>
      <c r="T14" s="2"/>
      <c r="U14" s="47"/>
      <c r="V14" s="251"/>
    </row>
    <row r="15" spans="1:23" ht="32.25" customHeight="1" x14ac:dyDescent="0.25">
      <c r="A15" s="14"/>
      <c r="B15" s="2"/>
      <c r="C15" s="571"/>
      <c r="D15" s="18"/>
      <c r="E15" s="18"/>
      <c r="F15" s="18"/>
      <c r="G15" s="18"/>
      <c r="H15" s="18"/>
      <c r="I15" s="18"/>
      <c r="J15" s="833"/>
      <c r="K15" s="833"/>
      <c r="L15" s="29"/>
      <c r="M15" s="29"/>
      <c r="N15" s="833"/>
      <c r="O15" s="833"/>
      <c r="P15" s="519"/>
      <c r="Q15" s="834"/>
      <c r="R15" s="834"/>
      <c r="S15" s="834"/>
      <c r="T15" s="834"/>
      <c r="U15" s="47"/>
      <c r="V15" s="251"/>
      <c r="W15" s="214"/>
    </row>
    <row r="16" spans="1:23" ht="16.5" customHeight="1" thickBot="1" x14ac:dyDescent="0.25">
      <c r="A16" s="129"/>
      <c r="B16" s="127"/>
      <c r="C16" s="598" t="s">
        <v>1183</v>
      </c>
      <c r="D16" s="49"/>
      <c r="E16" s="49"/>
      <c r="F16" s="49"/>
      <c r="G16" s="49"/>
      <c r="H16" s="18"/>
      <c r="I16" s="18"/>
      <c r="J16" s="872" t="s">
        <v>20</v>
      </c>
      <c r="K16" s="873"/>
      <c r="L16" s="54"/>
      <c r="M16" s="54"/>
      <c r="N16" s="872" t="s">
        <v>20</v>
      </c>
      <c r="O16" s="873"/>
      <c r="P16" s="437"/>
      <c r="Q16" s="438"/>
      <c r="R16" s="875" t="s">
        <v>20</v>
      </c>
      <c r="S16" s="876"/>
      <c r="T16" s="323"/>
      <c r="U16" s="47"/>
      <c r="V16" s="251"/>
      <c r="W16" s="214"/>
    </row>
    <row r="17" spans="1:23" ht="16.5" thickBot="1" x14ac:dyDescent="0.25">
      <c r="A17" s="129"/>
      <c r="B17" s="127"/>
      <c r="C17" s="74" t="s">
        <v>1270</v>
      </c>
      <c r="D17" s="49"/>
      <c r="E17" s="49"/>
      <c r="F17" s="49"/>
      <c r="G17" s="49"/>
      <c r="H17" s="18"/>
      <c r="I17" s="18"/>
      <c r="J17" s="796">
        <f>VLOOKUP(+'Part 1'!$L$16,Datasheet3!$B$6:$GC$332,3,FALSE)</f>
        <v>0</v>
      </c>
      <c r="K17" s="797"/>
      <c r="L17" s="437"/>
      <c r="M17" s="437"/>
      <c r="N17" s="796">
        <f>VLOOKUP(+'Part 1'!$L$16,Datasheet3!$B$6:$GC$332,4,FALSE)</f>
        <v>0</v>
      </c>
      <c r="O17" s="797"/>
      <c r="P17" s="437"/>
      <c r="Q17" s="438"/>
      <c r="R17" s="865">
        <f>VLOOKUP(+'Part 1'!$L$16,Datasheet3!$B$6:$GC$332,5,FALSE)</f>
        <v>0</v>
      </c>
      <c r="S17" s="866"/>
      <c r="T17" s="323"/>
      <c r="U17" s="47"/>
      <c r="V17" s="251"/>
      <c r="W17" s="214"/>
    </row>
    <row r="18" spans="1:23" ht="15.75" customHeight="1" thickBot="1" x14ac:dyDescent="0.25">
      <c r="A18" s="129"/>
      <c r="B18" s="127"/>
      <c r="C18" s="49"/>
      <c r="D18" s="49"/>
      <c r="E18" s="49"/>
      <c r="F18" s="49"/>
      <c r="G18" s="49"/>
      <c r="H18" s="18"/>
      <c r="I18" s="18"/>
      <c r="J18" s="505"/>
      <c r="K18" s="505"/>
      <c r="L18" s="437"/>
      <c r="M18" s="437"/>
      <c r="N18" s="505"/>
      <c r="O18" s="505"/>
      <c r="P18" s="437"/>
      <c r="Q18" s="439"/>
      <c r="R18" s="508"/>
      <c r="S18" s="438"/>
      <c r="T18" s="323"/>
      <c r="U18" s="47"/>
      <c r="V18" s="251"/>
      <c r="W18" s="214"/>
    </row>
    <row r="19" spans="1:23" ht="15.75" customHeight="1" thickBot="1" x14ac:dyDescent="0.25">
      <c r="A19" s="129"/>
      <c r="B19" s="127"/>
      <c r="C19" s="49" t="s">
        <v>974</v>
      </c>
      <c r="D19" s="49"/>
      <c r="E19" s="49"/>
      <c r="F19" s="49"/>
      <c r="G19" s="49"/>
      <c r="H19" s="18"/>
      <c r="I19" s="18"/>
      <c r="J19" s="796">
        <f>VLOOKUP(+'Part 1'!$L$16,Datasheet3!$B$6:$GC$332,6,FALSE)</f>
        <v>81771503.450000003</v>
      </c>
      <c r="K19" s="797"/>
      <c r="L19" s="437"/>
      <c r="M19" s="437"/>
      <c r="N19" s="796">
        <f>VLOOKUP(+'Part 1'!$L$16,Datasheet3!$B$6:$GC$332,7,FALSE)</f>
        <v>549782</v>
      </c>
      <c r="O19" s="797"/>
      <c r="P19" s="437"/>
      <c r="Q19" s="438"/>
      <c r="R19" s="865">
        <f>VLOOKUP(+'Part 1'!$L$16,Datasheet3!$B$6:$GC$332,8,FALSE)</f>
        <v>82321285.450000003</v>
      </c>
      <c r="S19" s="866"/>
      <c r="T19" s="323"/>
      <c r="U19" s="47"/>
      <c r="V19" s="251"/>
      <c r="W19" s="214"/>
    </row>
    <row r="20" spans="1:23" ht="15.75" customHeight="1" thickBot="1" x14ac:dyDescent="0.25">
      <c r="A20" s="129"/>
      <c r="B20" s="127"/>
      <c r="C20" s="49"/>
      <c r="D20" s="49"/>
      <c r="E20" s="49"/>
      <c r="F20" s="49"/>
      <c r="G20" s="49"/>
      <c r="H20" s="18"/>
      <c r="I20" s="18"/>
      <c r="J20" s="505"/>
      <c r="K20" s="505"/>
      <c r="L20" s="437"/>
      <c r="M20" s="437"/>
      <c r="N20" s="505"/>
      <c r="O20" s="505"/>
      <c r="P20" s="437"/>
      <c r="Q20" s="439"/>
      <c r="R20" s="508"/>
      <c r="S20" s="438"/>
      <c r="T20" s="323"/>
      <c r="U20" s="47"/>
      <c r="V20" s="251"/>
      <c r="W20" s="214"/>
    </row>
    <row r="21" spans="1:23" ht="18.75" customHeight="1" thickBot="1" x14ac:dyDescent="0.25">
      <c r="A21" s="129"/>
      <c r="B21" s="127"/>
      <c r="C21" s="74" t="s">
        <v>1271</v>
      </c>
      <c r="D21" s="49"/>
      <c r="E21" s="49"/>
      <c r="F21" s="49"/>
      <c r="G21" s="49"/>
      <c r="H21" s="18"/>
      <c r="I21" s="18"/>
      <c r="J21" s="796">
        <f>VLOOKUP(+'Part 1'!$L$16,Datasheet3!$B$6:$GC$332,9,FALSE)</f>
        <v>0</v>
      </c>
      <c r="K21" s="797"/>
      <c r="L21" s="437"/>
      <c r="M21" s="437"/>
      <c r="N21" s="796">
        <f>VLOOKUP(+'Part 1'!$L$16,Datasheet3!$B$6:$GC$332,10,FALSE)</f>
        <v>0</v>
      </c>
      <c r="O21" s="797"/>
      <c r="P21" s="437"/>
      <c r="Q21" s="438"/>
      <c r="R21" s="865">
        <f>VLOOKUP(+'Part 1'!$L$16,Datasheet3!$B$6:$GC$332,11,FALSE)</f>
        <v>0</v>
      </c>
      <c r="S21" s="866"/>
      <c r="T21" s="323"/>
      <c r="U21" s="47"/>
      <c r="V21" s="251"/>
      <c r="W21" s="214"/>
    </row>
    <row r="22" spans="1:23" ht="15.75" customHeight="1" thickBot="1" x14ac:dyDescent="0.25">
      <c r="A22" s="129"/>
      <c r="B22" s="127"/>
      <c r="C22" s="49"/>
      <c r="D22" s="49"/>
      <c r="E22" s="49"/>
      <c r="F22" s="49"/>
      <c r="G22" s="49"/>
      <c r="H22" s="18"/>
      <c r="I22" s="18"/>
      <c r="J22" s="538"/>
      <c r="K22" s="538"/>
      <c r="L22" s="437"/>
      <c r="M22" s="437"/>
      <c r="N22" s="538"/>
      <c r="O22" s="538"/>
      <c r="P22" s="437"/>
      <c r="Q22" s="438"/>
      <c r="R22" s="438"/>
      <c r="S22" s="438"/>
      <c r="T22" s="323"/>
      <c r="U22" s="47"/>
      <c r="V22" s="251"/>
      <c r="W22" s="214"/>
    </row>
    <row r="23" spans="1:23" ht="15.75" customHeight="1" thickBot="1" x14ac:dyDescent="0.25">
      <c r="A23" s="129"/>
      <c r="B23" s="127"/>
      <c r="C23" s="815" t="s">
        <v>975</v>
      </c>
      <c r="D23" s="815"/>
      <c r="E23" s="815"/>
      <c r="F23" s="815"/>
      <c r="G23" s="815"/>
      <c r="H23" s="18"/>
      <c r="I23" s="18"/>
      <c r="J23" s="796">
        <f>VLOOKUP(+'Part 1'!$L$16,Datasheet3!$B$6:$GC$332,12,FALSE)</f>
        <v>26479925.020000003</v>
      </c>
      <c r="K23" s="797"/>
      <c r="L23" s="437"/>
      <c r="M23" s="437"/>
      <c r="N23" s="796">
        <f>VLOOKUP(+'Part 1'!$L$16,Datasheet3!$B$6:$GC$332,13,FALSE)</f>
        <v>220335</v>
      </c>
      <c r="O23" s="797"/>
      <c r="P23" s="437"/>
      <c r="Q23" s="438"/>
      <c r="R23" s="865">
        <f>VLOOKUP(+'Part 1'!$L$16,Datasheet3!$B$6:$GC$332,14,FALSE)</f>
        <v>26700260.020000003</v>
      </c>
      <c r="S23" s="866"/>
      <c r="T23" s="323"/>
      <c r="U23" s="47"/>
      <c r="V23" s="251"/>
      <c r="W23" s="214"/>
    </row>
    <row r="24" spans="1:23" ht="15.75" customHeight="1" x14ac:dyDescent="0.2">
      <c r="A24" s="129"/>
      <c r="B24" s="127"/>
      <c r="C24" s="815"/>
      <c r="D24" s="815"/>
      <c r="E24" s="815"/>
      <c r="F24" s="815"/>
      <c r="G24" s="815"/>
      <c r="H24" s="18"/>
      <c r="I24" s="18"/>
      <c r="J24" s="64"/>
      <c r="K24" s="64"/>
      <c r="L24" s="437"/>
      <c r="M24" s="437"/>
      <c r="N24" s="64"/>
      <c r="O24" s="64"/>
      <c r="P24" s="437"/>
      <c r="Q24" s="438"/>
      <c r="R24" s="322"/>
      <c r="S24" s="322"/>
      <c r="T24" s="323"/>
      <c r="U24" s="47"/>
      <c r="V24" s="251"/>
      <c r="W24" s="214"/>
    </row>
    <row r="25" spans="1:23" ht="15.75" customHeight="1" thickBot="1" x14ac:dyDescent="0.25">
      <c r="A25" s="129"/>
      <c r="B25" s="127"/>
      <c r="C25" s="501"/>
      <c r="D25" s="501"/>
      <c r="E25" s="501"/>
      <c r="F25" s="501"/>
      <c r="G25" s="501"/>
      <c r="H25" s="18"/>
      <c r="I25" s="18"/>
      <c r="J25" s="64"/>
      <c r="K25" s="64"/>
      <c r="L25" s="437"/>
      <c r="M25" s="437"/>
      <c r="N25" s="64"/>
      <c r="O25" s="64"/>
      <c r="P25" s="437"/>
      <c r="Q25" s="438"/>
      <c r="R25" s="322"/>
      <c r="S25" s="322"/>
      <c r="T25" s="323"/>
      <c r="U25" s="47"/>
      <c r="V25" s="251"/>
      <c r="W25" s="214"/>
    </row>
    <row r="26" spans="1:23" ht="15.75" customHeight="1" thickBot="1" x14ac:dyDescent="0.25">
      <c r="A26" s="129"/>
      <c r="B26" s="150"/>
      <c r="C26" s="151"/>
      <c r="D26" s="151"/>
      <c r="E26" s="151"/>
      <c r="F26" s="151"/>
      <c r="G26" s="151"/>
      <c r="H26" s="152"/>
      <c r="I26" s="152"/>
      <c r="J26" s="153"/>
      <c r="K26" s="153"/>
      <c r="L26" s="513"/>
      <c r="M26" s="513"/>
      <c r="N26" s="153"/>
      <c r="O26" s="153"/>
      <c r="P26" s="513"/>
      <c r="Q26" s="514"/>
      <c r="R26" s="326"/>
      <c r="S26" s="326"/>
      <c r="T26" s="327"/>
      <c r="U26" s="47"/>
      <c r="V26" s="251"/>
      <c r="W26" s="214"/>
    </row>
    <row r="27" spans="1:23" ht="15.75" customHeight="1" thickBot="1" x14ac:dyDescent="0.25">
      <c r="A27" s="129"/>
      <c r="B27" s="155"/>
      <c r="C27" s="870" t="s">
        <v>55</v>
      </c>
      <c r="D27" s="870"/>
      <c r="E27" s="870"/>
      <c r="F27" s="870"/>
      <c r="G27" s="870"/>
      <c r="H27" s="18"/>
      <c r="I27" s="18"/>
      <c r="J27" s="868">
        <f>VLOOKUP(+'Part 1'!$L$16,Datasheet3!$B$6:$GC$332,15,FALSE)</f>
        <v>108251428</v>
      </c>
      <c r="K27" s="869"/>
      <c r="L27" s="437"/>
      <c r="M27" s="437"/>
      <c r="N27" s="868">
        <f>VLOOKUP(+'Part 1'!$L$16,Datasheet3!$B$6:$GC$332,16,FALSE)</f>
        <v>770117</v>
      </c>
      <c r="O27" s="869"/>
      <c r="P27" s="437"/>
      <c r="Q27" s="438"/>
      <c r="R27" s="865">
        <f>VLOOKUP(+'Part 1'!$L$16,Datasheet3!$B$6:$GC$332,17,FALSE)</f>
        <v>109021545</v>
      </c>
      <c r="S27" s="866"/>
      <c r="T27" s="328"/>
      <c r="U27" s="47"/>
      <c r="V27" s="251"/>
      <c r="W27" s="214"/>
    </row>
    <row r="28" spans="1:23" ht="15.75" customHeight="1" thickBot="1" x14ac:dyDescent="0.25">
      <c r="A28" s="129"/>
      <c r="B28" s="156"/>
      <c r="C28" s="157"/>
      <c r="D28" s="157"/>
      <c r="E28" s="157"/>
      <c r="F28" s="157"/>
      <c r="G28" s="157"/>
      <c r="H28" s="158"/>
      <c r="I28" s="158"/>
      <c r="J28" s="158"/>
      <c r="K28" s="158"/>
      <c r="L28" s="520"/>
      <c r="M28" s="520"/>
      <c r="N28" s="158"/>
      <c r="O28" s="158"/>
      <c r="P28" s="520"/>
      <c r="Q28" s="532"/>
      <c r="R28" s="329"/>
      <c r="S28" s="329"/>
      <c r="T28" s="330"/>
      <c r="U28" s="47"/>
      <c r="V28" s="251"/>
      <c r="W28" s="214"/>
    </row>
    <row r="29" spans="1:23" ht="15.75" customHeight="1" x14ac:dyDescent="0.2">
      <c r="A29" s="129"/>
      <c r="B29" s="127"/>
      <c r="C29" s="501"/>
      <c r="D29" s="501"/>
      <c r="E29" s="501"/>
      <c r="F29" s="501"/>
      <c r="G29" s="501"/>
      <c r="H29" s="18"/>
      <c r="I29" s="18"/>
      <c r="J29" s="64"/>
      <c r="K29" s="64"/>
      <c r="L29" s="437"/>
      <c r="M29" s="437"/>
      <c r="N29" s="64"/>
      <c r="O29" s="64"/>
      <c r="P29" s="437"/>
      <c r="Q29" s="438"/>
      <c r="R29" s="322"/>
      <c r="S29" s="322"/>
      <c r="T29" s="323"/>
      <c r="U29" s="47"/>
      <c r="V29" s="251"/>
      <c r="W29" s="214"/>
    </row>
    <row r="30" spans="1:23" ht="15.75" x14ac:dyDescent="0.2">
      <c r="A30" s="130"/>
      <c r="B30" s="131"/>
      <c r="C30" s="598" t="s">
        <v>1184</v>
      </c>
      <c r="D30" s="49"/>
      <c r="E30" s="49"/>
      <c r="F30" s="49"/>
      <c r="G30" s="49"/>
      <c r="H30" s="18"/>
      <c r="I30" s="54"/>
      <c r="J30" s="64"/>
      <c r="K30" s="64"/>
      <c r="L30" s="437"/>
      <c r="M30" s="437"/>
      <c r="N30" s="64"/>
      <c r="O30" s="64"/>
      <c r="P30" s="437"/>
      <c r="Q30" s="438"/>
      <c r="R30" s="322"/>
      <c r="S30" s="322"/>
      <c r="T30" s="323"/>
      <c r="U30" s="47"/>
      <c r="V30" s="251"/>
      <c r="W30" s="214"/>
    </row>
    <row r="31" spans="1:23" ht="16.5" thickBot="1" x14ac:dyDescent="0.25">
      <c r="A31" s="129"/>
      <c r="B31" s="127"/>
      <c r="C31" s="126" t="s">
        <v>27</v>
      </c>
      <c r="D31" s="49"/>
      <c r="E31" s="49"/>
      <c r="F31" s="49"/>
      <c r="G31" s="49"/>
      <c r="H31" s="18"/>
      <c r="I31" s="18"/>
      <c r="J31" s="64"/>
      <c r="K31" s="64"/>
      <c r="L31" s="437"/>
      <c r="M31" s="437"/>
      <c r="N31" s="64"/>
      <c r="O31" s="64"/>
      <c r="P31" s="437"/>
      <c r="Q31" s="438"/>
      <c r="R31" s="322"/>
      <c r="S31" s="322"/>
      <c r="T31" s="323"/>
      <c r="U31" s="47"/>
      <c r="V31" s="251"/>
      <c r="W31" s="214"/>
    </row>
    <row r="32" spans="1:23" ht="16.5" thickBot="1" x14ac:dyDescent="0.25">
      <c r="A32" s="129"/>
      <c r="B32" s="127"/>
      <c r="C32" s="74" t="s">
        <v>1272</v>
      </c>
      <c r="D32" s="49"/>
      <c r="E32" s="49"/>
      <c r="F32" s="49"/>
      <c r="G32" s="49"/>
      <c r="H32" s="18"/>
      <c r="I32" s="18"/>
      <c r="J32" s="802">
        <f>VLOOKUP(+'Part 1'!$L$16,Datasheet3!$B$6:$GC$332,18,FALSE)</f>
        <v>-1162893781</v>
      </c>
      <c r="K32" s="803"/>
      <c r="L32" s="437"/>
      <c r="M32" s="437"/>
      <c r="N32" s="802">
        <f>VLOOKUP(+'Part 1'!$L$16,Datasheet3!$B$6:$GC$332,19,FALSE)</f>
        <v>-2572324</v>
      </c>
      <c r="O32" s="803"/>
      <c r="P32" s="437"/>
      <c r="Q32" s="438"/>
      <c r="R32" s="859">
        <f>VLOOKUP(+'Part 1'!$L$16,Datasheet3!$B$6:$GC$332,20,FALSE)</f>
        <v>-1165466105</v>
      </c>
      <c r="S32" s="860"/>
      <c r="T32" s="323"/>
      <c r="U32" s="47"/>
      <c r="V32" s="251"/>
      <c r="W32" s="214"/>
    </row>
    <row r="33" spans="1:23" ht="16.5" thickBot="1" x14ac:dyDescent="0.25">
      <c r="A33" s="129"/>
      <c r="B33" s="49"/>
      <c r="C33" s="74" t="s">
        <v>37</v>
      </c>
      <c r="D33" s="49"/>
      <c r="E33" s="49"/>
      <c r="F33" s="49"/>
      <c r="G33" s="49"/>
      <c r="H33" s="49"/>
      <c r="I33" s="49"/>
      <c r="J33" s="537"/>
      <c r="K33" s="537"/>
      <c r="L33" s="537"/>
      <c r="M33" s="437"/>
      <c r="N33" s="538"/>
      <c r="O33" s="538"/>
      <c r="P33" s="437"/>
      <c r="Q33" s="438"/>
      <c r="R33" s="508"/>
      <c r="S33" s="508"/>
      <c r="T33" s="323"/>
      <c r="U33" s="47"/>
      <c r="V33" s="251"/>
      <c r="W33" s="214"/>
    </row>
    <row r="34" spans="1:23" ht="16.5" thickBot="1" x14ac:dyDescent="0.25">
      <c r="A34" s="129"/>
      <c r="B34" s="180"/>
      <c r="C34" s="184"/>
      <c r="D34" s="179" t="s">
        <v>1069</v>
      </c>
      <c r="E34" s="179"/>
      <c r="F34" s="179"/>
      <c r="G34" s="179"/>
      <c r="H34" s="182"/>
      <c r="I34" s="182"/>
      <c r="J34" s="802">
        <f>VLOOKUP(+'Part 1'!$L$16,Datasheet3!$B$6:$GC$332,21,FALSE)</f>
        <v>-3077139.6799999997</v>
      </c>
      <c r="K34" s="803"/>
      <c r="L34" s="521"/>
      <c r="M34" s="521"/>
      <c r="N34" s="802">
        <f>VLOOKUP(+'Part 1'!$L$16,Datasheet3!$B$6:$GC$332,22,FALSE)</f>
        <v>-19131</v>
      </c>
      <c r="O34" s="803"/>
      <c r="P34" s="521"/>
      <c r="Q34" s="438"/>
      <c r="R34" s="859">
        <f>VLOOKUP(+'Part 1'!$L$16,Datasheet3!$B$6:$GC$332,23,FALSE)</f>
        <v>-3096270.6799999997</v>
      </c>
      <c r="S34" s="860"/>
      <c r="T34" s="323"/>
      <c r="U34" s="47"/>
      <c r="V34" s="251"/>
      <c r="W34" s="214"/>
    </row>
    <row r="35" spans="1:23" ht="15.75" x14ac:dyDescent="0.2">
      <c r="A35" s="129"/>
      <c r="B35" s="180"/>
      <c r="C35" s="184"/>
      <c r="D35" s="179" t="s">
        <v>79</v>
      </c>
      <c r="E35" s="179"/>
      <c r="F35" s="179"/>
      <c r="G35" s="179"/>
      <c r="H35" s="182"/>
      <c r="I35" s="182"/>
      <c r="J35" s="539"/>
      <c r="K35" s="539"/>
      <c r="L35" s="521"/>
      <c r="M35" s="521"/>
      <c r="N35" s="539"/>
      <c r="O35" s="539"/>
      <c r="P35" s="521"/>
      <c r="Q35" s="438"/>
      <c r="R35" s="508"/>
      <c r="S35" s="508"/>
      <c r="T35" s="323"/>
      <c r="U35" s="47"/>
      <c r="V35" s="251"/>
      <c r="W35" s="214"/>
    </row>
    <row r="36" spans="1:23" ht="16.5" thickBot="1" x14ac:dyDescent="0.25">
      <c r="A36" s="129"/>
      <c r="B36" s="49"/>
      <c r="C36" s="346"/>
      <c r="D36" s="49"/>
      <c r="E36" s="49"/>
      <c r="F36" s="49"/>
      <c r="G36" s="49"/>
      <c r="H36" s="49"/>
      <c r="I36" s="49"/>
      <c r="J36" s="537"/>
      <c r="K36" s="540"/>
      <c r="L36" s="537"/>
      <c r="M36" s="437"/>
      <c r="N36" s="538"/>
      <c r="O36" s="538"/>
      <c r="P36" s="437"/>
      <c r="Q36" s="438"/>
      <c r="R36" s="508"/>
      <c r="S36" s="508"/>
      <c r="T36" s="323"/>
      <c r="U36" s="47"/>
      <c r="V36" s="251"/>
      <c r="W36" s="214"/>
    </row>
    <row r="37" spans="1:23" ht="16.5" thickBot="1" x14ac:dyDescent="0.25">
      <c r="A37" s="129"/>
      <c r="B37" s="127"/>
      <c r="C37" s="74" t="s">
        <v>1015</v>
      </c>
      <c r="D37" s="49"/>
      <c r="E37" s="49"/>
      <c r="F37" s="49"/>
      <c r="G37" s="49"/>
      <c r="H37" s="18"/>
      <c r="I37" s="18"/>
      <c r="J37" s="868">
        <f>VLOOKUP(+'Part 1'!$L$16,Datasheet3!$B$6:$GC$332,24,FALSE)</f>
        <v>-61563862.299999997</v>
      </c>
      <c r="K37" s="869"/>
      <c r="L37" s="437"/>
      <c r="M37" s="437"/>
      <c r="N37" s="868">
        <f>VLOOKUP(+'Part 1'!$L$16,Datasheet3!$B$6:$GC$332,25,FALSE)</f>
        <v>-163204</v>
      </c>
      <c r="O37" s="869"/>
      <c r="P37" s="437"/>
      <c r="Q37" s="438"/>
      <c r="R37" s="859">
        <f>VLOOKUP(+'Part 1'!$L$16,Datasheet3!$B$6:$GC$332,26,FALSE)</f>
        <v>-61727066.299999997</v>
      </c>
      <c r="S37" s="860"/>
      <c r="T37" s="323"/>
      <c r="U37" s="47"/>
      <c r="V37" s="251"/>
      <c r="W37" s="214"/>
    </row>
    <row r="38" spans="1:23" ht="15.75" x14ac:dyDescent="0.2">
      <c r="A38" s="129"/>
      <c r="B38" s="127"/>
      <c r="C38" s="74" t="s">
        <v>37</v>
      </c>
      <c r="D38" s="49"/>
      <c r="E38" s="49"/>
      <c r="F38" s="49"/>
      <c r="G38" s="49"/>
      <c r="H38" s="18"/>
      <c r="I38" s="18"/>
      <c r="J38" s="541"/>
      <c r="K38" s="541"/>
      <c r="L38" s="507"/>
      <c r="M38" s="507"/>
      <c r="N38" s="541"/>
      <c r="O38" s="541"/>
      <c r="P38" s="507"/>
      <c r="Q38" s="438"/>
      <c r="R38" s="508"/>
      <c r="S38" s="508"/>
      <c r="T38" s="323"/>
      <c r="U38" s="47"/>
      <c r="V38" s="251"/>
      <c r="W38" s="214"/>
    </row>
    <row r="39" spans="1:23" ht="16.5" thickBot="1" x14ac:dyDescent="0.25">
      <c r="A39" s="129"/>
      <c r="B39" s="49"/>
      <c r="C39" s="49"/>
      <c r="D39" s="49"/>
      <c r="E39" s="49"/>
      <c r="F39" s="49"/>
      <c r="G39" s="49"/>
      <c r="H39" s="49"/>
      <c r="I39" s="49"/>
      <c r="J39" s="537"/>
      <c r="K39" s="537"/>
      <c r="L39" s="537"/>
      <c r="M39" s="437"/>
      <c r="N39" s="538"/>
      <c r="O39" s="538"/>
      <c r="P39" s="437"/>
      <c r="Q39" s="438"/>
      <c r="R39" s="508"/>
      <c r="S39" s="508"/>
      <c r="T39" s="323"/>
      <c r="U39" s="47"/>
      <c r="V39" s="251"/>
      <c r="W39" s="214"/>
    </row>
    <row r="40" spans="1:23" ht="16.5" thickBot="1" x14ac:dyDescent="0.25">
      <c r="A40" s="129"/>
      <c r="B40" s="180"/>
      <c r="C40" s="184"/>
      <c r="D40" s="642" t="s">
        <v>1273</v>
      </c>
      <c r="E40" s="179"/>
      <c r="F40" s="179"/>
      <c r="G40" s="179"/>
      <c r="H40" s="182"/>
      <c r="I40" s="182"/>
      <c r="J40" s="802">
        <f>VLOOKUP(+'Part 1'!$L$16,Datasheet3!$B$6:$GC$332,27,FALSE)</f>
        <v>-42717786</v>
      </c>
      <c r="K40" s="803"/>
      <c r="L40" s="521"/>
      <c r="M40" s="521"/>
      <c r="N40" s="802">
        <f>VLOOKUP(+'Part 1'!$L$16,Datasheet3!$B$6:$GC$332,28,FALSE)</f>
        <v>-131543</v>
      </c>
      <c r="O40" s="803"/>
      <c r="P40" s="521"/>
      <c r="Q40" s="438"/>
      <c r="R40" s="859">
        <f>VLOOKUP(+'Part 1'!$L$16,Datasheet3!$B$6:$GC$332,29,FALSE)</f>
        <v>-42849329</v>
      </c>
      <c r="S40" s="860"/>
      <c r="T40" s="323"/>
      <c r="U40" s="47"/>
      <c r="V40" s="251"/>
      <c r="W40" s="214"/>
    </row>
    <row r="41" spans="1:23" ht="16.5" thickBot="1" x14ac:dyDescent="0.25">
      <c r="A41" s="129"/>
      <c r="B41" s="49"/>
      <c r="C41" s="346"/>
      <c r="D41" s="49"/>
      <c r="E41" s="49"/>
      <c r="F41" s="49"/>
      <c r="G41" s="49"/>
      <c r="H41" s="49"/>
      <c r="I41" s="49"/>
      <c r="J41" s="425"/>
      <c r="K41" s="540"/>
      <c r="L41" s="537"/>
      <c r="M41" s="437"/>
      <c r="N41" s="538"/>
      <c r="O41" s="538"/>
      <c r="P41" s="437"/>
      <c r="Q41" s="438"/>
      <c r="R41" s="508"/>
      <c r="S41" s="508"/>
      <c r="T41" s="323"/>
      <c r="U41" s="47"/>
      <c r="V41" s="251"/>
      <c r="W41" s="214"/>
    </row>
    <row r="42" spans="1:23" ht="16.5" thickBot="1" x14ac:dyDescent="0.25">
      <c r="A42" s="129"/>
      <c r="B42" s="180"/>
      <c r="C42" s="184"/>
      <c r="D42" s="853" t="s">
        <v>990</v>
      </c>
      <c r="E42" s="854"/>
      <c r="F42" s="854"/>
      <c r="G42" s="854"/>
      <c r="H42" s="182"/>
      <c r="I42" s="182"/>
      <c r="J42" s="802">
        <f>VLOOKUP(+'Part 1'!$L$16,Datasheet3!$B$6:$GC$332,30,FALSE)</f>
        <v>-190816.85</v>
      </c>
      <c r="K42" s="803"/>
      <c r="L42" s="521"/>
      <c r="M42" s="521"/>
      <c r="N42" s="802">
        <f>VLOOKUP(+'Part 1'!$L$16,Datasheet3!$B$6:$GC$332,31,FALSE)</f>
        <v>-5021</v>
      </c>
      <c r="O42" s="803"/>
      <c r="P42" s="521"/>
      <c r="Q42" s="438"/>
      <c r="R42" s="859">
        <f>VLOOKUP(+'Part 1'!$L$16,Datasheet3!$B$6:$GC$332,32,FALSE)</f>
        <v>-195837.85</v>
      </c>
      <c r="S42" s="860"/>
      <c r="T42" s="323"/>
      <c r="U42" s="47"/>
      <c r="V42" s="251"/>
      <c r="W42" s="214"/>
    </row>
    <row r="43" spans="1:23" ht="15.75" x14ac:dyDescent="0.2">
      <c r="A43" s="129"/>
      <c r="B43" s="49"/>
      <c r="C43" s="346"/>
      <c r="D43" s="854"/>
      <c r="E43" s="854"/>
      <c r="F43" s="854"/>
      <c r="G43" s="854"/>
      <c r="H43" s="49"/>
      <c r="I43" s="49"/>
      <c r="J43" s="425"/>
      <c r="K43" s="540"/>
      <c r="L43" s="537"/>
      <c r="M43" s="437"/>
      <c r="N43" s="538"/>
      <c r="O43" s="538"/>
      <c r="P43" s="437"/>
      <c r="Q43" s="438"/>
      <c r="R43" s="508"/>
      <c r="S43" s="508"/>
      <c r="T43" s="323"/>
      <c r="U43" s="47"/>
      <c r="V43" s="251"/>
      <c r="W43" s="214"/>
    </row>
    <row r="44" spans="1:23" ht="16.5" thickBot="1" x14ac:dyDescent="0.25">
      <c r="A44" s="129"/>
      <c r="B44" s="49"/>
      <c r="C44" s="346"/>
      <c r="D44" s="49"/>
      <c r="E44" s="49"/>
      <c r="F44" s="49"/>
      <c r="G44" s="49"/>
      <c r="H44" s="49"/>
      <c r="I44" s="49"/>
      <c r="J44" s="425"/>
      <c r="K44" s="540"/>
      <c r="L44" s="537"/>
      <c r="M44" s="437"/>
      <c r="N44" s="538"/>
      <c r="O44" s="538"/>
      <c r="P44" s="437"/>
      <c r="Q44" s="438"/>
      <c r="R44" s="508"/>
      <c r="S44" s="508"/>
      <c r="T44" s="323"/>
      <c r="U44" s="47"/>
      <c r="V44" s="251"/>
      <c r="W44" s="214"/>
    </row>
    <row r="45" spans="1:23" ht="16.5" thickBot="1" x14ac:dyDescent="0.25">
      <c r="A45" s="129"/>
      <c r="B45" s="127"/>
      <c r="C45" s="766" t="s">
        <v>991</v>
      </c>
      <c r="D45" s="815"/>
      <c r="E45" s="815"/>
      <c r="F45" s="815"/>
      <c r="G45" s="815"/>
      <c r="H45" s="18"/>
      <c r="I45" s="18"/>
      <c r="J45" s="802">
        <f>VLOOKUP('Part 1'!L$16,Datasheet3!$B$6:$GC$332,33,FALSE)</f>
        <v>646420456.44000006</v>
      </c>
      <c r="K45" s="803"/>
      <c r="L45" s="437"/>
      <c r="M45" s="437"/>
      <c r="N45" s="802">
        <f>VLOOKUP('Part 1'!L$16,Datasheet3!$B$6:$GC$332,34,FALSE)</f>
        <v>4701871.91</v>
      </c>
      <c r="O45" s="803"/>
      <c r="P45" s="437"/>
      <c r="Q45" s="438"/>
      <c r="R45" s="859">
        <f>VLOOKUP(+'Part 1'!$L$16,Datasheet3!$B$6:$GC$332,35,FALSE)</f>
        <v>651122328.35000002</v>
      </c>
      <c r="S45" s="860"/>
      <c r="T45" s="323"/>
      <c r="U45" s="47"/>
      <c r="V45" s="251"/>
      <c r="W45" s="214"/>
    </row>
    <row r="46" spans="1:23" ht="15.75" x14ac:dyDescent="0.2">
      <c r="A46" s="129"/>
      <c r="B46" s="127"/>
      <c r="C46" s="855"/>
      <c r="D46" s="855"/>
      <c r="E46" s="855"/>
      <c r="F46" s="855"/>
      <c r="G46" s="855"/>
      <c r="H46" s="18"/>
      <c r="I46" s="18"/>
      <c r="J46" s="542"/>
      <c r="K46" s="538"/>
      <c r="L46" s="437"/>
      <c r="M46" s="437"/>
      <c r="N46" s="542"/>
      <c r="O46" s="538"/>
      <c r="P46" s="437"/>
      <c r="Q46" s="438"/>
      <c r="R46" s="508"/>
      <c r="S46" s="438"/>
      <c r="T46" s="323"/>
      <c r="U46" s="47"/>
      <c r="V46" s="251"/>
      <c r="W46" s="214"/>
    </row>
    <row r="47" spans="1:23" ht="16.5" thickBot="1" x14ac:dyDescent="0.25">
      <c r="A47" s="129"/>
      <c r="B47" s="127"/>
      <c r="C47" s="501"/>
      <c r="D47" s="501"/>
      <c r="E47" s="501"/>
      <c r="F47" s="501"/>
      <c r="G47" s="501"/>
      <c r="H47" s="18"/>
      <c r="I47" s="18"/>
      <c r="J47" s="542"/>
      <c r="K47" s="538"/>
      <c r="L47" s="437"/>
      <c r="M47" s="437"/>
      <c r="N47" s="542"/>
      <c r="O47" s="538"/>
      <c r="P47" s="437"/>
      <c r="Q47" s="438"/>
      <c r="R47" s="508"/>
      <c r="S47" s="438"/>
      <c r="T47" s="323"/>
      <c r="U47" s="47"/>
      <c r="V47" s="251"/>
      <c r="W47" s="214"/>
    </row>
    <row r="48" spans="1:23" ht="16.5" thickBot="1" x14ac:dyDescent="0.25">
      <c r="A48" s="129"/>
      <c r="B48" s="127"/>
      <c r="C48" s="766" t="s">
        <v>992</v>
      </c>
      <c r="D48" s="815"/>
      <c r="E48" s="815"/>
      <c r="F48" s="815"/>
      <c r="G48" s="815"/>
      <c r="H48" s="18"/>
      <c r="I48" s="18"/>
      <c r="J48" s="868">
        <f>VLOOKUP('Part 1'!L$16,Datasheet3!$B$6:$GC$332,36,FALSE)</f>
        <v>-7630195.4399999995</v>
      </c>
      <c r="K48" s="869"/>
      <c r="L48" s="437"/>
      <c r="M48" s="437"/>
      <c r="N48" s="868">
        <f>VLOOKUP('Part 1'!L$16,Datasheet3!$B$6:$GC$332,37,FALSE)</f>
        <v>-127747</v>
      </c>
      <c r="O48" s="869"/>
      <c r="P48" s="437"/>
      <c r="Q48" s="438"/>
      <c r="R48" s="859">
        <f>VLOOKUP(+'Part 1'!$L$16,Datasheet3!$B$6:$GC$332,38,FALSE)</f>
        <v>-7757942.4399999995</v>
      </c>
      <c r="S48" s="860"/>
      <c r="T48" s="323"/>
      <c r="U48" s="47"/>
      <c r="V48" s="251"/>
      <c r="W48" s="214"/>
    </row>
    <row r="49" spans="1:23" ht="15.75" x14ac:dyDescent="0.2">
      <c r="A49" s="129"/>
      <c r="B49" s="127"/>
      <c r="C49" s="855"/>
      <c r="D49" s="855"/>
      <c r="E49" s="855"/>
      <c r="F49" s="855"/>
      <c r="G49" s="855"/>
      <c r="H49" s="18"/>
      <c r="I49" s="18"/>
      <c r="J49" s="542"/>
      <c r="K49" s="538"/>
      <c r="L49" s="437"/>
      <c r="M49" s="437"/>
      <c r="N49" s="542"/>
      <c r="O49" s="538"/>
      <c r="P49" s="437"/>
      <c r="Q49" s="438"/>
      <c r="R49" s="508"/>
      <c r="S49" s="438"/>
      <c r="T49" s="323"/>
      <c r="U49" s="47"/>
      <c r="V49" s="251"/>
      <c r="W49" s="214"/>
    </row>
    <row r="50" spans="1:23" ht="15" x14ac:dyDescent="0.2">
      <c r="A50" s="129"/>
      <c r="B50" s="127"/>
      <c r="C50" s="49"/>
      <c r="D50" s="49"/>
      <c r="E50" s="49"/>
      <c r="F50" s="49"/>
      <c r="G50" s="49"/>
      <c r="H50" s="18"/>
      <c r="I50" s="18"/>
      <c r="J50" s="538"/>
      <c r="K50" s="538"/>
      <c r="L50" s="437"/>
      <c r="M50" s="437"/>
      <c r="N50" s="538"/>
      <c r="O50" s="538"/>
      <c r="P50" s="437"/>
      <c r="Q50" s="438"/>
      <c r="R50" s="438"/>
      <c r="S50" s="438"/>
      <c r="T50" s="323"/>
      <c r="U50" s="47"/>
      <c r="V50" s="251"/>
      <c r="W50" s="214"/>
    </row>
    <row r="51" spans="1:23" ht="16.5" thickBot="1" x14ac:dyDescent="0.25">
      <c r="A51" s="129"/>
      <c r="B51" s="127"/>
      <c r="C51" s="126" t="s">
        <v>33</v>
      </c>
      <c r="D51" s="49"/>
      <c r="E51" s="49"/>
      <c r="F51" s="49"/>
      <c r="G51" s="49"/>
      <c r="H51" s="18"/>
      <c r="I51" s="18"/>
      <c r="J51" s="538"/>
      <c r="K51" s="538"/>
      <c r="L51" s="437"/>
      <c r="M51" s="437"/>
      <c r="N51" s="538"/>
      <c r="O51" s="538"/>
      <c r="P51" s="437"/>
      <c r="Q51" s="438"/>
      <c r="R51" s="438"/>
      <c r="S51" s="438"/>
      <c r="T51" s="323"/>
      <c r="U51" s="47"/>
      <c r="V51" s="251"/>
      <c r="W51" s="214"/>
    </row>
    <row r="52" spans="1:23" ht="16.5" thickBot="1" x14ac:dyDescent="0.25">
      <c r="A52" s="129"/>
      <c r="B52" s="127"/>
      <c r="C52" s="74" t="s">
        <v>1274</v>
      </c>
      <c r="D52" s="49"/>
      <c r="E52" s="49"/>
      <c r="F52" s="49"/>
      <c r="G52" s="49"/>
      <c r="H52" s="18"/>
      <c r="I52" s="18"/>
      <c r="J52" s="802">
        <f>VLOOKUP('Part 1'!L$16,Datasheet3!$B$6:$GC$332,39,FALSE)</f>
        <v>-1609854194</v>
      </c>
      <c r="K52" s="803"/>
      <c r="L52" s="437"/>
      <c r="M52" s="437"/>
      <c r="N52" s="802">
        <f>VLOOKUP('Part 1'!L$16,Datasheet3!$B$6:$GC$332,40,FALSE)</f>
        <v>-6644576</v>
      </c>
      <c r="O52" s="803"/>
      <c r="P52" s="437"/>
      <c r="Q52" s="438"/>
      <c r="R52" s="859">
        <f>VLOOKUP(+'Part 1'!$L$16,Datasheet3!$B$6:$GC$332,41,FALSE)</f>
        <v>-1616498770</v>
      </c>
      <c r="S52" s="860"/>
      <c r="T52" s="323"/>
      <c r="U52" s="47"/>
      <c r="V52" s="251"/>
      <c r="W52" s="214"/>
    </row>
    <row r="53" spans="1:23" ht="15.75" thickBot="1" x14ac:dyDescent="0.25">
      <c r="A53" s="129"/>
      <c r="B53" s="127"/>
      <c r="C53" s="49"/>
      <c r="D53" s="49"/>
      <c r="E53" s="49"/>
      <c r="F53" s="49"/>
      <c r="G53" s="49"/>
      <c r="H53" s="18"/>
      <c r="I53" s="18"/>
      <c r="J53" s="538"/>
      <c r="K53" s="538"/>
      <c r="L53" s="437"/>
      <c r="M53" s="437"/>
      <c r="N53" s="538"/>
      <c r="O53" s="538"/>
      <c r="P53" s="437"/>
      <c r="Q53" s="438"/>
      <c r="R53" s="438"/>
      <c r="S53" s="438"/>
      <c r="T53" s="323"/>
      <c r="U53" s="47"/>
      <c r="V53" s="251"/>
      <c r="W53" s="214"/>
    </row>
    <row r="54" spans="1:23" ht="16.5" thickBot="1" x14ac:dyDescent="0.25">
      <c r="A54" s="129"/>
      <c r="B54" s="127"/>
      <c r="C54" s="766" t="s">
        <v>993</v>
      </c>
      <c r="D54" s="815"/>
      <c r="E54" s="815"/>
      <c r="F54" s="815"/>
      <c r="G54" s="815"/>
      <c r="H54" s="18"/>
      <c r="I54" s="18"/>
      <c r="J54" s="868">
        <f>VLOOKUP('Part 1'!L$16,Datasheet3!$B$6:$GC$332,42,FALSE)</f>
        <v>-14287111.720000001</v>
      </c>
      <c r="K54" s="869"/>
      <c r="L54" s="437"/>
      <c r="M54" s="437"/>
      <c r="N54" s="868">
        <f>VLOOKUP('Part 1'!L$16,Datasheet3!$B$6:$GC$332,43,FALSE)</f>
        <v>-310382</v>
      </c>
      <c r="O54" s="869"/>
      <c r="P54" s="437"/>
      <c r="Q54" s="438"/>
      <c r="R54" s="859">
        <f>VLOOKUP(+'Part 1'!$L$16,Datasheet3!$B$6:$GC$332,44,FALSE)</f>
        <v>-14597493.720000001</v>
      </c>
      <c r="S54" s="860"/>
      <c r="T54" s="323"/>
      <c r="U54" s="47"/>
      <c r="V54" s="251"/>
      <c r="W54" s="214"/>
    </row>
    <row r="55" spans="1:23" ht="15.75" x14ac:dyDescent="0.2">
      <c r="A55" s="129"/>
      <c r="B55" s="127"/>
      <c r="C55" s="855"/>
      <c r="D55" s="855"/>
      <c r="E55" s="855"/>
      <c r="F55" s="855"/>
      <c r="G55" s="855"/>
      <c r="H55" s="18"/>
      <c r="I55" s="18"/>
      <c r="J55" s="542"/>
      <c r="K55" s="538"/>
      <c r="L55" s="437"/>
      <c r="M55" s="437"/>
      <c r="N55" s="542"/>
      <c r="O55" s="538"/>
      <c r="P55" s="437"/>
      <c r="Q55" s="438"/>
      <c r="R55" s="508"/>
      <c r="S55" s="438"/>
      <c r="T55" s="323"/>
      <c r="U55" s="47"/>
      <c r="V55" s="251"/>
      <c r="W55" s="214"/>
    </row>
    <row r="56" spans="1:23" ht="15" x14ac:dyDescent="0.2">
      <c r="A56" s="129"/>
      <c r="B56" s="127"/>
      <c r="C56" s="49"/>
      <c r="D56" s="49"/>
      <c r="E56" s="49"/>
      <c r="F56" s="49"/>
      <c r="G56" s="49"/>
      <c r="H56" s="18"/>
      <c r="I56" s="18"/>
      <c r="J56" s="538"/>
      <c r="K56" s="538"/>
      <c r="L56" s="437"/>
      <c r="M56" s="437"/>
      <c r="N56" s="538"/>
      <c r="O56" s="538"/>
      <c r="P56" s="437"/>
      <c r="Q56" s="438"/>
      <c r="R56" s="438"/>
      <c r="S56" s="438"/>
      <c r="T56" s="323"/>
      <c r="U56" s="47"/>
      <c r="V56" s="251"/>
      <c r="W56" s="214"/>
    </row>
    <row r="57" spans="1:23" ht="16.5" thickBot="1" x14ac:dyDescent="0.25">
      <c r="A57" s="129"/>
      <c r="B57" s="127"/>
      <c r="C57" s="126" t="s">
        <v>28</v>
      </c>
      <c r="D57" s="49"/>
      <c r="E57" s="49"/>
      <c r="F57" s="49"/>
      <c r="G57" s="49"/>
      <c r="H57" s="18"/>
      <c r="I57" s="18"/>
      <c r="J57" s="538"/>
      <c r="K57" s="538"/>
      <c r="L57" s="437"/>
      <c r="M57" s="437"/>
      <c r="N57" s="538"/>
      <c r="O57" s="538"/>
      <c r="P57" s="437"/>
      <c r="Q57" s="438"/>
      <c r="R57" s="438"/>
      <c r="S57" s="438"/>
      <c r="T57" s="323"/>
      <c r="U57" s="47"/>
      <c r="V57" s="251"/>
      <c r="W57" s="214"/>
    </row>
    <row r="58" spans="1:23" ht="16.5" thickBot="1" x14ac:dyDescent="0.25">
      <c r="A58" s="129"/>
      <c r="B58" s="127"/>
      <c r="C58" s="74" t="s">
        <v>1275</v>
      </c>
      <c r="D58" s="49"/>
      <c r="E58" s="49"/>
      <c r="F58" s="49"/>
      <c r="G58" s="49"/>
      <c r="H58" s="18"/>
      <c r="I58" s="18"/>
      <c r="J58" s="802">
        <f>VLOOKUP('Part 1'!L$16,Datasheet3!$B$6:$GC$332,45,FALSE)</f>
        <v>-19468956</v>
      </c>
      <c r="K58" s="803"/>
      <c r="L58" s="437"/>
      <c r="M58" s="437"/>
      <c r="N58" s="802">
        <f>VLOOKUP('Part 1'!L$16,Datasheet3!$B$6:$GC$332,46,FALSE)</f>
        <v>0</v>
      </c>
      <c r="O58" s="803"/>
      <c r="P58" s="437"/>
      <c r="Q58" s="438"/>
      <c r="R58" s="859">
        <f>VLOOKUP(+'Part 1'!$L$16,Datasheet3!$B$6:$GC$332,47,FALSE)</f>
        <v>-19468956</v>
      </c>
      <c r="S58" s="860"/>
      <c r="T58" s="323"/>
      <c r="U58" s="47"/>
      <c r="V58" s="251"/>
      <c r="W58" s="214"/>
    </row>
    <row r="59" spans="1:23" ht="15.75" thickBot="1" x14ac:dyDescent="0.25">
      <c r="A59" s="129"/>
      <c r="B59" s="127"/>
      <c r="C59" s="49"/>
      <c r="D59" s="49"/>
      <c r="E59" s="49"/>
      <c r="F59" s="49"/>
      <c r="G59" s="49"/>
      <c r="H59" s="18"/>
      <c r="I59" s="18"/>
      <c r="J59" s="505"/>
      <c r="K59" s="505"/>
      <c r="L59" s="509"/>
      <c r="M59" s="509"/>
      <c r="N59" s="505"/>
      <c r="O59" s="505"/>
      <c r="P59" s="509"/>
      <c r="Q59" s="439"/>
      <c r="R59" s="439"/>
      <c r="S59" s="439"/>
      <c r="T59" s="323"/>
      <c r="U59" s="47"/>
      <c r="V59" s="251"/>
      <c r="W59" s="214"/>
    </row>
    <row r="60" spans="1:23" ht="16.5" thickBot="1" x14ac:dyDescent="0.25">
      <c r="A60" s="129"/>
      <c r="B60" s="127"/>
      <c r="C60" s="766" t="s">
        <v>994</v>
      </c>
      <c r="D60" s="815"/>
      <c r="E60" s="815"/>
      <c r="F60" s="815"/>
      <c r="G60" s="815"/>
      <c r="H60" s="18"/>
      <c r="I60" s="18"/>
      <c r="J60" s="868">
        <f>VLOOKUP('Part 1'!L$16,Datasheet3!$B$6:$GC$332,48,FALSE)</f>
        <v>-825013</v>
      </c>
      <c r="K60" s="869"/>
      <c r="L60" s="437"/>
      <c r="M60" s="437"/>
      <c r="N60" s="868">
        <f>VLOOKUP('Part 1'!L$16,Datasheet3!$B$6:$GC$332,49,FALSE)</f>
        <v>0</v>
      </c>
      <c r="O60" s="869"/>
      <c r="P60" s="437"/>
      <c r="Q60" s="438"/>
      <c r="R60" s="859">
        <f>VLOOKUP(+'Part 1'!$L$16,Datasheet3!$B$6:$GC$332,50,FALSE)</f>
        <v>-825013</v>
      </c>
      <c r="S60" s="860"/>
      <c r="T60" s="323"/>
      <c r="U60" s="47"/>
      <c r="V60" s="251"/>
      <c r="W60" s="214"/>
    </row>
    <row r="61" spans="1:23" ht="15.75" x14ac:dyDescent="0.2">
      <c r="A61" s="129"/>
      <c r="B61" s="127"/>
      <c r="C61" s="855"/>
      <c r="D61" s="855"/>
      <c r="E61" s="855"/>
      <c r="F61" s="855"/>
      <c r="G61" s="855"/>
      <c r="H61" s="18"/>
      <c r="I61" s="18"/>
      <c r="J61" s="542"/>
      <c r="K61" s="538"/>
      <c r="L61" s="437"/>
      <c r="M61" s="437"/>
      <c r="N61" s="542"/>
      <c r="O61" s="538"/>
      <c r="P61" s="437"/>
      <c r="Q61" s="438"/>
      <c r="R61" s="508"/>
      <c r="S61" s="438"/>
      <c r="T61" s="323"/>
      <c r="U61" s="47"/>
      <c r="V61" s="251"/>
      <c r="W61" s="214"/>
    </row>
    <row r="62" spans="1:23" ht="15" x14ac:dyDescent="0.2">
      <c r="A62" s="129"/>
      <c r="B62" s="127"/>
      <c r="C62" s="49"/>
      <c r="D62" s="49"/>
      <c r="E62" s="49"/>
      <c r="F62" s="49"/>
      <c r="G62" s="49"/>
      <c r="H62" s="18"/>
      <c r="I62" s="18"/>
      <c r="J62" s="505"/>
      <c r="K62" s="505"/>
      <c r="L62" s="509"/>
      <c r="M62" s="509"/>
      <c r="N62" s="505"/>
      <c r="O62" s="505"/>
      <c r="P62" s="509"/>
      <c r="Q62" s="439"/>
      <c r="R62" s="439"/>
      <c r="S62" s="439"/>
      <c r="T62" s="324"/>
      <c r="U62" s="47"/>
      <c r="V62" s="251"/>
      <c r="W62" s="214"/>
    </row>
    <row r="63" spans="1:23" ht="16.5" thickBot="1" x14ac:dyDescent="0.25">
      <c r="A63" s="129"/>
      <c r="B63" s="127"/>
      <c r="C63" s="126" t="s">
        <v>35</v>
      </c>
      <c r="D63" s="49"/>
      <c r="E63" s="49"/>
      <c r="F63" s="49"/>
      <c r="G63" s="49"/>
      <c r="H63" s="18"/>
      <c r="I63" s="18"/>
      <c r="J63" s="538"/>
      <c r="K63" s="538"/>
      <c r="L63" s="437"/>
      <c r="M63" s="437"/>
      <c r="N63" s="538"/>
      <c r="O63" s="538"/>
      <c r="P63" s="437"/>
      <c r="Q63" s="438"/>
      <c r="R63" s="438"/>
      <c r="S63" s="438"/>
      <c r="T63" s="323"/>
      <c r="U63" s="47"/>
      <c r="V63" s="251"/>
      <c r="W63" s="214"/>
    </row>
    <row r="64" spans="1:23" ht="16.5" thickBot="1" x14ac:dyDescent="0.25">
      <c r="A64" s="129"/>
      <c r="B64" s="127"/>
      <c r="C64" s="74" t="s">
        <v>1276</v>
      </c>
      <c r="D64" s="49"/>
      <c r="E64" s="49"/>
      <c r="F64" s="49"/>
      <c r="G64" s="49"/>
      <c r="H64" s="18"/>
      <c r="I64" s="18"/>
      <c r="J64" s="802">
        <f>VLOOKUP('Part 1'!L$16,Datasheet3!$B$6:$GC$332,51,FALSE)</f>
        <v>-5823102</v>
      </c>
      <c r="K64" s="803"/>
      <c r="L64" s="437"/>
      <c r="M64" s="437"/>
      <c r="N64" s="802">
        <f>VLOOKUP('Part 1'!L$16,Datasheet3!$B$6:$GC$332,52,FALSE)</f>
        <v>0</v>
      </c>
      <c r="O64" s="803"/>
      <c r="P64" s="437"/>
      <c r="Q64" s="438"/>
      <c r="R64" s="859">
        <f>VLOOKUP(+'Part 1'!$L$16,Datasheet3!$B$6:$GC$332,53,FALSE)</f>
        <v>-5823102</v>
      </c>
      <c r="S64" s="860"/>
      <c r="T64" s="323"/>
      <c r="U64" s="47"/>
      <c r="V64" s="251"/>
      <c r="W64" s="214"/>
    </row>
    <row r="65" spans="1:25" ht="15.75" thickBot="1" x14ac:dyDescent="0.25">
      <c r="A65" s="129"/>
      <c r="B65" s="127"/>
      <c r="C65" s="49"/>
      <c r="D65" s="49"/>
      <c r="E65" s="49"/>
      <c r="F65" s="49"/>
      <c r="G65" s="49"/>
      <c r="H65" s="18"/>
      <c r="I65" s="18"/>
      <c r="J65" s="505"/>
      <c r="K65" s="505"/>
      <c r="L65" s="509"/>
      <c r="M65" s="509"/>
      <c r="N65" s="505"/>
      <c r="O65" s="505"/>
      <c r="P65" s="509"/>
      <c r="Q65" s="439"/>
      <c r="R65" s="439"/>
      <c r="S65" s="439"/>
      <c r="T65" s="323"/>
      <c r="U65" s="47"/>
      <c r="V65" s="251"/>
      <c r="W65" s="214"/>
    </row>
    <row r="66" spans="1:25" ht="16.5" thickBot="1" x14ac:dyDescent="0.25">
      <c r="A66" s="129"/>
      <c r="B66" s="127"/>
      <c r="C66" s="766" t="s">
        <v>995</v>
      </c>
      <c r="D66" s="815"/>
      <c r="E66" s="815"/>
      <c r="F66" s="815"/>
      <c r="G66" s="815"/>
      <c r="H66" s="18"/>
      <c r="I66" s="18"/>
      <c r="J66" s="868">
        <f>VLOOKUP('Part 1'!L$16,Datasheet3!$B$6:$GC$332,54,FALSE)</f>
        <v>-135576.32000000001</v>
      </c>
      <c r="K66" s="869"/>
      <c r="L66" s="437"/>
      <c r="M66" s="437"/>
      <c r="N66" s="868">
        <f>VLOOKUP('Part 1'!L$16,Datasheet3!$B$6:$GC$332,55,FALSE)</f>
        <v>0</v>
      </c>
      <c r="O66" s="869"/>
      <c r="P66" s="437"/>
      <c r="Q66" s="438"/>
      <c r="R66" s="859">
        <f>VLOOKUP(+'Part 1'!$L$16,Datasheet3!$B$6:$GC$332,56,FALSE)</f>
        <v>-135576.32000000001</v>
      </c>
      <c r="S66" s="860"/>
      <c r="T66" s="323"/>
      <c r="U66" s="47"/>
      <c r="V66" s="251"/>
      <c r="W66" s="214"/>
    </row>
    <row r="67" spans="1:25" ht="15.75" x14ac:dyDescent="0.2">
      <c r="A67" s="129"/>
      <c r="B67" s="127"/>
      <c r="C67" s="855"/>
      <c r="D67" s="855"/>
      <c r="E67" s="855"/>
      <c r="F67" s="855"/>
      <c r="G67" s="855"/>
      <c r="H67" s="18"/>
      <c r="I67" s="18"/>
      <c r="J67" s="504"/>
      <c r="K67" s="64"/>
      <c r="L67" s="437"/>
      <c r="M67" s="437"/>
      <c r="N67" s="504"/>
      <c r="O67" s="64"/>
      <c r="P67" s="437"/>
      <c r="Q67" s="438"/>
      <c r="R67" s="325"/>
      <c r="S67" s="322"/>
      <c r="T67" s="323"/>
      <c r="U67" s="47"/>
      <c r="V67" s="251"/>
      <c r="W67" s="214"/>
    </row>
    <row r="68" spans="1:25" ht="16.5" thickBot="1" x14ac:dyDescent="0.25">
      <c r="A68" s="129"/>
      <c r="B68" s="164"/>
      <c r="C68" s="135"/>
      <c r="D68" s="135"/>
      <c r="E68" s="135"/>
      <c r="F68" s="135"/>
      <c r="G68" s="135"/>
      <c r="H68" s="123"/>
      <c r="I68" s="18"/>
      <c r="J68" s="504"/>
      <c r="K68" s="64"/>
      <c r="L68" s="437"/>
      <c r="M68" s="437"/>
      <c r="N68" s="504"/>
      <c r="O68" s="64"/>
      <c r="P68" s="437"/>
      <c r="Q68" s="438"/>
      <c r="R68" s="325"/>
      <c r="S68" s="322"/>
      <c r="T68" s="323"/>
      <c r="U68" s="47"/>
      <c r="V68" s="251"/>
      <c r="W68" s="214"/>
    </row>
    <row r="69" spans="1:25" ht="16.5" thickBot="1" x14ac:dyDescent="0.25">
      <c r="A69" s="129"/>
      <c r="B69" s="165"/>
      <c r="C69" s="166"/>
      <c r="D69" s="166"/>
      <c r="E69" s="166"/>
      <c r="F69" s="166"/>
      <c r="G69" s="166"/>
      <c r="H69" s="167"/>
      <c r="I69" s="152"/>
      <c r="J69" s="161"/>
      <c r="K69" s="153"/>
      <c r="L69" s="513"/>
      <c r="M69" s="513"/>
      <c r="N69" s="161"/>
      <c r="O69" s="153"/>
      <c r="P69" s="513"/>
      <c r="Q69" s="514"/>
      <c r="R69" s="331"/>
      <c r="S69" s="326"/>
      <c r="T69" s="327"/>
      <c r="U69" s="47"/>
      <c r="V69" s="251"/>
      <c r="W69" s="214"/>
    </row>
    <row r="70" spans="1:25" ht="16.5" thickBot="1" x14ac:dyDescent="0.25">
      <c r="A70" s="129"/>
      <c r="B70" s="168"/>
      <c r="C70" s="858" t="s">
        <v>996</v>
      </c>
      <c r="D70" s="858"/>
      <c r="E70" s="858"/>
      <c r="F70" s="858"/>
      <c r="G70" s="135"/>
      <c r="H70" s="123"/>
      <c r="I70" s="18"/>
      <c r="J70" s="856">
        <f>VLOOKUP('Part 1'!L$16,Datasheet3!$B$6:$GC$332,57,FALSE)</f>
        <v>-2236061335</v>
      </c>
      <c r="K70" s="857"/>
      <c r="L70" s="437"/>
      <c r="M70" s="437"/>
      <c r="N70" s="856">
        <f>VLOOKUP('Part 1'!L$16,Datasheet3!$B$6:$GC$332,58,FALSE)</f>
        <v>-5116361</v>
      </c>
      <c r="O70" s="857"/>
      <c r="P70" s="437"/>
      <c r="Q70" s="438"/>
      <c r="R70" s="859">
        <f>VLOOKUP(+'Part 1'!$L$16,Datasheet3!$B$6:$GC$332,59,FALSE)</f>
        <v>-2241177696</v>
      </c>
      <c r="S70" s="860"/>
      <c r="T70" s="328"/>
      <c r="U70" s="47"/>
      <c r="V70" s="251"/>
      <c r="W70" s="214"/>
      <c r="Y70" s="572"/>
    </row>
    <row r="71" spans="1:25" ht="16.5" thickBot="1" x14ac:dyDescent="0.25">
      <c r="A71" s="129"/>
      <c r="B71" s="169"/>
      <c r="C71" s="170"/>
      <c r="D71" s="170"/>
      <c r="E71" s="170"/>
      <c r="F71" s="170"/>
      <c r="G71" s="170"/>
      <c r="H71" s="171"/>
      <c r="I71" s="158"/>
      <c r="J71" s="162"/>
      <c r="K71" s="163"/>
      <c r="L71" s="522"/>
      <c r="M71" s="522"/>
      <c r="N71" s="162"/>
      <c r="O71" s="163"/>
      <c r="P71" s="522"/>
      <c r="Q71" s="533"/>
      <c r="R71" s="333"/>
      <c r="S71" s="332"/>
      <c r="T71" s="330"/>
      <c r="U71" s="47"/>
      <c r="V71" s="251"/>
      <c r="W71" s="214"/>
    </row>
    <row r="72" spans="1:25" ht="16.5" thickBot="1" x14ac:dyDescent="0.25">
      <c r="A72" s="132"/>
      <c r="B72" s="393"/>
      <c r="C72" s="394"/>
      <c r="D72" s="394"/>
      <c r="E72" s="394"/>
      <c r="F72" s="394"/>
      <c r="G72" s="394"/>
      <c r="H72" s="119"/>
      <c r="I72" s="70"/>
      <c r="J72" s="395"/>
      <c r="K72" s="396"/>
      <c r="L72" s="523"/>
      <c r="M72" s="523"/>
      <c r="N72" s="395"/>
      <c r="O72" s="396"/>
      <c r="P72" s="523"/>
      <c r="Q72" s="534"/>
      <c r="R72" s="335"/>
      <c r="S72" s="334"/>
      <c r="T72" s="336"/>
      <c r="U72" s="48"/>
      <c r="V72" s="251"/>
      <c r="W72" s="214"/>
    </row>
    <row r="73" spans="1:25" ht="15.75" hidden="1" customHeight="1" x14ac:dyDescent="0.2">
      <c r="A73" s="129"/>
      <c r="B73" s="127"/>
      <c r="C73" s="49"/>
      <c r="D73" s="49"/>
      <c r="E73" s="49"/>
      <c r="F73" s="49"/>
      <c r="G73" s="49"/>
      <c r="H73" s="18"/>
      <c r="I73" s="18"/>
      <c r="J73" s="504"/>
      <c r="K73" s="64"/>
      <c r="L73" s="437"/>
      <c r="M73" s="437"/>
      <c r="N73" s="504"/>
      <c r="O73" s="64"/>
      <c r="P73" s="437"/>
      <c r="Q73" s="438"/>
      <c r="R73" s="325"/>
      <c r="S73" s="322"/>
      <c r="T73" s="323"/>
      <c r="U73" s="47"/>
      <c r="V73" s="251"/>
      <c r="W73" s="214"/>
    </row>
    <row r="74" spans="1:25" ht="15.75" x14ac:dyDescent="0.2">
      <c r="A74" s="415"/>
      <c r="B74" s="416"/>
      <c r="C74" s="606" t="s">
        <v>1185</v>
      </c>
      <c r="D74" s="417"/>
      <c r="E74" s="417"/>
      <c r="F74" s="417"/>
      <c r="G74" s="417"/>
      <c r="H74" s="418"/>
      <c r="I74" s="418"/>
      <c r="J74" s="419"/>
      <c r="K74" s="419"/>
      <c r="L74" s="524"/>
      <c r="M74" s="524"/>
      <c r="N74" s="419"/>
      <c r="O74" s="419"/>
      <c r="P74" s="524"/>
      <c r="Q74" s="535"/>
      <c r="R74" s="420"/>
      <c r="S74" s="420"/>
      <c r="T74" s="421"/>
      <c r="U74" s="422"/>
      <c r="V74" s="251"/>
      <c r="W74" s="214"/>
    </row>
    <row r="75" spans="1:25" ht="16.5" thickBot="1" x14ac:dyDescent="0.25">
      <c r="A75" s="129"/>
      <c r="B75" s="127"/>
      <c r="C75" s="126" t="s">
        <v>1</v>
      </c>
      <c r="D75" s="49"/>
      <c r="E75" s="49"/>
      <c r="F75" s="49"/>
      <c r="G75" s="49"/>
      <c r="H75" s="18"/>
      <c r="I75" s="18"/>
      <c r="J75" s="64"/>
      <c r="K75" s="64"/>
      <c r="L75" s="437"/>
      <c r="M75" s="437"/>
      <c r="N75" s="64"/>
      <c r="O75" s="64"/>
      <c r="P75" s="437"/>
      <c r="Q75" s="438"/>
      <c r="R75" s="322"/>
      <c r="S75" s="322"/>
      <c r="T75" s="323"/>
      <c r="U75" s="47"/>
      <c r="V75" s="251"/>
      <c r="W75" s="214"/>
    </row>
    <row r="76" spans="1:25" ht="16.5" thickBot="1" x14ac:dyDescent="0.25">
      <c r="A76" s="129"/>
      <c r="B76" s="127"/>
      <c r="C76" s="74" t="s">
        <v>1277</v>
      </c>
      <c r="D76" s="49"/>
      <c r="E76" s="49"/>
      <c r="F76" s="49"/>
      <c r="G76" s="49"/>
      <c r="H76" s="18"/>
      <c r="I76" s="18"/>
      <c r="J76" s="856">
        <f>VLOOKUP('Part 1'!L$16,Datasheet3!$B$6:$GC$332,60,FALSE)</f>
        <v>-27986240</v>
      </c>
      <c r="K76" s="857"/>
      <c r="L76" s="437"/>
      <c r="M76" s="437"/>
      <c r="N76" s="856">
        <f>VLOOKUP('Part 1'!L$16,Datasheet3!$B$6:$GC$332,61,FALSE)</f>
        <v>-13059</v>
      </c>
      <c r="O76" s="857"/>
      <c r="P76" s="437"/>
      <c r="Q76" s="438"/>
      <c r="R76" s="859">
        <f>VLOOKUP(+'Part 1'!$L$16,Datasheet3!$B$6:$GC$332,62,FALSE)</f>
        <v>-27999299</v>
      </c>
      <c r="S76" s="860"/>
      <c r="T76" s="323"/>
      <c r="U76" s="47"/>
      <c r="V76" s="251"/>
      <c r="W76" s="214"/>
    </row>
    <row r="77" spans="1:25" ht="15.75" thickBot="1" x14ac:dyDescent="0.25">
      <c r="A77" s="129"/>
      <c r="B77" s="127"/>
      <c r="C77" s="49"/>
      <c r="D77" s="49"/>
      <c r="E77" s="49"/>
      <c r="F77" s="49"/>
      <c r="G77" s="49"/>
      <c r="H77" s="18"/>
      <c r="I77" s="18"/>
      <c r="J77" s="505"/>
      <c r="K77" s="505"/>
      <c r="L77" s="509"/>
      <c r="M77" s="509"/>
      <c r="N77" s="505"/>
      <c r="O77" s="505"/>
      <c r="P77" s="509"/>
      <c r="Q77" s="439"/>
      <c r="R77" s="439"/>
      <c r="S77" s="439"/>
      <c r="T77" s="324"/>
      <c r="U77" s="47"/>
      <c r="V77" s="251"/>
      <c r="W77" s="214"/>
    </row>
    <row r="78" spans="1:25" ht="16.5" thickBot="1" x14ac:dyDescent="0.25">
      <c r="A78" s="129"/>
      <c r="B78" s="127"/>
      <c r="C78" s="766" t="s">
        <v>997</v>
      </c>
      <c r="D78" s="815"/>
      <c r="E78" s="815"/>
      <c r="F78" s="815"/>
      <c r="G78" s="815"/>
      <c r="H78" s="18"/>
      <c r="I78" s="18"/>
      <c r="J78" s="856">
        <f>VLOOKUP('Part 1'!L$16,Datasheet3!$B$6:$GC$332,63,FALSE)</f>
        <v>-2041272</v>
      </c>
      <c r="K78" s="857"/>
      <c r="L78" s="437"/>
      <c r="M78" s="437"/>
      <c r="N78" s="856">
        <f>VLOOKUP('Part 1'!L$16,Datasheet3!$B$6:$GC$332,64,FALSE)</f>
        <v>-73339</v>
      </c>
      <c r="O78" s="857"/>
      <c r="P78" s="437"/>
      <c r="Q78" s="438"/>
      <c r="R78" s="859">
        <f>VLOOKUP(+'Part 1'!$L$16,Datasheet3!$B$6:$GC$332,65,FALSE)</f>
        <v>-2114611</v>
      </c>
      <c r="S78" s="860"/>
      <c r="T78" s="323"/>
      <c r="U78" s="47"/>
      <c r="V78" s="251"/>
      <c r="W78" s="214"/>
    </row>
    <row r="79" spans="1:25" ht="15.75" x14ac:dyDescent="0.2">
      <c r="A79" s="129"/>
      <c r="B79" s="127"/>
      <c r="C79" s="855"/>
      <c r="D79" s="855"/>
      <c r="E79" s="855"/>
      <c r="F79" s="855"/>
      <c r="G79" s="855"/>
      <c r="H79" s="18"/>
      <c r="I79" s="18"/>
      <c r="J79" s="542"/>
      <c r="K79" s="538"/>
      <c r="L79" s="437"/>
      <c r="M79" s="437"/>
      <c r="N79" s="542"/>
      <c r="O79" s="538"/>
      <c r="P79" s="437"/>
      <c r="Q79" s="438"/>
      <c r="R79" s="508"/>
      <c r="S79" s="438"/>
      <c r="T79" s="323"/>
      <c r="U79" s="47"/>
      <c r="V79" s="251"/>
      <c r="W79" s="214"/>
    </row>
    <row r="80" spans="1:25" ht="15" x14ac:dyDescent="0.2">
      <c r="A80" s="129"/>
      <c r="B80" s="127"/>
      <c r="C80" s="49"/>
      <c r="D80" s="49"/>
      <c r="E80" s="49"/>
      <c r="F80" s="49"/>
      <c r="G80" s="49"/>
      <c r="H80" s="18"/>
      <c r="I80" s="18"/>
      <c r="J80" s="505"/>
      <c r="K80" s="505"/>
      <c r="L80" s="509"/>
      <c r="M80" s="509"/>
      <c r="N80" s="505"/>
      <c r="O80" s="505"/>
      <c r="P80" s="509"/>
      <c r="Q80" s="439"/>
      <c r="R80" s="439"/>
      <c r="S80" s="439"/>
      <c r="T80" s="323"/>
      <c r="U80" s="47"/>
      <c r="V80" s="251"/>
      <c r="W80" s="214"/>
    </row>
    <row r="81" spans="1:23" ht="16.5" thickBot="1" x14ac:dyDescent="0.25">
      <c r="A81" s="129"/>
      <c r="B81" s="127"/>
      <c r="C81" s="126" t="s">
        <v>2</v>
      </c>
      <c r="D81" s="49"/>
      <c r="E81" s="49"/>
      <c r="F81" s="49"/>
      <c r="G81" s="49"/>
      <c r="H81" s="18"/>
      <c r="I81" s="18"/>
      <c r="J81" s="538"/>
      <c r="K81" s="538"/>
      <c r="L81" s="437"/>
      <c r="M81" s="437"/>
      <c r="N81" s="538"/>
      <c r="O81" s="538"/>
      <c r="P81" s="437"/>
      <c r="Q81" s="438"/>
      <c r="R81" s="438"/>
      <c r="S81" s="438"/>
      <c r="T81" s="323"/>
      <c r="U81" s="47"/>
      <c r="V81" s="251"/>
      <c r="W81" s="214"/>
    </row>
    <row r="82" spans="1:23" ht="16.5" customHeight="1" thickBot="1" x14ac:dyDescent="0.25">
      <c r="A82" s="129"/>
      <c r="B82" s="127"/>
      <c r="C82" s="74" t="s">
        <v>1278</v>
      </c>
      <c r="D82" s="49"/>
      <c r="E82" s="49"/>
      <c r="F82" s="49"/>
      <c r="G82" s="49"/>
      <c r="H82" s="18"/>
      <c r="I82" s="18"/>
      <c r="J82" s="856">
        <f>VLOOKUP('Part 1'!L$16,Datasheet3!$B$6:$GC$332,66,FALSE)</f>
        <v>-933388127</v>
      </c>
      <c r="K82" s="857"/>
      <c r="L82" s="437"/>
      <c r="M82" s="437"/>
      <c r="N82" s="856">
        <f>VLOOKUP('Part 1'!L$16,Datasheet3!$B$6:$GC$332,67,FALSE)</f>
        <v>-16278039</v>
      </c>
      <c r="O82" s="857"/>
      <c r="P82" s="437"/>
      <c r="Q82" s="438"/>
      <c r="R82" s="859">
        <f>VLOOKUP(+'Part 1'!$L$16,Datasheet3!$B$6:$GC$332,68,FALSE)</f>
        <v>-949666166</v>
      </c>
      <c r="S82" s="860"/>
      <c r="T82" s="323"/>
      <c r="U82" s="47"/>
      <c r="V82" s="251"/>
      <c r="W82" s="214"/>
    </row>
    <row r="83" spans="1:23" ht="16.5" customHeight="1" thickBot="1" x14ac:dyDescent="0.25">
      <c r="A83" s="129"/>
      <c r="B83" s="127"/>
      <c r="C83" s="49"/>
      <c r="D83" s="49"/>
      <c r="E83" s="49"/>
      <c r="F83" s="49"/>
      <c r="G83" s="49"/>
      <c r="H83" s="18"/>
      <c r="I83" s="18"/>
      <c r="J83" s="505"/>
      <c r="K83" s="505"/>
      <c r="L83" s="509"/>
      <c r="M83" s="509"/>
      <c r="N83" s="505"/>
      <c r="O83" s="505"/>
      <c r="P83" s="509"/>
      <c r="Q83" s="439"/>
      <c r="R83" s="439"/>
      <c r="S83" s="439"/>
      <c r="T83" s="324"/>
      <c r="U83" s="47"/>
      <c r="V83" s="251"/>
      <c r="W83" s="214"/>
    </row>
    <row r="84" spans="1:23" ht="16.5" customHeight="1" thickBot="1" x14ac:dyDescent="0.25">
      <c r="A84" s="129"/>
      <c r="B84" s="127"/>
      <c r="C84" s="766" t="s">
        <v>998</v>
      </c>
      <c r="D84" s="815"/>
      <c r="E84" s="815"/>
      <c r="F84" s="815"/>
      <c r="G84" s="815"/>
      <c r="H84" s="18"/>
      <c r="I84" s="18"/>
      <c r="J84" s="856">
        <f>VLOOKUP('Part 1'!L$16,Datasheet3!$B$6:$GC$332,69,FALSE)</f>
        <v>-18728054.140000001</v>
      </c>
      <c r="K84" s="857"/>
      <c r="L84" s="437"/>
      <c r="M84" s="437"/>
      <c r="N84" s="856">
        <f>VLOOKUP('Part 1'!L$16,Datasheet3!$B$6:$GC$332,70,FALSE)</f>
        <v>428409</v>
      </c>
      <c r="O84" s="857"/>
      <c r="P84" s="437"/>
      <c r="Q84" s="438"/>
      <c r="R84" s="859">
        <f>VLOOKUP(+'Part 1'!$L$16,Datasheet3!$B$6:$GC$332,71,FALSE)</f>
        <v>-18299645.140000001</v>
      </c>
      <c r="S84" s="860"/>
      <c r="T84" s="323"/>
      <c r="U84" s="47"/>
      <c r="V84" s="251"/>
      <c r="W84" s="214"/>
    </row>
    <row r="85" spans="1:23" ht="16.5" customHeight="1" x14ac:dyDescent="0.2">
      <c r="A85" s="129"/>
      <c r="B85" s="127"/>
      <c r="C85" s="855"/>
      <c r="D85" s="855"/>
      <c r="E85" s="855"/>
      <c r="F85" s="855"/>
      <c r="G85" s="855"/>
      <c r="H85" s="18"/>
      <c r="I85" s="18"/>
      <c r="J85" s="504"/>
      <c r="K85" s="64"/>
      <c r="L85" s="437"/>
      <c r="M85" s="437"/>
      <c r="N85" s="504"/>
      <c r="O85" s="64"/>
      <c r="P85" s="437"/>
      <c r="Q85" s="438"/>
      <c r="R85" s="325"/>
      <c r="S85" s="322"/>
      <c r="T85" s="323"/>
      <c r="U85" s="47"/>
      <c r="V85" s="251"/>
      <c r="W85" s="214"/>
    </row>
    <row r="86" spans="1:23" ht="16.5" customHeight="1" thickBot="1" x14ac:dyDescent="0.25">
      <c r="A86" s="129"/>
      <c r="B86" s="127"/>
      <c r="C86" s="135"/>
      <c r="D86" s="135"/>
      <c r="E86" s="135"/>
      <c r="F86" s="135"/>
      <c r="G86" s="135"/>
      <c r="H86" s="18"/>
      <c r="I86" s="18"/>
      <c r="J86" s="504"/>
      <c r="K86" s="64"/>
      <c r="L86" s="437"/>
      <c r="M86" s="437"/>
      <c r="N86" s="504"/>
      <c r="O86" s="64"/>
      <c r="P86" s="437"/>
      <c r="Q86" s="438"/>
      <c r="R86" s="325"/>
      <c r="S86" s="322"/>
      <c r="T86" s="323"/>
      <c r="U86" s="47"/>
      <c r="V86" s="251"/>
      <c r="W86" s="214"/>
    </row>
    <row r="87" spans="1:23" ht="16.5" customHeight="1" thickBot="1" x14ac:dyDescent="0.25">
      <c r="A87" s="129"/>
      <c r="B87" s="150"/>
      <c r="C87" s="166"/>
      <c r="D87" s="166"/>
      <c r="E87" s="166"/>
      <c r="F87" s="166"/>
      <c r="G87" s="166"/>
      <c r="H87" s="152"/>
      <c r="I87" s="152"/>
      <c r="J87" s="161"/>
      <c r="K87" s="153"/>
      <c r="L87" s="513"/>
      <c r="M87" s="513"/>
      <c r="N87" s="161"/>
      <c r="O87" s="153"/>
      <c r="P87" s="513"/>
      <c r="Q87" s="514"/>
      <c r="R87" s="331"/>
      <c r="S87" s="326"/>
      <c r="T87" s="327"/>
      <c r="U87" s="47"/>
      <c r="V87" s="251"/>
      <c r="W87" s="214"/>
    </row>
    <row r="88" spans="1:23" ht="16.5" customHeight="1" thickBot="1" x14ac:dyDescent="0.25">
      <c r="A88" s="129"/>
      <c r="B88" s="155"/>
      <c r="C88" s="858" t="s">
        <v>999</v>
      </c>
      <c r="D88" s="858"/>
      <c r="E88" s="858"/>
      <c r="F88" s="858"/>
      <c r="G88" s="858"/>
      <c r="H88" s="18"/>
      <c r="I88" s="18"/>
      <c r="J88" s="856">
        <f>VLOOKUP('Part 1'!L$16,Datasheet3!$B$6:$GC$332,72,FALSE)</f>
        <v>-982143693</v>
      </c>
      <c r="K88" s="857"/>
      <c r="L88" s="437"/>
      <c r="M88" s="437"/>
      <c r="N88" s="856">
        <f>VLOOKUP('Part 1'!L$16,Datasheet3!$B$6:$GC$332,73,FALSE)</f>
        <v>-15936028</v>
      </c>
      <c r="O88" s="857"/>
      <c r="P88" s="437"/>
      <c r="Q88" s="438"/>
      <c r="R88" s="859">
        <f>VLOOKUP(+'Part 1'!$L$16,Datasheet3!$B$6:$GC$332,74,FALSE)</f>
        <v>-998079721</v>
      </c>
      <c r="S88" s="860"/>
      <c r="T88" s="328"/>
      <c r="U88" s="47"/>
      <c r="V88" s="251"/>
      <c r="W88" s="214"/>
    </row>
    <row r="89" spans="1:23" ht="16.5" customHeight="1" thickBot="1" x14ac:dyDescent="0.25">
      <c r="A89" s="129"/>
      <c r="B89" s="156"/>
      <c r="C89" s="170"/>
      <c r="D89" s="170"/>
      <c r="E89" s="170"/>
      <c r="F89" s="170"/>
      <c r="G89" s="170"/>
      <c r="H89" s="158"/>
      <c r="I89" s="158"/>
      <c r="J89" s="162"/>
      <c r="K89" s="163"/>
      <c r="L89" s="522"/>
      <c r="M89" s="522"/>
      <c r="N89" s="162"/>
      <c r="O89" s="163"/>
      <c r="P89" s="522"/>
      <c r="Q89" s="533"/>
      <c r="R89" s="333"/>
      <c r="S89" s="332"/>
      <c r="T89" s="330"/>
      <c r="U89" s="47"/>
      <c r="V89" s="251"/>
      <c r="W89" s="214"/>
    </row>
    <row r="90" spans="1:23" ht="15" x14ac:dyDescent="0.2">
      <c r="A90" s="129"/>
      <c r="B90" s="127"/>
      <c r="C90" s="49"/>
      <c r="D90" s="49"/>
      <c r="E90" s="49"/>
      <c r="F90" s="49"/>
      <c r="G90" s="49"/>
      <c r="H90" s="18"/>
      <c r="I90" s="18"/>
      <c r="J90" s="64"/>
      <c r="K90" s="64"/>
      <c r="L90" s="437"/>
      <c r="M90" s="437"/>
      <c r="N90" s="64"/>
      <c r="O90" s="64"/>
      <c r="P90" s="437"/>
      <c r="Q90" s="438"/>
      <c r="R90" s="322"/>
      <c r="S90" s="322"/>
      <c r="T90" s="323"/>
      <c r="U90" s="47"/>
      <c r="V90" s="251"/>
      <c r="W90" s="214"/>
    </row>
    <row r="91" spans="1:23" ht="15.75" x14ac:dyDescent="0.2">
      <c r="A91" s="129"/>
      <c r="B91" s="127"/>
      <c r="C91" s="493" t="s">
        <v>1186</v>
      </c>
      <c r="D91" s="49"/>
      <c r="E91" s="49"/>
      <c r="F91" s="49"/>
      <c r="G91" s="49"/>
      <c r="H91" s="18"/>
      <c r="I91" s="18"/>
      <c r="J91" s="64"/>
      <c r="K91" s="64"/>
      <c r="L91" s="437"/>
      <c r="M91" s="437"/>
      <c r="N91" s="64"/>
      <c r="O91" s="64"/>
      <c r="P91" s="437"/>
      <c r="Q91" s="438"/>
      <c r="R91" s="322"/>
      <c r="S91" s="322"/>
      <c r="T91" s="323"/>
      <c r="U91" s="47"/>
      <c r="V91" s="251"/>
      <c r="W91" s="214"/>
    </row>
    <row r="92" spans="1:23" ht="16.5" thickBot="1" x14ac:dyDescent="0.25">
      <c r="A92" s="129"/>
      <c r="B92" s="127"/>
      <c r="C92" s="126" t="s">
        <v>33</v>
      </c>
      <c r="D92" s="49"/>
      <c r="E92" s="49"/>
      <c r="F92" s="49"/>
      <c r="G92" s="49"/>
      <c r="H92" s="18"/>
      <c r="I92" s="18"/>
      <c r="J92" s="64"/>
      <c r="K92" s="64"/>
      <c r="L92" s="437"/>
      <c r="M92" s="437"/>
      <c r="N92" s="64"/>
      <c r="O92" s="64"/>
      <c r="P92" s="437"/>
      <c r="Q92" s="438"/>
      <c r="R92" s="322"/>
      <c r="S92" s="322"/>
      <c r="T92" s="323"/>
      <c r="U92" s="47"/>
      <c r="V92" s="251"/>
      <c r="W92" s="214"/>
    </row>
    <row r="93" spans="1:23" ht="16.5" thickBot="1" x14ac:dyDescent="0.25">
      <c r="A93" s="129"/>
      <c r="B93" s="127"/>
      <c r="C93" s="74" t="s">
        <v>1279</v>
      </c>
      <c r="D93" s="49"/>
      <c r="E93" s="49"/>
      <c r="F93" s="49"/>
      <c r="G93" s="49"/>
      <c r="H93" s="18"/>
      <c r="I93" s="18"/>
      <c r="J93" s="856">
        <f>VLOOKUP('Part 1'!L$16,Datasheet3!$B$6:$GC$332,75,FALSE)</f>
        <v>-43546442</v>
      </c>
      <c r="K93" s="857"/>
      <c r="L93" s="437"/>
      <c r="M93" s="437"/>
      <c r="N93" s="856">
        <f>VLOOKUP('Part 1'!L$16,Datasheet3!$B$6:$GC$332,76,FALSE)</f>
        <v>-65529</v>
      </c>
      <c r="O93" s="857"/>
      <c r="P93" s="437"/>
      <c r="Q93" s="438"/>
      <c r="R93" s="859">
        <f>VLOOKUP(+'Part 1'!$L$16,Datasheet3!$B$6:$GC$332,77,FALSE)</f>
        <v>-43611971</v>
      </c>
      <c r="S93" s="860"/>
      <c r="T93" s="323"/>
      <c r="U93" s="47"/>
      <c r="V93" s="251"/>
      <c r="W93" s="214"/>
    </row>
    <row r="94" spans="1:23" ht="15.75" thickBot="1" x14ac:dyDescent="0.25">
      <c r="A94" s="129"/>
      <c r="B94" s="127"/>
      <c r="C94" s="49"/>
      <c r="D94" s="49"/>
      <c r="E94" s="49"/>
      <c r="F94" s="49"/>
      <c r="G94" s="49"/>
      <c r="H94" s="18"/>
      <c r="I94" s="18"/>
      <c r="J94" s="505"/>
      <c r="K94" s="505"/>
      <c r="L94" s="509"/>
      <c r="M94" s="509"/>
      <c r="N94" s="505"/>
      <c r="O94" s="505"/>
      <c r="P94" s="509"/>
      <c r="Q94" s="439"/>
      <c r="R94" s="439"/>
      <c r="S94" s="439"/>
      <c r="T94" s="324"/>
      <c r="U94" s="47"/>
      <c r="V94" s="251"/>
      <c r="W94" s="214"/>
    </row>
    <row r="95" spans="1:23" ht="16.5" thickBot="1" x14ac:dyDescent="0.25">
      <c r="A95" s="129"/>
      <c r="B95" s="127"/>
      <c r="C95" s="766" t="s">
        <v>1000</v>
      </c>
      <c r="D95" s="815"/>
      <c r="E95" s="815"/>
      <c r="F95" s="815"/>
      <c r="G95" s="815"/>
      <c r="H95" s="18"/>
      <c r="I95" s="18"/>
      <c r="J95" s="856">
        <f>VLOOKUP('Part 1'!L$16,Datasheet3!$B$6:$GC$332,78,FALSE)</f>
        <v>-1018949.29</v>
      </c>
      <c r="K95" s="857"/>
      <c r="L95" s="437"/>
      <c r="M95" s="437"/>
      <c r="N95" s="856">
        <f>VLOOKUP('Part 1'!L$16,Datasheet3!$B$6:$GC$332,79,FALSE)</f>
        <v>-14185</v>
      </c>
      <c r="O95" s="857"/>
      <c r="P95" s="437"/>
      <c r="Q95" s="438"/>
      <c r="R95" s="859">
        <f>VLOOKUP(+'Part 1'!$L$16,Datasheet3!$B$6:$GC$332,80,FALSE)</f>
        <v>-1033134.29</v>
      </c>
      <c r="S95" s="860"/>
      <c r="T95" s="323"/>
      <c r="U95" s="47"/>
      <c r="V95" s="251"/>
      <c r="W95" s="214"/>
    </row>
    <row r="96" spans="1:23" ht="15.75" x14ac:dyDescent="0.2">
      <c r="A96" s="129"/>
      <c r="B96" s="127"/>
      <c r="C96" s="855"/>
      <c r="D96" s="855"/>
      <c r="E96" s="855"/>
      <c r="F96" s="855"/>
      <c r="G96" s="855"/>
      <c r="H96" s="18"/>
      <c r="I96" s="18"/>
      <c r="J96" s="542"/>
      <c r="K96" s="538"/>
      <c r="L96" s="437"/>
      <c r="M96" s="437"/>
      <c r="N96" s="542"/>
      <c r="O96" s="538"/>
      <c r="P96" s="437"/>
      <c r="Q96" s="438"/>
      <c r="R96" s="508"/>
      <c r="S96" s="438"/>
      <c r="T96" s="323"/>
      <c r="U96" s="47"/>
      <c r="V96" s="251"/>
      <c r="W96" s="214"/>
    </row>
    <row r="97" spans="1:23" ht="15.75" x14ac:dyDescent="0.2">
      <c r="A97" s="129"/>
      <c r="B97" s="127"/>
      <c r="C97" s="126"/>
      <c r="D97" s="49"/>
      <c r="E97" s="49"/>
      <c r="F97" s="49"/>
      <c r="G97" s="49"/>
      <c r="H97" s="18"/>
      <c r="I97" s="18"/>
      <c r="J97" s="538"/>
      <c r="K97" s="538"/>
      <c r="L97" s="437"/>
      <c r="M97" s="437"/>
      <c r="N97" s="538"/>
      <c r="O97" s="538"/>
      <c r="P97" s="437"/>
      <c r="Q97" s="438"/>
      <c r="R97" s="438"/>
      <c r="S97" s="438"/>
      <c r="T97" s="323"/>
      <c r="U97" s="47"/>
      <c r="V97" s="251"/>
      <c r="W97" s="214"/>
    </row>
    <row r="98" spans="1:23" ht="16.5" thickBot="1" x14ac:dyDescent="0.25">
      <c r="A98" s="129"/>
      <c r="B98" s="127"/>
      <c r="C98" s="126" t="s">
        <v>29</v>
      </c>
      <c r="D98" s="49"/>
      <c r="E98" s="49"/>
      <c r="F98" s="49"/>
      <c r="G98" s="49"/>
      <c r="H98" s="18"/>
      <c r="I98" s="18"/>
      <c r="J98" s="538"/>
      <c r="K98" s="538"/>
      <c r="L98" s="437"/>
      <c r="M98" s="437"/>
      <c r="N98" s="538"/>
      <c r="O98" s="538"/>
      <c r="P98" s="437"/>
      <c r="Q98" s="438"/>
      <c r="R98" s="438"/>
      <c r="S98" s="438"/>
      <c r="T98" s="323"/>
      <c r="U98" s="47"/>
      <c r="V98" s="251"/>
      <c r="W98" s="214"/>
    </row>
    <row r="99" spans="1:23" ht="16.5" thickBot="1" x14ac:dyDescent="0.25">
      <c r="A99" s="129"/>
      <c r="B99" s="127"/>
      <c r="C99" s="74" t="s">
        <v>1280</v>
      </c>
      <c r="D99" s="49"/>
      <c r="E99" s="49"/>
      <c r="F99" s="49"/>
      <c r="G99" s="49"/>
      <c r="H99" s="18"/>
      <c r="I99" s="18"/>
      <c r="J99" s="856">
        <f>VLOOKUP('Part 1'!L$16,Datasheet3!$B$6:$GC$332,81,FALSE)</f>
        <v>-40349141</v>
      </c>
      <c r="K99" s="857"/>
      <c r="L99" s="437"/>
      <c r="M99" s="437"/>
      <c r="N99" s="856">
        <f>VLOOKUP('Part 1'!L$16,Datasheet3!$B$6:$GC$332,82,FALSE)</f>
        <v>-321563</v>
      </c>
      <c r="O99" s="857"/>
      <c r="P99" s="437"/>
      <c r="Q99" s="438"/>
      <c r="R99" s="859">
        <f>VLOOKUP(+'Part 1'!$L$16,Datasheet3!$B$6:$GC$332,83,FALSE)</f>
        <v>-40670704</v>
      </c>
      <c r="S99" s="860"/>
      <c r="T99" s="323"/>
      <c r="U99" s="47"/>
      <c r="V99" s="251"/>
      <c r="W99" s="214"/>
    </row>
    <row r="100" spans="1:23" ht="15.75" thickBot="1" x14ac:dyDescent="0.25">
      <c r="A100" s="129"/>
      <c r="B100" s="127"/>
      <c r="C100" s="49"/>
      <c r="D100" s="49"/>
      <c r="E100" s="49"/>
      <c r="F100" s="49"/>
      <c r="G100" s="49"/>
      <c r="H100" s="18"/>
      <c r="I100" s="18"/>
      <c r="J100" s="505"/>
      <c r="K100" s="505"/>
      <c r="L100" s="509"/>
      <c r="M100" s="509"/>
      <c r="N100" s="505"/>
      <c r="O100" s="505"/>
      <c r="P100" s="509"/>
      <c r="Q100" s="439"/>
      <c r="R100" s="439"/>
      <c r="S100" s="439"/>
      <c r="T100" s="323"/>
      <c r="U100" s="47"/>
      <c r="V100" s="251"/>
      <c r="W100" s="214"/>
    </row>
    <row r="101" spans="1:23" ht="16.5" thickBot="1" x14ac:dyDescent="0.25">
      <c r="A101" s="129"/>
      <c r="B101" s="127"/>
      <c r="C101" s="766" t="s">
        <v>1001</v>
      </c>
      <c r="D101" s="815"/>
      <c r="E101" s="815"/>
      <c r="F101" s="815"/>
      <c r="G101" s="815"/>
      <c r="H101" s="18"/>
      <c r="I101" s="18"/>
      <c r="J101" s="856">
        <f>VLOOKUP('Part 1'!L$16,Datasheet3!$B$6:$GC$332,84,FALSE)</f>
        <v>-3684514.06</v>
      </c>
      <c r="K101" s="857"/>
      <c r="L101" s="437"/>
      <c r="M101" s="437"/>
      <c r="N101" s="856">
        <f>VLOOKUP('Part 1'!L$16,Datasheet3!$B$6:$GC$332,85,FALSE)</f>
        <v>-16496</v>
      </c>
      <c r="O101" s="857"/>
      <c r="P101" s="437"/>
      <c r="Q101" s="438"/>
      <c r="R101" s="859">
        <f>VLOOKUP(+'Part 1'!$L$16,Datasheet3!$B$6:$GC$332,86,FALSE)</f>
        <v>-3701010.06</v>
      </c>
      <c r="S101" s="860"/>
      <c r="T101" s="323"/>
      <c r="U101" s="47"/>
      <c r="V101" s="251"/>
      <c r="W101" s="214"/>
    </row>
    <row r="102" spans="1:23" ht="15.75" x14ac:dyDescent="0.2">
      <c r="A102" s="129"/>
      <c r="B102" s="127"/>
      <c r="C102" s="855"/>
      <c r="D102" s="855"/>
      <c r="E102" s="855"/>
      <c r="F102" s="855"/>
      <c r="G102" s="855"/>
      <c r="H102" s="18"/>
      <c r="I102" s="18"/>
      <c r="J102" s="542"/>
      <c r="K102" s="538"/>
      <c r="L102" s="437"/>
      <c r="M102" s="437"/>
      <c r="N102" s="542"/>
      <c r="O102" s="538"/>
      <c r="P102" s="437"/>
      <c r="Q102" s="438"/>
      <c r="R102" s="508"/>
      <c r="S102" s="438"/>
      <c r="T102" s="323"/>
      <c r="U102" s="47"/>
      <c r="V102" s="251"/>
      <c r="W102" s="214"/>
    </row>
    <row r="103" spans="1:23" ht="15.75" x14ac:dyDescent="0.2">
      <c r="A103" s="129"/>
      <c r="B103" s="127"/>
      <c r="C103" s="501"/>
      <c r="D103" s="501"/>
      <c r="E103" s="501"/>
      <c r="F103" s="501"/>
      <c r="G103" s="501"/>
      <c r="H103" s="18"/>
      <c r="I103" s="18"/>
      <c r="J103" s="542"/>
      <c r="K103" s="538"/>
      <c r="L103" s="437"/>
      <c r="M103" s="437"/>
      <c r="N103" s="542"/>
      <c r="O103" s="538"/>
      <c r="P103" s="437"/>
      <c r="Q103" s="438"/>
      <c r="R103" s="508"/>
      <c r="S103" s="438"/>
      <c r="T103" s="323"/>
      <c r="U103" s="47"/>
      <c r="V103" s="251"/>
      <c r="W103" s="214"/>
    </row>
    <row r="104" spans="1:23" ht="16.5" thickBot="1" x14ac:dyDescent="0.25">
      <c r="A104" s="129"/>
      <c r="B104" s="127"/>
      <c r="C104" s="126" t="s">
        <v>28</v>
      </c>
      <c r="D104" s="49"/>
      <c r="E104" s="49"/>
      <c r="F104" s="49"/>
      <c r="G104" s="49"/>
      <c r="H104" s="18"/>
      <c r="I104" s="18"/>
      <c r="J104" s="538"/>
      <c r="K104" s="538"/>
      <c r="L104" s="437"/>
      <c r="M104" s="437"/>
      <c r="N104" s="538"/>
      <c r="O104" s="538"/>
      <c r="P104" s="437"/>
      <c r="Q104" s="438"/>
      <c r="R104" s="438"/>
      <c r="S104" s="438"/>
      <c r="T104" s="323"/>
      <c r="U104" s="47"/>
      <c r="V104" s="251"/>
      <c r="W104" s="214"/>
    </row>
    <row r="105" spans="1:23" ht="16.5" thickBot="1" x14ac:dyDescent="0.25">
      <c r="A105" s="129"/>
      <c r="B105" s="127"/>
      <c r="C105" s="74" t="s">
        <v>1281</v>
      </c>
      <c r="D105" s="49"/>
      <c r="E105" s="49"/>
      <c r="F105" s="49"/>
      <c r="G105" s="49"/>
      <c r="H105" s="18"/>
      <c r="I105" s="18"/>
      <c r="J105" s="856">
        <f>VLOOKUP('Part 1'!L$16,Datasheet3!$B$6:$GC$332,87,FALSE)</f>
        <v>-1336227</v>
      </c>
      <c r="K105" s="857"/>
      <c r="L105" s="437"/>
      <c r="M105" s="437"/>
      <c r="N105" s="856">
        <f>VLOOKUP('Part 1'!L$16,Datasheet3!$B$6:$GC$332,88,FALSE)</f>
        <v>0</v>
      </c>
      <c r="O105" s="857"/>
      <c r="P105" s="437"/>
      <c r="Q105" s="438"/>
      <c r="R105" s="859">
        <f>VLOOKUP(+'Part 1'!$L$16,Datasheet3!$B$6:$GC$332,89,FALSE)</f>
        <v>-1336227</v>
      </c>
      <c r="S105" s="860"/>
      <c r="T105" s="323"/>
      <c r="U105" s="47"/>
      <c r="V105" s="251"/>
      <c r="W105" s="214"/>
    </row>
    <row r="106" spans="1:23" ht="15.75" thickBot="1" x14ac:dyDescent="0.25">
      <c r="A106" s="129"/>
      <c r="B106" s="127"/>
      <c r="C106" s="49"/>
      <c r="D106" s="49"/>
      <c r="E106" s="49"/>
      <c r="F106" s="49"/>
      <c r="G106" s="49"/>
      <c r="H106" s="18"/>
      <c r="I106" s="18"/>
      <c r="J106" s="505"/>
      <c r="K106" s="505"/>
      <c r="L106" s="509"/>
      <c r="M106" s="509"/>
      <c r="N106" s="505"/>
      <c r="O106" s="505"/>
      <c r="P106" s="509"/>
      <c r="Q106" s="439"/>
      <c r="R106" s="439"/>
      <c r="S106" s="439"/>
      <c r="T106" s="323"/>
      <c r="U106" s="47"/>
      <c r="V106" s="251"/>
      <c r="W106" s="214"/>
    </row>
    <row r="107" spans="1:23" ht="16.5" thickBot="1" x14ac:dyDescent="0.25">
      <c r="A107" s="129"/>
      <c r="B107" s="127"/>
      <c r="C107" s="766" t="s">
        <v>1002</v>
      </c>
      <c r="D107" s="815"/>
      <c r="E107" s="815"/>
      <c r="F107" s="815"/>
      <c r="G107" s="815"/>
      <c r="H107" s="18"/>
      <c r="I107" s="18"/>
      <c r="J107" s="856">
        <f>VLOOKUP('Part 1'!L$16,Datasheet3!$B$6:$GC$332,90,FALSE)</f>
        <v>-146138</v>
      </c>
      <c r="K107" s="857"/>
      <c r="L107" s="437"/>
      <c r="M107" s="437"/>
      <c r="N107" s="856">
        <f>VLOOKUP('Part 1'!L$16,Datasheet3!$B$6:$GC$332,91,FALSE)</f>
        <v>0</v>
      </c>
      <c r="O107" s="857"/>
      <c r="P107" s="437"/>
      <c r="Q107" s="438"/>
      <c r="R107" s="859">
        <f>VLOOKUP(+'Part 1'!$L$16,Datasheet3!$B$6:$GC$332,92,FALSE)</f>
        <v>-146138</v>
      </c>
      <c r="S107" s="860"/>
      <c r="T107" s="323"/>
      <c r="U107" s="47"/>
      <c r="V107" s="251"/>
      <c r="W107" s="214"/>
    </row>
    <row r="108" spans="1:23" ht="15.75" x14ac:dyDescent="0.2">
      <c r="A108" s="129"/>
      <c r="B108" s="127"/>
      <c r="C108" s="855"/>
      <c r="D108" s="855"/>
      <c r="E108" s="855"/>
      <c r="F108" s="855"/>
      <c r="G108" s="855"/>
      <c r="H108" s="18"/>
      <c r="I108" s="18"/>
      <c r="J108" s="542"/>
      <c r="K108" s="538"/>
      <c r="L108" s="437"/>
      <c r="M108" s="437"/>
      <c r="N108" s="542"/>
      <c r="O108" s="538"/>
      <c r="P108" s="437"/>
      <c r="Q108" s="438"/>
      <c r="R108" s="508"/>
      <c r="S108" s="438"/>
      <c r="T108" s="323"/>
      <c r="U108" s="47"/>
      <c r="V108" s="251"/>
      <c r="W108" s="214"/>
    </row>
    <row r="109" spans="1:23" ht="15" x14ac:dyDescent="0.2">
      <c r="A109" s="129"/>
      <c r="B109" s="127"/>
      <c r="C109" s="49"/>
      <c r="D109" s="49"/>
      <c r="E109" s="49"/>
      <c r="F109" s="49"/>
      <c r="G109" s="49"/>
      <c r="H109" s="18"/>
      <c r="I109" s="18"/>
      <c r="J109" s="505"/>
      <c r="K109" s="505"/>
      <c r="L109" s="509"/>
      <c r="M109" s="509"/>
      <c r="N109" s="505"/>
      <c r="O109" s="505"/>
      <c r="P109" s="509"/>
      <c r="Q109" s="439"/>
      <c r="R109" s="439"/>
      <c r="S109" s="439"/>
      <c r="T109" s="323"/>
      <c r="U109" s="47"/>
      <c r="V109" s="251"/>
      <c r="W109" s="214"/>
    </row>
    <row r="110" spans="1:23" ht="16.5" thickBot="1" x14ac:dyDescent="0.25">
      <c r="A110" s="129"/>
      <c r="B110" s="127"/>
      <c r="C110" s="126" t="s">
        <v>34</v>
      </c>
      <c r="D110" s="49"/>
      <c r="E110" s="49"/>
      <c r="F110" s="49"/>
      <c r="G110" s="49"/>
      <c r="H110" s="18"/>
      <c r="I110" s="18"/>
      <c r="J110" s="538"/>
      <c r="K110" s="538"/>
      <c r="L110" s="437"/>
      <c r="M110" s="437"/>
      <c r="N110" s="538"/>
      <c r="O110" s="538"/>
      <c r="P110" s="437"/>
      <c r="Q110" s="438"/>
      <c r="R110" s="438"/>
      <c r="S110" s="438"/>
      <c r="T110" s="323"/>
      <c r="U110" s="47"/>
      <c r="V110" s="251"/>
      <c r="W110" s="214"/>
    </row>
    <row r="111" spans="1:23" ht="16.5" thickBot="1" x14ac:dyDescent="0.25">
      <c r="A111" s="129"/>
      <c r="B111" s="127"/>
      <c r="C111" s="74" t="s">
        <v>1282</v>
      </c>
      <c r="D111" s="49"/>
      <c r="E111" s="49"/>
      <c r="F111" s="49"/>
      <c r="G111" s="49"/>
      <c r="H111" s="18"/>
      <c r="I111" s="18"/>
      <c r="J111" s="856">
        <f>VLOOKUP('Part 1'!L$16,Datasheet3!$B$6:$GC$332,93,FALSE)</f>
        <v>-2849273</v>
      </c>
      <c r="K111" s="857"/>
      <c r="L111" s="437"/>
      <c r="M111" s="437"/>
      <c r="N111" s="856">
        <f>VLOOKUP('Part 1'!L$16,Datasheet3!$B$6:$GC$332,94,FALSE)</f>
        <v>0</v>
      </c>
      <c r="O111" s="857"/>
      <c r="P111" s="437"/>
      <c r="Q111" s="438"/>
      <c r="R111" s="859">
        <f>VLOOKUP(+'Part 1'!$L$16,Datasheet3!$B$6:$GC$332,95,FALSE)</f>
        <v>-2849273</v>
      </c>
      <c r="S111" s="860"/>
      <c r="T111" s="323"/>
      <c r="U111" s="47"/>
      <c r="V111" s="251"/>
      <c r="W111" s="214"/>
    </row>
    <row r="112" spans="1:23" ht="15.75" thickBot="1" x14ac:dyDescent="0.25">
      <c r="A112" s="129"/>
      <c r="B112" s="127"/>
      <c r="C112" s="49"/>
      <c r="D112" s="49"/>
      <c r="E112" s="49"/>
      <c r="F112" s="49"/>
      <c r="G112" s="49"/>
      <c r="H112" s="18"/>
      <c r="I112" s="18"/>
      <c r="J112" s="505"/>
      <c r="K112" s="505"/>
      <c r="L112" s="509"/>
      <c r="M112" s="509"/>
      <c r="N112" s="505"/>
      <c r="O112" s="505"/>
      <c r="P112" s="509"/>
      <c r="Q112" s="439"/>
      <c r="R112" s="439"/>
      <c r="S112" s="439"/>
      <c r="T112" s="324"/>
      <c r="U112" s="47"/>
      <c r="V112" s="251"/>
      <c r="W112" s="214"/>
    </row>
    <row r="113" spans="1:23" ht="16.5" thickBot="1" x14ac:dyDescent="0.25">
      <c r="A113" s="129"/>
      <c r="B113" s="127"/>
      <c r="C113" s="766" t="s">
        <v>1003</v>
      </c>
      <c r="D113" s="815"/>
      <c r="E113" s="815"/>
      <c r="F113" s="815"/>
      <c r="G113" s="815"/>
      <c r="H113" s="18"/>
      <c r="I113" s="18"/>
      <c r="J113" s="856">
        <f>VLOOKUP('Part 1'!L$16,Datasheet3!$B$6:$GC$332,96,FALSE)</f>
        <v>-50427</v>
      </c>
      <c r="K113" s="857"/>
      <c r="L113" s="437"/>
      <c r="M113" s="437"/>
      <c r="N113" s="856">
        <f>VLOOKUP('Part 1'!L$16,Datasheet3!$B$6:$GC$332,97,FALSE)</f>
        <v>0</v>
      </c>
      <c r="O113" s="857"/>
      <c r="P113" s="437"/>
      <c r="Q113" s="438"/>
      <c r="R113" s="859">
        <f>VLOOKUP(+'Part 1'!$L$16,Datasheet3!$B$6:$GC$332,98,FALSE)</f>
        <v>-50427</v>
      </c>
      <c r="S113" s="860"/>
      <c r="T113" s="323"/>
      <c r="U113" s="47"/>
      <c r="V113" s="251"/>
      <c r="W113" s="214"/>
    </row>
    <row r="114" spans="1:23" ht="15.75" x14ac:dyDescent="0.2">
      <c r="A114" s="129"/>
      <c r="B114" s="127"/>
      <c r="C114" s="855"/>
      <c r="D114" s="855"/>
      <c r="E114" s="855"/>
      <c r="F114" s="855"/>
      <c r="G114" s="855"/>
      <c r="H114" s="18"/>
      <c r="I114" s="18"/>
      <c r="J114" s="543"/>
      <c r="K114" s="437"/>
      <c r="L114" s="437"/>
      <c r="M114" s="437"/>
      <c r="N114" s="543"/>
      <c r="O114" s="437"/>
      <c r="P114" s="437"/>
      <c r="Q114" s="438"/>
      <c r="R114" s="508"/>
      <c r="S114" s="438"/>
      <c r="T114" s="323"/>
      <c r="U114" s="47"/>
      <c r="V114" s="251"/>
      <c r="W114" s="214"/>
    </row>
    <row r="115" spans="1:23" ht="16.5" thickBot="1" x14ac:dyDescent="0.25">
      <c r="A115" s="132"/>
      <c r="B115" s="133"/>
      <c r="C115" s="134"/>
      <c r="D115" s="134"/>
      <c r="E115" s="134"/>
      <c r="F115" s="134"/>
      <c r="G115" s="134"/>
      <c r="H115" s="119"/>
      <c r="I115" s="119"/>
      <c r="J115" s="544"/>
      <c r="K115" s="525"/>
      <c r="L115" s="525"/>
      <c r="M115" s="525"/>
      <c r="N115" s="544"/>
      <c r="O115" s="525"/>
      <c r="P115" s="525"/>
      <c r="Q115" s="534"/>
      <c r="R115" s="545"/>
      <c r="S115" s="534"/>
      <c r="T115" s="336"/>
      <c r="U115" s="122"/>
      <c r="V115" s="251"/>
      <c r="W115" s="214"/>
    </row>
    <row r="116" spans="1:23" ht="16.5" thickBot="1" x14ac:dyDescent="0.25">
      <c r="A116" s="129"/>
      <c r="B116" s="127"/>
      <c r="C116" s="126" t="s">
        <v>30</v>
      </c>
      <c r="D116" s="49"/>
      <c r="E116" s="49"/>
      <c r="F116" s="49"/>
      <c r="G116" s="49"/>
      <c r="H116" s="18"/>
      <c r="I116" s="18"/>
      <c r="J116" s="437"/>
      <c r="K116" s="437"/>
      <c r="L116" s="437"/>
      <c r="M116" s="437"/>
      <c r="N116" s="437"/>
      <c r="O116" s="437"/>
      <c r="P116" s="437"/>
      <c r="Q116" s="438"/>
      <c r="R116" s="438"/>
      <c r="S116" s="438"/>
      <c r="T116" s="323"/>
      <c r="U116" s="47"/>
      <c r="V116" s="251"/>
      <c r="W116" s="214"/>
    </row>
    <row r="117" spans="1:23" ht="16.5" thickBot="1" x14ac:dyDescent="0.25">
      <c r="A117" s="129"/>
      <c r="B117" s="127"/>
      <c r="C117" s="74" t="s">
        <v>1283</v>
      </c>
      <c r="D117" s="49"/>
      <c r="E117" s="49"/>
      <c r="F117" s="49"/>
      <c r="G117" s="49"/>
      <c r="H117" s="18"/>
      <c r="I117" s="18"/>
      <c r="J117" s="856">
        <f>VLOOKUP('Part 1'!L$16,Datasheet3!$B$6:$GC$332,99,FALSE)</f>
        <v>-1595270</v>
      </c>
      <c r="K117" s="857"/>
      <c r="L117" s="437"/>
      <c r="M117" s="437"/>
      <c r="N117" s="856">
        <f>VLOOKUP('Part 1'!L$16,Datasheet3!$B$6:$GC$332,100,FALSE)</f>
        <v>0</v>
      </c>
      <c r="O117" s="857"/>
      <c r="P117" s="437"/>
      <c r="Q117" s="438"/>
      <c r="R117" s="859">
        <f>VLOOKUP(+'Part 1'!$L$16,Datasheet3!$B$6:$GC$332,101,FALSE)</f>
        <v>-1595270</v>
      </c>
      <c r="S117" s="860"/>
      <c r="T117" s="323"/>
      <c r="U117" s="47"/>
      <c r="V117" s="251"/>
      <c r="W117" s="214"/>
    </row>
    <row r="118" spans="1:23" ht="15.75" thickBot="1" x14ac:dyDescent="0.25">
      <c r="A118" s="129"/>
      <c r="B118" s="127"/>
      <c r="C118" s="49"/>
      <c r="D118" s="49"/>
      <c r="E118" s="49"/>
      <c r="F118" s="49"/>
      <c r="G118" s="49"/>
      <c r="H118" s="18"/>
      <c r="I118" s="18"/>
      <c r="J118" s="505"/>
      <c r="K118" s="505"/>
      <c r="L118" s="509"/>
      <c r="M118" s="509"/>
      <c r="N118" s="505"/>
      <c r="O118" s="505"/>
      <c r="P118" s="509"/>
      <c r="Q118" s="439"/>
      <c r="R118" s="439"/>
      <c r="S118" s="439"/>
      <c r="T118" s="323"/>
      <c r="U118" s="47"/>
      <c r="V118" s="251"/>
      <c r="W118" s="214"/>
    </row>
    <row r="119" spans="1:23" ht="16.5" thickBot="1" x14ac:dyDescent="0.25">
      <c r="A119" s="129"/>
      <c r="B119" s="127"/>
      <c r="C119" s="766" t="s">
        <v>1004</v>
      </c>
      <c r="D119" s="815"/>
      <c r="E119" s="815"/>
      <c r="F119" s="815"/>
      <c r="G119" s="815"/>
      <c r="H119" s="18"/>
      <c r="I119" s="18"/>
      <c r="J119" s="856">
        <f>VLOOKUP('Part 1'!L$16,Datasheet3!$B$6:$GC$332,102,FALSE)</f>
        <v>-34508.080000000002</v>
      </c>
      <c r="K119" s="857"/>
      <c r="L119" s="437"/>
      <c r="M119" s="437"/>
      <c r="N119" s="856">
        <f>VLOOKUP('Part 1'!L$16,Datasheet3!$B$6:$GC$332,103,FALSE)</f>
        <v>0</v>
      </c>
      <c r="O119" s="857"/>
      <c r="P119" s="437"/>
      <c r="Q119" s="438"/>
      <c r="R119" s="859">
        <f>VLOOKUP(+'Part 1'!$L$16,Datasheet3!$B$6:$GC$332,104,FALSE)</f>
        <v>-34508.080000000002</v>
      </c>
      <c r="S119" s="860"/>
      <c r="T119" s="323"/>
      <c r="U119" s="47"/>
      <c r="V119" s="251"/>
      <c r="W119" s="214"/>
    </row>
    <row r="120" spans="1:23" ht="15.75" x14ac:dyDescent="0.2">
      <c r="A120" s="129"/>
      <c r="B120" s="127"/>
      <c r="C120" s="855"/>
      <c r="D120" s="855"/>
      <c r="E120" s="855"/>
      <c r="F120" s="855"/>
      <c r="G120" s="855"/>
      <c r="H120" s="18"/>
      <c r="I120" s="18"/>
      <c r="J120" s="543"/>
      <c r="K120" s="437"/>
      <c r="L120" s="437"/>
      <c r="M120" s="437"/>
      <c r="N120" s="543"/>
      <c r="O120" s="437"/>
      <c r="P120" s="437"/>
      <c r="Q120" s="438"/>
      <c r="R120" s="508"/>
      <c r="S120" s="438"/>
      <c r="T120" s="323"/>
      <c r="U120" s="47"/>
      <c r="V120" s="251"/>
      <c r="W120" s="214"/>
    </row>
    <row r="121" spans="1:23" ht="15" x14ac:dyDescent="0.2">
      <c r="A121" s="129"/>
      <c r="B121" s="127"/>
      <c r="C121" s="49"/>
      <c r="D121" s="49"/>
      <c r="E121" s="49"/>
      <c r="F121" s="49"/>
      <c r="G121" s="49"/>
      <c r="H121" s="18"/>
      <c r="I121" s="18"/>
      <c r="J121" s="437"/>
      <c r="K121" s="437"/>
      <c r="L121" s="437"/>
      <c r="M121" s="437"/>
      <c r="N121" s="437"/>
      <c r="O121" s="437"/>
      <c r="P121" s="437"/>
      <c r="Q121" s="438"/>
      <c r="R121" s="438"/>
      <c r="S121" s="438"/>
      <c r="T121" s="323"/>
      <c r="U121" s="47"/>
      <c r="V121" s="251"/>
      <c r="W121" s="214"/>
    </row>
    <row r="122" spans="1:23" ht="16.5" thickBot="1" x14ac:dyDescent="0.25">
      <c r="A122" s="129"/>
      <c r="B122" s="127"/>
      <c r="C122" s="126" t="s">
        <v>36</v>
      </c>
      <c r="D122" s="49"/>
      <c r="E122" s="49"/>
      <c r="F122" s="49"/>
      <c r="G122" s="49"/>
      <c r="H122" s="18"/>
      <c r="I122" s="18"/>
      <c r="J122" s="437"/>
      <c r="K122" s="437"/>
      <c r="L122" s="437"/>
      <c r="M122" s="437"/>
      <c r="N122" s="437"/>
      <c r="O122" s="437"/>
      <c r="P122" s="437"/>
      <c r="Q122" s="438"/>
      <c r="R122" s="438"/>
      <c r="S122" s="438"/>
      <c r="T122" s="323"/>
      <c r="U122" s="47"/>
      <c r="V122" s="251"/>
      <c r="W122" s="214"/>
    </row>
    <row r="123" spans="1:23" ht="16.5" thickBot="1" x14ac:dyDescent="0.25">
      <c r="A123" s="129"/>
      <c r="B123" s="127"/>
      <c r="C123" s="74" t="s">
        <v>1284</v>
      </c>
      <c r="D123" s="49"/>
      <c r="E123" s="49"/>
      <c r="F123" s="49"/>
      <c r="G123" s="49"/>
      <c r="H123" s="18"/>
      <c r="I123" s="18"/>
      <c r="J123" s="856">
        <f>VLOOKUP('Part 1'!L$16,Datasheet3!$B$6:$GC$332,105,FALSE)</f>
        <v>-5980295</v>
      </c>
      <c r="K123" s="857"/>
      <c r="L123" s="437"/>
      <c r="M123" s="437"/>
      <c r="N123" s="856">
        <f>VLOOKUP('Part 1'!L$16,Datasheet3!$B$6:$GC$332,106,FALSE)</f>
        <v>-11063546</v>
      </c>
      <c r="O123" s="857"/>
      <c r="P123" s="437"/>
      <c r="Q123" s="438"/>
      <c r="R123" s="859">
        <f>VLOOKUP(+'Part 1'!$L$16,Datasheet3!$B$6:$GC$332,107,FALSE)</f>
        <v>-17043841</v>
      </c>
      <c r="S123" s="860"/>
      <c r="T123" s="323"/>
      <c r="U123" s="47"/>
      <c r="V123" s="251"/>
      <c r="W123" s="214"/>
    </row>
    <row r="124" spans="1:23" ht="15.75" thickBot="1" x14ac:dyDescent="0.25">
      <c r="A124" s="129"/>
      <c r="B124" s="127"/>
      <c r="C124" s="49"/>
      <c r="D124" s="49"/>
      <c r="E124" s="49"/>
      <c r="F124" s="49"/>
      <c r="G124" s="49"/>
      <c r="H124" s="18"/>
      <c r="I124" s="18"/>
      <c r="J124" s="505"/>
      <c r="K124" s="505"/>
      <c r="L124" s="509"/>
      <c r="M124" s="509"/>
      <c r="N124" s="505"/>
      <c r="O124" s="505"/>
      <c r="P124" s="509"/>
      <c r="Q124" s="439"/>
      <c r="R124" s="439"/>
      <c r="S124" s="439"/>
      <c r="T124" s="324"/>
      <c r="U124" s="47"/>
      <c r="V124" s="251"/>
      <c r="W124" s="214"/>
    </row>
    <row r="125" spans="1:23" ht="16.5" thickBot="1" x14ac:dyDescent="0.25">
      <c r="A125" s="129"/>
      <c r="B125" s="127"/>
      <c r="C125" s="766" t="s">
        <v>1005</v>
      </c>
      <c r="D125" s="815"/>
      <c r="E125" s="815"/>
      <c r="F125" s="815"/>
      <c r="G125" s="815"/>
      <c r="H125" s="18"/>
      <c r="I125" s="18"/>
      <c r="J125" s="856">
        <f>VLOOKUP('Part 1'!L$16,Datasheet3!$B$6:$GC$332,108,FALSE)</f>
        <v>-482466.06</v>
      </c>
      <c r="K125" s="857"/>
      <c r="L125" s="437"/>
      <c r="M125" s="437"/>
      <c r="N125" s="856">
        <f>VLOOKUP('Part 1'!L$16,Datasheet3!$B$6:$GC$332,109,FALSE)</f>
        <v>-1694727</v>
      </c>
      <c r="O125" s="857"/>
      <c r="P125" s="437"/>
      <c r="Q125" s="438"/>
      <c r="R125" s="859">
        <f>VLOOKUP(+'Part 1'!$L$16,Datasheet3!$B$6:$GC$332,110,FALSE)</f>
        <v>-2177193.06</v>
      </c>
      <c r="S125" s="860"/>
      <c r="T125" s="323"/>
      <c r="U125" s="47"/>
      <c r="V125" s="251"/>
      <c r="W125" s="214"/>
    </row>
    <row r="126" spans="1:23" ht="15.75" x14ac:dyDescent="0.2">
      <c r="A126" s="129"/>
      <c r="B126" s="127"/>
      <c r="C126" s="855"/>
      <c r="D126" s="855"/>
      <c r="E126" s="855"/>
      <c r="F126" s="855"/>
      <c r="G126" s="855"/>
      <c r="H126" s="18"/>
      <c r="I126" s="18"/>
      <c r="J126" s="543"/>
      <c r="K126" s="437"/>
      <c r="L126" s="437"/>
      <c r="M126" s="437"/>
      <c r="N126" s="543"/>
      <c r="O126" s="437"/>
      <c r="P126" s="437"/>
      <c r="Q126" s="438"/>
      <c r="R126" s="508"/>
      <c r="S126" s="438"/>
      <c r="T126" s="323"/>
      <c r="U126" s="47"/>
      <c r="V126" s="251"/>
      <c r="W126" s="214"/>
    </row>
    <row r="127" spans="1:23" ht="16.5" thickBot="1" x14ac:dyDescent="0.3">
      <c r="A127" s="129"/>
      <c r="B127" s="127"/>
      <c r="C127" s="126"/>
      <c r="D127" s="126"/>
      <c r="E127" s="126"/>
      <c r="F127" s="126"/>
      <c r="G127" s="126"/>
      <c r="H127" s="17"/>
      <c r="I127" s="18"/>
      <c r="J127" s="437" t="s">
        <v>37</v>
      </c>
      <c r="K127" s="437"/>
      <c r="L127" s="437"/>
      <c r="M127" s="437"/>
      <c r="N127" s="437"/>
      <c r="O127" s="437"/>
      <c r="P127" s="437"/>
      <c r="Q127" s="438"/>
      <c r="R127" s="508"/>
      <c r="S127" s="438"/>
      <c r="T127" s="323"/>
      <c r="U127" s="47"/>
      <c r="V127" s="251"/>
      <c r="W127" s="214"/>
    </row>
    <row r="128" spans="1:23" ht="16.5" thickBot="1" x14ac:dyDescent="0.25">
      <c r="A128" s="129"/>
      <c r="B128" s="127"/>
      <c r="C128" s="125" t="s">
        <v>1006</v>
      </c>
      <c r="D128" s="49"/>
      <c r="E128" s="49"/>
      <c r="F128" s="49"/>
      <c r="G128" s="49"/>
      <c r="H128" s="18"/>
      <c r="I128" s="18"/>
      <c r="J128" s="73"/>
      <c r="K128" s="73"/>
      <c r="L128" s="437"/>
      <c r="M128" s="437"/>
      <c r="N128" s="802">
        <f>VLOOKUP(+'Part 1'!$L$16,Datasheet3!$B$6:$GC$332,111,FALSE)</f>
        <v>-12533574</v>
      </c>
      <c r="O128" s="803"/>
      <c r="P128" s="437"/>
      <c r="Q128" s="438"/>
      <c r="R128" s="322"/>
      <c r="S128" s="322"/>
      <c r="T128" s="323"/>
      <c r="U128" s="47"/>
      <c r="V128" s="251"/>
      <c r="W128" s="214"/>
    </row>
    <row r="129" spans="1:23" ht="15.75" thickBot="1" x14ac:dyDescent="0.25">
      <c r="A129" s="129"/>
      <c r="B129" s="127"/>
      <c r="C129" s="49"/>
      <c r="D129" s="49"/>
      <c r="E129" s="49"/>
      <c r="F129" s="49"/>
      <c r="G129" s="49"/>
      <c r="H129" s="54"/>
      <c r="I129" s="54"/>
      <c r="J129" s="437"/>
      <c r="K129" s="437"/>
      <c r="L129" s="437"/>
      <c r="M129" s="437"/>
      <c r="N129" s="437"/>
      <c r="O129" s="437"/>
      <c r="P129" s="437"/>
      <c r="Q129" s="438"/>
      <c r="R129" s="438"/>
      <c r="S129" s="438"/>
      <c r="T129" s="323"/>
      <c r="U129" s="47"/>
      <c r="V129" s="251"/>
      <c r="W129" s="214"/>
    </row>
    <row r="130" spans="1:23" ht="16.5" thickBot="1" x14ac:dyDescent="0.25">
      <c r="A130" s="129"/>
      <c r="B130" s="127"/>
      <c r="C130" s="125" t="s">
        <v>1007</v>
      </c>
      <c r="D130" s="49"/>
      <c r="E130" s="49"/>
      <c r="F130" s="49"/>
      <c r="G130" s="49"/>
      <c r="H130" s="18"/>
      <c r="I130" s="18"/>
      <c r="J130" s="802">
        <f>VLOOKUP(+'Part 1'!$L$16,Datasheet3!$B$6:$GC$332,112,FALSE)</f>
        <v>-3154793</v>
      </c>
      <c r="K130" s="803"/>
      <c r="L130" s="437"/>
      <c r="M130" s="437"/>
      <c r="N130" s="73"/>
      <c r="O130" s="73"/>
      <c r="P130" s="437"/>
      <c r="Q130" s="438"/>
      <c r="R130" s="322"/>
      <c r="S130" s="322"/>
      <c r="T130" s="323"/>
      <c r="U130" s="47"/>
      <c r="V130" s="251"/>
      <c r="W130" s="214"/>
    </row>
    <row r="131" spans="1:23" ht="15.75" thickBot="1" x14ac:dyDescent="0.25">
      <c r="A131" s="129"/>
      <c r="B131" s="127"/>
      <c r="C131" s="49"/>
      <c r="D131" s="49"/>
      <c r="E131" s="49"/>
      <c r="F131" s="49"/>
      <c r="G131" s="49"/>
      <c r="H131" s="18"/>
      <c r="I131" s="18"/>
      <c r="J131" s="54"/>
      <c r="K131" s="54"/>
      <c r="L131" s="437"/>
      <c r="M131" s="437"/>
      <c r="N131" s="54"/>
      <c r="O131" s="54"/>
      <c r="P131" s="437"/>
      <c r="Q131" s="438"/>
      <c r="R131" s="322"/>
      <c r="S131" s="322"/>
      <c r="T131" s="323"/>
      <c r="U131" s="47"/>
      <c r="V131" s="251"/>
      <c r="W131" s="214"/>
    </row>
    <row r="132" spans="1:23" ht="15.75" thickBot="1" x14ac:dyDescent="0.25">
      <c r="A132" s="129"/>
      <c r="B132" s="150"/>
      <c r="C132" s="172"/>
      <c r="D132" s="172"/>
      <c r="E132" s="172"/>
      <c r="F132" s="172"/>
      <c r="G132" s="172"/>
      <c r="H132" s="152"/>
      <c r="I132" s="152"/>
      <c r="J132" s="154"/>
      <c r="K132" s="154"/>
      <c r="L132" s="513"/>
      <c r="M132" s="513"/>
      <c r="N132" s="154"/>
      <c r="O132" s="154"/>
      <c r="P132" s="513"/>
      <c r="Q132" s="514"/>
      <c r="R132" s="326"/>
      <c r="S132" s="326"/>
      <c r="T132" s="327"/>
      <c r="U132" s="47"/>
      <c r="V132" s="251"/>
      <c r="W132" s="214"/>
    </row>
    <row r="133" spans="1:23" ht="16.5" thickBot="1" x14ac:dyDescent="0.25">
      <c r="A133" s="129"/>
      <c r="B133" s="155"/>
      <c r="C133" s="777" t="s">
        <v>1008</v>
      </c>
      <c r="D133" s="777"/>
      <c r="E133" s="777"/>
      <c r="F133" s="777"/>
      <c r="G133" s="777"/>
      <c r="H133" s="18"/>
      <c r="I133" s="18"/>
      <c r="J133" s="856">
        <f>VLOOKUP('Part 1'!L$16,Datasheet3!$B$6:$GC$332,113,FALSE)</f>
        <v>-101073650</v>
      </c>
      <c r="K133" s="857"/>
      <c r="L133" s="437"/>
      <c r="M133" s="437"/>
      <c r="N133" s="856">
        <f>VLOOKUP('Part 1'!L$16,Datasheet3!$B$6:$GC$332,114,FALSE)</f>
        <v>-13176046</v>
      </c>
      <c r="O133" s="857"/>
      <c r="P133" s="437"/>
      <c r="Q133" s="438"/>
      <c r="R133" s="859">
        <f>VLOOKUP(+'Part 1'!$L$16,Datasheet3!$B$6:$GC$332,115,FALSE)</f>
        <v>-114249696</v>
      </c>
      <c r="S133" s="860"/>
      <c r="T133" s="328"/>
      <c r="U133" s="47"/>
      <c r="V133" s="251"/>
      <c r="W133" s="214"/>
    </row>
    <row r="134" spans="1:23" ht="15.75" thickBot="1" x14ac:dyDescent="0.25">
      <c r="A134" s="129"/>
      <c r="B134" s="156"/>
      <c r="C134" s="173"/>
      <c r="D134" s="173"/>
      <c r="E134" s="173"/>
      <c r="F134" s="173"/>
      <c r="G134" s="173"/>
      <c r="H134" s="158"/>
      <c r="I134" s="158"/>
      <c r="J134" s="159"/>
      <c r="K134" s="159"/>
      <c r="L134" s="522"/>
      <c r="M134" s="522"/>
      <c r="N134" s="159"/>
      <c r="O134" s="159"/>
      <c r="P134" s="522"/>
      <c r="Q134" s="533"/>
      <c r="R134" s="332"/>
      <c r="S134" s="332"/>
      <c r="T134" s="330"/>
      <c r="U134" s="47"/>
      <c r="V134" s="251"/>
      <c r="W134" s="214"/>
    </row>
    <row r="135" spans="1:23" ht="15.75" thickBot="1" x14ac:dyDescent="0.25">
      <c r="A135" s="132"/>
      <c r="B135" s="133"/>
      <c r="C135" s="128"/>
      <c r="D135" s="128"/>
      <c r="E135" s="128"/>
      <c r="F135" s="128"/>
      <c r="G135" s="128"/>
      <c r="H135" s="70"/>
      <c r="I135" s="70"/>
      <c r="J135" s="392"/>
      <c r="K135" s="392"/>
      <c r="L135" s="523"/>
      <c r="M135" s="523"/>
      <c r="N135" s="392"/>
      <c r="O135" s="392"/>
      <c r="P135" s="523"/>
      <c r="Q135" s="534"/>
      <c r="R135" s="334"/>
      <c r="S135" s="334"/>
      <c r="T135" s="336"/>
      <c r="U135" s="48"/>
      <c r="V135" s="251"/>
      <c r="W135" s="214"/>
    </row>
    <row r="136" spans="1:23" ht="15.75" x14ac:dyDescent="0.2">
      <c r="A136" s="129"/>
      <c r="B136" s="127"/>
      <c r="C136" s="598" t="s">
        <v>1187</v>
      </c>
      <c r="D136" s="49"/>
      <c r="E136" s="49"/>
      <c r="F136" s="49"/>
      <c r="G136" s="49"/>
      <c r="H136" s="18"/>
      <c r="I136" s="18"/>
      <c r="J136" s="54"/>
      <c r="K136" s="54"/>
      <c r="L136" s="437"/>
      <c r="M136" s="437"/>
      <c r="N136" s="54"/>
      <c r="O136" s="54"/>
      <c r="P136" s="437"/>
      <c r="Q136" s="438"/>
      <c r="R136" s="322"/>
      <c r="S136" s="322"/>
      <c r="T136" s="323"/>
      <c r="U136" s="47"/>
      <c r="V136" s="251"/>
      <c r="W136" s="214"/>
    </row>
    <row r="137" spans="1:23" ht="16.5" thickBot="1" x14ac:dyDescent="0.25">
      <c r="A137" s="129"/>
      <c r="B137" s="127"/>
      <c r="C137" s="126" t="s">
        <v>3</v>
      </c>
      <c r="D137" s="49"/>
      <c r="E137" s="49"/>
      <c r="F137" s="49"/>
      <c r="G137" s="49"/>
      <c r="H137" s="18"/>
      <c r="I137" s="18"/>
      <c r="J137" s="54"/>
      <c r="K137" s="54"/>
      <c r="L137" s="437"/>
      <c r="M137" s="437"/>
      <c r="N137" s="54"/>
      <c r="O137" s="54"/>
      <c r="P137" s="437"/>
      <c r="Q137" s="438"/>
      <c r="R137" s="322"/>
      <c r="S137" s="322"/>
      <c r="T137" s="323"/>
      <c r="U137" s="47"/>
      <c r="V137" s="251"/>
      <c r="W137" s="214"/>
    </row>
    <row r="138" spans="1:23" ht="16.5" thickBot="1" x14ac:dyDescent="0.25">
      <c r="A138" s="129"/>
      <c r="B138" s="127"/>
      <c r="C138" s="74" t="s">
        <v>1285</v>
      </c>
      <c r="D138" s="49"/>
      <c r="E138" s="49"/>
      <c r="F138" s="49"/>
      <c r="G138" s="49"/>
      <c r="H138" s="18"/>
      <c r="I138" s="18"/>
      <c r="J138" s="856">
        <f>VLOOKUP('Part 1'!L$16,Datasheet3!$B$6:$GC$332,116,FALSE)</f>
        <v>-6989776</v>
      </c>
      <c r="K138" s="857"/>
      <c r="L138" s="437"/>
      <c r="M138" s="437"/>
      <c r="N138" s="856">
        <f>VLOOKUP('Part 1'!L$16,Datasheet3!$B$6:$GC$332,117,FALSE)</f>
        <v>-297262</v>
      </c>
      <c r="O138" s="857"/>
      <c r="P138" s="437"/>
      <c r="Q138" s="438"/>
      <c r="R138" s="859">
        <f>VLOOKUP(+'Part 1'!$L$16,Datasheet3!$B$6:$GC$332,118,FALSE)</f>
        <v>-7287038</v>
      </c>
      <c r="S138" s="860"/>
      <c r="T138" s="323"/>
      <c r="U138" s="47"/>
      <c r="V138" s="251"/>
      <c r="W138" s="214"/>
    </row>
    <row r="139" spans="1:23" ht="16.5" thickBot="1" x14ac:dyDescent="0.25">
      <c r="A139" s="129"/>
      <c r="B139" s="127"/>
      <c r="C139" s="74"/>
      <c r="D139" s="49"/>
      <c r="E139" s="49"/>
      <c r="F139" s="49"/>
      <c r="G139" s="49"/>
      <c r="H139" s="18"/>
      <c r="I139" s="18"/>
      <c r="J139" s="505"/>
      <c r="K139" s="505"/>
      <c r="L139" s="507"/>
      <c r="M139" s="507"/>
      <c r="N139" s="505"/>
      <c r="O139" s="505"/>
      <c r="P139" s="507"/>
      <c r="Q139" s="438"/>
      <c r="R139" s="508"/>
      <c r="S139" s="438"/>
      <c r="T139" s="323"/>
      <c r="U139" s="47"/>
      <c r="V139" s="251"/>
      <c r="W139" s="214"/>
    </row>
    <row r="140" spans="1:23" ht="16.5" thickBot="1" x14ac:dyDescent="0.25">
      <c r="A140" s="129"/>
      <c r="B140" s="127"/>
      <c r="C140" s="74" t="s">
        <v>1009</v>
      </c>
      <c r="D140" s="49"/>
      <c r="E140" s="49"/>
      <c r="F140" s="49"/>
      <c r="G140" s="49"/>
      <c r="H140" s="18"/>
      <c r="I140" s="18"/>
      <c r="J140" s="856">
        <f>VLOOKUP('Part 1'!L$16,Datasheet3!$B$6:$GC$332,119,FALSE)</f>
        <v>-658953</v>
      </c>
      <c r="K140" s="857"/>
      <c r="L140" s="437"/>
      <c r="M140" s="437"/>
      <c r="N140" s="856">
        <f>VLOOKUP('Part 1'!L$16,Datasheet3!$B$6:$GC$332,120,FALSE)</f>
        <v>-11897</v>
      </c>
      <c r="O140" s="857"/>
      <c r="P140" s="437"/>
      <c r="Q140" s="438"/>
      <c r="R140" s="859">
        <f>VLOOKUP(+'Part 1'!$L$16,Datasheet3!$B$6:$GC$332,121,FALSE)</f>
        <v>-670850</v>
      </c>
      <c r="S140" s="860"/>
      <c r="T140" s="323"/>
      <c r="U140" s="47"/>
      <c r="V140" s="251"/>
      <c r="W140" s="214"/>
    </row>
    <row r="141" spans="1:23" ht="15.75" x14ac:dyDescent="0.2">
      <c r="A141" s="129"/>
      <c r="B141" s="127"/>
      <c r="C141" s="74" t="s">
        <v>71</v>
      </c>
      <c r="D141" s="49"/>
      <c r="E141" s="49"/>
      <c r="F141" s="49"/>
      <c r="G141" s="49"/>
      <c r="H141" s="18"/>
      <c r="I141" s="18"/>
      <c r="J141" s="506"/>
      <c r="K141" s="506"/>
      <c r="L141" s="507"/>
      <c r="M141" s="507"/>
      <c r="N141" s="506"/>
      <c r="O141" s="506"/>
      <c r="P141" s="507"/>
      <c r="Q141" s="438"/>
      <c r="R141" s="508"/>
      <c r="S141" s="438"/>
      <c r="T141" s="323"/>
      <c r="U141" s="47"/>
      <c r="V141" s="251"/>
      <c r="W141" s="214"/>
    </row>
    <row r="142" spans="1:23" ht="15.75" x14ac:dyDescent="0.2">
      <c r="A142" s="129"/>
      <c r="B142" s="127"/>
      <c r="C142" s="74"/>
      <c r="D142" s="49"/>
      <c r="E142" s="49"/>
      <c r="F142" s="49"/>
      <c r="G142" s="49"/>
      <c r="H142" s="18"/>
      <c r="I142" s="18"/>
      <c r="J142" s="506"/>
      <c r="K142" s="506"/>
      <c r="L142" s="507"/>
      <c r="M142" s="507"/>
      <c r="N142" s="506"/>
      <c r="O142" s="506"/>
      <c r="P142" s="507"/>
      <c r="Q142" s="438"/>
      <c r="R142" s="508"/>
      <c r="S142" s="438"/>
      <c r="T142" s="323"/>
      <c r="U142" s="47"/>
      <c r="V142" s="251"/>
      <c r="W142" s="214"/>
    </row>
    <row r="143" spans="1:23" ht="16.5" thickBot="1" x14ac:dyDescent="0.25">
      <c r="A143" s="129"/>
      <c r="B143" s="127"/>
      <c r="C143" s="493" t="s">
        <v>72</v>
      </c>
      <c r="D143" s="49"/>
      <c r="E143" s="49"/>
      <c r="F143" s="49"/>
      <c r="G143" s="49"/>
      <c r="H143" s="18"/>
      <c r="I143" s="18"/>
      <c r="J143" s="506"/>
      <c r="K143" s="506"/>
      <c r="L143" s="507"/>
      <c r="M143" s="507"/>
      <c r="N143" s="506"/>
      <c r="O143" s="506"/>
      <c r="P143" s="507"/>
      <c r="Q143" s="438"/>
      <c r="R143" s="508"/>
      <c r="S143" s="438"/>
      <c r="T143" s="323"/>
      <c r="U143" s="47"/>
      <c r="V143" s="251"/>
      <c r="W143" s="214"/>
    </row>
    <row r="144" spans="1:23" ht="16.5" thickBot="1" x14ac:dyDescent="0.25">
      <c r="A144" s="129"/>
      <c r="B144" s="127"/>
      <c r="C144" s="74" t="s">
        <v>1286</v>
      </c>
      <c r="D144" s="49"/>
      <c r="E144" s="49"/>
      <c r="F144" s="49"/>
      <c r="G144" s="49"/>
      <c r="H144" s="18"/>
      <c r="I144" s="18"/>
      <c r="J144" s="856">
        <f>VLOOKUP('Part 1'!L$16,Datasheet3!$B$6:$GC$332,122,FALSE)</f>
        <v>-9612530</v>
      </c>
      <c r="K144" s="857"/>
      <c r="L144" s="437"/>
      <c r="M144" s="437"/>
      <c r="N144" s="856">
        <f>VLOOKUP('Part 1'!L$16,Datasheet3!$B$6:$GC$332,123,FALSE)</f>
        <v>-52141</v>
      </c>
      <c r="O144" s="857"/>
      <c r="P144" s="437"/>
      <c r="Q144" s="438"/>
      <c r="R144" s="859">
        <f>VLOOKUP(+'Part 1'!$L$16,Datasheet3!$B$6:$GC$332,124,FALSE)</f>
        <v>-9664671</v>
      </c>
      <c r="S144" s="860"/>
      <c r="T144" s="323"/>
      <c r="U144" s="47"/>
      <c r="V144" s="251"/>
      <c r="W144" s="214"/>
    </row>
    <row r="145" spans="1:23" ht="16.5" thickBot="1" x14ac:dyDescent="0.25">
      <c r="A145" s="129"/>
      <c r="B145" s="127"/>
      <c r="C145" s="74"/>
      <c r="D145" s="49"/>
      <c r="E145" s="49"/>
      <c r="F145" s="49"/>
      <c r="G145" s="49"/>
      <c r="H145" s="18"/>
      <c r="I145" s="18"/>
      <c r="J145" s="506"/>
      <c r="K145" s="506"/>
      <c r="L145" s="507"/>
      <c r="M145" s="507"/>
      <c r="N145" s="506"/>
      <c r="O145" s="506"/>
      <c r="P145" s="507"/>
      <c r="Q145" s="438"/>
      <c r="R145" s="508"/>
      <c r="S145" s="438"/>
      <c r="T145" s="323"/>
      <c r="U145" s="47"/>
      <c r="V145" s="251"/>
      <c r="W145" s="214"/>
    </row>
    <row r="146" spans="1:23" ht="16.5" thickBot="1" x14ac:dyDescent="0.25">
      <c r="A146" s="129"/>
      <c r="B146" s="127"/>
      <c r="C146" s="74" t="s">
        <v>1010</v>
      </c>
      <c r="D146" s="49"/>
      <c r="E146" s="49"/>
      <c r="F146" s="49"/>
      <c r="G146" s="49"/>
      <c r="H146" s="18"/>
      <c r="I146" s="18"/>
      <c r="J146" s="856">
        <f>VLOOKUP('Part 1'!L$16,Datasheet3!$B$6:$GC$332,125,FALSE)</f>
        <v>-2614150</v>
      </c>
      <c r="K146" s="857"/>
      <c r="L146" s="437"/>
      <c r="M146" s="437"/>
      <c r="N146" s="856">
        <f>VLOOKUP('Part 1'!L$16,Datasheet3!$B$6:$GC$332,126,FALSE)</f>
        <v>-9328</v>
      </c>
      <c r="O146" s="857"/>
      <c r="P146" s="437"/>
      <c r="Q146" s="438"/>
      <c r="R146" s="859">
        <f>VLOOKUP(+'Part 1'!$L$16,Datasheet3!$B$6:$GC$332,127,FALSE)</f>
        <v>-2623478</v>
      </c>
      <c r="S146" s="860"/>
      <c r="T146" s="323"/>
      <c r="U146" s="47"/>
      <c r="V146" s="251"/>
      <c r="W146" s="214"/>
    </row>
    <row r="147" spans="1:23" ht="15.75" x14ac:dyDescent="0.2">
      <c r="A147" s="129"/>
      <c r="B147" s="127"/>
      <c r="C147" s="74" t="s">
        <v>71</v>
      </c>
      <c r="D147" s="49"/>
      <c r="E147" s="49"/>
      <c r="F147" s="49"/>
      <c r="G147" s="49"/>
      <c r="H147" s="18"/>
      <c r="I147" s="18"/>
      <c r="J147" s="506"/>
      <c r="K147" s="506"/>
      <c r="L147" s="507"/>
      <c r="M147" s="507"/>
      <c r="N147" s="506"/>
      <c r="O147" s="506"/>
      <c r="P147" s="507"/>
      <c r="Q147" s="438"/>
      <c r="R147" s="508"/>
      <c r="S147" s="438"/>
      <c r="T147" s="323"/>
      <c r="U147" s="47"/>
      <c r="V147" s="251"/>
      <c r="W147" s="214"/>
    </row>
    <row r="148" spans="1:23" ht="15.75" x14ac:dyDescent="0.2">
      <c r="A148" s="129"/>
      <c r="B148" s="127"/>
      <c r="C148" s="74"/>
      <c r="D148" s="49"/>
      <c r="E148" s="49"/>
      <c r="F148" s="49"/>
      <c r="G148" s="49"/>
      <c r="H148" s="18"/>
      <c r="I148" s="18"/>
      <c r="J148" s="506"/>
      <c r="K148" s="506"/>
      <c r="L148" s="507"/>
      <c r="M148" s="507"/>
      <c r="N148" s="506"/>
      <c r="O148" s="506"/>
      <c r="P148" s="507"/>
      <c r="Q148" s="438"/>
      <c r="R148" s="508"/>
      <c r="S148" s="438"/>
      <c r="T148" s="323"/>
      <c r="U148" s="47"/>
      <c r="V148" s="251"/>
      <c r="W148" s="214"/>
    </row>
    <row r="149" spans="1:23" ht="16.5" thickBot="1" x14ac:dyDescent="0.25">
      <c r="A149" s="129"/>
      <c r="B149" s="127"/>
      <c r="C149" s="493" t="s">
        <v>73</v>
      </c>
      <c r="D149" s="49"/>
      <c r="E149" s="49"/>
      <c r="F149" s="49"/>
      <c r="G149" s="49"/>
      <c r="H149" s="18"/>
      <c r="I149" s="18"/>
      <c r="J149" s="509"/>
      <c r="K149" s="509"/>
      <c r="L149" s="509"/>
      <c r="M149" s="509"/>
      <c r="N149" s="509"/>
      <c r="O149" s="509"/>
      <c r="P149" s="509"/>
      <c r="Q149" s="439"/>
      <c r="R149" s="439"/>
      <c r="S149" s="439"/>
      <c r="T149" s="323"/>
      <c r="U149" s="47"/>
      <c r="V149" s="251"/>
      <c r="W149" s="214"/>
    </row>
    <row r="150" spans="1:23" ht="16.5" hidden="1" thickBot="1" x14ac:dyDescent="0.25">
      <c r="A150" s="129"/>
      <c r="B150" s="127"/>
      <c r="C150" s="74" t="s">
        <v>1011</v>
      </c>
      <c r="D150" s="49"/>
      <c r="E150" s="49"/>
      <c r="F150" s="49"/>
      <c r="G150" s="49"/>
      <c r="H150" s="18"/>
      <c r="I150" s="18"/>
      <c r="J150" s="856">
        <f>VLOOKUP('Part 1'!L$16,Datasheet3!$B$6:$GC$332,128,FALSE)</f>
        <v>0</v>
      </c>
      <c r="K150" s="857"/>
      <c r="L150" s="437"/>
      <c r="M150" s="437"/>
      <c r="N150" s="856">
        <f>VLOOKUP('Part 1'!L$16,Datasheet3!$B$6:$GC$332,129,FALSE)</f>
        <v>0</v>
      </c>
      <c r="O150" s="857"/>
      <c r="P150" s="437"/>
      <c r="Q150" s="438"/>
      <c r="R150" s="859">
        <f>VLOOKUP(+'Part 1'!$L$16,Datasheet3!$B$6:$GC$332,130,FALSE)</f>
        <v>0</v>
      </c>
      <c r="S150" s="860"/>
      <c r="T150" s="323"/>
      <c r="U150" s="47"/>
      <c r="V150" s="251"/>
      <c r="W150" s="214"/>
    </row>
    <row r="151" spans="1:23" ht="16.5" hidden="1" customHeight="1" thickBot="1" x14ac:dyDescent="0.25">
      <c r="A151" s="129"/>
      <c r="B151" s="127"/>
      <c r="C151" s="74"/>
      <c r="D151" s="49"/>
      <c r="E151" s="49"/>
      <c r="F151" s="49"/>
      <c r="G151" s="49"/>
      <c r="H151" s="18"/>
      <c r="I151" s="18"/>
      <c r="J151" s="509"/>
      <c r="K151" s="509"/>
      <c r="L151" s="509"/>
      <c r="M151" s="509"/>
      <c r="N151" s="509"/>
      <c r="O151" s="509"/>
      <c r="P151" s="509"/>
      <c r="Q151" s="439"/>
      <c r="R151" s="439"/>
      <c r="S151" s="439"/>
      <c r="T151" s="323"/>
      <c r="U151" s="47"/>
      <c r="V151" s="251"/>
      <c r="W151" s="214"/>
    </row>
    <row r="152" spans="1:23" ht="16.5" thickBot="1" x14ac:dyDescent="0.25">
      <c r="A152" s="129"/>
      <c r="B152" s="127"/>
      <c r="C152" s="74" t="s">
        <v>1243</v>
      </c>
      <c r="D152" s="49"/>
      <c r="E152" s="49"/>
      <c r="F152" s="49"/>
      <c r="G152" s="49"/>
      <c r="H152" s="18"/>
      <c r="I152" s="18"/>
      <c r="J152" s="856">
        <f>VLOOKUP('Part 1'!L$16,Datasheet3!$B$6:$GC$332,131,FALSE)</f>
        <v>-1731390.62</v>
      </c>
      <c r="K152" s="857"/>
      <c r="L152" s="437"/>
      <c r="M152" s="437"/>
      <c r="N152" s="856">
        <f>VLOOKUP('Part 1'!L$16,Datasheet3!$B$6:$GC$332,132,FALSE)</f>
        <v>-22284</v>
      </c>
      <c r="O152" s="857"/>
      <c r="P152" s="437"/>
      <c r="Q152" s="438"/>
      <c r="R152" s="859">
        <f>VLOOKUP(+'Part 1'!$L$16,Datasheet3!$B$6:$GC$332,133,FALSE)</f>
        <v>-1753674.62</v>
      </c>
      <c r="S152" s="860"/>
      <c r="T152" s="323"/>
      <c r="U152" s="47"/>
      <c r="V152" s="251"/>
      <c r="W152" s="214"/>
    </row>
    <row r="153" spans="1:23" ht="15" x14ac:dyDescent="0.2">
      <c r="A153" s="129"/>
      <c r="B153" s="127"/>
      <c r="C153" s="74" t="s">
        <v>71</v>
      </c>
      <c r="D153" s="49"/>
      <c r="E153" s="49"/>
      <c r="F153" s="49"/>
      <c r="G153" s="49"/>
      <c r="H153" s="18"/>
      <c r="I153" s="18"/>
      <c r="J153" s="509"/>
      <c r="K153" s="509"/>
      <c r="L153" s="509"/>
      <c r="M153" s="509"/>
      <c r="N153" s="509"/>
      <c r="O153" s="509"/>
      <c r="P153" s="509"/>
      <c r="Q153" s="439"/>
      <c r="R153" s="439"/>
      <c r="S153" s="439"/>
      <c r="T153" s="323"/>
      <c r="U153" s="47"/>
      <c r="V153" s="251"/>
      <c r="W153" s="214"/>
    </row>
    <row r="154" spans="1:23" ht="15" x14ac:dyDescent="0.2">
      <c r="A154" s="129"/>
      <c r="B154" s="127"/>
      <c r="C154" s="74"/>
      <c r="D154" s="49"/>
      <c r="E154" s="49"/>
      <c r="F154" s="49"/>
      <c r="G154" s="49"/>
      <c r="H154" s="18"/>
      <c r="I154" s="18"/>
      <c r="J154" s="509"/>
      <c r="K154" s="509"/>
      <c r="L154" s="509"/>
      <c r="M154" s="509"/>
      <c r="N154" s="509"/>
      <c r="O154" s="509"/>
      <c r="P154" s="509"/>
      <c r="Q154" s="439"/>
      <c r="R154" s="439"/>
      <c r="S154" s="439"/>
      <c r="T154" s="323"/>
      <c r="U154" s="47"/>
      <c r="V154" s="251"/>
      <c r="W154" s="214"/>
    </row>
    <row r="155" spans="1:23" ht="16.5" thickBot="1" x14ac:dyDescent="0.25">
      <c r="A155" s="129"/>
      <c r="B155" s="127"/>
      <c r="C155" s="126" t="s">
        <v>47</v>
      </c>
      <c r="D155" s="49"/>
      <c r="E155" s="49"/>
      <c r="F155" s="49"/>
      <c r="G155" s="49"/>
      <c r="H155" s="18"/>
      <c r="I155" s="18"/>
      <c r="J155" s="437"/>
      <c r="K155" s="437"/>
      <c r="L155" s="437"/>
      <c r="M155" s="437"/>
      <c r="N155" s="437"/>
      <c r="O155" s="437"/>
      <c r="P155" s="437"/>
      <c r="Q155" s="438"/>
      <c r="R155" s="438"/>
      <c r="S155" s="438"/>
      <c r="T155" s="323"/>
      <c r="U155" s="47"/>
      <c r="V155" s="251"/>
      <c r="W155" s="214"/>
    </row>
    <row r="156" spans="1:23" ht="16.5" thickBot="1" x14ac:dyDescent="0.25">
      <c r="A156" s="129"/>
      <c r="B156" s="127"/>
      <c r="C156" s="74" t="s">
        <v>1287</v>
      </c>
      <c r="D156" s="49"/>
      <c r="E156" s="49"/>
      <c r="F156" s="49"/>
      <c r="G156" s="49"/>
      <c r="H156" s="18"/>
      <c r="I156" s="18"/>
      <c r="J156" s="856">
        <f>VLOOKUP('Part 1'!L$16,Datasheet3!$B$6:$GC$332,134,FALSE)</f>
        <v>-1593659</v>
      </c>
      <c r="K156" s="857"/>
      <c r="L156" s="437"/>
      <c r="M156" s="437"/>
      <c r="N156" s="856">
        <f>VLOOKUP('Part 1'!L$16,Datasheet3!$B$6:$GC$332,135,FALSE)</f>
        <v>0</v>
      </c>
      <c r="O156" s="857"/>
      <c r="P156" s="437"/>
      <c r="Q156" s="438"/>
      <c r="R156" s="859">
        <f>VLOOKUP(+'Part 1'!$L$16,Datasheet3!$B$6:$GC$332,136,FALSE)</f>
        <v>-1593659</v>
      </c>
      <c r="S156" s="860"/>
      <c r="T156" s="323"/>
      <c r="U156" s="47"/>
      <c r="V156" s="251"/>
      <c r="W156" s="214"/>
    </row>
    <row r="157" spans="1:23" ht="15.75" customHeight="1" thickBot="1" x14ac:dyDescent="0.25">
      <c r="A157" s="129"/>
      <c r="B157" s="127"/>
      <c r="C157" s="74"/>
      <c r="D157" s="49"/>
      <c r="E157" s="49"/>
      <c r="F157" s="49"/>
      <c r="G157" s="49"/>
      <c r="H157" s="18"/>
      <c r="I157" s="18"/>
      <c r="J157" s="506"/>
      <c r="K157" s="506"/>
      <c r="L157" s="507"/>
      <c r="M157" s="507"/>
      <c r="N157" s="506"/>
      <c r="O157" s="506"/>
      <c r="P157" s="507"/>
      <c r="Q157" s="438"/>
      <c r="R157" s="508"/>
      <c r="S157" s="438"/>
      <c r="T157" s="323"/>
      <c r="U157" s="47"/>
      <c r="V157" s="251"/>
      <c r="W157" s="214"/>
    </row>
    <row r="158" spans="1:23" ht="16.5" thickBot="1" x14ac:dyDescent="0.25">
      <c r="A158" s="129"/>
      <c r="B158" s="127"/>
      <c r="C158" s="74" t="s">
        <v>1244</v>
      </c>
      <c r="D158" s="49"/>
      <c r="E158" s="49"/>
      <c r="F158" s="49"/>
      <c r="G158" s="49"/>
      <c r="H158" s="18"/>
      <c r="I158" s="18"/>
      <c r="J158" s="856">
        <f>VLOOKUP('Part 1'!L$16,Datasheet3!$B$6:$GC$332,137,FALSE)</f>
        <v>-810178</v>
      </c>
      <c r="K158" s="857"/>
      <c r="L158" s="437"/>
      <c r="M158" s="437"/>
      <c r="N158" s="856">
        <f>VLOOKUP('Part 1'!L$16,Datasheet3!$B$6:$GC$332,138,FALSE)</f>
        <v>0</v>
      </c>
      <c r="O158" s="857"/>
      <c r="P158" s="437"/>
      <c r="Q158" s="438"/>
      <c r="R158" s="859">
        <f>VLOOKUP(+'Part 1'!$L$16,Datasheet3!$B$6:$GC$332,139,FALSE)</f>
        <v>-810178</v>
      </c>
      <c r="S158" s="860"/>
      <c r="T158" s="323"/>
      <c r="U158" s="47"/>
      <c r="V158" s="251"/>
      <c r="W158" s="214"/>
    </row>
    <row r="159" spans="1:23" ht="15" x14ac:dyDescent="0.2">
      <c r="A159" s="129"/>
      <c r="B159" s="127"/>
      <c r="C159" s="74" t="s">
        <v>71</v>
      </c>
      <c r="D159" s="49"/>
      <c r="E159" s="49"/>
      <c r="F159" s="49"/>
      <c r="G159" s="49"/>
      <c r="H159" s="18"/>
      <c r="I159" s="18"/>
      <c r="J159" s="18"/>
      <c r="K159" s="18"/>
      <c r="L159" s="509"/>
      <c r="M159" s="509"/>
      <c r="N159" s="18"/>
      <c r="O159" s="18"/>
      <c r="P159" s="509"/>
      <c r="Q159" s="439"/>
      <c r="R159" s="324"/>
      <c r="S159" s="324"/>
      <c r="T159" s="323"/>
      <c r="U159" s="47"/>
      <c r="V159" s="251"/>
      <c r="W159" s="214"/>
    </row>
    <row r="160" spans="1:23" ht="15" x14ac:dyDescent="0.2">
      <c r="A160" s="129"/>
      <c r="B160" s="127"/>
      <c r="C160" s="74"/>
      <c r="D160" s="49"/>
      <c r="E160" s="49"/>
      <c r="F160" s="49"/>
      <c r="G160" s="49"/>
      <c r="H160" s="18"/>
      <c r="I160" s="18"/>
      <c r="J160" s="18"/>
      <c r="K160" s="18"/>
      <c r="L160" s="509"/>
      <c r="M160" s="509"/>
      <c r="N160" s="18"/>
      <c r="O160" s="18"/>
      <c r="P160" s="509"/>
      <c r="Q160" s="439"/>
      <c r="R160" s="324"/>
      <c r="S160" s="324"/>
      <c r="T160" s="323"/>
      <c r="U160" s="47"/>
      <c r="V160" s="251"/>
      <c r="W160" s="214"/>
    </row>
    <row r="161" spans="1:23" ht="16.5" thickBot="1" x14ac:dyDescent="0.25">
      <c r="A161" s="129"/>
      <c r="B161" s="127"/>
      <c r="C161" s="493" t="s">
        <v>980</v>
      </c>
      <c r="D161" s="49"/>
      <c r="E161" s="49"/>
      <c r="F161" s="49"/>
      <c r="G161" s="49"/>
      <c r="H161" s="18"/>
      <c r="I161" s="18"/>
      <c r="J161" s="18"/>
      <c r="K161" s="18"/>
      <c r="L161" s="509"/>
      <c r="M161" s="509"/>
      <c r="N161" s="18"/>
      <c r="O161" s="18"/>
      <c r="P161" s="509"/>
      <c r="Q161" s="439"/>
      <c r="R161" s="324"/>
      <c r="S161" s="324"/>
      <c r="T161" s="323"/>
      <c r="U161" s="47"/>
      <c r="V161" s="251"/>
      <c r="W161" s="214"/>
    </row>
    <row r="162" spans="1:23" ht="16.5" thickBot="1" x14ac:dyDescent="0.25">
      <c r="A162" s="129"/>
      <c r="B162" s="127"/>
      <c r="C162" s="766" t="s">
        <v>1288</v>
      </c>
      <c r="D162" s="854"/>
      <c r="E162" s="854"/>
      <c r="F162" s="854"/>
      <c r="G162" s="854"/>
      <c r="H162" s="18"/>
      <c r="I162" s="18"/>
      <c r="J162" s="856">
        <f>VLOOKUP('Part 1'!L$16,Datasheet3!$B$6:$GC$332,140,FALSE)</f>
        <v>-2140767</v>
      </c>
      <c r="K162" s="857"/>
      <c r="L162" s="437"/>
      <c r="M162" s="437"/>
      <c r="N162" s="856">
        <f>VLOOKUP('Part 1'!L$16,Datasheet3!$B$6:$GC$332,141,FALSE)</f>
        <v>2829</v>
      </c>
      <c r="O162" s="857"/>
      <c r="P162" s="437"/>
      <c r="Q162" s="438"/>
      <c r="R162" s="859">
        <f>VLOOKUP(+'Part 1'!$L$16,Datasheet3!$B$6:$GC$332,142,FALSE)</f>
        <v>-2137938</v>
      </c>
      <c r="S162" s="860"/>
      <c r="T162" s="323"/>
      <c r="U162" s="47"/>
      <c r="V162" s="251"/>
      <c r="W162" s="214"/>
    </row>
    <row r="163" spans="1:23" ht="15.75" x14ac:dyDescent="0.2">
      <c r="A163" s="129"/>
      <c r="B163" s="127"/>
      <c r="C163" s="854"/>
      <c r="D163" s="854"/>
      <c r="E163" s="854"/>
      <c r="F163" s="854"/>
      <c r="G163" s="854"/>
      <c r="H163" s="49"/>
      <c r="I163" s="49"/>
      <c r="J163" s="49"/>
      <c r="K163" s="49"/>
      <c r="L163" s="537"/>
      <c r="M163" s="509"/>
      <c r="N163" s="18"/>
      <c r="O163" s="18"/>
      <c r="P163" s="437"/>
      <c r="Q163" s="439"/>
      <c r="R163" s="325"/>
      <c r="S163" s="322"/>
      <c r="T163" s="323"/>
      <c r="U163" s="47"/>
      <c r="V163" s="251"/>
      <c r="W163" s="214"/>
    </row>
    <row r="164" spans="1:23" ht="16.5" thickBot="1" x14ac:dyDescent="0.25">
      <c r="A164" s="129"/>
      <c r="B164" s="127"/>
      <c r="C164" s="127"/>
      <c r="D164" s="127"/>
      <c r="E164" s="127"/>
      <c r="F164" s="127"/>
      <c r="G164" s="127"/>
      <c r="H164" s="49"/>
      <c r="I164" s="49"/>
      <c r="J164" s="49"/>
      <c r="K164" s="49"/>
      <c r="L164" s="537"/>
      <c r="M164" s="509"/>
      <c r="N164" s="18"/>
      <c r="O164" s="18"/>
      <c r="P164" s="437"/>
      <c r="Q164" s="439"/>
      <c r="R164" s="325"/>
      <c r="S164" s="322"/>
      <c r="T164" s="323"/>
      <c r="U164" s="47"/>
      <c r="V164" s="251"/>
      <c r="W164" s="214"/>
    </row>
    <row r="165" spans="1:23" ht="16.5" thickBot="1" x14ac:dyDescent="0.25">
      <c r="A165" s="129"/>
      <c r="B165" s="127"/>
      <c r="C165" s="74" t="s">
        <v>1245</v>
      </c>
      <c r="D165" s="49"/>
      <c r="E165" s="49"/>
      <c r="F165" s="49"/>
      <c r="G165" s="49"/>
      <c r="H165" s="18"/>
      <c r="I165" s="18"/>
      <c r="J165" s="856">
        <f>VLOOKUP('Part 1'!L$16,Datasheet3!$B$6:$GC$332,143,FALSE)</f>
        <v>142408.72</v>
      </c>
      <c r="K165" s="857"/>
      <c r="L165" s="437"/>
      <c r="M165" s="437"/>
      <c r="N165" s="856">
        <f>VLOOKUP('Part 1'!L$16,Datasheet3!$B$6:$GC$332,144,FALSE)</f>
        <v>254</v>
      </c>
      <c r="O165" s="857"/>
      <c r="P165" s="437"/>
      <c r="Q165" s="438"/>
      <c r="R165" s="859">
        <f>VLOOKUP(+'Part 1'!$L$16,Datasheet3!$B$6:$GC$332,145,FALSE)</f>
        <v>142662.72</v>
      </c>
      <c r="S165" s="860"/>
      <c r="T165" s="323"/>
      <c r="U165" s="47"/>
      <c r="V165" s="251"/>
      <c r="W165" s="214"/>
    </row>
    <row r="166" spans="1:23" ht="15" x14ac:dyDescent="0.2">
      <c r="A166" s="129"/>
      <c r="B166" s="127"/>
      <c r="C166" s="74" t="s">
        <v>71</v>
      </c>
      <c r="D166" s="49"/>
      <c r="E166" s="49"/>
      <c r="F166" s="49"/>
      <c r="G166" s="49"/>
      <c r="H166" s="18"/>
      <c r="I166" s="18"/>
      <c r="J166" s="18"/>
      <c r="K166" s="18"/>
      <c r="L166" s="509"/>
      <c r="M166" s="509"/>
      <c r="N166" s="18"/>
      <c r="O166" s="18"/>
      <c r="P166" s="509"/>
      <c r="Q166" s="439"/>
      <c r="R166" s="324"/>
      <c r="S166" s="324"/>
      <c r="T166" s="323"/>
      <c r="U166" s="47"/>
      <c r="V166" s="251"/>
      <c r="W166" s="214"/>
    </row>
    <row r="167" spans="1:23" ht="15.75" thickBot="1" x14ac:dyDescent="0.25">
      <c r="A167" s="129"/>
      <c r="B167" s="127"/>
      <c r="C167" s="74"/>
      <c r="D167" s="49"/>
      <c r="E167" s="49"/>
      <c r="F167" s="49"/>
      <c r="G167" s="49"/>
      <c r="H167" s="18"/>
      <c r="I167" s="18"/>
      <c r="J167" s="18"/>
      <c r="K167" s="18"/>
      <c r="L167" s="509"/>
      <c r="M167" s="509"/>
      <c r="N167" s="18"/>
      <c r="O167" s="18"/>
      <c r="P167" s="509"/>
      <c r="Q167" s="439"/>
      <c r="R167" s="324"/>
      <c r="S167" s="324"/>
      <c r="T167" s="323"/>
      <c r="U167" s="47"/>
      <c r="V167" s="251"/>
      <c r="W167" s="214"/>
    </row>
    <row r="168" spans="1:23" ht="15.75" thickBot="1" x14ac:dyDescent="0.25">
      <c r="A168" s="129"/>
      <c r="B168" s="150"/>
      <c r="C168" s="174"/>
      <c r="D168" s="172"/>
      <c r="E168" s="172"/>
      <c r="F168" s="172"/>
      <c r="G168" s="172"/>
      <c r="H168" s="152"/>
      <c r="I168" s="152"/>
      <c r="J168" s="152"/>
      <c r="K168" s="152"/>
      <c r="L168" s="526"/>
      <c r="M168" s="526"/>
      <c r="N168" s="152"/>
      <c r="O168" s="152"/>
      <c r="P168" s="526"/>
      <c r="Q168" s="536"/>
      <c r="R168" s="337"/>
      <c r="S168" s="337"/>
      <c r="T168" s="327"/>
      <c r="U168" s="47"/>
      <c r="V168" s="251"/>
      <c r="W168" s="214"/>
    </row>
    <row r="169" spans="1:23" ht="16.5" thickBot="1" x14ac:dyDescent="0.25">
      <c r="A169" s="129"/>
      <c r="B169" s="155"/>
      <c r="C169" s="493" t="s">
        <v>1012</v>
      </c>
      <c r="D169" s="49"/>
      <c r="E169" s="49"/>
      <c r="F169" s="49"/>
      <c r="G169" s="49"/>
      <c r="H169" s="18"/>
      <c r="I169" s="18"/>
      <c r="J169" s="856">
        <f>VLOOKUP('Part 1'!L$16,Datasheet3!$B$6:$GC$332,146,FALSE)</f>
        <v>-26008995</v>
      </c>
      <c r="K169" s="857"/>
      <c r="L169" s="437"/>
      <c r="M169" s="437"/>
      <c r="N169" s="856">
        <f>VLOOKUP('Part 1'!L$16,Datasheet3!$B$6:$GC$332,147,FALSE)</f>
        <v>-389829</v>
      </c>
      <c r="O169" s="857"/>
      <c r="P169" s="437"/>
      <c r="Q169" s="438"/>
      <c r="R169" s="859">
        <f>VLOOKUP(+'Part 1'!$L$16,Datasheet3!$B$6:$GC$332,148,FALSE)</f>
        <v>-26398824</v>
      </c>
      <c r="S169" s="860"/>
      <c r="T169" s="328"/>
      <c r="U169" s="47"/>
      <c r="V169" s="251"/>
      <c r="W169" s="214"/>
    </row>
    <row r="170" spans="1:23" ht="15.75" thickBot="1" x14ac:dyDescent="0.25">
      <c r="A170" s="129"/>
      <c r="B170" s="156"/>
      <c r="C170" s="175"/>
      <c r="D170" s="173"/>
      <c r="E170" s="173"/>
      <c r="F170" s="173"/>
      <c r="G170" s="173"/>
      <c r="H170" s="158"/>
      <c r="I170" s="158"/>
      <c r="J170" s="158"/>
      <c r="K170" s="158"/>
      <c r="L170" s="520"/>
      <c r="M170" s="520"/>
      <c r="N170" s="158"/>
      <c r="O170" s="158"/>
      <c r="P170" s="520"/>
      <c r="Q170" s="532"/>
      <c r="R170" s="329"/>
      <c r="S170" s="329"/>
      <c r="T170" s="330"/>
      <c r="U170" s="47"/>
      <c r="V170" s="251"/>
      <c r="W170" s="214"/>
    </row>
    <row r="171" spans="1:23" ht="15.75" x14ac:dyDescent="0.2">
      <c r="A171" s="129"/>
      <c r="B171" s="127"/>
      <c r="C171" s="126"/>
      <c r="D171" s="49"/>
      <c r="E171" s="49"/>
      <c r="F171" s="49"/>
      <c r="G171" s="49"/>
      <c r="H171" s="18"/>
      <c r="I171" s="18"/>
      <c r="J171" s="54"/>
      <c r="K171" s="54"/>
      <c r="L171" s="437"/>
      <c r="M171" s="437"/>
      <c r="N171" s="54"/>
      <c r="O171" s="54"/>
      <c r="P171" s="437"/>
      <c r="Q171" s="438"/>
      <c r="R171" s="322"/>
      <c r="S171" s="322"/>
      <c r="T171" s="323"/>
      <c r="U171" s="47"/>
      <c r="V171" s="251"/>
      <c r="W171" s="214"/>
    </row>
    <row r="172" spans="1:23" ht="16.5" thickBot="1" x14ac:dyDescent="0.25">
      <c r="A172" s="129"/>
      <c r="B172" s="127"/>
      <c r="C172" s="126" t="s">
        <v>45</v>
      </c>
      <c r="D172" s="49"/>
      <c r="E172" s="49"/>
      <c r="F172" s="49"/>
      <c r="G172" s="49"/>
      <c r="H172" s="18"/>
      <c r="I172" s="18"/>
      <c r="J172" s="54"/>
      <c r="K172" s="54"/>
      <c r="L172" s="437"/>
      <c r="M172" s="437"/>
      <c r="N172" s="54"/>
      <c r="O172" s="54"/>
      <c r="P172" s="437"/>
      <c r="Q172" s="438"/>
      <c r="R172" s="322"/>
      <c r="S172" s="322"/>
      <c r="T172" s="323"/>
      <c r="U172" s="47"/>
      <c r="V172" s="251"/>
      <c r="W172" s="214"/>
    </row>
    <row r="173" spans="1:23" ht="16.5" thickBot="1" x14ac:dyDescent="0.25">
      <c r="A173" s="129"/>
      <c r="B173" s="127"/>
      <c r="C173" s="74" t="s">
        <v>1289</v>
      </c>
      <c r="D173" s="49"/>
      <c r="E173" s="49"/>
      <c r="F173" s="49"/>
      <c r="G173" s="49"/>
      <c r="H173" s="18"/>
      <c r="I173" s="18"/>
      <c r="J173" s="856">
        <f>VLOOKUP('Part 1'!L$16,Datasheet3!$B$6:$GC$332,149,FALSE)</f>
        <v>-1899545</v>
      </c>
      <c r="K173" s="857"/>
      <c r="L173" s="437"/>
      <c r="M173" s="437"/>
      <c r="N173" s="856">
        <f>VLOOKUP('Part 1'!L$16,Datasheet3!$B$6:$GC$332,150,FALSE)</f>
        <v>-7865</v>
      </c>
      <c r="O173" s="857"/>
      <c r="P173" s="437"/>
      <c r="Q173" s="438"/>
      <c r="R173" s="859">
        <f>VLOOKUP(+'Part 1'!$L$16,Datasheet3!$B$6:$GC$332,151,FALSE)</f>
        <v>-1907410</v>
      </c>
      <c r="S173" s="860"/>
      <c r="T173" s="323"/>
      <c r="U173" s="47"/>
      <c r="V173" s="251"/>
      <c r="W173" s="214"/>
    </row>
    <row r="174" spans="1:23" ht="16.5" thickBot="1" x14ac:dyDescent="0.25">
      <c r="A174" s="129"/>
      <c r="B174" s="127"/>
      <c r="C174" s="49"/>
      <c r="D174" s="49"/>
      <c r="E174" s="49"/>
      <c r="F174" s="49"/>
      <c r="G174" s="49"/>
      <c r="H174" s="18"/>
      <c r="I174" s="18"/>
      <c r="J174" s="506"/>
      <c r="K174" s="506"/>
      <c r="L174" s="509"/>
      <c r="M174" s="509"/>
      <c r="N174" s="506"/>
      <c r="O174" s="506"/>
      <c r="P174" s="509"/>
      <c r="Q174" s="439"/>
      <c r="R174" s="439"/>
      <c r="S174" s="439"/>
      <c r="T174" s="324"/>
      <c r="U174" s="47"/>
      <c r="V174" s="251"/>
      <c r="W174" s="214"/>
    </row>
    <row r="175" spans="1:23" ht="16.5" thickBot="1" x14ac:dyDescent="0.25">
      <c r="A175" s="129"/>
      <c r="B175" s="127"/>
      <c r="C175" s="766" t="s">
        <v>1013</v>
      </c>
      <c r="D175" s="815"/>
      <c r="E175" s="815"/>
      <c r="F175" s="815"/>
      <c r="G175" s="815"/>
      <c r="H175" s="18"/>
      <c r="I175" s="18"/>
      <c r="J175" s="856">
        <f>VLOOKUP('Part 1'!L$16,Datasheet3!$B$6:$GC$332,152,FALSE)</f>
        <v>2254</v>
      </c>
      <c r="K175" s="857"/>
      <c r="L175" s="437"/>
      <c r="M175" s="437"/>
      <c r="N175" s="856">
        <f>VLOOKUP('Part 1'!L$16,Datasheet3!$B$6:$GC$332,153,FALSE)</f>
        <v>-725</v>
      </c>
      <c r="O175" s="857"/>
      <c r="P175" s="437"/>
      <c r="Q175" s="438"/>
      <c r="R175" s="859">
        <f>VLOOKUP(+'Part 1'!$L$16,Datasheet3!$B$6:$GC$332,154,FALSE)</f>
        <v>1529</v>
      </c>
      <c r="S175" s="860"/>
      <c r="T175" s="323"/>
      <c r="U175" s="47"/>
      <c r="V175" s="251"/>
      <c r="W175" s="214"/>
    </row>
    <row r="176" spans="1:23" ht="15.75" x14ac:dyDescent="0.2">
      <c r="A176" s="129"/>
      <c r="B176" s="127"/>
      <c r="C176" s="855"/>
      <c r="D176" s="855"/>
      <c r="E176" s="855"/>
      <c r="F176" s="855"/>
      <c r="G176" s="855"/>
      <c r="H176" s="18"/>
      <c r="I176" s="18"/>
      <c r="J176" s="543"/>
      <c r="K176" s="437"/>
      <c r="L176" s="437"/>
      <c r="M176" s="437"/>
      <c r="N176" s="543"/>
      <c r="O176" s="437"/>
      <c r="P176" s="437"/>
      <c r="Q176" s="438"/>
      <c r="R176" s="508"/>
      <c r="S176" s="438"/>
      <c r="T176" s="323"/>
      <c r="U176" s="47"/>
      <c r="V176" s="251"/>
      <c r="W176" s="214"/>
    </row>
    <row r="177" spans="1:25" ht="16.5" thickBot="1" x14ac:dyDescent="0.25">
      <c r="A177" s="129"/>
      <c r="B177" s="127"/>
      <c r="C177" s="135"/>
      <c r="D177" s="135"/>
      <c r="E177" s="135"/>
      <c r="F177" s="135"/>
      <c r="G177" s="135"/>
      <c r="H177" s="18"/>
      <c r="I177" s="18"/>
      <c r="J177" s="543"/>
      <c r="K177" s="437"/>
      <c r="L177" s="437"/>
      <c r="M177" s="437"/>
      <c r="N177" s="543"/>
      <c r="O177" s="437"/>
      <c r="P177" s="437"/>
      <c r="Q177" s="438"/>
      <c r="R177" s="508"/>
      <c r="S177" s="438"/>
      <c r="T177" s="323"/>
      <c r="U177" s="47"/>
      <c r="V177" s="251"/>
      <c r="W177" s="214"/>
    </row>
    <row r="178" spans="1:25" ht="16.5" thickBot="1" x14ac:dyDescent="0.25">
      <c r="A178" s="129"/>
      <c r="B178" s="150"/>
      <c r="C178" s="166"/>
      <c r="D178" s="166"/>
      <c r="E178" s="166"/>
      <c r="F178" s="166"/>
      <c r="G178" s="166"/>
      <c r="H178" s="152"/>
      <c r="I178" s="152"/>
      <c r="J178" s="512"/>
      <c r="K178" s="513"/>
      <c r="L178" s="513"/>
      <c r="M178" s="513"/>
      <c r="N178" s="512"/>
      <c r="O178" s="513"/>
      <c r="P178" s="513"/>
      <c r="Q178" s="514"/>
      <c r="R178" s="515"/>
      <c r="S178" s="514"/>
      <c r="T178" s="327"/>
      <c r="U178" s="47"/>
      <c r="V178" s="251"/>
      <c r="W178" s="214"/>
    </row>
    <row r="179" spans="1:25" ht="16.5" thickBot="1" x14ac:dyDescent="0.25">
      <c r="A179" s="129"/>
      <c r="B179" s="155"/>
      <c r="C179" s="858" t="s">
        <v>1014</v>
      </c>
      <c r="D179" s="858"/>
      <c r="E179" s="858"/>
      <c r="F179" s="858"/>
      <c r="G179" s="858"/>
      <c r="H179" s="18"/>
      <c r="I179" s="18"/>
      <c r="J179" s="856">
        <f>VLOOKUP('Part 1'!L$16,Datasheet3!$B$6:$GC$332,155,FALSE)</f>
        <v>-1897291</v>
      </c>
      <c r="K179" s="857"/>
      <c r="L179" s="437"/>
      <c r="M179" s="437"/>
      <c r="N179" s="856">
        <f>VLOOKUP('Part 1'!L$16,Datasheet3!$B$6:$GC$332,156,FALSE)</f>
        <v>-8590</v>
      </c>
      <c r="O179" s="857"/>
      <c r="P179" s="437"/>
      <c r="Q179" s="438"/>
      <c r="R179" s="859">
        <f>VLOOKUP(+'Part 1'!$L$16,Datasheet3!$B$6:$GC$332,157,FALSE)</f>
        <v>-1905881</v>
      </c>
      <c r="S179" s="860"/>
      <c r="T179" s="328"/>
      <c r="U179" s="47"/>
      <c r="V179" s="251"/>
      <c r="W179" s="214"/>
    </row>
    <row r="180" spans="1:25" ht="13.5" thickBot="1" x14ac:dyDescent="0.25">
      <c r="A180" s="14"/>
      <c r="B180" s="176"/>
      <c r="C180" s="160"/>
      <c r="D180" s="160"/>
      <c r="E180" s="160"/>
      <c r="F180" s="160"/>
      <c r="G180" s="160"/>
      <c r="H180" s="160"/>
      <c r="I180" s="160"/>
      <c r="J180" s="510"/>
      <c r="K180" s="510"/>
      <c r="L180" s="510"/>
      <c r="M180" s="510"/>
      <c r="N180" s="510"/>
      <c r="O180" s="510"/>
      <c r="P180" s="510"/>
      <c r="Q180" s="511"/>
      <c r="R180" s="511"/>
      <c r="S180" s="511"/>
      <c r="T180" s="330"/>
      <c r="U180" s="47"/>
      <c r="V180" s="251"/>
      <c r="W180" s="214"/>
    </row>
    <row r="181" spans="1:25" ht="13.5" thickBot="1" x14ac:dyDescent="0.25">
      <c r="A181" s="14"/>
      <c r="B181" s="2"/>
      <c r="C181" s="2"/>
      <c r="D181" s="2"/>
      <c r="E181" s="2"/>
      <c r="F181" s="2"/>
      <c r="G181" s="2"/>
      <c r="H181" s="2"/>
      <c r="I181" s="2"/>
      <c r="J181" s="527"/>
      <c r="K181" s="527"/>
      <c r="L181" s="527"/>
      <c r="M181" s="527"/>
      <c r="N181" s="527"/>
      <c r="O181" s="527"/>
      <c r="P181" s="527"/>
      <c r="Q181" s="527"/>
      <c r="R181" s="527"/>
      <c r="S181" s="527"/>
      <c r="T181" s="2"/>
      <c r="U181" s="47"/>
      <c r="V181" s="251"/>
    </row>
    <row r="182" spans="1:25" x14ac:dyDescent="0.2">
      <c r="A182" s="14"/>
      <c r="B182" s="385"/>
      <c r="C182" s="384"/>
      <c r="D182" s="384"/>
      <c r="E182" s="384"/>
      <c r="F182" s="384"/>
      <c r="G182" s="384"/>
      <c r="H182" s="384"/>
      <c r="I182" s="384"/>
      <c r="J182" s="426"/>
      <c r="K182" s="426"/>
      <c r="L182" s="528"/>
      <c r="M182" s="528"/>
      <c r="N182" s="426"/>
      <c r="O182" s="426"/>
      <c r="P182" s="528"/>
      <c r="Q182" s="528"/>
      <c r="R182" s="384"/>
      <c r="S182" s="384"/>
      <c r="T182" s="423"/>
      <c r="U182" s="47"/>
      <c r="V182" s="251"/>
    </row>
    <row r="183" spans="1:25" ht="16.5" customHeight="1" x14ac:dyDescent="0.25">
      <c r="A183" s="14"/>
      <c r="B183" s="386"/>
      <c r="C183" s="186" t="s">
        <v>56</v>
      </c>
      <c r="D183" s="185"/>
      <c r="E183" s="185"/>
      <c r="F183" s="185"/>
      <c r="G183" s="185"/>
      <c r="H183" s="185"/>
      <c r="I183" s="185"/>
      <c r="J183" s="427"/>
      <c r="K183" s="427"/>
      <c r="L183" s="529"/>
      <c r="M183" s="529"/>
      <c r="N183" s="427"/>
      <c r="O183" s="427"/>
      <c r="P183" s="529"/>
      <c r="Q183" s="529"/>
      <c r="R183" s="185"/>
      <c r="S183" s="185"/>
      <c r="T183" s="381"/>
      <c r="U183" s="47"/>
      <c r="V183" s="251"/>
    </row>
    <row r="184" spans="1:25" ht="16.5" customHeight="1" thickBot="1" x14ac:dyDescent="0.25">
      <c r="A184" s="14"/>
      <c r="B184" s="386"/>
      <c r="C184" s="185"/>
      <c r="D184" s="185"/>
      <c r="E184" s="185"/>
      <c r="F184" s="185"/>
      <c r="G184" s="185"/>
      <c r="H184" s="185"/>
      <c r="I184" s="185"/>
      <c r="J184" s="427"/>
      <c r="K184" s="427"/>
      <c r="L184" s="529"/>
      <c r="M184" s="529"/>
      <c r="N184" s="427"/>
      <c r="O184" s="427"/>
      <c r="P184" s="529"/>
      <c r="Q184" s="529"/>
      <c r="R184" s="185"/>
      <c r="S184" s="185"/>
      <c r="T184" s="381"/>
      <c r="U184" s="47"/>
      <c r="V184" s="251"/>
    </row>
    <row r="185" spans="1:25" ht="16.5" customHeight="1" thickBot="1" x14ac:dyDescent="0.3">
      <c r="A185" s="14"/>
      <c r="B185" s="32"/>
      <c r="C185" s="18"/>
      <c r="D185" s="109" t="s">
        <v>61</v>
      </c>
      <c r="E185" s="109"/>
      <c r="F185" s="109"/>
      <c r="G185" s="109"/>
      <c r="H185" s="109"/>
      <c r="I185" s="109"/>
      <c r="J185" s="802">
        <f>VLOOKUP('Part 1'!L$16,Datasheet3!$B$6:$GC$332,158,FALSE)</f>
        <v>27016751442.889999</v>
      </c>
      <c r="K185" s="803"/>
      <c r="L185" s="529"/>
      <c r="M185" s="529"/>
      <c r="N185" s="802">
        <f>VLOOKUP('Part 1'!L$16,Datasheet3!$B$6:$GC$332,159,FALSE)</f>
        <v>197817857</v>
      </c>
      <c r="O185" s="803"/>
      <c r="P185" s="530"/>
      <c r="Q185" s="530"/>
      <c r="R185" s="863">
        <f>VLOOKUP(+'Part 1'!$L$16,Datasheet3!$B$6:$GC$332,160,FALSE)</f>
        <v>27214569299.889999</v>
      </c>
      <c r="S185" s="864"/>
      <c r="T185" s="381"/>
      <c r="U185" s="47"/>
      <c r="V185" s="251"/>
      <c r="W185" s="214"/>
      <c r="X185" s="214"/>
      <c r="Y185" s="214"/>
    </row>
    <row r="186" spans="1:25" ht="16.5" customHeight="1" thickBot="1" x14ac:dyDescent="0.25">
      <c r="A186" s="14"/>
      <c r="B186" s="386"/>
      <c r="C186" s="187" t="s">
        <v>57</v>
      </c>
      <c r="D186" s="185"/>
      <c r="E186" s="185"/>
      <c r="F186" s="185"/>
      <c r="G186" s="185"/>
      <c r="H186" s="185"/>
      <c r="I186" s="185"/>
      <c r="J186" s="408"/>
      <c r="K186" s="408"/>
      <c r="L186" s="531"/>
      <c r="M186" s="531"/>
      <c r="N186" s="408"/>
      <c r="O186" s="408"/>
      <c r="P186" s="531"/>
      <c r="Q186" s="531"/>
      <c r="R186" s="408"/>
      <c r="S186" s="408"/>
      <c r="T186" s="381"/>
      <c r="U186" s="47"/>
      <c r="V186" s="251"/>
      <c r="W186" s="214"/>
      <c r="X186" s="214"/>
      <c r="Y186" s="214"/>
    </row>
    <row r="187" spans="1:25" ht="16.5" customHeight="1" thickBot="1" x14ac:dyDescent="0.25">
      <c r="A187" s="14"/>
      <c r="B187" s="386"/>
      <c r="C187" s="185"/>
      <c r="D187" s="360" t="s">
        <v>58</v>
      </c>
      <c r="E187" s="185"/>
      <c r="F187" s="185"/>
      <c r="G187" s="185"/>
      <c r="H187" s="185"/>
      <c r="I187" s="185"/>
      <c r="J187" s="861">
        <f>VLOOKUP('Part 1'!L$16,Datasheet3!$B$6:$GC$332,161,FALSE)</f>
        <v>108251428</v>
      </c>
      <c r="K187" s="862"/>
      <c r="L187" s="531"/>
      <c r="M187" s="531"/>
      <c r="N187" s="861">
        <f>VLOOKUP('Part 1'!L$16,Datasheet3!$B$6:$GC$332,162,FALSE)</f>
        <v>770117</v>
      </c>
      <c r="O187" s="862"/>
      <c r="P187" s="531"/>
      <c r="Q187" s="531"/>
      <c r="R187" s="861">
        <f>VLOOKUP(+'Part 1'!$L$16,Datasheet3!$B$6:$GC$332,163,FALSE)</f>
        <v>109021545</v>
      </c>
      <c r="S187" s="862"/>
      <c r="T187" s="381"/>
      <c r="U187" s="47"/>
      <c r="V187" s="251"/>
      <c r="W187" s="214"/>
      <c r="X187" s="214"/>
      <c r="Y187" s="214"/>
    </row>
    <row r="188" spans="1:25" ht="16.5" customHeight="1" thickBot="1" x14ac:dyDescent="0.25">
      <c r="A188" s="14"/>
      <c r="B188" s="386"/>
      <c r="C188" s="185"/>
      <c r="D188" s="360"/>
      <c r="E188" s="185"/>
      <c r="F188" s="185"/>
      <c r="G188" s="185"/>
      <c r="H188" s="185"/>
      <c r="I188" s="185"/>
      <c r="J188" s="408"/>
      <c r="K188" s="408"/>
      <c r="L188" s="531"/>
      <c r="M188" s="531"/>
      <c r="N188" s="408"/>
      <c r="O188" s="408"/>
      <c r="P188" s="531"/>
      <c r="Q188" s="531"/>
      <c r="R188" s="408"/>
      <c r="S188" s="408"/>
      <c r="T188" s="381"/>
      <c r="U188" s="47"/>
      <c r="V188" s="251"/>
      <c r="W188" s="214"/>
      <c r="X188" s="214"/>
      <c r="Y188" s="214"/>
    </row>
    <row r="189" spans="1:25" ht="16.5" customHeight="1" thickBot="1" x14ac:dyDescent="0.25">
      <c r="A189" s="14"/>
      <c r="B189" s="386"/>
      <c r="C189" s="185"/>
      <c r="D189" s="360" t="s">
        <v>59</v>
      </c>
      <c r="E189" s="185"/>
      <c r="F189" s="185"/>
      <c r="G189" s="185"/>
      <c r="H189" s="185"/>
      <c r="I189" s="185"/>
      <c r="J189" s="861">
        <f>VLOOKUP('Part 1'!L$16,Datasheet3!$B$6:$GC$332,164,FALSE)</f>
        <v>-2236061335</v>
      </c>
      <c r="K189" s="862"/>
      <c r="L189" s="531"/>
      <c r="M189" s="531"/>
      <c r="N189" s="861">
        <f>VLOOKUP('Part 1'!L$16,Datasheet3!$B$6:$GC$332,165,FALSE)</f>
        <v>-5116361</v>
      </c>
      <c r="O189" s="862"/>
      <c r="P189" s="531"/>
      <c r="Q189" s="531"/>
      <c r="R189" s="861">
        <f>VLOOKUP(+'Part 1'!$L$16,Datasheet3!$B$6:$GC$332,166,FALSE)</f>
        <v>-2241177696</v>
      </c>
      <c r="S189" s="862"/>
      <c r="T189" s="381"/>
      <c r="U189" s="47"/>
      <c r="V189" s="251"/>
      <c r="W189" s="214"/>
      <c r="X189" s="214"/>
      <c r="Y189" s="214"/>
    </row>
    <row r="190" spans="1:25" ht="16.5" customHeight="1" thickBot="1" x14ac:dyDescent="0.25">
      <c r="A190" s="14"/>
      <c r="B190" s="386"/>
      <c r="C190" s="185"/>
      <c r="D190" s="360"/>
      <c r="E190" s="185"/>
      <c r="F190" s="185"/>
      <c r="G190" s="185"/>
      <c r="H190" s="185"/>
      <c r="I190" s="185"/>
      <c r="J190" s="408"/>
      <c r="K190" s="408"/>
      <c r="L190" s="531"/>
      <c r="M190" s="531"/>
      <c r="N190" s="408"/>
      <c r="O190" s="408"/>
      <c r="P190" s="531"/>
      <c r="Q190" s="531"/>
      <c r="R190" s="408"/>
      <c r="S190" s="408"/>
      <c r="T190" s="381"/>
      <c r="U190" s="47"/>
      <c r="V190" s="251"/>
      <c r="W190" s="214"/>
      <c r="X190" s="214"/>
      <c r="Y190" s="214"/>
    </row>
    <row r="191" spans="1:25" ht="16.5" customHeight="1" thickBot="1" x14ac:dyDescent="0.25">
      <c r="A191" s="14"/>
      <c r="B191" s="386"/>
      <c r="C191" s="185"/>
      <c r="D191" s="360" t="s">
        <v>87</v>
      </c>
      <c r="E191" s="185"/>
      <c r="F191" s="185"/>
      <c r="G191" s="185"/>
      <c r="H191" s="185"/>
      <c r="I191" s="185"/>
      <c r="J191" s="861">
        <f>VLOOKUP('Part 1'!L$16,Datasheet3!$B$6:$GC$332,167,FALSE)</f>
        <v>-982143693</v>
      </c>
      <c r="K191" s="862"/>
      <c r="L191" s="531"/>
      <c r="M191" s="531"/>
      <c r="N191" s="861">
        <f>VLOOKUP('Part 1'!L$16,Datasheet3!$B$6:$GC$332,168,FALSE)</f>
        <v>-15936028</v>
      </c>
      <c r="O191" s="862"/>
      <c r="P191" s="531"/>
      <c r="Q191" s="531"/>
      <c r="R191" s="861">
        <f>VLOOKUP(+'Part 1'!$L$16,Datasheet3!$B$6:$GC$332,169,FALSE)</f>
        <v>-998079721</v>
      </c>
      <c r="S191" s="862"/>
      <c r="T191" s="381"/>
      <c r="U191" s="47"/>
      <c r="V191" s="251"/>
      <c r="W191" s="214"/>
      <c r="X191" s="214"/>
      <c r="Y191" s="214"/>
    </row>
    <row r="192" spans="1:25" ht="16.5" customHeight="1" thickBot="1" x14ac:dyDescent="0.25">
      <c r="A192" s="14"/>
      <c r="B192" s="386"/>
      <c r="C192" s="185"/>
      <c r="D192" s="360"/>
      <c r="E192" s="185"/>
      <c r="F192" s="185"/>
      <c r="G192" s="185"/>
      <c r="H192" s="185"/>
      <c r="I192" s="185"/>
      <c r="J192" s="408"/>
      <c r="K192" s="408"/>
      <c r="L192" s="531"/>
      <c r="M192" s="531"/>
      <c r="N192" s="408"/>
      <c r="O192" s="408"/>
      <c r="P192" s="531"/>
      <c r="Q192" s="531"/>
      <c r="R192" s="408"/>
      <c r="S192" s="408"/>
      <c r="T192" s="381"/>
      <c r="U192" s="47"/>
      <c r="V192" s="251"/>
      <c r="W192" s="214"/>
      <c r="X192" s="214"/>
      <c r="Y192" s="214"/>
    </row>
    <row r="193" spans="1:25" ht="16.5" customHeight="1" thickBot="1" x14ac:dyDescent="0.25">
      <c r="A193" s="14"/>
      <c r="B193" s="386"/>
      <c r="C193" s="185"/>
      <c r="D193" s="360" t="s">
        <v>74</v>
      </c>
      <c r="E193" s="185"/>
      <c r="F193" s="185"/>
      <c r="G193" s="185"/>
      <c r="H193" s="185"/>
      <c r="I193" s="185"/>
      <c r="J193" s="861">
        <f>VLOOKUP('Part 1'!L$16,Datasheet3!$B$6:$GC$332,170,FALSE)</f>
        <v>-101073650</v>
      </c>
      <c r="K193" s="862"/>
      <c r="L193" s="531"/>
      <c r="M193" s="531"/>
      <c r="N193" s="861">
        <f>VLOOKUP('Part 1'!L$16,Datasheet3!$B$6:$GC$332,171,FALSE)</f>
        <v>-13176046</v>
      </c>
      <c r="O193" s="862"/>
      <c r="P193" s="531"/>
      <c r="Q193" s="531"/>
      <c r="R193" s="861">
        <f>VLOOKUP(+'Part 1'!$L$16,Datasheet3!$B$6:$GC$332,172,FALSE)</f>
        <v>-114249696</v>
      </c>
      <c r="S193" s="862"/>
      <c r="T193" s="381"/>
      <c r="U193" s="47"/>
      <c r="V193" s="251"/>
      <c r="W193" s="214"/>
      <c r="X193" s="214"/>
      <c r="Y193" s="214"/>
    </row>
    <row r="194" spans="1:25" ht="16.5" customHeight="1" thickBot="1" x14ac:dyDescent="0.25">
      <c r="A194" s="14"/>
      <c r="B194" s="386"/>
      <c r="C194" s="185"/>
      <c r="D194" s="360"/>
      <c r="E194" s="185"/>
      <c r="F194" s="185"/>
      <c r="G194" s="185"/>
      <c r="H194" s="185"/>
      <c r="I194" s="185"/>
      <c r="J194" s="408"/>
      <c r="K194" s="408"/>
      <c r="L194" s="531"/>
      <c r="M194" s="531"/>
      <c r="N194" s="408"/>
      <c r="O194" s="408"/>
      <c r="P194" s="531"/>
      <c r="Q194" s="531"/>
      <c r="R194" s="408"/>
      <c r="S194" s="408"/>
      <c r="T194" s="381"/>
      <c r="U194" s="47"/>
      <c r="V194" s="251"/>
      <c r="W194" s="214"/>
      <c r="X194" s="214"/>
      <c r="Y194" s="214"/>
    </row>
    <row r="195" spans="1:25" ht="16.5" customHeight="1" thickBot="1" x14ac:dyDescent="0.25">
      <c r="A195" s="14"/>
      <c r="B195" s="386"/>
      <c r="C195" s="185"/>
      <c r="D195" s="360" t="s">
        <v>75</v>
      </c>
      <c r="E195" s="185"/>
      <c r="F195" s="185"/>
      <c r="G195" s="185"/>
      <c r="H195" s="185"/>
      <c r="I195" s="185"/>
      <c r="J195" s="861">
        <f>VLOOKUP('Part 1'!L$16,Datasheet3!$B$6:$GC$332,173,FALSE)</f>
        <v>-26008995</v>
      </c>
      <c r="K195" s="862"/>
      <c r="L195" s="531"/>
      <c r="M195" s="531"/>
      <c r="N195" s="861">
        <f>VLOOKUP('Part 1'!L$16,Datasheet3!$B$6:$GC$332,174,FALSE)</f>
        <v>-389829</v>
      </c>
      <c r="O195" s="862"/>
      <c r="P195" s="531"/>
      <c r="Q195" s="531"/>
      <c r="R195" s="861">
        <f>VLOOKUP(+'Part 1'!$L$16,Datasheet3!$B$6:$GC$332,175,FALSE)</f>
        <v>-26398824</v>
      </c>
      <c r="S195" s="862"/>
      <c r="T195" s="381"/>
      <c r="U195" s="47"/>
      <c r="V195" s="251"/>
      <c r="W195" s="214"/>
      <c r="X195" s="214"/>
      <c r="Y195" s="214"/>
    </row>
    <row r="196" spans="1:25" ht="16.5" customHeight="1" thickBot="1" x14ac:dyDescent="0.25">
      <c r="A196" s="14"/>
      <c r="B196" s="386"/>
      <c r="C196" s="185"/>
      <c r="D196" s="360"/>
      <c r="E196" s="185"/>
      <c r="F196" s="185"/>
      <c r="G196" s="185"/>
      <c r="H196" s="185"/>
      <c r="I196" s="185"/>
      <c r="J196" s="408"/>
      <c r="K196" s="408"/>
      <c r="L196" s="531"/>
      <c r="M196" s="531"/>
      <c r="N196" s="408"/>
      <c r="O196" s="408"/>
      <c r="P196" s="531"/>
      <c r="Q196" s="531"/>
      <c r="R196" s="408"/>
      <c r="S196" s="408"/>
      <c r="T196" s="381"/>
      <c r="U196" s="47"/>
      <c r="V196" s="251"/>
      <c r="W196" s="214"/>
      <c r="X196" s="214"/>
      <c r="Y196" s="214"/>
    </row>
    <row r="197" spans="1:25" ht="16.5" customHeight="1" thickBot="1" x14ac:dyDescent="0.25">
      <c r="A197" s="14"/>
      <c r="B197" s="386"/>
      <c r="C197" s="185"/>
      <c r="D197" s="360" t="s">
        <v>60</v>
      </c>
      <c r="E197" s="185"/>
      <c r="F197" s="185"/>
      <c r="G197" s="185"/>
      <c r="H197" s="185"/>
      <c r="I197" s="185"/>
      <c r="J197" s="861">
        <f>VLOOKUP('Part 1'!L$16,Datasheet3!$B$6:$GC$332,176,FALSE)</f>
        <v>-1897291</v>
      </c>
      <c r="K197" s="862"/>
      <c r="L197" s="531"/>
      <c r="M197" s="531"/>
      <c r="N197" s="861">
        <f>VLOOKUP('Part 1'!L$16,Datasheet3!$B$6:$GC$332,177,FALSE)</f>
        <v>-8590</v>
      </c>
      <c r="O197" s="862"/>
      <c r="P197" s="531"/>
      <c r="Q197" s="531"/>
      <c r="R197" s="861">
        <f>VLOOKUP(+'Part 1'!$L$16,Datasheet3!$B$6:$GC$332,178,FALSE)</f>
        <v>-1905881</v>
      </c>
      <c r="S197" s="862"/>
      <c r="T197" s="381"/>
      <c r="U197" s="47"/>
      <c r="V197" s="251"/>
      <c r="W197" s="214"/>
      <c r="X197" s="214"/>
      <c r="Y197" s="214"/>
    </row>
    <row r="198" spans="1:25" ht="15" thickBot="1" x14ac:dyDescent="0.25">
      <c r="A198" s="14"/>
      <c r="B198" s="386"/>
      <c r="C198" s="185"/>
      <c r="D198" s="188"/>
      <c r="E198" s="185"/>
      <c r="F198" s="185"/>
      <c r="G198" s="185"/>
      <c r="H198" s="185"/>
      <c r="I198" s="185"/>
      <c r="J198" s="408"/>
      <c r="K198" s="408"/>
      <c r="L198" s="531"/>
      <c r="M198" s="531"/>
      <c r="N198" s="408"/>
      <c r="O198" s="408"/>
      <c r="P198" s="531"/>
      <c r="Q198" s="531"/>
      <c r="R198" s="408"/>
      <c r="S198" s="408"/>
      <c r="T198" s="381"/>
      <c r="U198" s="47"/>
      <c r="V198" s="251"/>
      <c r="W198" s="214"/>
      <c r="X198" s="214"/>
      <c r="Y198" s="214"/>
    </row>
    <row r="199" spans="1:25" ht="16.5" thickBot="1" x14ac:dyDescent="0.3">
      <c r="A199" s="14"/>
      <c r="B199" s="386"/>
      <c r="C199" s="185"/>
      <c r="D199" s="364" t="s">
        <v>945</v>
      </c>
      <c r="E199" s="185"/>
      <c r="F199" s="185"/>
      <c r="G199" s="185"/>
      <c r="H199" s="185"/>
      <c r="I199" s="185"/>
      <c r="J199" s="861">
        <f>VLOOKUP('Part 1'!L$16,Datasheet3!$B$6:$GC$332,179,FALSE)</f>
        <v>-3238933536</v>
      </c>
      <c r="K199" s="862"/>
      <c r="L199" s="531"/>
      <c r="M199" s="531"/>
      <c r="N199" s="861">
        <f>VLOOKUP('Part 1'!L$16,Datasheet3!$B$6:$GC$332,180,FALSE)</f>
        <v>-33856737</v>
      </c>
      <c r="O199" s="862"/>
      <c r="P199" s="531"/>
      <c r="Q199" s="531"/>
      <c r="R199" s="861">
        <f>VLOOKUP(+'Part 1'!$L$16,Datasheet3!$B$6:$GC$332,181,FALSE)</f>
        <v>-3272790273</v>
      </c>
      <c r="S199" s="862"/>
      <c r="T199" s="381"/>
      <c r="U199" s="47"/>
      <c r="V199" s="251"/>
      <c r="W199" s="214"/>
      <c r="X199" s="214"/>
      <c r="Y199" s="214"/>
    </row>
    <row r="200" spans="1:25" ht="15" thickBot="1" x14ac:dyDescent="0.25">
      <c r="A200" s="14"/>
      <c r="B200" s="386"/>
      <c r="C200" s="185"/>
      <c r="D200" s="188"/>
      <c r="E200" s="185"/>
      <c r="F200" s="185"/>
      <c r="G200" s="185"/>
      <c r="H200" s="185"/>
      <c r="I200" s="185"/>
      <c r="J200" s="408"/>
      <c r="K200" s="408"/>
      <c r="L200" s="531"/>
      <c r="M200" s="531"/>
      <c r="N200" s="408"/>
      <c r="O200" s="408"/>
      <c r="P200" s="531"/>
      <c r="Q200" s="531"/>
      <c r="R200" s="408"/>
      <c r="S200" s="408"/>
      <c r="T200" s="381"/>
      <c r="U200" s="47"/>
      <c r="V200" s="251"/>
      <c r="W200" s="214"/>
      <c r="X200" s="214"/>
      <c r="Y200" s="214"/>
    </row>
    <row r="201" spans="1:25" ht="16.5" thickBot="1" x14ac:dyDescent="0.3">
      <c r="A201" s="14"/>
      <c r="B201" s="386"/>
      <c r="C201" s="185"/>
      <c r="D201" s="186" t="s">
        <v>62</v>
      </c>
      <c r="E201" s="185"/>
      <c r="F201" s="185"/>
      <c r="G201" s="185"/>
      <c r="H201" s="185"/>
      <c r="I201" s="185"/>
      <c r="J201" s="861">
        <f>VLOOKUP('Part 1'!L$16,Datasheet3!$B$6:$GC$332,182,FALSE)</f>
        <v>23777817906.889999</v>
      </c>
      <c r="K201" s="862"/>
      <c r="L201" s="531"/>
      <c r="M201" s="531"/>
      <c r="N201" s="861">
        <f>VLOOKUP('Part 1'!L$16,Datasheet3!$B$6:$GC$332,183,FALSE)</f>
        <v>163961120</v>
      </c>
      <c r="O201" s="862"/>
      <c r="P201" s="531"/>
      <c r="Q201" s="531"/>
      <c r="R201" s="861">
        <f>VLOOKUP(+'Part 1'!$L$16,Datasheet3!$B$6:$GC$332,184,FALSE)</f>
        <v>23941779026.889999</v>
      </c>
      <c r="S201" s="862"/>
      <c r="T201" s="381"/>
      <c r="U201" s="47"/>
      <c r="V201" s="251"/>
      <c r="W201" s="214"/>
      <c r="X201" s="214"/>
      <c r="Y201" s="214"/>
    </row>
    <row r="202" spans="1:25" ht="15.75" x14ac:dyDescent="0.25">
      <c r="A202" s="14"/>
      <c r="B202" s="386"/>
      <c r="C202" s="185"/>
      <c r="D202" s="186"/>
      <c r="E202" s="185"/>
      <c r="F202" s="185"/>
      <c r="G202" s="185"/>
      <c r="H202" s="185"/>
      <c r="I202" s="185"/>
      <c r="J202" s="358"/>
      <c r="K202" s="359"/>
      <c r="L202" s="185"/>
      <c r="M202" s="185"/>
      <c r="N202" s="874"/>
      <c r="O202" s="874"/>
      <c r="P202" s="185"/>
      <c r="Q202" s="185"/>
      <c r="R202" s="358"/>
      <c r="S202" s="359"/>
      <c r="T202" s="381"/>
      <c r="U202" s="47"/>
      <c r="V202" s="251"/>
      <c r="W202" s="214"/>
      <c r="X202" s="214"/>
      <c r="Y202" s="214"/>
    </row>
    <row r="203" spans="1:25" ht="13.5" thickBot="1" x14ac:dyDescent="0.25">
      <c r="A203" s="14"/>
      <c r="B203" s="387"/>
      <c r="C203" s="382"/>
      <c r="D203" s="382"/>
      <c r="E203" s="382"/>
      <c r="F203" s="382"/>
      <c r="G203" s="382"/>
      <c r="H203" s="382"/>
      <c r="I203" s="382"/>
      <c r="J203" s="382"/>
      <c r="K203" s="382"/>
      <c r="L203" s="382"/>
      <c r="M203" s="382"/>
      <c r="N203" s="382"/>
      <c r="O203" s="382"/>
      <c r="P203" s="382"/>
      <c r="Q203" s="382"/>
      <c r="R203" s="382"/>
      <c r="S203" s="382"/>
      <c r="T203" s="383"/>
      <c r="U203" s="47"/>
      <c r="V203" s="251"/>
    </row>
    <row r="204" spans="1:25" x14ac:dyDescent="0.2">
      <c r="A204" s="14"/>
      <c r="B204" s="2"/>
      <c r="C204" s="2"/>
      <c r="D204" s="2"/>
      <c r="E204" s="2"/>
      <c r="F204" s="2"/>
      <c r="G204" s="2"/>
      <c r="H204" s="2"/>
      <c r="I204" s="2"/>
      <c r="J204" s="2"/>
      <c r="K204" s="2"/>
      <c r="L204" s="2"/>
      <c r="M204" s="2"/>
      <c r="N204" s="2"/>
      <c r="O204" s="2"/>
      <c r="P204" s="2"/>
      <c r="Q204" s="2"/>
      <c r="R204" s="2"/>
      <c r="S204" s="2"/>
      <c r="T204" s="2"/>
      <c r="U204" s="47"/>
      <c r="V204" s="251"/>
    </row>
    <row r="205" spans="1:25" ht="13.5" thickBot="1" x14ac:dyDescent="0.25">
      <c r="A205" s="15"/>
      <c r="B205" s="16"/>
      <c r="C205" s="16"/>
      <c r="D205" s="16"/>
      <c r="E205" s="16"/>
      <c r="F205" s="16"/>
      <c r="G205" s="16"/>
      <c r="H205" s="16"/>
      <c r="I205" s="16"/>
      <c r="J205" s="16"/>
      <c r="K205" s="16"/>
      <c r="L205" s="16"/>
      <c r="M205" s="16"/>
      <c r="N205" s="16"/>
      <c r="O205" s="16"/>
      <c r="P205" s="16"/>
      <c r="Q205" s="16"/>
      <c r="R205" s="16"/>
      <c r="S205" s="16"/>
      <c r="T205" s="16"/>
      <c r="U205" s="48"/>
    </row>
    <row r="207" spans="1:25" ht="15" x14ac:dyDescent="0.25">
      <c r="C207" s="484"/>
      <c r="D207" s="484"/>
      <c r="E207" s="484"/>
      <c r="F207" s="484"/>
      <c r="G207" s="484"/>
      <c r="H207" s="484"/>
      <c r="I207" s="484"/>
      <c r="J207" s="484"/>
      <c r="K207" s="484"/>
      <c r="L207" s="484"/>
      <c r="M207" s="484"/>
      <c r="N207" s="484"/>
      <c r="O207" s="484"/>
      <c r="P207" s="484"/>
      <c r="Q207" s="484"/>
      <c r="R207" s="484"/>
      <c r="S207" s="484"/>
      <c r="T207" s="484"/>
      <c r="U207" s="484"/>
      <c r="V207" s="484"/>
    </row>
    <row r="208" spans="1:25" ht="15" x14ac:dyDescent="0.25">
      <c r="C208" s="484"/>
      <c r="D208" s="484"/>
      <c r="E208" s="485"/>
      <c r="F208" s="485"/>
      <c r="G208" s="486"/>
      <c r="H208" s="486"/>
      <c r="I208" s="486"/>
      <c r="J208" s="486"/>
      <c r="K208" s="486"/>
      <c r="L208" s="486"/>
      <c r="M208" s="486"/>
      <c r="N208" s="486"/>
      <c r="O208" s="486"/>
      <c r="P208" s="486"/>
      <c r="Q208" s="486"/>
      <c r="R208" s="486"/>
      <c r="S208" s="486"/>
      <c r="T208" s="485"/>
      <c r="U208" s="485"/>
      <c r="V208" s="485"/>
    </row>
    <row r="209" spans="2:22" ht="15" x14ac:dyDescent="0.25">
      <c r="B209" s="488"/>
      <c r="C209" s="489"/>
      <c r="D209" s="489"/>
      <c r="E209" s="490"/>
      <c r="F209" s="490"/>
      <c r="G209" s="490"/>
      <c r="H209" s="491"/>
      <c r="I209" s="490"/>
      <c r="J209" s="492"/>
      <c r="K209" s="490"/>
      <c r="L209" s="490"/>
      <c r="M209" s="490"/>
      <c r="N209" s="492"/>
      <c r="O209" s="490"/>
      <c r="P209" s="490"/>
      <c r="Q209" s="490"/>
      <c r="R209" s="490"/>
      <c r="S209" s="490"/>
      <c r="T209" s="485"/>
      <c r="U209" s="485"/>
      <c r="V209" s="485"/>
    </row>
    <row r="210" spans="2:22" ht="15" x14ac:dyDescent="0.25">
      <c r="C210" s="484"/>
      <c r="D210" s="484"/>
      <c r="E210" s="485"/>
      <c r="F210" s="485"/>
      <c r="G210" s="485"/>
      <c r="H210" s="485"/>
      <c r="I210" s="485"/>
      <c r="J210" s="485"/>
      <c r="K210" s="485"/>
      <c r="L210" s="485"/>
      <c r="M210" s="485"/>
      <c r="N210" s="485"/>
      <c r="O210" s="485"/>
      <c r="P210" s="485"/>
      <c r="Q210" s="485"/>
      <c r="R210" s="485"/>
      <c r="S210" s="485"/>
      <c r="T210" s="485"/>
      <c r="U210" s="485"/>
      <c r="V210" s="485"/>
    </row>
    <row r="211" spans="2:22" ht="15" x14ac:dyDescent="0.25">
      <c r="C211" s="484"/>
      <c r="D211" s="484"/>
      <c r="E211" s="485"/>
      <c r="F211" s="485"/>
      <c r="G211" s="485"/>
      <c r="H211" s="485"/>
      <c r="I211" s="485"/>
      <c r="J211" s="485"/>
      <c r="K211" s="485"/>
      <c r="L211" s="485"/>
      <c r="M211" s="485"/>
      <c r="N211" s="485"/>
      <c r="O211" s="485"/>
      <c r="P211" s="485"/>
      <c r="Q211" s="485"/>
      <c r="R211" s="485"/>
      <c r="S211" s="485"/>
      <c r="T211" s="485"/>
      <c r="U211" s="485"/>
      <c r="V211" s="485"/>
    </row>
    <row r="212" spans="2:22" ht="15" x14ac:dyDescent="0.25">
      <c r="C212" s="484"/>
      <c r="D212" s="484"/>
      <c r="E212" s="484"/>
      <c r="F212" s="484"/>
      <c r="G212" s="484"/>
      <c r="H212" s="484"/>
      <c r="I212" s="484"/>
      <c r="J212" s="487"/>
      <c r="K212" s="487"/>
      <c r="L212" s="484"/>
      <c r="M212" s="484"/>
      <c r="N212" s="484"/>
      <c r="O212" s="484"/>
      <c r="P212" s="484"/>
      <c r="Q212" s="484"/>
      <c r="R212" s="484"/>
      <c r="S212" s="484"/>
      <c r="T212" s="484"/>
      <c r="U212" s="484"/>
      <c r="V212" s="484"/>
    </row>
    <row r="213" spans="2:22" x14ac:dyDescent="0.2">
      <c r="J213" s="363"/>
      <c r="K213" s="361"/>
    </row>
    <row r="214" spans="2:22" x14ac:dyDescent="0.2">
      <c r="J214" s="363"/>
      <c r="K214" s="361"/>
    </row>
    <row r="215" spans="2:22" x14ac:dyDescent="0.2">
      <c r="J215" s="362"/>
    </row>
    <row r="216" spans="2:22" ht="15.75" customHeight="1" x14ac:dyDescent="0.2">
      <c r="J216" s="363"/>
      <c r="K216" s="361"/>
    </row>
  </sheetData>
  <dataConsolidate/>
  <mergeCells count="226">
    <mergeCell ref="R197:S197"/>
    <mergeCell ref="R201:S201"/>
    <mergeCell ref="R189:S189"/>
    <mergeCell ref="J193:K193"/>
    <mergeCell ref="J195:K195"/>
    <mergeCell ref="J197:K197"/>
    <mergeCell ref="J201:K201"/>
    <mergeCell ref="N201:O201"/>
    <mergeCell ref="N197:O197"/>
    <mergeCell ref="N195:O195"/>
    <mergeCell ref="N193:O193"/>
    <mergeCell ref="R193:S193"/>
    <mergeCell ref="J191:K191"/>
    <mergeCell ref="N191:O191"/>
    <mergeCell ref="R191:S191"/>
    <mergeCell ref="J189:K189"/>
    <mergeCell ref="N189:O189"/>
    <mergeCell ref="R195:S195"/>
    <mergeCell ref="J199:K199"/>
    <mergeCell ref="N199:O199"/>
    <mergeCell ref="R199:S199"/>
    <mergeCell ref="C133:G133"/>
    <mergeCell ref="J133:K133"/>
    <mergeCell ref="N133:O133"/>
    <mergeCell ref="R133:S133"/>
    <mergeCell ref="J169:K169"/>
    <mergeCell ref="N169:O169"/>
    <mergeCell ref="R169:S169"/>
    <mergeCell ref="N173:O173"/>
    <mergeCell ref="R156:S156"/>
    <mergeCell ref="N140:O140"/>
    <mergeCell ref="R140:S140"/>
    <mergeCell ref="J140:K140"/>
    <mergeCell ref="R138:S138"/>
    <mergeCell ref="N138:O138"/>
    <mergeCell ref="N158:O158"/>
    <mergeCell ref="R158:S158"/>
    <mergeCell ref="J173:K173"/>
    <mergeCell ref="R173:S173"/>
    <mergeCell ref="J146:K146"/>
    <mergeCell ref="N146:O146"/>
    <mergeCell ref="R146:S146"/>
    <mergeCell ref="R152:S152"/>
    <mergeCell ref="J165:K165"/>
    <mergeCell ref="N165:O165"/>
    <mergeCell ref="N202:O202"/>
    <mergeCell ref="R16:S16"/>
    <mergeCell ref="J105:K105"/>
    <mergeCell ref="R66:S66"/>
    <mergeCell ref="N70:O70"/>
    <mergeCell ref="R70:S70"/>
    <mergeCell ref="N40:O40"/>
    <mergeCell ref="R40:S40"/>
    <mergeCell ref="R111:S111"/>
    <mergeCell ref="J70:K70"/>
    <mergeCell ref="R101:S101"/>
    <mergeCell ref="R105:S105"/>
    <mergeCell ref="J88:K88"/>
    <mergeCell ref="N88:O88"/>
    <mergeCell ref="R88:S88"/>
    <mergeCell ref="R82:S82"/>
    <mergeCell ref="R84:S84"/>
    <mergeCell ref="J32:K32"/>
    <mergeCell ref="R52:S52"/>
    <mergeCell ref="J58:K58"/>
    <mergeCell ref="J52:K52"/>
    <mergeCell ref="J60:K60"/>
    <mergeCell ref="N60:O60"/>
    <mergeCell ref="R107:S107"/>
    <mergeCell ref="A6:U6"/>
    <mergeCell ref="N23:O23"/>
    <mergeCell ref="N17:O17"/>
    <mergeCell ref="J27:K27"/>
    <mergeCell ref="N27:O27"/>
    <mergeCell ref="N54:O54"/>
    <mergeCell ref="C27:G27"/>
    <mergeCell ref="R27:S27"/>
    <mergeCell ref="N48:O48"/>
    <mergeCell ref="R48:S48"/>
    <mergeCell ref="N52:O52"/>
    <mergeCell ref="J34:K34"/>
    <mergeCell ref="N34:O34"/>
    <mergeCell ref="R34:S34"/>
    <mergeCell ref="J40:K40"/>
    <mergeCell ref="R12:S12"/>
    <mergeCell ref="R13:S14"/>
    <mergeCell ref="R54:S54"/>
    <mergeCell ref="N13:O14"/>
    <mergeCell ref="C12:H12"/>
    <mergeCell ref="Q15:T15"/>
    <mergeCell ref="R23:S23"/>
    <mergeCell ref="J16:K16"/>
    <mergeCell ref="N16:O16"/>
    <mergeCell ref="A5:U5"/>
    <mergeCell ref="C54:G55"/>
    <mergeCell ref="J54:K54"/>
    <mergeCell ref="C48:G49"/>
    <mergeCell ref="J48:K48"/>
    <mergeCell ref="C95:G96"/>
    <mergeCell ref="J95:K95"/>
    <mergeCell ref="R60:S60"/>
    <mergeCell ref="R58:S58"/>
    <mergeCell ref="R78:S78"/>
    <mergeCell ref="R76:S76"/>
    <mergeCell ref="R64:S64"/>
    <mergeCell ref="N78:O78"/>
    <mergeCell ref="R95:S95"/>
    <mergeCell ref="R93:S93"/>
    <mergeCell ref="J64:K64"/>
    <mergeCell ref="N64:O64"/>
    <mergeCell ref="N95:O95"/>
    <mergeCell ref="N93:O93"/>
    <mergeCell ref="C60:G61"/>
    <mergeCell ref="C23:G24"/>
    <mergeCell ref="J23:K23"/>
    <mergeCell ref="J37:K37"/>
    <mergeCell ref="N58:O58"/>
    <mergeCell ref="C175:G176"/>
    <mergeCell ref="J175:K175"/>
    <mergeCell ref="N175:O175"/>
    <mergeCell ref="J138:K138"/>
    <mergeCell ref="J187:K187"/>
    <mergeCell ref="N187:O187"/>
    <mergeCell ref="J99:K99"/>
    <mergeCell ref="C66:G67"/>
    <mergeCell ref="J66:K66"/>
    <mergeCell ref="N66:O66"/>
    <mergeCell ref="J76:K76"/>
    <mergeCell ref="C78:G79"/>
    <mergeCell ref="C84:G85"/>
    <mergeCell ref="N82:O82"/>
    <mergeCell ref="N76:O76"/>
    <mergeCell ref="C70:F70"/>
    <mergeCell ref="J78:K78"/>
    <mergeCell ref="J84:K84"/>
    <mergeCell ref="N105:O105"/>
    <mergeCell ref="N84:O84"/>
    <mergeCell ref="J82:K82"/>
    <mergeCell ref="J93:K93"/>
    <mergeCell ref="N152:O152"/>
    <mergeCell ref="C162:G163"/>
    <mergeCell ref="A2:U2"/>
    <mergeCell ref="A3:U3"/>
    <mergeCell ref="C45:G46"/>
    <mergeCell ref="N32:O32"/>
    <mergeCell ref="N45:O45"/>
    <mergeCell ref="J21:K21"/>
    <mergeCell ref="N21:O21"/>
    <mergeCell ref="J17:K17"/>
    <mergeCell ref="R21:S21"/>
    <mergeCell ref="R32:S32"/>
    <mergeCell ref="J12:K12"/>
    <mergeCell ref="N12:O12"/>
    <mergeCell ref="N19:O19"/>
    <mergeCell ref="A4:U4"/>
    <mergeCell ref="A7:U7"/>
    <mergeCell ref="J13:K14"/>
    <mergeCell ref="J19:K19"/>
    <mergeCell ref="C9:H9"/>
    <mergeCell ref="J45:K45"/>
    <mergeCell ref="R17:S17"/>
    <mergeCell ref="R37:S37"/>
    <mergeCell ref="R45:S45"/>
    <mergeCell ref="R19:S19"/>
    <mergeCell ref="N37:O37"/>
    <mergeCell ref="R99:S99"/>
    <mergeCell ref="J130:K130"/>
    <mergeCell ref="R119:S119"/>
    <mergeCell ref="R117:S117"/>
    <mergeCell ref="R123:S123"/>
    <mergeCell ref="R125:S125"/>
    <mergeCell ref="R113:S113"/>
    <mergeCell ref="J123:K123"/>
    <mergeCell ref="N128:O128"/>
    <mergeCell ref="N117:O117"/>
    <mergeCell ref="J113:K113"/>
    <mergeCell ref="N113:O113"/>
    <mergeCell ref="J111:K111"/>
    <mergeCell ref="N42:O42"/>
    <mergeCell ref="R42:S42"/>
    <mergeCell ref="N15:O15"/>
    <mergeCell ref="R187:S187"/>
    <mergeCell ref="J156:K156"/>
    <mergeCell ref="R185:S185"/>
    <mergeCell ref="C179:G179"/>
    <mergeCell ref="J179:K179"/>
    <mergeCell ref="N179:O179"/>
    <mergeCell ref="J144:K144"/>
    <mergeCell ref="N144:O144"/>
    <mergeCell ref="J150:K150"/>
    <mergeCell ref="N150:O150"/>
    <mergeCell ref="R144:S144"/>
    <mergeCell ref="R150:S150"/>
    <mergeCell ref="R179:S179"/>
    <mergeCell ref="N156:O156"/>
    <mergeCell ref="J158:K158"/>
    <mergeCell ref="R175:S175"/>
    <mergeCell ref="J162:K162"/>
    <mergeCell ref="N162:O162"/>
    <mergeCell ref="R162:S162"/>
    <mergeCell ref="R165:S165"/>
    <mergeCell ref="J152:K152"/>
    <mergeCell ref="D42:G43"/>
    <mergeCell ref="C13:H13"/>
    <mergeCell ref="J185:K185"/>
    <mergeCell ref="N185:O185"/>
    <mergeCell ref="C119:G120"/>
    <mergeCell ref="J119:K119"/>
    <mergeCell ref="N119:O119"/>
    <mergeCell ref="J15:K15"/>
    <mergeCell ref="C107:G108"/>
    <mergeCell ref="C113:G114"/>
    <mergeCell ref="C88:G88"/>
    <mergeCell ref="N99:O99"/>
    <mergeCell ref="J101:K101"/>
    <mergeCell ref="N101:O101"/>
    <mergeCell ref="N111:O111"/>
    <mergeCell ref="C125:G126"/>
    <mergeCell ref="J125:K125"/>
    <mergeCell ref="N125:O125"/>
    <mergeCell ref="C101:G102"/>
    <mergeCell ref="N123:O123"/>
    <mergeCell ref="J117:K117"/>
    <mergeCell ref="J107:K107"/>
    <mergeCell ref="N107:O107"/>
    <mergeCell ref="J42:K42"/>
  </mergeCells>
  <phoneticPr fontId="5" type="noConversion"/>
  <dataValidations count="5">
    <dataValidation type="whole" operator="greaterThanOrEqual" allowBlank="1" showInputMessage="1" showErrorMessage="1" error="Must be a positive number" sqref="O209 J45:K45 N45:O45">
      <formula1>0</formula1>
    </dataValidation>
    <dataValidation type="whole" operator="lessThanOrEqual" allowBlank="1" showInputMessage="1" showErrorMessage="1" error="Must be a negative number" sqref="J58:K58 N64:O64 N32:O32 J64:K64 J52:K52 N52:O52 J32:K32 N58:O58">
      <formula1>0</formula1>
    </dataValidation>
    <dataValidation type="whole" operator="equal" allowBlank="1" showInputMessage="1" showErrorMessage="1" errorTitle="Don't overwrite this cell" error="Does not equal col1 + col2" sqref="R42:S42 R60:S60 R163:S164 R64:S64 R202:S202 R66:S66 R32:S32 R34:S34 R37:S37 R40:S40 R45:S45 R48:S48 R52:S52 R54:S54 R58:S58">
      <formula1>J32+N32</formula1>
    </dataValidation>
    <dataValidation operator="greaterThanOrEqual" allowBlank="1" showInputMessage="1" showErrorMessage="1" error="Must be equal to or less than line 6" sqref="N42:O42 N40:O40 N34:O34"/>
    <dataValidation operator="lessThanOrEqual" allowBlank="1" showInputMessage="1" showErrorMessage="1" error="Must be a negative number" sqref="J27:K27 N19:O19 N23:O23 J17:K17 N17:O17 J19:K19 N27:O27 J21:K21 N21:O21 J23:K23"/>
  </dataValidations>
  <printOptions horizontalCentered="1"/>
  <pageMargins left="0.39370078740157483" right="0.39370078740157483" top="0.39370078740157483" bottom="0.59055118110236227" header="0.51181102362204722" footer="0.51181102362204722"/>
  <pageSetup paperSize="9" scale="55" fitToHeight="3" orientation="portrait" r:id="rId1"/>
  <headerFooter alignWithMargins="0"/>
  <rowBreaks count="2" manualBreakCount="2">
    <brk id="72" max="16383" man="1"/>
    <brk id="135" max="16383" man="1"/>
  </rowBreaks>
  <extLst>
    <ext xmlns:x14="http://schemas.microsoft.com/office/spreadsheetml/2009/9/main" uri="{78C0D931-6437-407d-A8EE-F0AAD7539E65}">
      <x14:conditionalFormattings>
        <x14:conditionalFormatting xmlns:xm="http://schemas.microsoft.com/office/excel/2006/main">
          <x14:cfRule type="expression" priority="18" id="{AC11580B-E091-40EE-AD46-B8B9DEED1B0D}">
            <xm:f>AND('Part 1'!#REF!=0)=TRUE</xm:f>
            <x14:dxf>
              <fill>
                <patternFill>
                  <bgColor theme="0" tint="-0.24994659260841701"/>
                </patternFill>
              </fill>
            </x14:dxf>
          </x14:cfRule>
          <xm:sqref>M237:P237 M240:P240 M243:P243 M245:P245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18"/>
  <sheetViews>
    <sheetView showGridLines="0" zoomScaleNormal="100" zoomScaleSheetLayoutView="100" workbookViewId="0"/>
  </sheetViews>
  <sheetFormatPr defaultRowHeight="12.75" x14ac:dyDescent="0.2"/>
  <cols>
    <col min="1" max="2" width="1.7109375" customWidth="1"/>
    <col min="5" max="5" width="38.28515625" customWidth="1"/>
    <col min="6" max="6" width="3.85546875" customWidth="1"/>
    <col min="7" max="8" width="9.140625" customWidth="1"/>
    <col min="9" max="9" width="3.85546875" customWidth="1"/>
    <col min="10" max="10" width="2.85546875" customWidth="1"/>
    <col min="11" max="12" width="9.140625" customWidth="1"/>
    <col min="13" max="14" width="2.7109375" customWidth="1"/>
    <col min="15" max="16" width="9.140625" customWidth="1"/>
    <col min="17" max="18" width="2.7109375" customWidth="1"/>
    <col min="19" max="20" width="9.140625" customWidth="1"/>
    <col min="21" max="21" width="1.7109375" customWidth="1"/>
    <col min="22" max="22" width="1.7109375" style="212" customWidth="1"/>
    <col min="23" max="26" width="9.140625" style="212" hidden="1" customWidth="1"/>
    <col min="27" max="27" width="0" style="212" hidden="1" customWidth="1"/>
  </cols>
  <sheetData>
    <row r="1" spans="1:27" ht="15" x14ac:dyDescent="0.2">
      <c r="A1" s="57"/>
      <c r="B1" s="58"/>
      <c r="C1" s="58"/>
      <c r="D1" s="58"/>
      <c r="E1" s="58"/>
      <c r="F1" s="58"/>
      <c r="G1" s="105">
        <f>+'Part 1'!F1</f>
        <v>327</v>
      </c>
      <c r="H1" s="58"/>
      <c r="I1" s="58"/>
      <c r="J1" s="58"/>
      <c r="K1" s="58"/>
      <c r="L1" s="58"/>
      <c r="M1" s="58"/>
      <c r="N1" s="58"/>
      <c r="O1" s="58"/>
      <c r="P1" s="58"/>
      <c r="Q1" s="58"/>
      <c r="R1" s="58"/>
      <c r="S1" s="58"/>
      <c r="T1" s="58"/>
      <c r="U1" s="58"/>
      <c r="V1" s="59"/>
    </row>
    <row r="2" spans="1:27" ht="15.75" x14ac:dyDescent="0.25">
      <c r="A2" s="810" t="s">
        <v>40</v>
      </c>
      <c r="B2" s="811"/>
      <c r="C2" s="811"/>
      <c r="D2" s="811"/>
      <c r="E2" s="811"/>
      <c r="F2" s="811"/>
      <c r="G2" s="811"/>
      <c r="H2" s="811"/>
      <c r="I2" s="811"/>
      <c r="J2" s="811"/>
      <c r="K2" s="811"/>
      <c r="L2" s="811"/>
      <c r="M2" s="811"/>
      <c r="N2" s="811"/>
      <c r="O2" s="811"/>
      <c r="P2" s="811"/>
      <c r="Q2" s="811"/>
      <c r="R2" s="811"/>
      <c r="S2" s="811"/>
      <c r="T2" s="811"/>
      <c r="U2" s="811"/>
      <c r="V2" s="812"/>
    </row>
    <row r="3" spans="1:27" ht="15.75" x14ac:dyDescent="0.25">
      <c r="A3" s="780" t="s">
        <v>1219</v>
      </c>
      <c r="B3" s="811"/>
      <c r="C3" s="811"/>
      <c r="D3" s="811"/>
      <c r="E3" s="811"/>
      <c r="F3" s="811"/>
      <c r="G3" s="811"/>
      <c r="H3" s="811"/>
      <c r="I3" s="811"/>
      <c r="J3" s="811"/>
      <c r="K3" s="811"/>
      <c r="L3" s="811"/>
      <c r="M3" s="811"/>
      <c r="N3" s="811"/>
      <c r="O3" s="811"/>
      <c r="P3" s="811"/>
      <c r="Q3" s="811"/>
      <c r="R3" s="811"/>
      <c r="S3" s="811"/>
      <c r="T3" s="811"/>
      <c r="U3" s="811"/>
      <c r="V3" s="812"/>
    </row>
    <row r="4" spans="1:27" ht="15" x14ac:dyDescent="0.2">
      <c r="A4" s="783"/>
      <c r="B4" s="784"/>
      <c r="C4" s="784"/>
      <c r="D4" s="784"/>
      <c r="E4" s="784"/>
      <c r="F4" s="784"/>
      <c r="G4" s="784"/>
      <c r="H4" s="784"/>
      <c r="I4" s="784"/>
      <c r="J4" s="784"/>
      <c r="K4" s="784"/>
      <c r="L4" s="784"/>
      <c r="M4" s="784"/>
      <c r="N4" s="784"/>
      <c r="O4" s="784"/>
      <c r="P4" s="784"/>
      <c r="Q4" s="784"/>
      <c r="R4" s="784"/>
      <c r="S4" s="784"/>
      <c r="T4" s="784"/>
      <c r="U4" s="784"/>
      <c r="V4" s="785"/>
    </row>
    <row r="5" spans="1:27" ht="15" x14ac:dyDescent="0.2">
      <c r="A5" s="783"/>
      <c r="B5" s="784"/>
      <c r="C5" s="784"/>
      <c r="D5" s="784"/>
      <c r="E5" s="784"/>
      <c r="F5" s="784"/>
      <c r="G5" s="784"/>
      <c r="H5" s="784"/>
      <c r="I5" s="784"/>
      <c r="J5" s="784"/>
      <c r="K5" s="784"/>
      <c r="L5" s="784"/>
      <c r="M5" s="784"/>
      <c r="N5" s="784"/>
      <c r="O5" s="784"/>
      <c r="P5" s="784"/>
      <c r="Q5" s="784"/>
      <c r="R5" s="784"/>
      <c r="S5" s="784"/>
      <c r="T5" s="784"/>
      <c r="U5" s="784"/>
      <c r="V5" s="785"/>
    </row>
    <row r="6" spans="1:27" ht="15.75" thickBot="1" x14ac:dyDescent="0.25">
      <c r="A6" s="60"/>
      <c r="B6" s="61"/>
      <c r="C6" s="61"/>
      <c r="D6" s="61"/>
      <c r="E6" s="61"/>
      <c r="F6" s="61"/>
      <c r="G6" s="61"/>
      <c r="H6" s="61"/>
      <c r="I6" s="61"/>
      <c r="J6" s="61"/>
      <c r="K6" s="61"/>
      <c r="L6" s="61"/>
      <c r="M6" s="61"/>
      <c r="N6" s="61"/>
      <c r="O6" s="61"/>
      <c r="P6" s="61"/>
      <c r="Q6" s="61"/>
      <c r="R6" s="61"/>
      <c r="S6" s="61"/>
      <c r="T6" s="85"/>
      <c r="U6" s="61"/>
      <c r="V6" s="62"/>
    </row>
    <row r="7" spans="1:27" x14ac:dyDescent="0.2">
      <c r="A7" s="45"/>
      <c r="B7" s="46"/>
      <c r="C7" s="895"/>
      <c r="D7" s="895"/>
      <c r="E7" s="895"/>
      <c r="F7" s="895"/>
      <c r="G7" s="895"/>
      <c r="H7" s="895"/>
      <c r="I7" s="895"/>
      <c r="J7" s="46"/>
      <c r="K7" s="46"/>
      <c r="L7" s="46"/>
      <c r="M7" s="46"/>
      <c r="N7" s="46"/>
      <c r="O7" s="46"/>
      <c r="P7" s="46"/>
      <c r="Q7" s="46"/>
      <c r="R7" s="46"/>
      <c r="S7" s="46"/>
      <c r="T7" s="46"/>
      <c r="U7" s="46"/>
      <c r="V7" s="603"/>
    </row>
    <row r="8" spans="1:27" s="24" customFormat="1" ht="18" customHeight="1" x14ac:dyDescent="0.25">
      <c r="A8" s="32"/>
      <c r="B8" s="18"/>
      <c r="C8" s="399" t="str">
        <f>+CONCATENATE("Local Authority : ",+'Part 1'!L15)</f>
        <v>Local Authority : England</v>
      </c>
      <c r="D8" s="63"/>
      <c r="E8" s="63"/>
      <c r="F8" s="63"/>
      <c r="G8" s="356"/>
      <c r="H8" s="356"/>
      <c r="I8" s="356"/>
      <c r="J8" s="18"/>
      <c r="K8" s="18"/>
      <c r="L8" s="18"/>
      <c r="M8" s="18"/>
      <c r="N8" s="18"/>
      <c r="O8" s="18"/>
      <c r="P8" s="18"/>
      <c r="Q8" s="18"/>
      <c r="R8" s="18"/>
      <c r="S8" s="18"/>
      <c r="T8" s="18"/>
      <c r="U8" s="18"/>
      <c r="V8" s="8"/>
      <c r="W8" s="5"/>
      <c r="X8" s="5"/>
      <c r="Y8" s="5"/>
      <c r="Z8" s="5"/>
      <c r="AA8" s="5"/>
    </row>
    <row r="9" spans="1:27" ht="15.75" x14ac:dyDescent="0.25">
      <c r="A9" s="14"/>
      <c r="B9" s="2"/>
      <c r="C9" s="356"/>
      <c r="D9" s="356"/>
      <c r="E9" s="356"/>
      <c r="F9" s="356"/>
      <c r="G9" s="356"/>
      <c r="H9" s="356"/>
      <c r="I9" s="356"/>
      <c r="J9" s="18"/>
      <c r="K9" s="822" t="s">
        <v>23</v>
      </c>
      <c r="L9" s="822"/>
      <c r="M9" s="353"/>
      <c r="N9" s="353"/>
      <c r="O9" s="822" t="s">
        <v>24</v>
      </c>
      <c r="P9" s="822"/>
      <c r="Q9" s="353"/>
      <c r="R9" s="353"/>
      <c r="S9" s="821" t="s">
        <v>25</v>
      </c>
      <c r="T9" s="822"/>
      <c r="U9" s="1"/>
      <c r="V9" s="604"/>
    </row>
    <row r="10" spans="1:27" ht="15.75" x14ac:dyDescent="0.25">
      <c r="A10" s="14"/>
      <c r="B10" s="2"/>
      <c r="C10" s="178" t="s">
        <v>948</v>
      </c>
      <c r="D10" s="18"/>
      <c r="E10" s="18"/>
      <c r="F10" s="18"/>
      <c r="G10" s="18"/>
      <c r="H10" s="18"/>
      <c r="I10" s="18"/>
      <c r="J10" s="800" t="s">
        <v>54</v>
      </c>
      <c r="K10" s="800"/>
      <c r="L10" s="800"/>
      <c r="M10" s="800"/>
      <c r="N10" s="778" t="s">
        <v>52</v>
      </c>
      <c r="O10" s="778"/>
      <c r="P10" s="778"/>
      <c r="Q10" s="778"/>
      <c r="R10" s="352"/>
      <c r="S10" s="800" t="s">
        <v>944</v>
      </c>
      <c r="T10" s="823"/>
      <c r="U10" s="3"/>
      <c r="V10" s="604"/>
    </row>
    <row r="11" spans="1:27" ht="15" x14ac:dyDescent="0.2">
      <c r="A11" s="14"/>
      <c r="B11" s="2"/>
      <c r="C11" s="18"/>
      <c r="D11" s="18"/>
      <c r="E11" s="18"/>
      <c r="F11" s="18"/>
      <c r="G11" s="18"/>
      <c r="H11" s="18"/>
      <c r="I11" s="18"/>
      <c r="J11" s="800"/>
      <c r="K11" s="800"/>
      <c r="L11" s="800"/>
      <c r="M11" s="800"/>
      <c r="N11" s="778"/>
      <c r="O11" s="778"/>
      <c r="P11" s="778"/>
      <c r="Q11" s="778"/>
      <c r="R11" s="18"/>
      <c r="S11" s="823"/>
      <c r="T11" s="823"/>
      <c r="U11" s="2"/>
      <c r="V11" s="604"/>
    </row>
    <row r="12" spans="1:27" ht="30.75" customHeight="1" x14ac:dyDescent="0.25">
      <c r="A12" s="14"/>
      <c r="B12" s="2"/>
      <c r="C12" s="178"/>
      <c r="D12" s="18"/>
      <c r="E12" s="18"/>
      <c r="F12" s="18"/>
      <c r="G12" s="18"/>
      <c r="H12" s="18"/>
      <c r="I12" s="18"/>
      <c r="J12" s="354"/>
      <c r="K12" s="833"/>
      <c r="L12" s="833"/>
      <c r="M12" s="29"/>
      <c r="N12" s="833"/>
      <c r="O12" s="833"/>
      <c r="P12" s="833"/>
      <c r="Q12" s="833"/>
      <c r="R12" s="345"/>
      <c r="S12" s="834"/>
      <c r="T12" s="834"/>
      <c r="U12" s="345"/>
      <c r="V12" s="604"/>
    </row>
    <row r="13" spans="1:27" ht="18" customHeight="1" thickBot="1" x14ac:dyDescent="0.25">
      <c r="A13" s="14"/>
      <c r="B13" s="2"/>
      <c r="C13" s="49"/>
      <c r="D13" s="49"/>
      <c r="E13" s="49"/>
      <c r="F13" s="49"/>
      <c r="G13" s="49"/>
      <c r="H13" s="49"/>
      <c r="I13" s="49"/>
      <c r="J13" s="18"/>
      <c r="K13" s="872" t="s">
        <v>20</v>
      </c>
      <c r="L13" s="873"/>
      <c r="M13" s="54"/>
      <c r="N13" s="54"/>
      <c r="O13" s="872" t="s">
        <v>20</v>
      </c>
      <c r="P13" s="873"/>
      <c r="Q13" s="54"/>
      <c r="R13" s="322"/>
      <c r="S13" s="875" t="s">
        <v>20</v>
      </c>
      <c r="T13" s="876"/>
      <c r="U13" s="323"/>
      <c r="V13" s="604"/>
    </row>
    <row r="14" spans="1:27" ht="18" customHeight="1" thickBot="1" x14ac:dyDescent="0.25">
      <c r="A14" s="14"/>
      <c r="B14" s="2"/>
      <c r="C14" s="894" t="s">
        <v>1290</v>
      </c>
      <c r="D14" s="894"/>
      <c r="E14" s="894"/>
      <c r="F14" s="894"/>
      <c r="G14" s="894"/>
      <c r="H14" s="894"/>
      <c r="I14" s="135"/>
      <c r="J14" s="18"/>
      <c r="K14" s="878">
        <f>VLOOKUP('Part 1'!$L$16,Datasheet4!$B$6:$DH$332,X14,FALSE)</f>
        <v>-108251428</v>
      </c>
      <c r="L14" s="879"/>
      <c r="M14" s="102"/>
      <c r="N14" s="103"/>
      <c r="O14" s="878">
        <f>VLOOKUP('Part 1'!$L$16,Datasheet4!$B$6:$DH$332,Y14,FALSE)</f>
        <v>-770117</v>
      </c>
      <c r="P14" s="879"/>
      <c r="Q14" s="102"/>
      <c r="R14" s="344"/>
      <c r="S14" s="859">
        <f>VLOOKUP('Part 1'!$L$16,Datasheet4!$B$6:$DH$332,Z14,FALSE)</f>
        <v>-109021545</v>
      </c>
      <c r="T14" s="898"/>
      <c r="U14" s="323"/>
      <c r="V14" s="604"/>
      <c r="X14" s="212">
        <v>3</v>
      </c>
      <c r="Y14" s="212">
        <v>4</v>
      </c>
      <c r="Z14" s="212">
        <v>5</v>
      </c>
    </row>
    <row r="15" spans="1:27" ht="18" customHeight="1" thickBot="1" x14ac:dyDescent="0.25">
      <c r="A15" s="14"/>
      <c r="B15" s="2"/>
      <c r="C15" s="127"/>
      <c r="D15" s="127"/>
      <c r="E15" s="127"/>
      <c r="F15" s="127"/>
      <c r="G15" s="127"/>
      <c r="H15" s="127"/>
      <c r="I15" s="127"/>
      <c r="J15" s="2"/>
      <c r="K15" s="2"/>
      <c r="L15" s="2"/>
      <c r="M15" s="2"/>
      <c r="N15" s="2"/>
      <c r="O15" s="2"/>
      <c r="P15" s="2"/>
      <c r="Q15" s="2"/>
      <c r="R15" s="323"/>
      <c r="S15" s="323"/>
      <c r="T15" s="323"/>
      <c r="U15" s="323"/>
      <c r="V15" s="604"/>
    </row>
    <row r="16" spans="1:27" ht="18" customHeight="1" thickBot="1" x14ac:dyDescent="0.25">
      <c r="A16" s="14"/>
      <c r="B16" s="2"/>
      <c r="C16" s="766" t="s">
        <v>1291</v>
      </c>
      <c r="D16" s="766"/>
      <c r="E16" s="815"/>
      <c r="F16" s="815"/>
      <c r="G16" s="815"/>
      <c r="H16" s="815"/>
      <c r="I16" s="49"/>
      <c r="J16" s="18"/>
      <c r="K16" s="896">
        <f>VLOOKUP('Part 1'!$L$16,Datasheet4!$B$6:$DH$332,X16,FALSE)</f>
        <v>0</v>
      </c>
      <c r="L16" s="897"/>
      <c r="M16" s="54"/>
      <c r="N16" s="54"/>
      <c r="O16" s="896">
        <f>VLOOKUP('Part 1'!$L$16,Datasheet4!$B$6:$DH$332,Y16,FALSE)</f>
        <v>0</v>
      </c>
      <c r="P16" s="897"/>
      <c r="Q16" s="54"/>
      <c r="R16" s="322"/>
      <c r="S16" s="905">
        <f>VLOOKUP('Part 1'!$L$16,Datasheet4!$B$6:$DH$332,Z16,FALSE)</f>
        <v>0</v>
      </c>
      <c r="T16" s="906"/>
      <c r="U16" s="323"/>
      <c r="V16" s="604"/>
      <c r="X16" s="212">
        <v>6</v>
      </c>
      <c r="Y16" s="212">
        <v>7</v>
      </c>
      <c r="Z16" s="212">
        <v>8</v>
      </c>
    </row>
    <row r="17" spans="1:26" ht="18" customHeight="1" x14ac:dyDescent="0.2">
      <c r="A17" s="14"/>
      <c r="B17" s="2"/>
      <c r="C17" s="855"/>
      <c r="D17" s="855"/>
      <c r="E17" s="855"/>
      <c r="F17" s="855"/>
      <c r="G17" s="855"/>
      <c r="H17" s="855"/>
      <c r="I17" s="49"/>
      <c r="J17" s="18"/>
      <c r="K17" s="55"/>
      <c r="L17" s="54"/>
      <c r="M17" s="54"/>
      <c r="N17" s="54"/>
      <c r="O17" s="55"/>
      <c r="P17" s="54"/>
      <c r="Q17" s="54"/>
      <c r="R17" s="322"/>
      <c r="S17" s="325"/>
      <c r="T17" s="322"/>
      <c r="U17" s="323"/>
      <c r="V17" s="604"/>
    </row>
    <row r="18" spans="1:26" ht="18" customHeight="1" thickBot="1" x14ac:dyDescent="0.25">
      <c r="A18" s="14"/>
      <c r="B18" s="2"/>
      <c r="C18" s="355"/>
      <c r="D18" s="355"/>
      <c r="E18" s="355"/>
      <c r="F18" s="355"/>
      <c r="G18" s="355"/>
      <c r="H18" s="355"/>
      <c r="I18" s="49"/>
      <c r="J18" s="18"/>
      <c r="K18" s="55"/>
      <c r="L18" s="54"/>
      <c r="M18" s="54"/>
      <c r="N18" s="54"/>
      <c r="O18" s="55"/>
      <c r="P18" s="54"/>
      <c r="Q18" s="54"/>
      <c r="R18" s="322"/>
      <c r="S18" s="325"/>
      <c r="T18" s="322"/>
      <c r="U18" s="323"/>
      <c r="V18" s="604"/>
    </row>
    <row r="19" spans="1:26" ht="18" customHeight="1" thickBot="1" x14ac:dyDescent="0.25">
      <c r="A19" s="14"/>
      <c r="B19" s="2"/>
      <c r="C19" s="74" t="s">
        <v>955</v>
      </c>
      <c r="D19" s="74"/>
      <c r="E19" s="49"/>
      <c r="F19" s="49"/>
      <c r="G19" s="49"/>
      <c r="H19" s="49"/>
      <c r="I19" s="49"/>
      <c r="J19" s="18"/>
      <c r="K19" s="878">
        <f>VLOOKUP('Part 1'!$L$16,Datasheet4!$B$6:$DH$332,X19,FALSE)</f>
        <v>-108251428</v>
      </c>
      <c r="L19" s="879"/>
      <c r="M19" s="54"/>
      <c r="N19" s="54"/>
      <c r="O19" s="878">
        <f>VLOOKUP('Part 1'!$L$16,Datasheet4!$B$6:$DH$332,Y19,FALSE)</f>
        <v>-770117</v>
      </c>
      <c r="P19" s="879"/>
      <c r="Q19" s="54"/>
      <c r="R19" s="322"/>
      <c r="S19" s="905">
        <f>VLOOKUP('Part 1'!$L$16,Datasheet4!$B$6:$DH$332,Z19,FALSE)</f>
        <v>-109021545</v>
      </c>
      <c r="T19" s="906"/>
      <c r="U19" s="323"/>
      <c r="V19" s="604"/>
      <c r="X19" s="212">
        <v>9</v>
      </c>
      <c r="Y19" s="212">
        <v>10</v>
      </c>
      <c r="Z19" s="212">
        <v>11</v>
      </c>
    </row>
    <row r="20" spans="1:26" ht="18" customHeight="1" thickBot="1" x14ac:dyDescent="0.25">
      <c r="A20" s="15"/>
      <c r="B20" s="16"/>
      <c r="C20" s="177"/>
      <c r="D20" s="177"/>
      <c r="E20" s="128"/>
      <c r="F20" s="128"/>
      <c r="G20" s="128"/>
      <c r="H20" s="128"/>
      <c r="I20" s="128"/>
      <c r="J20" s="70"/>
      <c r="K20" s="120"/>
      <c r="L20" s="121"/>
      <c r="M20" s="121"/>
      <c r="N20" s="121"/>
      <c r="O20" s="120"/>
      <c r="P20" s="121"/>
      <c r="Q20" s="121"/>
      <c r="R20" s="334"/>
      <c r="S20" s="335"/>
      <c r="T20" s="334"/>
      <c r="U20" s="336"/>
      <c r="V20" s="605"/>
    </row>
    <row r="21" spans="1:26" ht="9.75" customHeight="1" x14ac:dyDescent="0.2">
      <c r="A21" s="45"/>
      <c r="B21" s="46"/>
      <c r="C21" s="388"/>
      <c r="D21" s="388"/>
      <c r="E21" s="209"/>
      <c r="F21" s="209"/>
      <c r="G21" s="209"/>
      <c r="H21" s="209"/>
      <c r="I21" s="209"/>
      <c r="J21" s="210"/>
      <c r="K21" s="389"/>
      <c r="L21" s="390"/>
      <c r="M21" s="390"/>
      <c r="N21" s="390"/>
      <c r="O21" s="389"/>
      <c r="P21" s="390"/>
      <c r="Q21" s="390"/>
      <c r="R21" s="390"/>
      <c r="S21" s="389"/>
      <c r="T21" s="390"/>
      <c r="U21" s="46"/>
      <c r="V21" s="603"/>
    </row>
    <row r="22" spans="1:26" ht="9.75" customHeight="1" x14ac:dyDescent="0.2">
      <c r="A22" s="14"/>
      <c r="B22" s="2"/>
      <c r="C22" s="74"/>
      <c r="D22" s="74"/>
      <c r="E22" s="49"/>
      <c r="F22" s="49"/>
      <c r="G22" s="49"/>
      <c r="H22" s="49"/>
      <c r="I22" s="49"/>
      <c r="J22" s="18"/>
      <c r="K22" s="432"/>
      <c r="L22" s="124"/>
      <c r="M22" s="124"/>
      <c r="N22" s="124"/>
      <c r="O22" s="432"/>
      <c r="P22" s="124"/>
      <c r="Q22" s="124"/>
      <c r="R22" s="124"/>
      <c r="S22" s="432"/>
      <c r="T22" s="124"/>
      <c r="U22" s="2"/>
      <c r="V22" s="604"/>
    </row>
    <row r="23" spans="1:26" ht="18" customHeight="1" x14ac:dyDescent="0.25">
      <c r="A23" s="398" t="s">
        <v>957</v>
      </c>
      <c r="B23" s="2"/>
      <c r="C23" s="74"/>
      <c r="D23" s="74"/>
      <c r="E23" s="49"/>
      <c r="F23" s="49"/>
      <c r="G23" s="902" t="s">
        <v>23</v>
      </c>
      <c r="H23" s="902"/>
      <c r="I23" s="64"/>
      <c r="J23" s="18"/>
      <c r="K23" s="902" t="s">
        <v>24</v>
      </c>
      <c r="L23" s="902"/>
      <c r="M23" s="124"/>
      <c r="N23" s="124"/>
      <c r="O23" s="902" t="s">
        <v>25</v>
      </c>
      <c r="P23" s="902"/>
      <c r="Q23" s="124"/>
      <c r="R23" s="124"/>
      <c r="S23" s="902" t="s">
        <v>26</v>
      </c>
      <c r="T23" s="902"/>
      <c r="U23" s="2"/>
      <c r="V23" s="604"/>
    </row>
    <row r="24" spans="1:26" ht="22.5" customHeight="1" x14ac:dyDescent="0.2">
      <c r="A24" s="14"/>
      <c r="B24" s="2"/>
      <c r="C24" s="74"/>
      <c r="D24" s="74"/>
      <c r="E24" s="49"/>
      <c r="F24" s="893" t="s">
        <v>6</v>
      </c>
      <c r="G24" s="893"/>
      <c r="H24" s="893"/>
      <c r="I24" s="893"/>
      <c r="J24" s="893" t="str">
        <f>+'Part 5'!O13</f>
        <v>-</v>
      </c>
      <c r="K24" s="893"/>
      <c r="L24" s="893"/>
      <c r="M24" s="893"/>
      <c r="N24" s="893" t="str">
        <f>+'Part 5'!S13</f>
        <v>-</v>
      </c>
      <c r="O24" s="893"/>
      <c r="P24" s="893"/>
      <c r="Q24" s="893"/>
      <c r="R24" s="893" t="str">
        <f>+'Part 5'!W13</f>
        <v>-</v>
      </c>
      <c r="S24" s="893"/>
      <c r="T24" s="893"/>
      <c r="U24" s="893"/>
      <c r="V24" s="604"/>
    </row>
    <row r="25" spans="1:26" ht="22.5" customHeight="1" x14ac:dyDescent="0.2">
      <c r="A25" s="14"/>
      <c r="B25" s="2"/>
      <c r="C25" s="74"/>
      <c r="D25" s="74"/>
      <c r="E25" s="49"/>
      <c r="F25" s="893"/>
      <c r="G25" s="893"/>
      <c r="H25" s="893"/>
      <c r="I25" s="893"/>
      <c r="J25" s="893"/>
      <c r="K25" s="893"/>
      <c r="L25" s="893"/>
      <c r="M25" s="893"/>
      <c r="N25" s="893"/>
      <c r="O25" s="893"/>
      <c r="P25" s="893"/>
      <c r="Q25" s="893"/>
      <c r="R25" s="893"/>
      <c r="S25" s="893"/>
      <c r="T25" s="893"/>
      <c r="U25" s="893"/>
      <c r="V25" s="604"/>
    </row>
    <row r="26" spans="1:26" ht="33" customHeight="1" x14ac:dyDescent="0.2">
      <c r="A26" s="14"/>
      <c r="B26" s="2"/>
      <c r="C26" s="74"/>
      <c r="D26" s="74"/>
      <c r="E26" s="49"/>
      <c r="F26" s="833"/>
      <c r="G26" s="833"/>
      <c r="H26" s="833"/>
      <c r="I26" s="833"/>
      <c r="J26" s="833"/>
      <c r="K26" s="833"/>
      <c r="L26" s="833"/>
      <c r="M26" s="833"/>
      <c r="N26" s="833"/>
      <c r="O26" s="833"/>
      <c r="P26" s="833"/>
      <c r="Q26" s="833"/>
      <c r="R26" s="833"/>
      <c r="S26" s="833"/>
      <c r="T26" s="833"/>
      <c r="U26" s="833"/>
      <c r="V26" s="604"/>
    </row>
    <row r="27" spans="1:26" ht="18" customHeight="1" x14ac:dyDescent="0.2">
      <c r="A27" s="14"/>
      <c r="B27" s="2"/>
      <c r="C27" s="350"/>
      <c r="D27" s="126"/>
      <c r="E27" s="127"/>
      <c r="F27" s="127"/>
      <c r="G27" s="872" t="s">
        <v>20</v>
      </c>
      <c r="H27" s="873"/>
      <c r="I27" s="49"/>
      <c r="J27" s="127"/>
      <c r="K27" s="872" t="s">
        <v>20</v>
      </c>
      <c r="L27" s="873"/>
      <c r="M27" s="54"/>
      <c r="N27" s="2"/>
      <c r="O27" s="904" t="s">
        <v>20</v>
      </c>
      <c r="P27" s="904"/>
      <c r="Q27" s="54"/>
      <c r="R27" s="54"/>
      <c r="S27" s="872" t="s">
        <v>20</v>
      </c>
      <c r="T27" s="873"/>
      <c r="U27" s="2"/>
      <c r="V27" s="604"/>
    </row>
    <row r="28" spans="1:26" ht="1.5" customHeight="1" thickBot="1" x14ac:dyDescent="0.25">
      <c r="A28" s="14"/>
      <c r="B28" s="2"/>
      <c r="C28" s="431"/>
      <c r="D28" s="126"/>
      <c r="E28" s="127"/>
      <c r="F28" s="127"/>
      <c r="G28" s="433"/>
      <c r="H28" s="434"/>
      <c r="I28" s="49"/>
      <c r="J28" s="127"/>
      <c r="K28" s="433"/>
      <c r="L28" s="434"/>
      <c r="M28" s="54"/>
      <c r="N28" s="2"/>
      <c r="O28" s="435"/>
      <c r="P28" s="435"/>
      <c r="Q28" s="54"/>
      <c r="R28" s="54"/>
      <c r="S28" s="433"/>
      <c r="T28" s="434"/>
      <c r="U28" s="2"/>
      <c r="V28" s="604"/>
    </row>
    <row r="29" spans="1:26" ht="18" customHeight="1" thickBot="1" x14ac:dyDescent="0.25">
      <c r="A29" s="899" t="s">
        <v>942</v>
      </c>
      <c r="B29" s="749"/>
      <c r="C29" s="749"/>
      <c r="D29" s="749"/>
      <c r="E29" s="749"/>
      <c r="F29" s="749"/>
      <c r="G29" s="891">
        <f>VLOOKUP('Part 1'!$L$16,Datasheet4!$B$6:$DH$332,W29,FALSE)</f>
        <v>0</v>
      </c>
      <c r="H29" s="892"/>
      <c r="I29" s="314"/>
      <c r="J29" s="127"/>
      <c r="K29" s="891">
        <f>VLOOKUP('Part 1'!$L$16,Datasheet4!$B$6:$DH$332,X29,FALSE)</f>
        <v>0</v>
      </c>
      <c r="L29" s="892"/>
      <c r="M29" s="54"/>
      <c r="N29" s="54"/>
      <c r="O29" s="891">
        <f>VLOOKUP('Part 1'!$L$16,Datasheet4!$B$6:$DH$332,Y29,FALSE)</f>
        <v>0</v>
      </c>
      <c r="P29" s="892"/>
      <c r="Q29" s="64"/>
      <c r="R29" s="64"/>
      <c r="S29" s="891">
        <f>VLOOKUP('Part 1'!$L$16,Datasheet4!$B$6:$DH$332,Z29,FALSE)</f>
        <v>0</v>
      </c>
      <c r="T29" s="892"/>
      <c r="U29" s="44"/>
      <c r="V29" s="604"/>
      <c r="W29" s="212">
        <v>108</v>
      </c>
      <c r="X29" s="212">
        <v>109</v>
      </c>
      <c r="Y29" s="212">
        <v>110</v>
      </c>
      <c r="Z29" s="212">
        <v>111</v>
      </c>
    </row>
    <row r="30" spans="1:26" ht="18" customHeight="1" x14ac:dyDescent="0.2">
      <c r="A30" s="751"/>
      <c r="B30" s="749"/>
      <c r="C30" s="749"/>
      <c r="D30" s="749"/>
      <c r="E30" s="749"/>
      <c r="F30" s="749"/>
      <c r="G30" s="6"/>
      <c r="H30" s="503"/>
      <c r="I30" s="503"/>
      <c r="J30" s="127"/>
      <c r="K30" s="503"/>
      <c r="L30" s="503"/>
      <c r="M30" s="54"/>
      <c r="N30" s="54"/>
      <c r="O30" s="503"/>
      <c r="P30" s="64"/>
      <c r="Q30" s="503"/>
      <c r="R30" s="503"/>
      <c r="S30" s="498"/>
      <c r="T30" s="503"/>
      <c r="U30" s="357"/>
      <c r="V30" s="604"/>
    </row>
    <row r="31" spans="1:26" ht="18" customHeight="1" x14ac:dyDescent="0.2">
      <c r="A31" s="14"/>
      <c r="B31" s="2"/>
      <c r="C31" s="350"/>
      <c r="D31" s="126"/>
      <c r="E31" s="127"/>
      <c r="F31" s="127"/>
      <c r="G31" s="127"/>
      <c r="H31" s="127"/>
      <c r="I31" s="127"/>
      <c r="J31" s="127"/>
      <c r="K31" s="127"/>
      <c r="L31" s="127"/>
      <c r="M31" s="54"/>
      <c r="N31" s="54"/>
      <c r="O31" s="2"/>
      <c r="P31" s="127"/>
      <c r="Q31" s="127"/>
      <c r="R31" s="127"/>
      <c r="S31" s="127"/>
      <c r="T31" s="127"/>
      <c r="U31" s="2"/>
      <c r="V31" s="604"/>
    </row>
    <row r="32" spans="1:26" ht="18" customHeight="1" thickBot="1" x14ac:dyDescent="0.25">
      <c r="A32" s="14"/>
      <c r="B32" s="2"/>
      <c r="C32" s="126" t="s">
        <v>16</v>
      </c>
      <c r="D32" s="126"/>
      <c r="E32" s="49"/>
      <c r="F32" s="49"/>
      <c r="G32" s="872"/>
      <c r="H32" s="873"/>
      <c r="I32" s="49"/>
      <c r="J32" s="18"/>
      <c r="K32" s="872"/>
      <c r="L32" s="873"/>
      <c r="M32" s="54"/>
      <c r="N32" s="54"/>
      <c r="O32" s="872"/>
      <c r="P32" s="873"/>
      <c r="Q32" s="54"/>
      <c r="R32" s="54"/>
      <c r="S32" s="872"/>
      <c r="T32" s="873"/>
      <c r="U32" s="2"/>
      <c r="V32" s="604"/>
    </row>
    <row r="33" spans="1:25" ht="18" customHeight="1" thickBot="1" x14ac:dyDescent="0.25">
      <c r="A33" s="14"/>
      <c r="B33" s="2"/>
      <c r="C33" s="74" t="s">
        <v>1292</v>
      </c>
      <c r="D33" s="74"/>
      <c r="E33" s="49"/>
      <c r="F33" s="49"/>
      <c r="G33" s="49"/>
      <c r="H33" s="49"/>
      <c r="I33" s="49"/>
      <c r="J33" s="18"/>
      <c r="K33" s="878">
        <f>VLOOKUP('Part 1'!$L$16,Datasheet4!$B$6:$DH$332,X33,FALSE)</f>
        <v>84113460</v>
      </c>
      <c r="L33" s="879"/>
      <c r="M33" s="2"/>
      <c r="N33" s="2"/>
      <c r="O33" s="2"/>
      <c r="P33" s="2"/>
      <c r="Q33" s="2"/>
      <c r="R33" s="2"/>
      <c r="S33" s="54"/>
      <c r="T33" s="54"/>
      <c r="U33" s="2"/>
      <c r="V33" s="604"/>
      <c r="X33" s="212">
        <v>12</v>
      </c>
    </row>
    <row r="34" spans="1:25" ht="18" customHeight="1" thickBot="1" x14ac:dyDescent="0.25">
      <c r="A34" s="14"/>
      <c r="B34" s="2"/>
      <c r="C34" s="49"/>
      <c r="D34" s="49"/>
      <c r="E34" s="49"/>
      <c r="F34" s="49"/>
      <c r="G34" s="49"/>
      <c r="H34" s="49"/>
      <c r="I34" s="49"/>
      <c r="J34" s="18"/>
      <c r="K34" s="18"/>
      <c r="L34" s="18"/>
      <c r="M34" s="2"/>
      <c r="N34" s="2"/>
      <c r="O34" s="2"/>
      <c r="P34" s="2"/>
      <c r="Q34" s="2"/>
      <c r="R34" s="2"/>
      <c r="S34" s="54"/>
      <c r="T34" s="54"/>
      <c r="U34" s="2"/>
      <c r="V34" s="604"/>
    </row>
    <row r="35" spans="1:25" ht="18" customHeight="1" thickBot="1" x14ac:dyDescent="0.25">
      <c r="A35" s="14"/>
      <c r="B35" s="2"/>
      <c r="C35" s="74" t="s">
        <v>76</v>
      </c>
      <c r="D35" s="74"/>
      <c r="E35" s="49"/>
      <c r="F35" s="49"/>
      <c r="G35" s="49"/>
      <c r="H35" s="49"/>
      <c r="I35" s="49"/>
      <c r="J35" s="18"/>
      <c r="K35" s="900">
        <f>VLOOKUP('Part 1'!$L$16,Datasheet4!$B$6:$DH$332,X35,FALSE)</f>
        <v>84146483</v>
      </c>
      <c r="L35" s="901"/>
      <c r="M35" s="2"/>
      <c r="N35" s="2"/>
      <c r="O35" s="2"/>
      <c r="P35" s="2"/>
      <c r="Q35" s="2"/>
      <c r="R35" s="2"/>
      <c r="S35" s="54"/>
      <c r="T35" s="54"/>
      <c r="U35" s="2"/>
      <c r="V35" s="604"/>
      <c r="X35" s="212">
        <v>13</v>
      </c>
    </row>
    <row r="36" spans="1:25" ht="18" customHeight="1" thickBot="1" x14ac:dyDescent="0.25">
      <c r="A36" s="14"/>
      <c r="B36" s="2"/>
      <c r="C36" s="49"/>
      <c r="D36" s="49"/>
      <c r="E36" s="49"/>
      <c r="F36" s="49"/>
      <c r="G36" s="49"/>
      <c r="H36" s="49"/>
      <c r="I36" s="49"/>
      <c r="J36" s="18"/>
      <c r="K36" s="55"/>
      <c r="L36" s="54"/>
      <c r="M36" s="2"/>
      <c r="N36" s="2"/>
      <c r="O36" s="2"/>
      <c r="P36" s="2"/>
      <c r="Q36" s="2"/>
      <c r="R36" s="2"/>
      <c r="S36" s="54"/>
      <c r="T36" s="54"/>
      <c r="U36" s="2"/>
      <c r="V36" s="604"/>
    </row>
    <row r="37" spans="1:25" ht="18" customHeight="1" thickBot="1" x14ac:dyDescent="0.25">
      <c r="A37" s="14"/>
      <c r="B37" s="2"/>
      <c r="C37" s="74" t="s">
        <v>958</v>
      </c>
      <c r="D37" s="74"/>
      <c r="E37" s="49"/>
      <c r="F37" s="49"/>
      <c r="G37" s="49"/>
      <c r="H37" s="49"/>
      <c r="I37" s="49"/>
      <c r="J37" s="18"/>
      <c r="K37" s="878">
        <f>VLOOKUP('Part 1'!$L$16,Datasheet4!$B$6:$DH$332,X37,FALSE)</f>
        <v>-33023</v>
      </c>
      <c r="L37" s="879"/>
      <c r="M37" s="2"/>
      <c r="N37" s="2"/>
      <c r="O37" s="2"/>
      <c r="P37" s="2"/>
      <c r="Q37" s="2"/>
      <c r="R37" s="2"/>
      <c r="S37" s="54"/>
      <c r="T37" s="54"/>
      <c r="U37" s="2"/>
      <c r="V37" s="604"/>
      <c r="X37" s="212">
        <v>14</v>
      </c>
    </row>
    <row r="38" spans="1:25" ht="18" customHeight="1" x14ac:dyDescent="0.2">
      <c r="A38" s="14"/>
      <c r="B38" s="2"/>
      <c r="C38" s="49"/>
      <c r="D38" s="49"/>
      <c r="E38" s="49"/>
      <c r="F38" s="49"/>
      <c r="G38" s="49"/>
      <c r="H38" s="49"/>
      <c r="I38" s="49"/>
      <c r="J38" s="18"/>
      <c r="K38" s="2"/>
      <c r="L38" s="2"/>
      <c r="M38" s="2"/>
      <c r="N38" s="2"/>
      <c r="O38" s="2"/>
      <c r="P38" s="2"/>
      <c r="Q38" s="2"/>
      <c r="R38" s="2"/>
      <c r="S38" s="54"/>
      <c r="T38" s="54"/>
      <c r="U38" s="2"/>
      <c r="V38" s="604"/>
    </row>
    <row r="39" spans="1:25" ht="18" customHeight="1" thickBot="1" x14ac:dyDescent="0.25">
      <c r="A39" s="14"/>
      <c r="B39" s="2"/>
      <c r="C39" s="350" t="s">
        <v>52</v>
      </c>
      <c r="D39" s="350"/>
      <c r="E39" s="49"/>
      <c r="F39" s="49"/>
      <c r="G39" s="49"/>
      <c r="H39" s="49"/>
      <c r="I39" s="49"/>
      <c r="J39" s="18"/>
      <c r="K39" s="2"/>
      <c r="L39" s="2"/>
      <c r="M39" s="2"/>
      <c r="N39" s="2"/>
      <c r="O39" s="2"/>
      <c r="P39" s="2"/>
      <c r="Q39" s="2"/>
      <c r="R39" s="2"/>
      <c r="S39" s="54"/>
      <c r="T39" s="54"/>
      <c r="U39" s="2"/>
      <c r="V39" s="604"/>
    </row>
    <row r="40" spans="1:25" ht="18" customHeight="1" thickBot="1" x14ac:dyDescent="0.25">
      <c r="A40" s="14"/>
      <c r="B40" s="2"/>
      <c r="C40" s="74" t="s">
        <v>1293</v>
      </c>
      <c r="D40" s="74"/>
      <c r="E40" s="49"/>
      <c r="F40" s="49"/>
      <c r="G40" s="49"/>
      <c r="H40" s="49"/>
      <c r="I40" s="49"/>
      <c r="J40" s="18"/>
      <c r="K40" s="878">
        <f>VLOOKUP('Part 1'!$L$16,Datasheet4!$B$6:$DH$332,X40,FALSE)</f>
        <v>28737781</v>
      </c>
      <c r="L40" s="879"/>
      <c r="M40" s="2"/>
      <c r="N40" s="2"/>
      <c r="O40" s="2"/>
      <c r="P40" s="2"/>
      <c r="Q40" s="2"/>
      <c r="R40" s="2"/>
      <c r="S40" s="54"/>
      <c r="T40" s="54"/>
      <c r="U40" s="2"/>
      <c r="V40" s="604"/>
      <c r="X40" s="212">
        <v>15</v>
      </c>
    </row>
    <row r="41" spans="1:25" ht="18" customHeight="1" thickBot="1" x14ac:dyDescent="0.25">
      <c r="A41" s="14"/>
      <c r="B41" s="2"/>
      <c r="C41" s="49"/>
      <c r="D41" s="49"/>
      <c r="E41" s="49"/>
      <c r="F41" s="49"/>
      <c r="G41" s="49"/>
      <c r="H41" s="49"/>
      <c r="I41" s="49"/>
      <c r="J41" s="18"/>
      <c r="K41" s="18"/>
      <c r="L41" s="18"/>
      <c r="M41" s="2"/>
      <c r="N41" s="2"/>
      <c r="O41" s="2"/>
      <c r="P41" s="2"/>
      <c r="Q41" s="2"/>
      <c r="R41" s="2"/>
      <c r="S41" s="54"/>
      <c r="T41" s="54"/>
      <c r="U41" s="2"/>
      <c r="V41" s="604"/>
    </row>
    <row r="42" spans="1:25" ht="18" customHeight="1" thickBot="1" x14ac:dyDescent="0.25">
      <c r="A42" s="14"/>
      <c r="B42" s="2"/>
      <c r="C42" s="74" t="s">
        <v>77</v>
      </c>
      <c r="D42" s="74"/>
      <c r="E42" s="49"/>
      <c r="F42" s="49"/>
      <c r="G42" s="49"/>
      <c r="H42" s="49"/>
      <c r="I42" s="49"/>
      <c r="J42" s="18"/>
      <c r="K42" s="900">
        <f>VLOOKUP('Part 1'!$L$16,Datasheet4!$B$6:$DH$332,X42,FALSE)</f>
        <v>29459106</v>
      </c>
      <c r="L42" s="901"/>
      <c r="M42" s="2"/>
      <c r="N42" s="2"/>
      <c r="O42" s="2"/>
      <c r="P42" s="2"/>
      <c r="Q42" s="2"/>
      <c r="R42" s="2"/>
      <c r="S42" s="54"/>
      <c r="T42" s="54"/>
      <c r="U42" s="2"/>
      <c r="V42" s="604"/>
      <c r="X42" s="212">
        <v>16</v>
      </c>
    </row>
    <row r="43" spans="1:25" ht="18" customHeight="1" thickBot="1" x14ac:dyDescent="0.25">
      <c r="A43" s="14"/>
      <c r="B43" s="2"/>
      <c r="C43" s="49"/>
      <c r="D43" s="49"/>
      <c r="E43" s="49"/>
      <c r="F43" s="49"/>
      <c r="G43" s="49"/>
      <c r="H43" s="49"/>
      <c r="I43" s="49"/>
      <c r="J43" s="18"/>
      <c r="K43" s="55"/>
      <c r="L43" s="54"/>
      <c r="M43" s="2"/>
      <c r="N43" s="2"/>
      <c r="O43" s="2"/>
      <c r="P43" s="2"/>
      <c r="Q43" s="2"/>
      <c r="R43" s="2"/>
      <c r="S43" s="54"/>
      <c r="T43" s="54"/>
      <c r="U43" s="2"/>
      <c r="V43" s="604"/>
    </row>
    <row r="44" spans="1:25" ht="18" customHeight="1" thickBot="1" x14ac:dyDescent="0.25">
      <c r="A44" s="14"/>
      <c r="B44" s="2"/>
      <c r="C44" s="74" t="s">
        <v>956</v>
      </c>
      <c r="D44" s="74"/>
      <c r="E44" s="49"/>
      <c r="F44" s="49"/>
      <c r="G44" s="49"/>
      <c r="H44" s="49"/>
      <c r="I44" s="49"/>
      <c r="J44" s="18"/>
      <c r="K44" s="878">
        <f>VLOOKUP('Part 1'!$L$16,Datasheet4!$B$6:$DH$332,X44,FALSE)</f>
        <v>-721325</v>
      </c>
      <c r="L44" s="879"/>
      <c r="M44" s="2"/>
      <c r="N44" s="2"/>
      <c r="O44" s="2"/>
      <c r="P44" s="2"/>
      <c r="Q44" s="2"/>
      <c r="R44" s="2"/>
      <c r="S44" s="54"/>
      <c r="T44" s="54"/>
      <c r="U44" s="2"/>
      <c r="V44" s="604"/>
      <c r="X44" s="212">
        <v>17</v>
      </c>
    </row>
    <row r="45" spans="1:25" ht="18" customHeight="1" x14ac:dyDescent="0.2">
      <c r="A45" s="14"/>
      <c r="B45" s="2"/>
      <c r="C45" s="49"/>
      <c r="D45" s="49"/>
      <c r="E45" s="49"/>
      <c r="F45" s="49"/>
      <c r="G45" s="49"/>
      <c r="H45" s="49"/>
      <c r="I45" s="49"/>
      <c r="J45" s="18"/>
      <c r="K45" s="2"/>
      <c r="L45" s="2"/>
      <c r="M45" s="2"/>
      <c r="N45" s="2"/>
      <c r="O45" s="2"/>
      <c r="P45" s="2"/>
      <c r="Q45" s="2"/>
      <c r="R45" s="2"/>
      <c r="S45" s="54"/>
      <c r="T45" s="54"/>
      <c r="U45" s="2"/>
      <c r="V45" s="604"/>
    </row>
    <row r="46" spans="1:25" ht="18" customHeight="1" thickBot="1" x14ac:dyDescent="0.25">
      <c r="A46" s="14"/>
      <c r="B46" s="2"/>
      <c r="C46" s="126" t="s">
        <v>17</v>
      </c>
      <c r="D46" s="126"/>
      <c r="E46" s="49"/>
      <c r="F46" s="49"/>
      <c r="G46" s="49"/>
      <c r="H46" s="49"/>
      <c r="I46" s="49"/>
      <c r="J46" s="18"/>
      <c r="K46" s="2"/>
      <c r="L46" s="2"/>
      <c r="M46" s="2"/>
      <c r="N46" s="2"/>
      <c r="O46" s="2"/>
      <c r="P46" s="2"/>
      <c r="Q46" s="2"/>
      <c r="R46" s="2"/>
      <c r="S46" s="54"/>
      <c r="T46" s="54"/>
      <c r="U46" s="29"/>
      <c r="V46" s="604"/>
    </row>
    <row r="47" spans="1:25" ht="18" customHeight="1" thickBot="1" x14ac:dyDescent="0.25">
      <c r="A47" s="14"/>
      <c r="B47" s="2"/>
      <c r="C47" s="74" t="s">
        <v>1294</v>
      </c>
      <c r="D47" s="74"/>
      <c r="E47" s="49"/>
      <c r="F47" s="49"/>
      <c r="G47" s="49"/>
      <c r="H47" s="49"/>
      <c r="I47" s="49"/>
      <c r="J47" s="18"/>
      <c r="K47" s="878">
        <f>VLOOKUP('Part 1'!$L$16,Datasheet4!$B$6:$DH$332,X47,FALSE)</f>
        <v>49461247</v>
      </c>
      <c r="L47" s="879"/>
      <c r="M47" s="2"/>
      <c r="N47" s="2"/>
      <c r="O47" s="878">
        <f>VLOOKUP('Part 1'!$L$16,Datasheet4!$B$6:$DH$332,Y47,FALSE)</f>
        <v>1898219</v>
      </c>
      <c r="P47" s="879"/>
      <c r="Q47" s="2"/>
      <c r="R47" s="2"/>
      <c r="S47" s="54"/>
      <c r="T47" s="54"/>
      <c r="U47" s="29"/>
      <c r="V47" s="604"/>
      <c r="X47" s="212">
        <v>18</v>
      </c>
      <c r="Y47" s="212">
        <v>19</v>
      </c>
    </row>
    <row r="48" spans="1:25" ht="18" customHeight="1" thickBot="1" x14ac:dyDescent="0.25">
      <c r="A48" s="14"/>
      <c r="B48" s="2"/>
      <c r="C48" s="49"/>
      <c r="D48" s="49"/>
      <c r="E48" s="49"/>
      <c r="F48" s="49"/>
      <c r="G48" s="49"/>
      <c r="H48" s="49"/>
      <c r="I48" s="49"/>
      <c r="J48" s="18"/>
      <c r="K48" s="18"/>
      <c r="L48" s="18"/>
      <c r="M48" s="2"/>
      <c r="N48" s="2"/>
      <c r="O48" s="404"/>
      <c r="P48" s="404"/>
      <c r="Q48" s="2"/>
      <c r="R48" s="2"/>
      <c r="S48" s="54"/>
      <c r="T48" s="54"/>
      <c r="U48" s="29"/>
      <c r="V48" s="604"/>
    </row>
    <row r="49" spans="1:26" ht="18" customHeight="1" thickBot="1" x14ac:dyDescent="0.25">
      <c r="A49" s="14"/>
      <c r="B49" s="2"/>
      <c r="C49" s="74" t="s">
        <v>78</v>
      </c>
      <c r="D49" s="74"/>
      <c r="E49" s="49"/>
      <c r="F49" s="49"/>
      <c r="G49" s="49"/>
      <c r="H49" s="49"/>
      <c r="I49" s="49"/>
      <c r="J49" s="18"/>
      <c r="K49" s="900">
        <f>VLOOKUP('Part 1'!$L$16,Datasheet4!$B$6:$DH$332,X49,FALSE)</f>
        <v>37320396</v>
      </c>
      <c r="L49" s="901"/>
      <c r="M49" s="2"/>
      <c r="N49" s="2"/>
      <c r="O49" s="882">
        <f>VLOOKUP('Part 1'!$L$16,Datasheet4!$B$6:$DH$332,Y49,FALSE)</f>
        <v>1886128</v>
      </c>
      <c r="P49" s="883"/>
      <c r="Q49" s="2"/>
      <c r="R49" s="2"/>
      <c r="S49" s="54"/>
      <c r="T49" s="54"/>
      <c r="U49" s="29"/>
      <c r="V49" s="604"/>
      <c r="X49" s="212">
        <v>20</v>
      </c>
      <c r="Y49" s="212">
        <v>21</v>
      </c>
    </row>
    <row r="50" spans="1:26" ht="18" customHeight="1" thickBot="1" x14ac:dyDescent="0.25">
      <c r="A50" s="14"/>
      <c r="B50" s="2"/>
      <c r="C50" s="49"/>
      <c r="D50" s="49"/>
      <c r="E50" s="49"/>
      <c r="F50" s="49"/>
      <c r="G50" s="49"/>
      <c r="H50" s="49"/>
      <c r="I50" s="49"/>
      <c r="J50" s="18"/>
      <c r="K50" s="55"/>
      <c r="L50" s="54"/>
      <c r="M50" s="2"/>
      <c r="N50" s="2"/>
      <c r="O50" s="55"/>
      <c r="P50" s="54"/>
      <c r="Q50" s="2"/>
      <c r="R50" s="2"/>
      <c r="S50" s="54"/>
      <c r="T50" s="54"/>
      <c r="U50" s="29"/>
      <c r="V50" s="604"/>
    </row>
    <row r="51" spans="1:26" ht="18" customHeight="1" thickBot="1" x14ac:dyDescent="0.25">
      <c r="A51" s="14"/>
      <c r="B51" s="2"/>
      <c r="C51" s="74" t="s">
        <v>959</v>
      </c>
      <c r="D51" s="74"/>
      <c r="E51" s="49"/>
      <c r="F51" s="49"/>
      <c r="G51" s="49"/>
      <c r="H51" s="49"/>
      <c r="I51" s="49"/>
      <c r="J51" s="18"/>
      <c r="K51" s="878">
        <f>VLOOKUP('Part 1'!$L$16,Datasheet4!$B$6:$DH$332,X51,FALSE)</f>
        <v>12140851</v>
      </c>
      <c r="L51" s="879"/>
      <c r="M51" s="29"/>
      <c r="N51" s="29"/>
      <c r="O51" s="878">
        <f>VLOOKUP('Part 1'!$L$16,Datasheet4!$B$6:$DH$332,Y51,FALSE)</f>
        <v>12091</v>
      </c>
      <c r="P51" s="903"/>
      <c r="Q51" s="2"/>
      <c r="R51" s="2"/>
      <c r="S51" s="54"/>
      <c r="T51" s="54"/>
      <c r="U51" s="29"/>
      <c r="V51" s="604"/>
      <c r="X51" s="212">
        <v>22</v>
      </c>
      <c r="Y51" s="212">
        <v>23</v>
      </c>
    </row>
    <row r="52" spans="1:26" ht="18" customHeight="1" x14ac:dyDescent="0.2">
      <c r="A52" s="14"/>
      <c r="B52" s="2"/>
      <c r="C52" s="49"/>
      <c r="D52" s="49"/>
      <c r="E52" s="49"/>
      <c r="F52" s="49"/>
      <c r="G52" s="49"/>
      <c r="H52" s="49"/>
      <c r="I52" s="49"/>
      <c r="J52" s="29"/>
      <c r="K52" s="29"/>
      <c r="L52" s="2"/>
      <c r="M52" s="2"/>
      <c r="N52" s="2"/>
      <c r="O52" s="405"/>
      <c r="P52" s="404"/>
      <c r="Q52" s="2"/>
      <c r="R52" s="2"/>
      <c r="S52" s="54"/>
      <c r="T52" s="54"/>
      <c r="U52" s="29"/>
      <c r="V52" s="604"/>
    </row>
    <row r="53" spans="1:26" ht="18" customHeight="1" thickBot="1" x14ac:dyDescent="0.25">
      <c r="A53" s="14"/>
      <c r="B53" s="2"/>
      <c r="C53" s="126" t="s">
        <v>51</v>
      </c>
      <c r="D53" s="126"/>
      <c r="E53" s="49"/>
      <c r="F53" s="49"/>
      <c r="G53" s="49"/>
      <c r="H53" s="49"/>
      <c r="I53" s="49"/>
      <c r="J53" s="29"/>
      <c r="K53" s="29"/>
      <c r="L53" s="2"/>
      <c r="M53" s="2"/>
      <c r="N53" s="2"/>
      <c r="O53" s="405"/>
      <c r="P53" s="405"/>
      <c r="Q53" s="2"/>
      <c r="R53" s="2"/>
      <c r="S53" s="54"/>
      <c r="T53" s="54"/>
      <c r="U53" s="29"/>
      <c r="V53" s="604"/>
    </row>
    <row r="54" spans="1:26" ht="16.5" customHeight="1" thickBot="1" x14ac:dyDescent="0.25">
      <c r="A54" s="14"/>
      <c r="B54" s="2"/>
      <c r="C54" s="870" t="s">
        <v>946</v>
      </c>
      <c r="D54" s="870"/>
      <c r="E54" s="870"/>
      <c r="F54" s="49"/>
      <c r="G54" s="884">
        <f>VLOOKUP('Part 1'!$L$16,Datasheet4!$B$6:$DH$332,W54,FALSE)</f>
        <v>14315054.78409091</v>
      </c>
      <c r="H54" s="885"/>
      <c r="I54" s="74"/>
      <c r="J54" s="6"/>
      <c r="K54" s="884">
        <f>VLOOKUP('Part 1'!$L$16,Datasheet4!$B$6:$DH$332,X54,FALSE)</f>
        <v>14026754.415537192</v>
      </c>
      <c r="L54" s="885"/>
      <c r="M54" s="2"/>
      <c r="N54" s="2"/>
      <c r="O54" s="884">
        <f>VLOOKUP('Part 1'!$L$16,Datasheet4!$B$6:$DH$332,Y54,FALSE)</f>
        <v>256327.03694214873</v>
      </c>
      <c r="P54" s="886"/>
      <c r="Q54" s="2"/>
      <c r="R54" s="2"/>
      <c r="S54" s="884">
        <f>VLOOKUP('Part 1'!$L$16,Datasheet4!$B$6:$DH$332,Z54,FALSE)</f>
        <v>31973.331611570255</v>
      </c>
      <c r="T54" s="885"/>
      <c r="U54" s="29"/>
      <c r="V54" s="604"/>
      <c r="W54" s="212">
        <v>24</v>
      </c>
      <c r="X54" s="212">
        <v>25</v>
      </c>
      <c r="Y54" s="212">
        <v>26</v>
      </c>
      <c r="Z54" s="212">
        <v>27</v>
      </c>
    </row>
    <row r="55" spans="1:26" ht="15" x14ac:dyDescent="0.2">
      <c r="A55" s="14"/>
      <c r="B55" s="2"/>
      <c r="C55" s="870"/>
      <c r="D55" s="870"/>
      <c r="E55" s="870"/>
      <c r="F55" s="49"/>
      <c r="G55" s="49"/>
      <c r="H55" s="49"/>
      <c r="I55" s="49"/>
      <c r="J55" s="49"/>
      <c r="K55" s="49"/>
      <c r="L55" s="49"/>
      <c r="M55" s="49"/>
      <c r="N55" s="49"/>
      <c r="O55" s="406"/>
      <c r="P55" s="406"/>
      <c r="Q55" s="49"/>
      <c r="R55" s="49"/>
      <c r="S55" s="49"/>
      <c r="T55" s="49"/>
      <c r="U55" s="29"/>
      <c r="V55" s="604"/>
    </row>
    <row r="56" spans="1:26" ht="15.75" thickBot="1" x14ac:dyDescent="0.25">
      <c r="A56" s="14"/>
      <c r="B56" s="104"/>
      <c r="C56" s="49"/>
      <c r="D56" s="49"/>
      <c r="E56" s="49"/>
      <c r="F56" s="49"/>
      <c r="G56" s="18"/>
      <c r="H56" s="18"/>
      <c r="I56" s="49"/>
      <c r="J56" s="18"/>
      <c r="K56" s="18"/>
      <c r="L56" s="18"/>
      <c r="M56" s="2"/>
      <c r="N56" s="2"/>
      <c r="O56" s="404"/>
      <c r="P56" s="404"/>
      <c r="Q56" s="2"/>
      <c r="R56" s="2"/>
      <c r="S56" s="18"/>
      <c r="T56" s="18"/>
      <c r="U56" s="29"/>
      <c r="V56" s="604"/>
    </row>
    <row r="57" spans="1:26" ht="18" customHeight="1" thickBot="1" x14ac:dyDescent="0.25">
      <c r="A57" s="14"/>
      <c r="B57" s="104"/>
      <c r="C57" s="74" t="s">
        <v>947</v>
      </c>
      <c r="D57" s="74"/>
      <c r="E57" s="49"/>
      <c r="F57" s="49"/>
      <c r="G57" s="900">
        <f>VLOOKUP('Part 1'!$L$16,Datasheet4!$B$6:$DH$332,W57,FALSE)</f>
        <v>11970206</v>
      </c>
      <c r="H57" s="901"/>
      <c r="I57" s="49"/>
      <c r="J57" s="18"/>
      <c r="K57" s="880">
        <f>VLOOKUP('Part 1'!$L$16,Datasheet4!$B$6:$DH$332,X57,FALSE)</f>
        <v>11711128</v>
      </c>
      <c r="L57" s="881"/>
      <c r="M57" s="2"/>
      <c r="N57" s="2"/>
      <c r="O57" s="882">
        <f>VLOOKUP('Part 1'!$L$16,Datasheet4!$B$6:$DH$332,Y57,FALSE)</f>
        <v>230400</v>
      </c>
      <c r="P57" s="883"/>
      <c r="Q57" s="2"/>
      <c r="R57" s="2"/>
      <c r="S57" s="880">
        <f>VLOOKUP('Part 1'!$L$16,Datasheet4!$B$6:$DH$332,Z57,FALSE)</f>
        <v>28678</v>
      </c>
      <c r="T57" s="881"/>
      <c r="U57" s="29"/>
      <c r="V57" s="604"/>
      <c r="W57" s="212">
        <v>28</v>
      </c>
      <c r="X57" s="212">
        <v>29</v>
      </c>
      <c r="Y57" s="212">
        <v>30</v>
      </c>
      <c r="Z57" s="212">
        <v>31</v>
      </c>
    </row>
    <row r="58" spans="1:26" ht="18" customHeight="1" thickBot="1" x14ac:dyDescent="0.25">
      <c r="A58" s="14"/>
      <c r="B58" s="104"/>
      <c r="C58" s="49"/>
      <c r="D58" s="49"/>
      <c r="E58" s="49"/>
      <c r="F58" s="49"/>
      <c r="G58" s="55"/>
      <c r="H58" s="54"/>
      <c r="I58" s="49"/>
      <c r="J58" s="18"/>
      <c r="K58" s="55"/>
      <c r="L58" s="54"/>
      <c r="M58" s="2"/>
      <c r="N58" s="2"/>
      <c r="O58" s="55"/>
      <c r="P58" s="54"/>
      <c r="Q58" s="2"/>
      <c r="R58" s="2"/>
      <c r="S58" s="55"/>
      <c r="T58" s="54"/>
      <c r="U58" s="29"/>
      <c r="V58" s="604"/>
    </row>
    <row r="59" spans="1:26" ht="18" customHeight="1" thickBot="1" x14ac:dyDescent="0.25">
      <c r="A59" s="14"/>
      <c r="B59" s="104"/>
      <c r="C59" s="74" t="s">
        <v>943</v>
      </c>
      <c r="D59" s="74"/>
      <c r="E59" s="49"/>
      <c r="F59" s="49"/>
      <c r="G59" s="878">
        <f>VLOOKUP('Part 1'!$L$16,Datasheet4!$B$6:$DH$332,W59,FALSE)</f>
        <v>2344846</v>
      </c>
      <c r="H59" s="879"/>
      <c r="I59" s="49"/>
      <c r="J59" s="18"/>
      <c r="K59" s="878">
        <f>ROUND(+K54-K57,0)</f>
        <v>2315626</v>
      </c>
      <c r="L59" s="879"/>
      <c r="M59" s="2"/>
      <c r="N59" s="2"/>
      <c r="O59" s="878">
        <f>ROUND(+O54-O57,0)</f>
        <v>25927</v>
      </c>
      <c r="P59" s="903"/>
      <c r="Q59" s="2"/>
      <c r="R59" s="2"/>
      <c r="S59" s="878">
        <f>ROUND(+S54-S57,0)</f>
        <v>3295</v>
      </c>
      <c r="T59" s="879"/>
      <c r="U59" s="29"/>
      <c r="V59" s="604"/>
      <c r="W59" s="212">
        <v>32</v>
      </c>
      <c r="X59" s="212">
        <v>33</v>
      </c>
      <c r="Y59" s="212">
        <v>34</v>
      </c>
      <c r="Z59" s="212">
        <v>35</v>
      </c>
    </row>
    <row r="60" spans="1:26" ht="18" customHeight="1" x14ac:dyDescent="0.2">
      <c r="A60" s="14"/>
      <c r="B60" s="104"/>
      <c r="C60" s="74"/>
      <c r="D60" s="74"/>
      <c r="E60" s="49"/>
      <c r="F60" s="49"/>
      <c r="G60" s="49"/>
      <c r="H60" s="49"/>
      <c r="I60" s="49"/>
      <c r="J60" s="18"/>
      <c r="K60" s="2"/>
      <c r="L60" s="2"/>
      <c r="M60" s="2"/>
      <c r="N60" s="2"/>
      <c r="O60" s="405"/>
      <c r="P60" s="405"/>
      <c r="Q60" s="2"/>
      <c r="R60" s="2"/>
      <c r="S60" s="55"/>
      <c r="T60" s="54"/>
      <c r="U60" s="29"/>
      <c r="V60" s="604"/>
    </row>
    <row r="61" spans="1:26" ht="18" customHeight="1" x14ac:dyDescent="0.2">
      <c r="A61" s="14"/>
      <c r="B61" s="104"/>
      <c r="C61" s="126" t="s">
        <v>18</v>
      </c>
      <c r="D61" s="126"/>
      <c r="E61" s="127"/>
      <c r="F61" s="127"/>
      <c r="G61" s="127"/>
      <c r="H61" s="127"/>
      <c r="I61" s="127"/>
      <c r="J61" s="2"/>
      <c r="K61" s="2"/>
      <c r="L61" s="2"/>
      <c r="M61" s="2"/>
      <c r="N61" s="2"/>
      <c r="O61" s="405"/>
      <c r="P61" s="405"/>
      <c r="Q61" s="2"/>
      <c r="R61" s="2"/>
      <c r="S61" s="54"/>
      <c r="T61" s="54"/>
      <c r="U61" s="29"/>
      <c r="V61" s="604"/>
    </row>
    <row r="62" spans="1:26" ht="18" customHeight="1" thickBot="1" x14ac:dyDescent="0.25">
      <c r="A62" s="14"/>
      <c r="B62" s="104"/>
      <c r="C62" s="126" t="s">
        <v>19</v>
      </c>
      <c r="D62" s="126"/>
      <c r="E62" s="49"/>
      <c r="F62" s="49"/>
      <c r="G62" s="49"/>
      <c r="H62" s="49"/>
      <c r="I62" s="49"/>
      <c r="J62" s="18"/>
      <c r="K62" s="2"/>
      <c r="L62" s="2"/>
      <c r="M62" s="2"/>
      <c r="N62" s="2"/>
      <c r="O62" s="405"/>
      <c r="P62" s="405"/>
      <c r="Q62" s="2"/>
      <c r="R62" s="2"/>
      <c r="S62" s="54"/>
      <c r="T62" s="54"/>
      <c r="U62" s="29"/>
      <c r="V62" s="604"/>
    </row>
    <row r="63" spans="1:26" ht="18" customHeight="1" thickBot="1" x14ac:dyDescent="0.25">
      <c r="A63" s="14"/>
      <c r="B63" s="104"/>
      <c r="C63" s="74" t="s">
        <v>1295</v>
      </c>
      <c r="D63" s="74"/>
      <c r="E63" s="49"/>
      <c r="F63" s="49"/>
      <c r="G63" s="49"/>
      <c r="H63" s="49"/>
      <c r="I63" s="49"/>
      <c r="J63" s="18"/>
      <c r="K63" s="878">
        <f>VLOOKUP('Part 1'!$L$16,Datasheet4!$B$6:$DH$332,X63,FALSE)</f>
        <v>264139714.82111874</v>
      </c>
      <c r="L63" s="879"/>
      <c r="M63" s="451"/>
      <c r="N63" s="451"/>
      <c r="O63" s="878">
        <f>VLOOKUP('Part 1'!$L$16,Datasheet4!$B$6:$DH$332,Y63,FALSE)</f>
        <v>37909503.901940823</v>
      </c>
      <c r="P63" s="879"/>
      <c r="Q63" s="451"/>
      <c r="R63" s="451"/>
      <c r="S63" s="878">
        <f>VLOOKUP('Part 1'!$L$16,Datasheet4!$B$6:$DH$332,Z63,FALSE)</f>
        <v>4243236.2721729334</v>
      </c>
      <c r="T63" s="879"/>
      <c r="U63" s="29"/>
      <c r="V63" s="604"/>
      <c r="X63" s="212">
        <v>36</v>
      </c>
      <c r="Y63" s="212">
        <v>37</v>
      </c>
      <c r="Z63" s="212">
        <v>38</v>
      </c>
    </row>
    <row r="64" spans="1:26" ht="18" customHeight="1" thickBot="1" x14ac:dyDescent="0.25">
      <c r="A64" s="14"/>
      <c r="B64" s="104"/>
      <c r="C64" s="49"/>
      <c r="D64" s="49"/>
      <c r="E64" s="49"/>
      <c r="F64" s="49"/>
      <c r="G64" s="49"/>
      <c r="H64" s="49"/>
      <c r="I64" s="49"/>
      <c r="J64" s="18"/>
      <c r="K64" s="452"/>
      <c r="L64" s="452"/>
      <c r="M64" s="451"/>
      <c r="N64" s="451"/>
      <c r="O64" s="453"/>
      <c r="P64" s="453"/>
      <c r="Q64" s="451"/>
      <c r="R64" s="451"/>
      <c r="S64" s="452"/>
      <c r="T64" s="452"/>
      <c r="U64" s="29"/>
      <c r="V64" s="604"/>
    </row>
    <row r="65" spans="1:26" ht="18" customHeight="1" thickBot="1" x14ac:dyDescent="0.25">
      <c r="A65" s="14"/>
      <c r="B65" s="104"/>
      <c r="C65" s="74" t="s">
        <v>1296</v>
      </c>
      <c r="D65" s="74"/>
      <c r="E65" s="49"/>
      <c r="F65" s="49"/>
      <c r="G65" s="49"/>
      <c r="H65" s="49"/>
      <c r="I65" s="49"/>
      <c r="J65" s="18"/>
      <c r="K65" s="880">
        <f>VLOOKUP('Part 1'!$L$16,Datasheet4!$B$6:$DH$332,X65,FALSE)</f>
        <v>247066699</v>
      </c>
      <c r="L65" s="881"/>
      <c r="M65" s="451"/>
      <c r="N65" s="451"/>
      <c r="O65" s="882">
        <f>VLOOKUP('Part 1'!$L$16,Datasheet4!$B$6:$DH$332,Y65,FALSE)</f>
        <v>35348451</v>
      </c>
      <c r="P65" s="883"/>
      <c r="Q65" s="451"/>
      <c r="R65" s="451"/>
      <c r="S65" s="880">
        <f>VLOOKUP('Part 1'!$L$16,Datasheet4!$B$6:$DH$332,Z65,FALSE)</f>
        <v>3979871</v>
      </c>
      <c r="T65" s="881"/>
      <c r="U65" s="29"/>
      <c r="V65" s="604"/>
      <c r="X65" s="212">
        <v>39</v>
      </c>
      <c r="Y65" s="212">
        <v>40</v>
      </c>
      <c r="Z65" s="212">
        <v>41</v>
      </c>
    </row>
    <row r="66" spans="1:26" ht="18" customHeight="1" thickBot="1" x14ac:dyDescent="0.25">
      <c r="A66" s="14"/>
      <c r="B66" s="104"/>
      <c r="C66" s="49"/>
      <c r="D66" s="49"/>
      <c r="E66" s="49"/>
      <c r="F66" s="49"/>
      <c r="G66" s="49"/>
      <c r="H66" s="49"/>
      <c r="I66" s="49"/>
      <c r="J66" s="18"/>
      <c r="K66" s="55"/>
      <c r="L66" s="54"/>
      <c r="M66" s="2"/>
      <c r="N66" s="2"/>
      <c r="O66" s="55"/>
      <c r="P66" s="54"/>
      <c r="Q66" s="2"/>
      <c r="R66" s="2"/>
      <c r="S66" s="55"/>
      <c r="T66" s="54"/>
      <c r="U66" s="29"/>
      <c r="V66" s="604"/>
    </row>
    <row r="67" spans="1:26" ht="18" customHeight="1" thickBot="1" x14ac:dyDescent="0.25">
      <c r="A67" s="14"/>
      <c r="B67" s="104"/>
      <c r="C67" s="74" t="s">
        <v>960</v>
      </c>
      <c r="D67" s="74"/>
      <c r="E67" s="49"/>
      <c r="F67" s="49"/>
      <c r="G67" s="49"/>
      <c r="H67" s="49"/>
      <c r="I67" s="49"/>
      <c r="J67" s="18"/>
      <c r="K67" s="878">
        <f>VLOOKUP('Part 1'!$L$16,Datasheet4!$B$6:$DH$332,X67,FALSE)</f>
        <v>17073016</v>
      </c>
      <c r="L67" s="879"/>
      <c r="M67" s="451"/>
      <c r="N67" s="451"/>
      <c r="O67" s="878">
        <f>VLOOKUP('Part 1'!$L$16,Datasheet4!$B$6:$DH$332,Y67,FALSE)</f>
        <v>2561056</v>
      </c>
      <c r="P67" s="879"/>
      <c r="Q67" s="451"/>
      <c r="R67" s="451"/>
      <c r="S67" s="878">
        <f>VLOOKUP('Part 1'!$L$16,Datasheet4!$B$6:$DH$332,Z67,FALSE)</f>
        <v>263362</v>
      </c>
      <c r="T67" s="879"/>
      <c r="U67" s="29"/>
      <c r="V67" s="604"/>
      <c r="X67" s="212">
        <v>42</v>
      </c>
      <c r="Y67" s="212">
        <v>43</v>
      </c>
      <c r="Z67" s="212">
        <v>44</v>
      </c>
    </row>
    <row r="68" spans="1:26" ht="18" customHeight="1" thickBot="1" x14ac:dyDescent="0.25">
      <c r="A68" s="15"/>
      <c r="B68" s="110"/>
      <c r="C68" s="391"/>
      <c r="D68" s="391"/>
      <c r="E68" s="111"/>
      <c r="F68" s="111"/>
      <c r="G68" s="111"/>
      <c r="H68" s="111"/>
      <c r="I68" s="111"/>
      <c r="J68" s="111"/>
      <c r="K68" s="111"/>
      <c r="L68" s="111"/>
      <c r="M68" s="111"/>
      <c r="N68" s="111"/>
      <c r="O68" s="407"/>
      <c r="P68" s="407"/>
      <c r="Q68" s="111"/>
      <c r="R68" s="111"/>
      <c r="S68" s="111"/>
      <c r="T68" s="111"/>
      <c r="U68" s="111"/>
      <c r="V68" s="605"/>
    </row>
    <row r="69" spans="1:26" ht="18" customHeight="1" thickBot="1" x14ac:dyDescent="0.3">
      <c r="A69" s="14"/>
      <c r="B69" s="104"/>
      <c r="C69" s="178" t="s">
        <v>80</v>
      </c>
      <c r="D69" s="178"/>
      <c r="E69" s="29"/>
      <c r="F69" s="29"/>
      <c r="G69" s="29"/>
      <c r="H69" s="29"/>
      <c r="I69" s="29"/>
      <c r="J69" s="29"/>
      <c r="K69" s="29"/>
      <c r="L69" s="29"/>
      <c r="M69" s="29"/>
      <c r="N69" s="29"/>
      <c r="O69" s="404"/>
      <c r="P69" s="404"/>
      <c r="Q69" s="29"/>
      <c r="R69" s="29"/>
      <c r="S69" s="29"/>
      <c r="T69" s="29"/>
      <c r="U69" s="29"/>
      <c r="V69" s="604"/>
    </row>
    <row r="70" spans="1:26" ht="18" customHeight="1" thickBot="1" x14ac:dyDescent="0.25">
      <c r="A70" s="14"/>
      <c r="B70" s="104"/>
      <c r="C70" s="870" t="s">
        <v>1297</v>
      </c>
      <c r="D70" s="870"/>
      <c r="E70" s="870"/>
      <c r="F70" s="870"/>
      <c r="G70" s="870"/>
      <c r="H70" s="870"/>
      <c r="I70" s="29"/>
      <c r="J70" s="29"/>
      <c r="K70" s="878">
        <f>VLOOKUP('Part 1'!$L$16,Datasheet4!$B$6:$DH$332,X70,FALSE)</f>
        <v>1492491.7241882235</v>
      </c>
      <c r="L70" s="879"/>
      <c r="M70" s="29"/>
      <c r="N70" s="29"/>
      <c r="O70" s="878">
        <f>VLOOKUP('Part 1'!$L$16,Datasheet4!$B$6:$DH$332,Y70,FALSE)</f>
        <v>164100.18818450414</v>
      </c>
      <c r="P70" s="879"/>
      <c r="Q70" s="29"/>
      <c r="R70" s="29"/>
      <c r="S70" s="878">
        <f>VLOOKUP('Part 1'!$L$16,Datasheet4!$B$6:$DH$332,Z70,FALSE)</f>
        <v>25519.575468181814</v>
      </c>
      <c r="T70" s="879"/>
      <c r="U70" s="29"/>
      <c r="V70" s="604"/>
      <c r="X70" s="212">
        <v>45</v>
      </c>
      <c r="Y70" s="212">
        <v>46</v>
      </c>
      <c r="Z70" s="212">
        <v>47</v>
      </c>
    </row>
    <row r="71" spans="1:26" ht="18" customHeight="1" thickBot="1" x14ac:dyDescent="0.25">
      <c r="A71" s="14"/>
      <c r="B71" s="104"/>
      <c r="C71" s="870"/>
      <c r="D71" s="870"/>
      <c r="E71" s="870"/>
      <c r="F71" s="870"/>
      <c r="G71" s="870"/>
      <c r="H71" s="870"/>
      <c r="I71" s="29"/>
      <c r="J71" s="29"/>
      <c r="K71" s="18"/>
      <c r="L71" s="18"/>
      <c r="M71" s="29"/>
      <c r="N71" s="29"/>
      <c r="O71" s="404"/>
      <c r="P71" s="404"/>
      <c r="Q71" s="29"/>
      <c r="R71" s="29"/>
      <c r="S71" s="18"/>
      <c r="T71" s="18"/>
      <c r="U71" s="29"/>
      <c r="V71" s="604"/>
    </row>
    <row r="72" spans="1:26" ht="18" customHeight="1" thickBot="1" x14ac:dyDescent="0.25">
      <c r="A72" s="14"/>
      <c r="B72" s="104"/>
      <c r="C72" s="74" t="s">
        <v>1298</v>
      </c>
      <c r="D72" s="74"/>
      <c r="E72" s="29"/>
      <c r="F72" s="29"/>
      <c r="G72" s="29"/>
      <c r="H72" s="29"/>
      <c r="I72" s="29"/>
      <c r="J72" s="29"/>
      <c r="K72" s="880">
        <f>VLOOKUP('Part 1'!$L$16,Datasheet4!$B$6:$DH$332,X72,FALSE)</f>
        <v>1038958</v>
      </c>
      <c r="L72" s="881"/>
      <c r="M72" s="2"/>
      <c r="N72" s="2"/>
      <c r="O72" s="882">
        <f>VLOOKUP('Part 1'!$L$16,Datasheet4!$B$6:$DH$332,Y72,FALSE)</f>
        <v>106903</v>
      </c>
      <c r="P72" s="883"/>
      <c r="Q72" s="2"/>
      <c r="R72" s="2"/>
      <c r="S72" s="880">
        <f>VLOOKUP('Part 1'!$L$16,Datasheet4!$B$6:$DH$332,Z72,FALSE)</f>
        <v>18791</v>
      </c>
      <c r="T72" s="881"/>
      <c r="U72" s="29"/>
      <c r="V72" s="604"/>
      <c r="X72" s="212">
        <v>48</v>
      </c>
      <c r="Y72" s="212">
        <v>49</v>
      </c>
      <c r="Z72" s="212">
        <v>50</v>
      </c>
    </row>
    <row r="73" spans="1:26" ht="18" customHeight="1" thickBot="1" x14ac:dyDescent="0.25">
      <c r="A73" s="14"/>
      <c r="B73" s="104"/>
      <c r="C73" s="49"/>
      <c r="D73" s="49"/>
      <c r="E73" s="29"/>
      <c r="F73" s="29"/>
      <c r="G73" s="29"/>
      <c r="H73" s="29"/>
      <c r="I73" s="29"/>
      <c r="J73" s="29"/>
      <c r="K73" s="55"/>
      <c r="L73" s="54"/>
      <c r="M73" s="29"/>
      <c r="N73" s="29"/>
      <c r="O73" s="55"/>
      <c r="P73" s="54"/>
      <c r="Q73" s="29"/>
      <c r="R73" s="29"/>
      <c r="S73" s="55"/>
      <c r="T73" s="54"/>
      <c r="U73" s="29"/>
      <c r="V73" s="604"/>
    </row>
    <row r="74" spans="1:26" ht="18" customHeight="1" thickBot="1" x14ac:dyDescent="0.25">
      <c r="A74" s="14"/>
      <c r="B74" s="104"/>
      <c r="C74" s="74" t="s">
        <v>961</v>
      </c>
      <c r="D74" s="74"/>
      <c r="E74" s="29"/>
      <c r="F74" s="29"/>
      <c r="G74" s="29"/>
      <c r="H74" s="29"/>
      <c r="I74" s="29"/>
      <c r="J74" s="29"/>
      <c r="K74" s="878">
        <f>VLOOKUP('Part 1'!$L$16,Datasheet4!$B$6:$DH$332,X74,FALSE)</f>
        <v>453539</v>
      </c>
      <c r="L74" s="879"/>
      <c r="M74" s="2"/>
      <c r="N74" s="2"/>
      <c r="O74" s="878">
        <f>VLOOKUP('Part 1'!$L$16,Datasheet4!$B$6:$DH$332,Y74,FALSE)</f>
        <v>57194</v>
      </c>
      <c r="P74" s="879"/>
      <c r="Q74" s="2"/>
      <c r="R74" s="2"/>
      <c r="S74" s="878">
        <f>VLOOKUP('Part 1'!$L$16,Datasheet4!$B$6:$DH$332,Z74,FALSE)</f>
        <v>6726</v>
      </c>
      <c r="T74" s="879"/>
      <c r="U74" s="29"/>
      <c r="V74" s="604"/>
      <c r="X74" s="212">
        <v>51</v>
      </c>
      <c r="Y74" s="212">
        <v>52</v>
      </c>
      <c r="Z74" s="212">
        <v>53</v>
      </c>
    </row>
    <row r="75" spans="1:26" ht="18" customHeight="1" x14ac:dyDescent="0.2">
      <c r="A75" s="14"/>
      <c r="B75" s="104"/>
      <c r="C75" s="29"/>
      <c r="D75" s="29"/>
      <c r="E75" s="29"/>
      <c r="F75" s="29"/>
      <c r="G75" s="29"/>
      <c r="H75" s="29"/>
      <c r="I75" s="29"/>
      <c r="J75" s="29"/>
      <c r="K75" s="29"/>
      <c r="L75" s="29"/>
      <c r="M75" s="29"/>
      <c r="N75" s="29"/>
      <c r="O75" s="404"/>
      <c r="P75" s="404"/>
      <c r="Q75" s="29"/>
      <c r="R75" s="29"/>
      <c r="S75" s="29"/>
      <c r="T75" s="29"/>
      <c r="U75" s="29"/>
      <c r="V75" s="604"/>
    </row>
    <row r="76" spans="1:26" ht="18" customHeight="1" thickBot="1" x14ac:dyDescent="0.3">
      <c r="A76" s="14"/>
      <c r="B76" s="104"/>
      <c r="C76" s="178" t="s">
        <v>3</v>
      </c>
      <c r="D76" s="178"/>
      <c r="E76" s="29"/>
      <c r="F76" s="29"/>
      <c r="G76" s="29"/>
      <c r="H76" s="29"/>
      <c r="I76" s="29"/>
      <c r="J76" s="29"/>
      <c r="K76" s="29"/>
      <c r="L76" s="29"/>
      <c r="M76" s="29"/>
      <c r="N76" s="29"/>
      <c r="O76" s="404"/>
      <c r="P76" s="404"/>
      <c r="Q76" s="29"/>
      <c r="R76" s="29"/>
      <c r="S76" s="29"/>
      <c r="T76" s="29"/>
      <c r="U76" s="29"/>
      <c r="V76" s="604"/>
    </row>
    <row r="77" spans="1:26" ht="18" customHeight="1" thickBot="1" x14ac:dyDescent="0.25">
      <c r="A77" s="14"/>
      <c r="B77" s="104"/>
      <c r="C77" s="870" t="s">
        <v>1299</v>
      </c>
      <c r="D77" s="870"/>
      <c r="E77" s="870"/>
      <c r="F77" s="870"/>
      <c r="G77" s="870"/>
      <c r="H77" s="870"/>
      <c r="I77" s="29"/>
      <c r="J77" s="29"/>
      <c r="K77" s="878">
        <f>VLOOKUP('Part 1'!$L$16,Datasheet4!$B$6:$DH$332,X77,FALSE)</f>
        <v>3440461.7427479327</v>
      </c>
      <c r="L77" s="879"/>
      <c r="M77" s="29"/>
      <c r="N77" s="29"/>
      <c r="O77" s="878">
        <f>VLOOKUP('Part 1'!$L$16,Datasheet4!$B$6:$DH$332,Y77,FALSE)</f>
        <v>711120.13898760348</v>
      </c>
      <c r="P77" s="879"/>
      <c r="Q77" s="29"/>
      <c r="R77" s="29"/>
      <c r="S77" s="878">
        <f>VLOOKUP('Part 1'!$L$16,Datasheet4!$B$6:$DH$332,Z77,FALSE)</f>
        <v>41723.982933884283</v>
      </c>
      <c r="T77" s="879"/>
      <c r="U77" s="29"/>
      <c r="V77" s="604"/>
      <c r="X77" s="212">
        <v>54</v>
      </c>
      <c r="Y77" s="212">
        <v>55</v>
      </c>
      <c r="Z77" s="212">
        <v>56</v>
      </c>
    </row>
    <row r="78" spans="1:26" ht="18" customHeight="1" thickBot="1" x14ac:dyDescent="0.25">
      <c r="A78" s="14"/>
      <c r="B78" s="104"/>
      <c r="C78" s="870"/>
      <c r="D78" s="870"/>
      <c r="E78" s="870"/>
      <c r="F78" s="870"/>
      <c r="G78" s="870"/>
      <c r="H78" s="870"/>
      <c r="I78" s="29"/>
      <c r="J78" s="29"/>
      <c r="K78" s="18"/>
      <c r="L78" s="18"/>
      <c r="M78" s="29"/>
      <c r="N78" s="29"/>
      <c r="O78" s="404"/>
      <c r="P78" s="404"/>
      <c r="Q78" s="29"/>
      <c r="R78" s="29"/>
      <c r="S78" s="18"/>
      <c r="T78" s="18"/>
      <c r="U78" s="29"/>
      <c r="V78" s="604"/>
    </row>
    <row r="79" spans="1:26" ht="18" customHeight="1" thickBot="1" x14ac:dyDescent="0.25">
      <c r="A79" s="14"/>
      <c r="B79" s="104"/>
      <c r="C79" s="74" t="s">
        <v>1300</v>
      </c>
      <c r="D79" s="74"/>
      <c r="E79" s="29"/>
      <c r="F79" s="29"/>
      <c r="G79" s="29"/>
      <c r="H79" s="29"/>
      <c r="I79" s="29"/>
      <c r="J79" s="29"/>
      <c r="K79" s="880">
        <f>VLOOKUP('Part 1'!$L$16,Datasheet4!$B$6:$DH$332,X79,FALSE)</f>
        <v>3395974</v>
      </c>
      <c r="L79" s="881"/>
      <c r="M79" s="2"/>
      <c r="N79" s="2"/>
      <c r="O79" s="882">
        <f>VLOOKUP('Part 1'!$L$16,Datasheet4!$B$6:$DH$332,Y79,FALSE)</f>
        <v>658293</v>
      </c>
      <c r="P79" s="883"/>
      <c r="Q79" s="2"/>
      <c r="R79" s="2"/>
      <c r="S79" s="880">
        <f>VLOOKUP('Part 1'!$L$16,Datasheet4!$B$6:$DH$332,Z79,FALSE)</f>
        <v>40542</v>
      </c>
      <c r="T79" s="881"/>
      <c r="U79" s="29"/>
      <c r="V79" s="604"/>
      <c r="X79" s="212">
        <v>57</v>
      </c>
      <c r="Y79" s="212">
        <v>58</v>
      </c>
      <c r="Z79" s="212">
        <v>59</v>
      </c>
    </row>
    <row r="80" spans="1:26" ht="18" customHeight="1" thickBot="1" x14ac:dyDescent="0.25">
      <c r="A80" s="14"/>
      <c r="B80" s="104"/>
      <c r="C80" s="49"/>
      <c r="D80" s="49"/>
      <c r="E80" s="29"/>
      <c r="F80" s="29"/>
      <c r="G80" s="29"/>
      <c r="H80" s="29"/>
      <c r="I80" s="29"/>
      <c r="J80" s="29"/>
      <c r="K80" s="55"/>
      <c r="L80" s="54"/>
      <c r="M80" s="29"/>
      <c r="N80" s="29"/>
      <c r="O80" s="55"/>
      <c r="P80" s="54"/>
      <c r="Q80" s="29"/>
      <c r="R80" s="29"/>
      <c r="S80" s="55"/>
      <c r="T80" s="54"/>
      <c r="U80" s="29"/>
      <c r="V80" s="604"/>
    </row>
    <row r="81" spans="1:26" ht="18" customHeight="1" thickBot="1" x14ac:dyDescent="0.25">
      <c r="A81" s="14"/>
      <c r="B81" s="104"/>
      <c r="C81" s="74" t="s">
        <v>979</v>
      </c>
      <c r="D81" s="74"/>
      <c r="E81" s="29"/>
      <c r="F81" s="29"/>
      <c r="G81" s="29"/>
      <c r="H81" s="29"/>
      <c r="I81" s="29"/>
      <c r="J81" s="29"/>
      <c r="K81" s="878">
        <f>VLOOKUP('Part 1'!$L$16,Datasheet4!$B$6:$DH$332,X81,FALSE)</f>
        <v>44488</v>
      </c>
      <c r="L81" s="879"/>
      <c r="M81" s="2"/>
      <c r="N81" s="2"/>
      <c r="O81" s="878">
        <f>VLOOKUP('Part 1'!$L$16,Datasheet4!$B$6:$DH$332,Y81,FALSE)</f>
        <v>52830</v>
      </c>
      <c r="P81" s="879"/>
      <c r="Q81" s="2"/>
      <c r="R81" s="2"/>
      <c r="S81" s="878">
        <f>VLOOKUP('Part 1'!$L$16,Datasheet4!$B$6:$DH$332,Z81,FALSE)</f>
        <v>1178</v>
      </c>
      <c r="T81" s="879"/>
      <c r="U81" s="29"/>
      <c r="V81" s="604"/>
      <c r="X81" s="212">
        <v>60</v>
      </c>
      <c r="Y81" s="212">
        <v>61</v>
      </c>
      <c r="Z81" s="212">
        <v>62</v>
      </c>
    </row>
    <row r="82" spans="1:26" ht="18" customHeight="1" x14ac:dyDescent="0.2">
      <c r="A82" s="14"/>
      <c r="B82" s="104"/>
      <c r="C82" s="29"/>
      <c r="D82" s="29"/>
      <c r="E82" s="29"/>
      <c r="F82" s="29"/>
      <c r="G82" s="29"/>
      <c r="H82" s="29"/>
      <c r="I82" s="29"/>
      <c r="J82" s="29"/>
      <c r="K82" s="29"/>
      <c r="L82" s="29"/>
      <c r="M82" s="29"/>
      <c r="N82" s="29"/>
      <c r="O82" s="404"/>
      <c r="P82" s="404"/>
      <c r="Q82" s="29"/>
      <c r="R82" s="29"/>
      <c r="S82" s="29"/>
      <c r="T82" s="29"/>
      <c r="U82" s="29"/>
      <c r="V82" s="604"/>
    </row>
    <row r="83" spans="1:26" ht="18" customHeight="1" thickBot="1" x14ac:dyDescent="0.3">
      <c r="A83" s="14"/>
      <c r="B83" s="104"/>
      <c r="C83" s="178" t="s">
        <v>81</v>
      </c>
      <c r="D83" s="178"/>
      <c r="E83" s="29"/>
      <c r="F83" s="29"/>
      <c r="G83" s="29"/>
      <c r="H83" s="29"/>
      <c r="I83" s="29"/>
      <c r="J83" s="29"/>
      <c r="K83" s="29"/>
      <c r="L83" s="29"/>
      <c r="M83" s="29"/>
      <c r="N83" s="29"/>
      <c r="O83" s="404"/>
      <c r="P83" s="404"/>
      <c r="Q83" s="29"/>
      <c r="R83" s="29"/>
      <c r="S83" s="29"/>
      <c r="T83" s="29"/>
      <c r="U83" s="29"/>
      <c r="V83" s="604"/>
    </row>
    <row r="84" spans="1:26" ht="18" customHeight="1" thickBot="1" x14ac:dyDescent="0.25">
      <c r="A84" s="14"/>
      <c r="B84" s="104"/>
      <c r="C84" s="870" t="s">
        <v>1301</v>
      </c>
      <c r="D84" s="870"/>
      <c r="E84" s="870"/>
      <c r="F84" s="870"/>
      <c r="G84" s="870"/>
      <c r="H84" s="870"/>
      <c r="I84" s="29"/>
      <c r="J84" s="29"/>
      <c r="K84" s="878">
        <f>VLOOKUP('Part 1'!$L$16,Datasheet4!$B$6:$DH$332,X84,FALSE)</f>
        <v>5438532.2936157053</v>
      </c>
      <c r="L84" s="879"/>
      <c r="M84" s="29"/>
      <c r="N84" s="29"/>
      <c r="O84" s="878">
        <f>VLOOKUP('Part 1'!$L$16,Datasheet4!$B$6:$DH$332,Y84,FALSE)</f>
        <v>743667.3623553724</v>
      </c>
      <c r="P84" s="879"/>
      <c r="Q84" s="29"/>
      <c r="R84" s="29"/>
      <c r="S84" s="878">
        <f>VLOOKUP('Part 1'!$L$16,Datasheet4!$B$6:$DH$332,Z84,FALSE)</f>
        <v>81914.432871900892</v>
      </c>
      <c r="T84" s="879"/>
      <c r="U84" s="29"/>
      <c r="V84" s="604"/>
      <c r="X84" s="212">
        <v>63</v>
      </c>
      <c r="Y84" s="212">
        <v>64</v>
      </c>
      <c r="Z84" s="212">
        <v>65</v>
      </c>
    </row>
    <row r="85" spans="1:26" ht="18" customHeight="1" thickBot="1" x14ac:dyDescent="0.25">
      <c r="A85" s="14"/>
      <c r="B85" s="104"/>
      <c r="C85" s="870"/>
      <c r="D85" s="870"/>
      <c r="E85" s="870"/>
      <c r="F85" s="870"/>
      <c r="G85" s="870"/>
      <c r="H85" s="870"/>
      <c r="I85" s="29"/>
      <c r="J85" s="29"/>
      <c r="K85" s="18"/>
      <c r="L85" s="18"/>
      <c r="M85" s="29"/>
      <c r="N85" s="29"/>
      <c r="O85" s="404"/>
      <c r="P85" s="404"/>
      <c r="Q85" s="29"/>
      <c r="R85" s="29"/>
      <c r="S85" s="18"/>
      <c r="T85" s="18"/>
      <c r="U85" s="29"/>
      <c r="V85" s="604"/>
    </row>
    <row r="86" spans="1:26" ht="18" customHeight="1" thickBot="1" x14ac:dyDescent="0.25">
      <c r="A86" s="14"/>
      <c r="B86" s="104"/>
      <c r="C86" s="74" t="s">
        <v>1302</v>
      </c>
      <c r="D86" s="74"/>
      <c r="E86" s="29"/>
      <c r="F86" s="29"/>
      <c r="G86" s="29"/>
      <c r="H86" s="29"/>
      <c r="I86" s="29"/>
      <c r="J86" s="29"/>
      <c r="K86" s="880">
        <f>VLOOKUP('Part 1'!$L$16,Datasheet4!$B$6:$DH$332,X86,FALSE)</f>
        <v>4466887</v>
      </c>
      <c r="L86" s="881"/>
      <c r="M86" s="2"/>
      <c r="N86" s="2"/>
      <c r="O86" s="882">
        <f>VLOOKUP('Part 1'!$L$16,Datasheet4!$B$6:$DH$332,Y86,FALSE)</f>
        <v>562125</v>
      </c>
      <c r="P86" s="883"/>
      <c r="Q86" s="2"/>
      <c r="R86" s="2"/>
      <c r="S86" s="880">
        <f>VLOOKUP('Part 1'!$L$16,Datasheet4!$B$6:$DH$332,Z86,FALSE)</f>
        <v>71956</v>
      </c>
      <c r="T86" s="881"/>
      <c r="U86" s="29"/>
      <c r="V86" s="604"/>
      <c r="X86" s="212">
        <v>66</v>
      </c>
      <c r="Y86" s="212">
        <v>67</v>
      </c>
      <c r="Z86" s="212">
        <v>68</v>
      </c>
    </row>
    <row r="87" spans="1:26" ht="18" customHeight="1" thickBot="1" x14ac:dyDescent="0.25">
      <c r="A87" s="14"/>
      <c r="B87" s="104"/>
      <c r="C87" s="49"/>
      <c r="D87" s="49"/>
      <c r="E87" s="29"/>
      <c r="F87" s="29"/>
      <c r="G87" s="29"/>
      <c r="H87" s="29"/>
      <c r="I87" s="29"/>
      <c r="J87" s="29"/>
      <c r="K87" s="55"/>
      <c r="L87" s="54"/>
      <c r="M87" s="29"/>
      <c r="N87" s="29"/>
      <c r="O87" s="55"/>
      <c r="P87" s="54"/>
      <c r="Q87" s="29"/>
      <c r="R87" s="29"/>
      <c r="S87" s="55"/>
      <c r="T87" s="54"/>
      <c r="U87" s="29"/>
      <c r="V87" s="604"/>
    </row>
    <row r="88" spans="1:26" ht="18" customHeight="1" thickBot="1" x14ac:dyDescent="0.25">
      <c r="A88" s="14"/>
      <c r="B88" s="104"/>
      <c r="C88" s="74" t="s">
        <v>962</v>
      </c>
      <c r="D88" s="74"/>
      <c r="E88" s="29"/>
      <c r="F88" s="29"/>
      <c r="G88" s="29"/>
      <c r="H88" s="29"/>
      <c r="I88" s="29"/>
      <c r="J88" s="29"/>
      <c r="K88" s="878">
        <f>VLOOKUP('Part 1'!$L$16,Datasheet4!$B$6:$DH$332,X88,FALSE)</f>
        <v>971642</v>
      </c>
      <c r="L88" s="879"/>
      <c r="M88" s="2"/>
      <c r="N88" s="2"/>
      <c r="O88" s="878">
        <f>VLOOKUP('Part 1'!$L$16,Datasheet4!$B$6:$DH$332,Y88,FALSE)</f>
        <v>181539</v>
      </c>
      <c r="P88" s="879"/>
      <c r="Q88" s="2"/>
      <c r="R88" s="2"/>
      <c r="S88" s="878">
        <f>VLOOKUP('Part 1'!$L$16,Datasheet4!$B$6:$DH$332,Z88,FALSE)</f>
        <v>9959</v>
      </c>
      <c r="T88" s="879"/>
      <c r="U88" s="29"/>
      <c r="V88" s="604"/>
      <c r="X88" s="212">
        <v>69</v>
      </c>
      <c r="Y88" s="212">
        <v>70</v>
      </c>
      <c r="Z88" s="212">
        <v>71</v>
      </c>
    </row>
    <row r="89" spans="1:26" ht="18" customHeight="1" x14ac:dyDescent="0.2">
      <c r="A89" s="14"/>
      <c r="B89" s="2"/>
      <c r="C89" s="49"/>
      <c r="D89" s="49"/>
      <c r="E89" s="29"/>
      <c r="F89" s="29"/>
      <c r="G89" s="29"/>
      <c r="H89" s="29"/>
      <c r="I89" s="29"/>
      <c r="J89" s="29"/>
      <c r="K89" s="29"/>
      <c r="L89" s="29"/>
      <c r="M89" s="29"/>
      <c r="N89" s="29"/>
      <c r="O89" s="404"/>
      <c r="P89" s="404"/>
      <c r="Q89" s="29"/>
      <c r="R89" s="29"/>
      <c r="S89" s="29"/>
      <c r="T89" s="29"/>
      <c r="U89" s="29"/>
      <c r="V89" s="604"/>
    </row>
    <row r="90" spans="1:26" ht="18" customHeight="1" thickBot="1" x14ac:dyDescent="0.3">
      <c r="A90" s="14"/>
      <c r="B90" s="2"/>
      <c r="C90" s="178" t="s">
        <v>73</v>
      </c>
      <c r="D90" s="49"/>
      <c r="E90" s="29"/>
      <c r="F90" s="29"/>
      <c r="G90" s="29"/>
      <c r="H90" s="29"/>
      <c r="I90" s="29"/>
      <c r="J90" s="29"/>
      <c r="K90" s="29"/>
      <c r="L90" s="29"/>
      <c r="M90" s="29"/>
      <c r="N90" s="29"/>
      <c r="O90" s="404"/>
      <c r="P90" s="404"/>
      <c r="Q90" s="29"/>
      <c r="R90" s="29"/>
      <c r="S90" s="29"/>
      <c r="T90" s="29"/>
      <c r="U90" s="29"/>
      <c r="V90" s="604"/>
    </row>
    <row r="91" spans="1:26" ht="18" customHeight="1" thickBot="1" x14ac:dyDescent="0.25">
      <c r="A91" s="14"/>
      <c r="B91" s="2"/>
      <c r="C91" s="870" t="s">
        <v>1303</v>
      </c>
      <c r="D91" s="870"/>
      <c r="E91" s="870"/>
      <c r="F91" s="870"/>
      <c r="G91" s="870"/>
      <c r="H91" s="870"/>
      <c r="I91" s="29"/>
      <c r="J91" s="29"/>
      <c r="K91" s="889">
        <f>VLOOKUP('Part 1'!$L$16,Datasheet4!$B$6:$DH$332,X91,FALSE)</f>
        <v>760986.04826446227</v>
      </c>
      <c r="L91" s="890"/>
      <c r="M91" s="29"/>
      <c r="N91" s="29"/>
      <c r="O91" s="889">
        <f>VLOOKUP('Part 1'!$L$16,Datasheet4!$B$6:$DH$332,Y91,FALSE)</f>
        <v>127956.69993801651</v>
      </c>
      <c r="P91" s="890"/>
      <c r="Q91" s="29"/>
      <c r="R91" s="29"/>
      <c r="S91" s="889">
        <f>VLOOKUP('Part 1'!$L$16,Datasheet4!$B$6:$DH$332,Z91,FALSE)</f>
        <v>11879.237768595045</v>
      </c>
      <c r="T91" s="890"/>
      <c r="U91" s="29"/>
      <c r="V91" s="604"/>
      <c r="X91" s="212">
        <v>72</v>
      </c>
      <c r="Y91" s="212">
        <v>73</v>
      </c>
      <c r="Z91" s="212">
        <v>74</v>
      </c>
    </row>
    <row r="92" spans="1:26" ht="18" customHeight="1" thickBot="1" x14ac:dyDescent="0.25">
      <c r="A92" s="14"/>
      <c r="B92" s="2"/>
      <c r="C92" s="870"/>
      <c r="D92" s="870"/>
      <c r="E92" s="870"/>
      <c r="F92" s="870"/>
      <c r="G92" s="870"/>
      <c r="H92" s="870"/>
      <c r="I92" s="29"/>
      <c r="J92" s="29"/>
      <c r="K92" s="18"/>
      <c r="L92" s="18"/>
      <c r="M92" s="29"/>
      <c r="N92" s="29"/>
      <c r="O92" s="404"/>
      <c r="P92" s="404"/>
      <c r="Q92" s="29"/>
      <c r="R92" s="29"/>
      <c r="S92" s="18"/>
      <c r="T92" s="18"/>
      <c r="U92" s="29"/>
      <c r="V92" s="604"/>
    </row>
    <row r="93" spans="1:26" ht="18" customHeight="1" thickBot="1" x14ac:dyDescent="0.25">
      <c r="A93" s="14"/>
      <c r="B93" s="2"/>
      <c r="C93" s="74" t="s">
        <v>1304</v>
      </c>
      <c r="D93" s="49"/>
      <c r="E93" s="29"/>
      <c r="F93" s="29"/>
      <c r="G93" s="29"/>
      <c r="H93" s="29"/>
      <c r="I93" s="29"/>
      <c r="J93" s="29"/>
      <c r="K93" s="880">
        <f>VLOOKUP('Part 1'!$L$16,Datasheet4!$B$6:$DH$332,X93,FALSE)</f>
        <v>0</v>
      </c>
      <c r="L93" s="881"/>
      <c r="M93" s="2"/>
      <c r="N93" s="2"/>
      <c r="O93" s="882">
        <f>VLOOKUP('Part 1'!$L$16,Datasheet4!$B$6:$DH$332,Y93,FALSE)</f>
        <v>0</v>
      </c>
      <c r="P93" s="883"/>
      <c r="Q93" s="2"/>
      <c r="R93" s="2"/>
      <c r="S93" s="880">
        <f>VLOOKUP('Part 1'!$L$16,Datasheet4!$B$6:$DH$332,Z93,FALSE)</f>
        <v>0</v>
      </c>
      <c r="T93" s="881"/>
      <c r="U93" s="29"/>
      <c r="V93" s="604"/>
      <c r="X93" s="212">
        <v>75</v>
      </c>
      <c r="Y93" s="212">
        <v>76</v>
      </c>
      <c r="Z93" s="212">
        <v>77</v>
      </c>
    </row>
    <row r="94" spans="1:26" ht="18" customHeight="1" thickBot="1" x14ac:dyDescent="0.25">
      <c r="A94" s="14"/>
      <c r="B94" s="2"/>
      <c r="C94" s="49"/>
      <c r="D94" s="49"/>
      <c r="E94" s="29"/>
      <c r="F94" s="29"/>
      <c r="G94" s="29"/>
      <c r="H94" s="29"/>
      <c r="I94" s="29"/>
      <c r="J94" s="29"/>
      <c r="K94" s="55"/>
      <c r="L94" s="54"/>
      <c r="M94" s="29"/>
      <c r="N94" s="29"/>
      <c r="O94" s="55"/>
      <c r="P94" s="54"/>
      <c r="Q94" s="29"/>
      <c r="R94" s="29"/>
      <c r="S94" s="55"/>
      <c r="T94" s="54"/>
      <c r="U94" s="29"/>
      <c r="V94" s="604"/>
    </row>
    <row r="95" spans="1:26" ht="18" customHeight="1" thickBot="1" x14ac:dyDescent="0.25">
      <c r="A95" s="14"/>
      <c r="B95" s="2"/>
      <c r="C95" s="74" t="s">
        <v>963</v>
      </c>
      <c r="D95" s="49"/>
      <c r="E95" s="29"/>
      <c r="F95" s="29"/>
      <c r="G95" s="29"/>
      <c r="H95" s="29"/>
      <c r="I95" s="29"/>
      <c r="J95" s="29"/>
      <c r="K95" s="878">
        <f>VLOOKUP('Part 1'!$L$16,Datasheet4!$B$6:$DH$332,X95,FALSE)</f>
        <v>760986</v>
      </c>
      <c r="L95" s="879"/>
      <c r="M95" s="2"/>
      <c r="N95" s="2"/>
      <c r="O95" s="878">
        <f>VLOOKUP('Part 1'!$L$16,Datasheet4!$B$6:$DH$332,Y95,FALSE)</f>
        <v>127950</v>
      </c>
      <c r="P95" s="879"/>
      <c r="Q95" s="2"/>
      <c r="R95" s="2"/>
      <c r="S95" s="878">
        <f>VLOOKUP('Part 1'!$L$16,Datasheet4!$B$6:$DH$332,Z95,FALSE)</f>
        <v>11872</v>
      </c>
      <c r="T95" s="879"/>
      <c r="U95" s="29"/>
      <c r="V95" s="604"/>
      <c r="X95" s="212">
        <v>78</v>
      </c>
      <c r="Y95" s="212">
        <v>79</v>
      </c>
      <c r="Z95" s="212">
        <v>80</v>
      </c>
    </row>
    <row r="96" spans="1:26" ht="15" x14ac:dyDescent="0.2">
      <c r="A96" s="14"/>
      <c r="B96" s="2"/>
      <c r="C96" s="49"/>
      <c r="D96" s="49"/>
      <c r="E96" s="29"/>
      <c r="F96" s="29"/>
      <c r="G96" s="29"/>
      <c r="H96" s="29"/>
      <c r="I96" s="29"/>
      <c r="J96" s="29"/>
      <c r="K96" s="29"/>
      <c r="L96" s="29"/>
      <c r="M96" s="29"/>
      <c r="N96" s="29"/>
      <c r="O96" s="404"/>
      <c r="P96" s="404"/>
      <c r="Q96" s="29"/>
      <c r="R96" s="29"/>
      <c r="S96" s="29"/>
      <c r="T96" s="29"/>
      <c r="U96" s="2"/>
      <c r="V96" s="604"/>
    </row>
    <row r="97" spans="1:26" ht="16.5" thickBot="1" x14ac:dyDescent="0.3">
      <c r="A97" s="14"/>
      <c r="B97" s="2"/>
      <c r="C97" s="178" t="s">
        <v>82</v>
      </c>
      <c r="D97" s="49"/>
      <c r="E97" s="29"/>
      <c r="F97" s="29"/>
      <c r="G97" s="29"/>
      <c r="H97" s="29"/>
      <c r="I97" s="29"/>
      <c r="J97" s="29"/>
      <c r="K97" s="29"/>
      <c r="L97" s="29"/>
      <c r="M97" s="29"/>
      <c r="N97" s="29"/>
      <c r="O97" s="404"/>
      <c r="P97" s="404"/>
      <c r="Q97" s="29"/>
      <c r="R97" s="29"/>
      <c r="S97" s="29"/>
      <c r="T97" s="29"/>
      <c r="U97" s="2"/>
      <c r="V97" s="604"/>
    </row>
    <row r="98" spans="1:26" ht="16.5" thickBot="1" x14ac:dyDescent="0.25">
      <c r="A98" s="14"/>
      <c r="B98" s="2"/>
      <c r="C98" s="870" t="s">
        <v>1305</v>
      </c>
      <c r="D98" s="870"/>
      <c r="E98" s="870"/>
      <c r="F98" s="870"/>
      <c r="G98" s="870"/>
      <c r="H98" s="870"/>
      <c r="I98" s="29"/>
      <c r="J98" s="29"/>
      <c r="K98" s="884">
        <f>VLOOKUP('Part 1'!$L$16,Datasheet4!$B$6:$DH$332,X98,FALSE)</f>
        <v>1071341.1020661152</v>
      </c>
      <c r="L98" s="885"/>
      <c r="M98" s="456"/>
      <c r="N98" s="456"/>
      <c r="O98" s="884">
        <f>VLOOKUP('Part 1'!$L$16,Datasheet4!$B$6:$DH$332,Y98,FALSE)</f>
        <v>131843.8678099174</v>
      </c>
      <c r="P98" s="885"/>
      <c r="Q98" s="456"/>
      <c r="R98" s="456"/>
      <c r="S98" s="884">
        <f>VLOOKUP('Part 1'!$L$16,Datasheet4!$B$6:$DH$332,Z98,FALSE)</f>
        <v>16116.648925619837</v>
      </c>
      <c r="T98" s="885"/>
      <c r="U98" s="2"/>
      <c r="V98" s="604"/>
      <c r="X98" s="212">
        <v>81</v>
      </c>
      <c r="Y98" s="212">
        <v>82</v>
      </c>
      <c r="Z98" s="212">
        <v>83</v>
      </c>
    </row>
    <row r="99" spans="1:26" ht="16.5" thickBot="1" x14ac:dyDescent="0.25">
      <c r="A99" s="14"/>
      <c r="B99" s="2"/>
      <c r="C99" s="870"/>
      <c r="D99" s="870"/>
      <c r="E99" s="870"/>
      <c r="F99" s="870"/>
      <c r="G99" s="870"/>
      <c r="H99" s="870"/>
      <c r="I99" s="29"/>
      <c r="J99" s="29"/>
      <c r="K99" s="29"/>
      <c r="L99" s="29"/>
      <c r="M99" s="29"/>
      <c r="N99" s="29"/>
      <c r="O99" s="404"/>
      <c r="P99" s="404"/>
      <c r="Q99" s="29"/>
      <c r="R99" s="29"/>
      <c r="S99" s="454"/>
      <c r="T99" s="455"/>
      <c r="U99" s="2"/>
      <c r="V99" s="604"/>
    </row>
    <row r="100" spans="1:26" ht="16.5" thickBot="1" x14ac:dyDescent="0.25">
      <c r="A100" s="14"/>
      <c r="B100" s="2"/>
      <c r="C100" s="74" t="s">
        <v>981</v>
      </c>
      <c r="D100" s="49"/>
      <c r="E100" s="29"/>
      <c r="F100" s="29"/>
      <c r="G100" s="29"/>
      <c r="H100" s="29"/>
      <c r="I100" s="29"/>
      <c r="J100" s="29"/>
      <c r="K100" s="880">
        <f>VLOOKUP('Part 1'!$L$16,Datasheet4!$B$6:$DH$332,X100,FALSE)</f>
        <v>0</v>
      </c>
      <c r="L100" s="881"/>
      <c r="M100" s="2"/>
      <c r="N100" s="2"/>
      <c r="O100" s="882">
        <f>VLOOKUP('Part 1'!$L$16,Datasheet4!$B$6:$DH$332,Y100,FALSE)</f>
        <v>0</v>
      </c>
      <c r="P100" s="883"/>
      <c r="Q100" s="2"/>
      <c r="R100" s="2"/>
      <c r="S100" s="880">
        <f>VLOOKUP('Part 1'!$L$16,Datasheet4!$B$6:$DH$332,Z100,FALSE)</f>
        <v>0</v>
      </c>
      <c r="T100" s="881"/>
      <c r="U100" s="2"/>
      <c r="V100" s="604"/>
      <c r="X100" s="212">
        <v>84</v>
      </c>
      <c r="Y100" s="212">
        <v>85</v>
      </c>
      <c r="Z100" s="212">
        <v>86</v>
      </c>
    </row>
    <row r="101" spans="1:26" ht="16.5" thickBot="1" x14ac:dyDescent="0.25">
      <c r="A101" s="14"/>
      <c r="B101" s="2"/>
      <c r="C101" s="49"/>
      <c r="D101" s="49"/>
      <c r="E101" s="29"/>
      <c r="F101" s="29"/>
      <c r="G101" s="29"/>
      <c r="H101" s="29"/>
      <c r="I101" s="29"/>
      <c r="J101" s="29"/>
      <c r="K101" s="55"/>
      <c r="L101" s="54"/>
      <c r="M101" s="29"/>
      <c r="N101" s="29"/>
      <c r="O101" s="55"/>
      <c r="P101" s="54"/>
      <c r="Q101" s="29"/>
      <c r="R101" s="29"/>
      <c r="S101" s="55"/>
      <c r="T101" s="54"/>
      <c r="U101" s="2"/>
      <c r="V101" s="604"/>
    </row>
    <row r="102" spans="1:26" ht="16.5" thickBot="1" x14ac:dyDescent="0.25">
      <c r="A102" s="14"/>
      <c r="B102" s="2"/>
      <c r="C102" s="74" t="s">
        <v>982</v>
      </c>
      <c r="D102" s="74"/>
      <c r="E102" s="74"/>
      <c r="F102" s="74"/>
      <c r="G102" s="74"/>
      <c r="H102" s="29"/>
      <c r="I102" s="29"/>
      <c r="J102" s="29"/>
      <c r="K102" s="878">
        <f>VLOOKUP('Part 1'!$L$16,Datasheet4!$B$6:$DH$332,X102,FALSE)</f>
        <v>1071342</v>
      </c>
      <c r="L102" s="879"/>
      <c r="M102" s="29"/>
      <c r="N102" s="29"/>
      <c r="O102" s="878">
        <f>VLOOKUP('Part 1'!$L$16,Datasheet4!$B$6:$DH$332,Y102,FALSE)</f>
        <v>131845</v>
      </c>
      <c r="P102" s="879"/>
      <c r="Q102" s="29"/>
      <c r="R102" s="29"/>
      <c r="S102" s="878">
        <f>VLOOKUP('Part 1'!$L$16,Datasheet4!$B$6:$DH$332,Z102,FALSE)</f>
        <v>16115</v>
      </c>
      <c r="T102" s="879"/>
      <c r="U102" s="2"/>
      <c r="V102" s="604"/>
      <c r="X102" s="212">
        <v>87</v>
      </c>
      <c r="Y102" s="212">
        <v>88</v>
      </c>
      <c r="Z102" s="212">
        <v>89</v>
      </c>
    </row>
    <row r="103" spans="1:26" ht="18" customHeight="1" x14ac:dyDescent="0.2">
      <c r="A103" s="14"/>
      <c r="B103" s="2"/>
      <c r="C103" s="74"/>
      <c r="D103" s="49"/>
      <c r="E103" s="29"/>
      <c r="F103" s="29"/>
      <c r="G103" s="29"/>
      <c r="H103" s="29"/>
      <c r="I103" s="29"/>
      <c r="J103" s="29"/>
      <c r="K103" s="29"/>
      <c r="L103" s="29"/>
      <c r="M103" s="29"/>
      <c r="N103" s="29"/>
      <c r="O103" s="404"/>
      <c r="P103" s="404"/>
      <c r="Q103" s="29"/>
      <c r="R103" s="29"/>
      <c r="S103" s="29"/>
      <c r="T103" s="29"/>
      <c r="U103" s="2"/>
      <c r="V103" s="604"/>
    </row>
    <row r="104" spans="1:26" ht="18" customHeight="1" thickBot="1" x14ac:dyDescent="0.3">
      <c r="A104" s="14"/>
      <c r="B104" s="2"/>
      <c r="C104" s="178" t="s">
        <v>980</v>
      </c>
      <c r="D104" s="49"/>
      <c r="E104" s="29"/>
      <c r="F104" s="29"/>
      <c r="G104" s="29"/>
      <c r="H104" s="29"/>
      <c r="I104" s="29"/>
      <c r="J104" s="29"/>
      <c r="K104" s="29"/>
      <c r="L104" s="29"/>
      <c r="M104" s="29"/>
      <c r="N104" s="29"/>
      <c r="O104" s="404"/>
      <c r="P104" s="404"/>
      <c r="Q104" s="29"/>
      <c r="R104" s="29"/>
      <c r="S104" s="29"/>
      <c r="T104" s="29"/>
      <c r="U104" s="2"/>
      <c r="V104" s="604"/>
    </row>
    <row r="105" spans="1:26" ht="18" customHeight="1" thickBot="1" x14ac:dyDescent="0.25">
      <c r="A105" s="14"/>
      <c r="B105" s="2"/>
      <c r="C105" s="766" t="s">
        <v>1306</v>
      </c>
      <c r="D105" s="877"/>
      <c r="E105" s="877"/>
      <c r="F105" s="877"/>
      <c r="G105" s="877"/>
      <c r="H105" s="29"/>
      <c r="I105" s="29"/>
      <c r="J105" s="29"/>
      <c r="K105" s="884">
        <f>VLOOKUP('Part 1'!$L$16,Datasheet4!$B$6:$DH$332,X105,FALSE)</f>
        <v>843073.0282752061</v>
      </c>
      <c r="L105" s="886"/>
      <c r="M105" s="2"/>
      <c r="N105" s="2"/>
      <c r="O105" s="884">
        <f>VLOOKUP('Part 1'!$L$16,Datasheet4!$B$6:$DH$332,Y105,FALSE)</f>
        <v>154251.2817768594</v>
      </c>
      <c r="P105" s="885"/>
      <c r="Q105" s="2"/>
      <c r="R105" s="2"/>
      <c r="S105" s="884">
        <f>VLOOKUP('Part 1'!$L$16,Datasheet4!$B$6:$DH$332,Z105,FALSE)</f>
        <v>13178.17908016529</v>
      </c>
      <c r="T105" s="885"/>
      <c r="U105" s="2"/>
      <c r="V105" s="604"/>
      <c r="X105" s="212">
        <v>90</v>
      </c>
      <c r="Y105" s="212">
        <v>91</v>
      </c>
      <c r="Z105" s="212">
        <v>92</v>
      </c>
    </row>
    <row r="106" spans="1:26" ht="18" customHeight="1" thickBot="1" x14ac:dyDescent="0.25">
      <c r="A106" s="14"/>
      <c r="B106" s="2"/>
      <c r="C106" s="877"/>
      <c r="D106" s="877"/>
      <c r="E106" s="877"/>
      <c r="F106" s="877"/>
      <c r="G106" s="877"/>
      <c r="H106" s="29"/>
      <c r="I106" s="29"/>
      <c r="J106" s="29"/>
      <c r="K106" s="18"/>
      <c r="L106" s="18"/>
      <c r="M106" s="29"/>
      <c r="N106" s="29"/>
      <c r="O106" s="404"/>
      <c r="P106" s="404"/>
      <c r="Q106" s="29"/>
      <c r="R106" s="29"/>
      <c r="S106" s="18"/>
      <c r="T106" s="18"/>
      <c r="U106" s="2"/>
      <c r="V106" s="604"/>
    </row>
    <row r="107" spans="1:26" ht="18" customHeight="1" thickBot="1" x14ac:dyDescent="0.25">
      <c r="A107" s="14"/>
      <c r="B107" s="2"/>
      <c r="C107" s="74" t="s">
        <v>983</v>
      </c>
      <c r="D107" s="74"/>
      <c r="E107" s="456"/>
      <c r="F107" s="456"/>
      <c r="G107" s="456"/>
      <c r="H107" s="29"/>
      <c r="I107" s="29"/>
      <c r="J107" s="29"/>
      <c r="K107" s="887">
        <f>VLOOKUP('Part 1'!$L$16,Datasheet4!$B$6:$DH$332,X107,FALSE)</f>
        <v>2993069</v>
      </c>
      <c r="L107" s="888"/>
      <c r="M107" s="2"/>
      <c r="N107" s="2"/>
      <c r="O107" s="882">
        <f>VLOOKUP('Part 1'!$L$16,Datasheet4!$B$6:$DH$332,Y107,FALSE)</f>
        <v>648906</v>
      </c>
      <c r="P107" s="883"/>
      <c r="Q107" s="2"/>
      <c r="R107" s="2"/>
      <c r="S107" s="880">
        <f>VLOOKUP('Part 1'!$L$16,Datasheet4!$B$6:$DH$332,Z107,FALSE)</f>
        <v>42095</v>
      </c>
      <c r="T107" s="881"/>
      <c r="U107" s="2"/>
      <c r="V107" s="604"/>
      <c r="X107" s="212">
        <v>93</v>
      </c>
      <c r="Y107" s="212">
        <v>94</v>
      </c>
      <c r="Z107" s="212">
        <v>95</v>
      </c>
    </row>
    <row r="108" spans="1:26" ht="18" customHeight="1" thickBot="1" x14ac:dyDescent="0.25">
      <c r="A108" s="14"/>
      <c r="B108" s="2"/>
      <c r="C108" s="74"/>
      <c r="D108" s="74"/>
      <c r="E108" s="456"/>
      <c r="F108" s="456"/>
      <c r="G108" s="456"/>
      <c r="H108" s="29"/>
      <c r="I108" s="29"/>
      <c r="J108" s="29"/>
      <c r="K108" s="55"/>
      <c r="L108" s="54"/>
      <c r="M108" s="29"/>
      <c r="N108" s="29"/>
      <c r="O108" s="55"/>
      <c r="P108" s="54"/>
      <c r="Q108" s="29"/>
      <c r="R108" s="29"/>
      <c r="S108" s="55"/>
      <c r="T108" s="54"/>
      <c r="U108" s="2"/>
      <c r="V108" s="604"/>
    </row>
    <row r="109" spans="1:26" ht="18" customHeight="1" thickBot="1" x14ac:dyDescent="0.25">
      <c r="A109" s="14"/>
      <c r="B109" s="2"/>
      <c r="C109" s="74" t="s">
        <v>984</v>
      </c>
      <c r="D109" s="74"/>
      <c r="E109" s="456"/>
      <c r="F109" s="456"/>
      <c r="G109" s="456"/>
      <c r="H109" s="29"/>
      <c r="I109" s="29"/>
      <c r="J109" s="29"/>
      <c r="K109" s="878">
        <f>VLOOKUP('Part 1'!$L$16,Datasheet4!$B$6:$DH$332,X109,FALSE)</f>
        <v>-2150000</v>
      </c>
      <c r="L109" s="879"/>
      <c r="M109" s="29"/>
      <c r="N109" s="29"/>
      <c r="O109" s="878">
        <f>VLOOKUP('Part 1'!$L$16,Datasheet4!$B$6:$DH$332,Y109,FALSE)</f>
        <v>-494649</v>
      </c>
      <c r="P109" s="879"/>
      <c r="Q109" s="29"/>
      <c r="R109" s="29"/>
      <c r="S109" s="878">
        <f>VLOOKUP('Part 1'!$L$16,Datasheet4!$B$6:$DH$332,Z109,FALSE)</f>
        <v>-28916</v>
      </c>
      <c r="T109" s="879"/>
      <c r="U109" s="2"/>
      <c r="V109" s="604"/>
      <c r="X109" s="212">
        <v>96</v>
      </c>
      <c r="Y109" s="212">
        <v>97</v>
      </c>
      <c r="Z109" s="212">
        <v>98</v>
      </c>
    </row>
    <row r="110" spans="1:26" ht="18" customHeight="1" x14ac:dyDescent="0.2">
      <c r="A110" s="14"/>
      <c r="B110" s="2"/>
      <c r="C110" s="74"/>
      <c r="D110" s="49"/>
      <c r="E110" s="29"/>
      <c r="F110" s="29"/>
      <c r="G110" s="29"/>
      <c r="H110" s="29"/>
      <c r="I110" s="29"/>
      <c r="J110" s="29"/>
      <c r="K110" s="29"/>
      <c r="L110" s="29"/>
      <c r="M110" s="29"/>
      <c r="N110" s="29"/>
      <c r="O110" s="29"/>
      <c r="P110" s="29"/>
      <c r="Q110" s="29"/>
      <c r="R110" s="29"/>
      <c r="S110" s="29"/>
      <c r="T110" s="29"/>
      <c r="U110" s="2"/>
      <c r="V110" s="604"/>
    </row>
    <row r="111" spans="1:26" ht="18" customHeight="1" thickBot="1" x14ac:dyDescent="0.3">
      <c r="A111" s="14"/>
      <c r="B111" s="2"/>
      <c r="C111" s="178" t="s">
        <v>1308</v>
      </c>
      <c r="D111" s="49"/>
      <c r="E111" s="29"/>
      <c r="F111" s="29"/>
      <c r="G111" s="29"/>
      <c r="H111" s="29"/>
      <c r="I111" s="29"/>
      <c r="J111" s="29"/>
      <c r="K111" s="29"/>
      <c r="L111" s="29"/>
      <c r="M111" s="29"/>
      <c r="N111" s="29"/>
      <c r="O111" s="404"/>
      <c r="P111" s="404"/>
      <c r="Q111" s="29"/>
      <c r="R111" s="29"/>
      <c r="S111" s="29"/>
      <c r="T111" s="29"/>
      <c r="U111" s="2"/>
      <c r="V111" s="604"/>
    </row>
    <row r="112" spans="1:26" ht="18" customHeight="1" thickBot="1" x14ac:dyDescent="0.25">
      <c r="A112" s="14"/>
      <c r="B112" s="2"/>
      <c r="C112" s="74" t="s">
        <v>1307</v>
      </c>
      <c r="D112" s="49"/>
      <c r="E112" s="29"/>
      <c r="F112" s="29"/>
      <c r="G112" s="29"/>
      <c r="H112" s="29"/>
      <c r="I112" s="29"/>
      <c r="J112" s="29"/>
      <c r="K112" s="878">
        <f>VLOOKUP('Part 1'!$L$16,Datasheet4!$B$6:$DH$332,X112,FALSE)</f>
        <v>138986786.39979893</v>
      </c>
      <c r="L112" s="879"/>
      <c r="M112" s="29"/>
      <c r="N112" s="29"/>
      <c r="O112" s="878">
        <f>VLOOKUP('Part 1'!$L$16,Datasheet4!$B$6:$DH$332,Y112,FALSE)</f>
        <v>30843835.543037187</v>
      </c>
      <c r="P112" s="879"/>
      <c r="Q112" s="29"/>
      <c r="R112" s="29"/>
      <c r="S112" s="878">
        <f>VLOOKUP('Part 1'!$L$16,Datasheet4!$B$6:$DH$332,Z112,FALSE)</f>
        <v>1883069.0739303723</v>
      </c>
      <c r="T112" s="879"/>
      <c r="U112" s="2"/>
      <c r="V112" s="604"/>
      <c r="X112" s="212">
        <v>99</v>
      </c>
      <c r="Y112" s="212">
        <v>100</v>
      </c>
      <c r="Z112" s="212">
        <v>101</v>
      </c>
    </row>
    <row r="113" spans="1:26" ht="18" customHeight="1" thickBot="1" x14ac:dyDescent="0.25">
      <c r="A113" s="14"/>
      <c r="B113" s="2"/>
      <c r="C113" s="49"/>
      <c r="D113" s="49"/>
      <c r="E113" s="29"/>
      <c r="F113" s="29"/>
      <c r="G113" s="29"/>
      <c r="H113" s="29"/>
      <c r="I113" s="29"/>
      <c r="J113" s="29"/>
      <c r="K113" s="18"/>
      <c r="L113" s="18"/>
      <c r="M113" s="29"/>
      <c r="N113" s="29"/>
      <c r="O113" s="404"/>
      <c r="P113" s="404"/>
      <c r="Q113" s="29"/>
      <c r="R113" s="29"/>
      <c r="S113" s="18"/>
      <c r="T113" s="18"/>
      <c r="U113" s="2"/>
      <c r="V113" s="604"/>
    </row>
    <row r="114" spans="1:26" ht="18" customHeight="1" thickBot="1" x14ac:dyDescent="0.25">
      <c r="A114" s="14"/>
      <c r="B114" s="2"/>
      <c r="C114" s="74" t="s">
        <v>1309</v>
      </c>
      <c r="D114" s="49"/>
      <c r="E114" s="29"/>
      <c r="F114" s="29"/>
      <c r="G114" s="29"/>
      <c r="H114" s="29"/>
      <c r="I114" s="29"/>
      <c r="J114" s="29"/>
      <c r="K114" s="880">
        <f>VLOOKUP('Part 1'!$L$16,Datasheet4!$B$6:$DH$332,X114,FALSE)</f>
        <v>139054042</v>
      </c>
      <c r="L114" s="881"/>
      <c r="M114" s="2"/>
      <c r="N114" s="2"/>
      <c r="O114" s="882">
        <f>VLOOKUP('Part 1'!$L$16,Datasheet4!$B$6:$DH$332,Y114,FALSE)</f>
        <v>30369849</v>
      </c>
      <c r="P114" s="883"/>
      <c r="Q114" s="2"/>
      <c r="R114" s="2"/>
      <c r="S114" s="880">
        <f>VLOOKUP('Part 1'!$L$16,Datasheet4!$B$6:$DH$332,Z114,FALSE)</f>
        <v>1890407</v>
      </c>
      <c r="T114" s="881"/>
      <c r="U114" s="2"/>
      <c r="V114" s="604"/>
      <c r="X114" s="212">
        <v>102</v>
      </c>
      <c r="Y114" s="212">
        <v>103</v>
      </c>
      <c r="Z114" s="212">
        <v>104</v>
      </c>
    </row>
    <row r="115" spans="1:26" ht="18" customHeight="1" thickBot="1" x14ac:dyDescent="0.25">
      <c r="A115" s="14"/>
      <c r="B115" s="2"/>
      <c r="C115" s="49"/>
      <c r="D115" s="49"/>
      <c r="E115" s="29"/>
      <c r="F115" s="29"/>
      <c r="G115" s="29"/>
      <c r="H115" s="29"/>
      <c r="I115" s="29"/>
      <c r="J115" s="29"/>
      <c r="K115" s="55"/>
      <c r="L115" s="54"/>
      <c r="M115" s="29"/>
      <c r="N115" s="29"/>
      <c r="O115" s="55"/>
      <c r="P115" s="54"/>
      <c r="Q115" s="29"/>
      <c r="R115" s="29"/>
      <c r="S115" s="55"/>
      <c r="T115" s="54"/>
      <c r="U115" s="2"/>
      <c r="V115" s="604"/>
    </row>
    <row r="116" spans="1:26" ht="18" customHeight="1" thickBot="1" x14ac:dyDescent="0.25">
      <c r="A116" s="14"/>
      <c r="B116" s="2"/>
      <c r="C116" s="74" t="s">
        <v>985</v>
      </c>
      <c r="D116" s="49"/>
      <c r="E116" s="29"/>
      <c r="F116" s="29"/>
      <c r="G116" s="29"/>
      <c r="H116" s="29"/>
      <c r="I116" s="29"/>
      <c r="J116" s="29"/>
      <c r="K116" s="878">
        <f>VLOOKUP('Part 1'!$L$16,Datasheet4!$B$6:$DH$332,X116,FALSE)</f>
        <v>-67253</v>
      </c>
      <c r="L116" s="879"/>
      <c r="M116" s="29"/>
      <c r="N116" s="29"/>
      <c r="O116" s="878">
        <f>VLOOKUP('Part 1'!$L$16,Datasheet4!$B$6:$DH$332,Y116,FALSE)</f>
        <v>473986</v>
      </c>
      <c r="P116" s="879"/>
      <c r="Q116" s="29"/>
      <c r="R116" s="29"/>
      <c r="S116" s="878">
        <f>VLOOKUP('Part 1'!$L$16,Datasheet4!$B$6:$DH$332,Z116,FALSE)</f>
        <v>-7340</v>
      </c>
      <c r="T116" s="879"/>
      <c r="U116" s="2"/>
      <c r="V116" s="604"/>
      <c r="X116" s="212">
        <v>105</v>
      </c>
      <c r="Y116" s="212">
        <v>106</v>
      </c>
      <c r="Z116" s="212">
        <v>107</v>
      </c>
    </row>
    <row r="117" spans="1:26" ht="18" customHeight="1" x14ac:dyDescent="0.2">
      <c r="A117" s="14"/>
      <c r="B117" s="2"/>
      <c r="C117" s="74"/>
      <c r="D117" s="49"/>
      <c r="E117" s="29"/>
      <c r="F117" s="29"/>
      <c r="G117" s="29"/>
      <c r="H117" s="29"/>
      <c r="I117" s="29"/>
      <c r="J117" s="29"/>
      <c r="K117" s="29"/>
      <c r="L117" s="29"/>
      <c r="M117" s="29"/>
      <c r="N117" s="29"/>
      <c r="O117" s="29"/>
      <c r="P117" s="29"/>
      <c r="Q117" s="29"/>
      <c r="R117" s="29"/>
      <c r="S117" s="29"/>
      <c r="T117" s="29"/>
      <c r="U117" s="2"/>
      <c r="V117" s="604"/>
    </row>
    <row r="118" spans="1:26" ht="15.75" thickBot="1" x14ac:dyDescent="0.25">
      <c r="A118" s="15"/>
      <c r="B118" s="16"/>
      <c r="C118" s="128"/>
      <c r="D118" s="128"/>
      <c r="E118" s="16"/>
      <c r="F118" s="16"/>
      <c r="G118" s="128"/>
      <c r="H118" s="128"/>
      <c r="I118" s="16"/>
      <c r="J118" s="16"/>
      <c r="K118" s="128"/>
      <c r="L118" s="128"/>
      <c r="M118" s="16"/>
      <c r="N118" s="16"/>
      <c r="O118" s="128"/>
      <c r="P118" s="128"/>
      <c r="Q118" s="16"/>
      <c r="R118" s="16"/>
      <c r="S118" s="128"/>
      <c r="T118" s="128"/>
      <c r="U118" s="16"/>
      <c r="V118" s="605"/>
    </row>
  </sheetData>
  <mergeCells count="156">
    <mergeCell ref="N12:Q12"/>
    <mergeCell ref="S12:T12"/>
    <mergeCell ref="N26:Q26"/>
    <mergeCell ref="R26:U26"/>
    <mergeCell ref="J26:M26"/>
    <mergeCell ref="F24:I25"/>
    <mergeCell ref="F26:I26"/>
    <mergeCell ref="O51:P51"/>
    <mergeCell ref="O57:P57"/>
    <mergeCell ref="G32:H32"/>
    <mergeCell ref="G27:H27"/>
    <mergeCell ref="K27:L27"/>
    <mergeCell ref="O27:P27"/>
    <mergeCell ref="S27:T27"/>
    <mergeCell ref="S16:T16"/>
    <mergeCell ref="K19:L19"/>
    <mergeCell ref="O19:P19"/>
    <mergeCell ref="S19:T19"/>
    <mergeCell ref="S23:T23"/>
    <mergeCell ref="K47:L47"/>
    <mergeCell ref="K49:L49"/>
    <mergeCell ref="K35:L35"/>
    <mergeCell ref="K37:L37"/>
    <mergeCell ref="G29:H29"/>
    <mergeCell ref="K13:L13"/>
    <mergeCell ref="O13:P13"/>
    <mergeCell ref="S67:T67"/>
    <mergeCell ref="S63:T63"/>
    <mergeCell ref="K63:L63"/>
    <mergeCell ref="S57:T57"/>
    <mergeCell ref="K51:L51"/>
    <mergeCell ref="O59:P59"/>
    <mergeCell ref="S59:T59"/>
    <mergeCell ref="K54:L54"/>
    <mergeCell ref="K57:L57"/>
    <mergeCell ref="K59:L59"/>
    <mergeCell ref="S54:T54"/>
    <mergeCell ref="K67:L67"/>
    <mergeCell ref="O67:P67"/>
    <mergeCell ref="C91:H92"/>
    <mergeCell ref="O84:P84"/>
    <mergeCell ref="K79:L79"/>
    <mergeCell ref="K81:L81"/>
    <mergeCell ref="K42:L42"/>
    <mergeCell ref="C98:H99"/>
    <mergeCell ref="G23:H23"/>
    <mergeCell ref="K23:L23"/>
    <mergeCell ref="O23:P23"/>
    <mergeCell ref="C54:E55"/>
    <mergeCell ref="O72:P72"/>
    <mergeCell ref="O74:P74"/>
    <mergeCell ref="O77:P77"/>
    <mergeCell ref="O79:P79"/>
    <mergeCell ref="O81:P81"/>
    <mergeCell ref="K84:L84"/>
    <mergeCell ref="K32:L32"/>
    <mergeCell ref="G54:H54"/>
    <mergeCell ref="G57:H57"/>
    <mergeCell ref="G59:H59"/>
    <mergeCell ref="C70:H71"/>
    <mergeCell ref="C77:H78"/>
    <mergeCell ref="C84:H85"/>
    <mergeCell ref="K70:L70"/>
    <mergeCell ref="A2:V2"/>
    <mergeCell ref="A3:V3"/>
    <mergeCell ref="C7:I7"/>
    <mergeCell ref="S65:T65"/>
    <mergeCell ref="K65:L65"/>
    <mergeCell ref="K14:L14"/>
    <mergeCell ref="K16:L16"/>
    <mergeCell ref="O16:P16"/>
    <mergeCell ref="K33:L33"/>
    <mergeCell ref="O14:P14"/>
    <mergeCell ref="K40:L40"/>
    <mergeCell ref="S14:T14"/>
    <mergeCell ref="K44:L44"/>
    <mergeCell ref="S29:T29"/>
    <mergeCell ref="A29:F30"/>
    <mergeCell ref="K29:L29"/>
    <mergeCell ref="O63:P63"/>
    <mergeCell ref="O65:P65"/>
    <mergeCell ref="S10:T11"/>
    <mergeCell ref="O32:P32"/>
    <mergeCell ref="S32:T32"/>
    <mergeCell ref="N24:Q25"/>
    <mergeCell ref="J24:M25"/>
    <mergeCell ref="A4:V4"/>
    <mergeCell ref="A5:V5"/>
    <mergeCell ref="O9:P9"/>
    <mergeCell ref="S9:T9"/>
    <mergeCell ref="K9:L9"/>
    <mergeCell ref="N10:Q11"/>
    <mergeCell ref="J10:M11"/>
    <mergeCell ref="O29:P29"/>
    <mergeCell ref="O70:P70"/>
    <mergeCell ref="S86:T86"/>
    <mergeCell ref="K72:L72"/>
    <mergeCell ref="K74:L74"/>
    <mergeCell ref="S70:T70"/>
    <mergeCell ref="S72:T72"/>
    <mergeCell ref="S74:T74"/>
    <mergeCell ref="K77:L77"/>
    <mergeCell ref="S77:T77"/>
    <mergeCell ref="S13:T13"/>
    <mergeCell ref="K12:L12"/>
    <mergeCell ref="R24:U25"/>
    <mergeCell ref="O54:P54"/>
    <mergeCell ref="O47:P47"/>
    <mergeCell ref="O49:P49"/>
    <mergeCell ref="C14:H14"/>
    <mergeCell ref="C16:H17"/>
    <mergeCell ref="S88:T88"/>
    <mergeCell ref="K91:L91"/>
    <mergeCell ref="K93:L93"/>
    <mergeCell ref="K95:L95"/>
    <mergeCell ref="O91:P91"/>
    <mergeCell ref="O93:P93"/>
    <mergeCell ref="O95:P95"/>
    <mergeCell ref="S79:T79"/>
    <mergeCell ref="S81:T81"/>
    <mergeCell ref="S84:T84"/>
    <mergeCell ref="O86:P86"/>
    <mergeCell ref="O88:P88"/>
    <mergeCell ref="K86:L86"/>
    <mergeCell ref="K88:L88"/>
    <mergeCell ref="S91:T91"/>
    <mergeCell ref="S93:T93"/>
    <mergeCell ref="S95:T95"/>
    <mergeCell ref="K100:L100"/>
    <mergeCell ref="K102:L102"/>
    <mergeCell ref="S100:T100"/>
    <mergeCell ref="S102:T102"/>
    <mergeCell ref="S98:T98"/>
    <mergeCell ref="O107:P107"/>
    <mergeCell ref="O102:P102"/>
    <mergeCell ref="O105:P105"/>
    <mergeCell ref="O100:P100"/>
    <mergeCell ref="O98:P98"/>
    <mergeCell ref="K98:L98"/>
    <mergeCell ref="C105:G106"/>
    <mergeCell ref="K112:L112"/>
    <mergeCell ref="O112:P112"/>
    <mergeCell ref="S112:T112"/>
    <mergeCell ref="K114:L114"/>
    <mergeCell ref="O114:P114"/>
    <mergeCell ref="S114:T114"/>
    <mergeCell ref="K116:L116"/>
    <mergeCell ref="O116:P116"/>
    <mergeCell ref="S116:T116"/>
    <mergeCell ref="S105:T105"/>
    <mergeCell ref="S107:T107"/>
    <mergeCell ref="S109:T109"/>
    <mergeCell ref="K105:L105"/>
    <mergeCell ref="K107:L107"/>
    <mergeCell ref="K109:L109"/>
    <mergeCell ref="O109:P109"/>
  </mergeCells>
  <phoneticPr fontId="5" type="noConversion"/>
  <printOptions horizontalCentered="1"/>
  <pageMargins left="0.59055118110236227" right="0.59055118110236227" top="0.59055118110236227" bottom="0.59055118110236227" header="0.51181102362204722" footer="0.51181102362204722"/>
  <pageSetup paperSize="9" scale="58" fitToHeight="0" orientation="portrait" r:id="rId1"/>
  <headerFooter alignWithMargins="0"/>
  <rowBreaks count="1" manualBreakCount="1">
    <brk id="68"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87"/>
  <sheetViews>
    <sheetView showGridLines="0" view="pageBreakPreview" zoomScale="70" zoomScaleNormal="80" zoomScaleSheetLayoutView="70" workbookViewId="0"/>
  </sheetViews>
  <sheetFormatPr defaultColWidth="9.140625" defaultRowHeight="15" x14ac:dyDescent="0.2"/>
  <cols>
    <col min="1" max="2" width="1.7109375" style="5" customWidth="1"/>
    <col min="3" max="3" width="5.5703125" style="5" customWidth="1"/>
    <col min="4" max="6" width="9.140625" style="5"/>
    <col min="7" max="7" width="10.7109375" style="5" bestFit="1" customWidth="1"/>
    <col min="8" max="8" width="9.140625" style="5"/>
    <col min="9" max="9" width="13" style="5" bestFit="1" customWidth="1"/>
    <col min="10" max="10" width="3.7109375" style="5" customWidth="1"/>
    <col min="11" max="11" width="9.28515625" style="5" customWidth="1"/>
    <col min="12" max="12" width="9.7109375" style="5" customWidth="1"/>
    <col min="13" max="14" width="2.7109375" style="5" customWidth="1"/>
    <col min="15" max="16" width="9.140625" style="5"/>
    <col min="17" max="18" width="2.7109375" style="5" customWidth="1"/>
    <col min="19" max="19" width="11" style="5" customWidth="1"/>
    <col min="20" max="20" width="9.5703125" style="5" customWidth="1"/>
    <col min="21" max="22" width="2.7109375" style="5" customWidth="1"/>
    <col min="23" max="24" width="11.42578125" style="5" customWidth="1"/>
    <col min="25" max="26" width="2.7109375" style="5" customWidth="1"/>
    <col min="27" max="28" width="9.140625" style="5"/>
    <col min="29" max="29" width="1.5703125" style="5" customWidth="1"/>
    <col min="30" max="30" width="1.7109375" style="5" customWidth="1"/>
    <col min="31" max="31" width="4.5703125" style="5" customWidth="1"/>
    <col min="32" max="32" width="10.7109375" style="594" hidden="1" customWidth="1"/>
    <col min="33" max="33" width="9.140625" style="594" hidden="1" customWidth="1"/>
    <col min="34" max="34" width="16.28515625" style="594" hidden="1" customWidth="1"/>
    <col min="35" max="36" width="0" style="594" hidden="1" customWidth="1"/>
    <col min="37" max="16384" width="9.140625" style="5"/>
  </cols>
  <sheetData>
    <row r="1" spans="1:31" x14ac:dyDescent="0.2">
      <c r="A1" s="11"/>
      <c r="B1" s="12"/>
      <c r="C1" s="12"/>
      <c r="D1" s="12"/>
      <c r="E1" s="12"/>
      <c r="F1" s="72">
        <f>+'Part 1'!F1</f>
        <v>327</v>
      </c>
      <c r="G1" s="12"/>
      <c r="H1" s="12"/>
      <c r="I1" s="12"/>
      <c r="J1" s="12"/>
      <c r="K1" s="12"/>
      <c r="L1" s="12"/>
      <c r="M1" s="12"/>
      <c r="N1" s="12"/>
      <c r="O1" s="12"/>
      <c r="P1" s="12"/>
      <c r="Q1" s="12"/>
      <c r="R1" s="12"/>
      <c r="S1" s="12"/>
      <c r="T1" s="779"/>
      <c r="U1" s="779"/>
      <c r="V1" s="779"/>
      <c r="W1" s="12"/>
      <c r="X1" s="12"/>
      <c r="Y1" s="12"/>
      <c r="Z1" s="12"/>
      <c r="AA1" s="12"/>
      <c r="AB1" s="12"/>
      <c r="AC1" s="12"/>
      <c r="AD1" s="13"/>
      <c r="AE1" s="38"/>
    </row>
    <row r="2" spans="1:31" ht="15.75" x14ac:dyDescent="0.25">
      <c r="A2" s="810" t="s">
        <v>40</v>
      </c>
      <c r="B2" s="781"/>
      <c r="C2" s="781"/>
      <c r="D2" s="781"/>
      <c r="E2" s="781"/>
      <c r="F2" s="781"/>
      <c r="G2" s="781"/>
      <c r="H2" s="781"/>
      <c r="I2" s="781"/>
      <c r="J2" s="781"/>
      <c r="K2" s="781"/>
      <c r="L2" s="781"/>
      <c r="M2" s="781"/>
      <c r="N2" s="781"/>
      <c r="O2" s="781"/>
      <c r="P2" s="781"/>
      <c r="Q2" s="781"/>
      <c r="R2" s="781"/>
      <c r="S2" s="781"/>
      <c r="T2" s="781"/>
      <c r="U2" s="781"/>
      <c r="V2" s="781"/>
      <c r="W2" s="781"/>
      <c r="X2" s="781"/>
      <c r="Y2" s="781"/>
      <c r="Z2" s="781"/>
      <c r="AA2" s="781"/>
      <c r="AB2" s="781"/>
      <c r="AC2" s="781"/>
      <c r="AD2" s="782"/>
      <c r="AE2" s="585"/>
    </row>
    <row r="3" spans="1:31" ht="15.75" x14ac:dyDescent="0.25">
      <c r="A3" s="780" t="s">
        <v>1219</v>
      </c>
      <c r="B3" s="781"/>
      <c r="C3" s="781"/>
      <c r="D3" s="781"/>
      <c r="E3" s="781"/>
      <c r="F3" s="781"/>
      <c r="G3" s="781"/>
      <c r="H3" s="781"/>
      <c r="I3" s="781"/>
      <c r="J3" s="781"/>
      <c r="K3" s="781"/>
      <c r="L3" s="781"/>
      <c r="M3" s="781"/>
      <c r="N3" s="781"/>
      <c r="O3" s="781"/>
      <c r="P3" s="781"/>
      <c r="Q3" s="781"/>
      <c r="R3" s="781"/>
      <c r="S3" s="781"/>
      <c r="T3" s="781"/>
      <c r="U3" s="781"/>
      <c r="V3" s="781"/>
      <c r="W3" s="781"/>
      <c r="X3" s="781"/>
      <c r="Y3" s="781"/>
      <c r="Z3" s="781"/>
      <c r="AA3" s="781"/>
      <c r="AB3" s="781"/>
      <c r="AC3" s="781"/>
      <c r="AD3" s="782"/>
      <c r="AE3" s="585"/>
    </row>
    <row r="4" spans="1:31" x14ac:dyDescent="0.2">
      <c r="A4" s="43"/>
      <c r="B4" s="78"/>
      <c r="C4" s="78"/>
      <c r="D4" s="78"/>
      <c r="E4" s="78"/>
      <c r="F4" s="78"/>
      <c r="G4" s="78"/>
      <c r="H4" s="78"/>
      <c r="I4" s="78"/>
      <c r="J4" s="78"/>
      <c r="K4" s="78"/>
      <c r="L4" s="78"/>
      <c r="M4" s="349"/>
      <c r="N4" s="78"/>
      <c r="O4" s="78"/>
      <c r="P4" s="78"/>
      <c r="Q4" s="349"/>
      <c r="R4" s="78"/>
      <c r="S4" s="78"/>
      <c r="T4" s="78"/>
      <c r="U4" s="349"/>
      <c r="V4" s="78"/>
      <c r="W4" s="78"/>
      <c r="X4" s="78"/>
      <c r="Y4" s="349"/>
      <c r="Z4" s="78"/>
      <c r="AA4" s="78"/>
      <c r="AB4" s="78"/>
      <c r="AC4" s="78"/>
      <c r="AD4" s="79"/>
      <c r="AE4" s="586"/>
    </row>
    <row r="5" spans="1:31" ht="15.75" thickBot="1" x14ac:dyDescent="0.25">
      <c r="A5" s="40"/>
      <c r="B5" s="41"/>
      <c r="C5" s="41"/>
      <c r="D5" s="41"/>
      <c r="E5" s="41"/>
      <c r="F5" s="41"/>
      <c r="G5" s="41"/>
      <c r="H5" s="41"/>
      <c r="I5" s="41"/>
      <c r="J5" s="41"/>
      <c r="K5" s="41"/>
      <c r="L5" s="41"/>
      <c r="M5" s="41"/>
      <c r="N5" s="41"/>
      <c r="O5" s="41"/>
      <c r="P5" s="41"/>
      <c r="Q5" s="41"/>
      <c r="R5" s="41"/>
      <c r="S5" s="41"/>
      <c r="T5" s="41"/>
      <c r="U5" s="41"/>
      <c r="V5" s="41"/>
      <c r="W5" s="41"/>
      <c r="X5" s="41"/>
      <c r="Y5" s="41"/>
      <c r="Z5" s="41"/>
      <c r="AA5" s="69"/>
      <c r="AB5" s="86"/>
      <c r="AC5" s="41"/>
      <c r="AD5" s="42"/>
      <c r="AE5" s="38"/>
    </row>
    <row r="6" spans="1:31" x14ac:dyDescent="0.2">
      <c r="A6" s="7"/>
      <c r="B6" s="6"/>
      <c r="C6" s="6"/>
      <c r="D6" s="6"/>
      <c r="E6" s="6"/>
      <c r="F6" s="6"/>
      <c r="G6" s="6"/>
      <c r="H6" s="6"/>
      <c r="I6" s="6"/>
      <c r="J6" s="6"/>
      <c r="K6" s="6"/>
      <c r="L6" s="6"/>
      <c r="M6" s="6"/>
      <c r="N6" s="6"/>
      <c r="O6" s="6"/>
      <c r="P6" s="6"/>
      <c r="Q6" s="6"/>
      <c r="R6" s="6"/>
      <c r="S6" s="6"/>
      <c r="T6" s="6"/>
      <c r="U6" s="6"/>
      <c r="V6" s="6"/>
      <c r="W6" s="6"/>
      <c r="X6" s="6"/>
      <c r="Y6" s="6"/>
      <c r="Z6" s="6"/>
      <c r="AA6" s="6"/>
      <c r="AB6" s="6"/>
      <c r="AC6" s="6"/>
      <c r="AD6" s="8"/>
      <c r="AE6" s="6"/>
    </row>
    <row r="7" spans="1:31" ht="15.75" x14ac:dyDescent="0.25">
      <c r="A7" s="7"/>
      <c r="B7" s="6"/>
      <c r="C7" s="101" t="str">
        <f>+'Part 2'!C10</f>
        <v>Local Authority : England</v>
      </c>
      <c r="D7" s="6"/>
      <c r="E7" s="6"/>
      <c r="F7" s="6"/>
      <c r="G7" s="6"/>
      <c r="H7" s="6"/>
      <c r="I7" s="6"/>
      <c r="J7" s="6"/>
      <c r="K7" s="64"/>
      <c r="L7" s="64"/>
      <c r="M7" s="64"/>
      <c r="N7" s="64"/>
      <c r="O7" s="64"/>
      <c r="P7" s="68"/>
      <c r="Q7" s="68"/>
      <c r="R7" s="64"/>
      <c r="S7" s="64"/>
      <c r="T7" s="64"/>
      <c r="U7" s="64"/>
      <c r="V7" s="75"/>
      <c r="W7" s="64"/>
      <c r="X7" s="64"/>
      <c r="Y7" s="64"/>
      <c r="Z7" s="64"/>
      <c r="AA7" s="64"/>
      <c r="AB7" s="64"/>
      <c r="AC7" s="6"/>
      <c r="AD7" s="8"/>
      <c r="AE7" s="6"/>
    </row>
    <row r="8" spans="1:31" x14ac:dyDescent="0.2">
      <c r="A8" s="7"/>
      <c r="B8" s="6"/>
      <c r="C8" s="6"/>
      <c r="D8" s="6"/>
      <c r="E8" s="6"/>
      <c r="F8" s="6"/>
      <c r="G8" s="6"/>
      <c r="H8" s="6"/>
      <c r="I8" s="6"/>
      <c r="J8" s="6"/>
      <c r="K8" s="64"/>
      <c r="L8" s="64"/>
      <c r="M8" s="64"/>
      <c r="N8" s="64"/>
      <c r="O8" s="64"/>
      <c r="P8" s="64"/>
      <c r="Q8" s="64"/>
      <c r="R8" s="64"/>
      <c r="S8" s="64"/>
      <c r="T8" s="64"/>
      <c r="U8" s="64"/>
      <c r="V8" s="64"/>
      <c r="W8" s="64"/>
      <c r="X8" s="64"/>
      <c r="Y8" s="64"/>
      <c r="Z8" s="64"/>
      <c r="AA8" s="64"/>
      <c r="AB8" s="64"/>
      <c r="AC8" s="6"/>
      <c r="AD8" s="8"/>
      <c r="AE8" s="6"/>
    </row>
    <row r="9" spans="1:31" ht="15.75" x14ac:dyDescent="0.25">
      <c r="A9" s="7"/>
      <c r="B9" s="6"/>
      <c r="C9" s="871" t="s">
        <v>46</v>
      </c>
      <c r="D9" s="871"/>
      <c r="E9" s="871"/>
      <c r="F9" s="871"/>
      <c r="G9" s="871"/>
      <c r="H9" s="871"/>
      <c r="I9" s="6"/>
      <c r="J9" s="6"/>
      <c r="K9" s="64"/>
      <c r="L9" s="64"/>
      <c r="M9" s="64"/>
      <c r="N9" s="64"/>
      <c r="O9" s="64"/>
      <c r="P9" s="64"/>
      <c r="Q9" s="64"/>
      <c r="R9" s="64"/>
      <c r="S9" s="64"/>
      <c r="T9" s="64"/>
      <c r="U9" s="64"/>
      <c r="V9" s="64"/>
      <c r="W9" s="64"/>
      <c r="X9" s="64"/>
      <c r="Y9" s="64"/>
      <c r="Z9" s="64"/>
      <c r="AA9" s="64"/>
      <c r="AB9" s="64"/>
      <c r="AC9" s="6"/>
      <c r="AD9" s="8"/>
      <c r="AE9" s="6"/>
    </row>
    <row r="10" spans="1:31" x14ac:dyDescent="0.2">
      <c r="A10" s="7"/>
      <c r="B10" s="6"/>
      <c r="C10" s="915" t="s">
        <v>4</v>
      </c>
      <c r="D10" s="916"/>
      <c r="E10" s="916"/>
      <c r="F10" s="916"/>
      <c r="G10" s="916"/>
      <c r="H10" s="916"/>
      <c r="I10" s="916"/>
      <c r="J10" s="916"/>
      <c r="K10" s="916"/>
      <c r="L10" s="916"/>
      <c r="M10" s="916"/>
      <c r="N10" s="916"/>
      <c r="O10" s="916"/>
      <c r="P10" s="916"/>
      <c r="Q10" s="916"/>
      <c r="R10" s="916"/>
      <c r="S10" s="916"/>
      <c r="T10" s="916"/>
      <c r="U10" s="916"/>
      <c r="V10" s="916"/>
      <c r="W10" s="916"/>
      <c r="X10" s="916"/>
      <c r="Y10" s="916"/>
      <c r="Z10" s="916"/>
      <c r="AA10" s="916"/>
      <c r="AB10" s="64"/>
      <c r="AC10" s="6"/>
      <c r="AD10" s="8"/>
      <c r="AE10" s="6"/>
    </row>
    <row r="11" spans="1:31" x14ac:dyDescent="0.2">
      <c r="A11" s="7"/>
      <c r="B11" s="6"/>
      <c r="C11" s="916"/>
      <c r="D11" s="916"/>
      <c r="E11" s="916"/>
      <c r="F11" s="916"/>
      <c r="G11" s="916"/>
      <c r="H11" s="916"/>
      <c r="I11" s="916"/>
      <c r="J11" s="916"/>
      <c r="K11" s="916"/>
      <c r="L11" s="916"/>
      <c r="M11" s="916"/>
      <c r="N11" s="916"/>
      <c r="O11" s="916"/>
      <c r="P11" s="916"/>
      <c r="Q11" s="916"/>
      <c r="R11" s="916"/>
      <c r="S11" s="916"/>
      <c r="T11" s="916"/>
      <c r="U11" s="916"/>
      <c r="V11" s="916"/>
      <c r="W11" s="916"/>
      <c r="X11" s="916"/>
      <c r="Y11" s="916"/>
      <c r="Z11" s="916"/>
      <c r="AA11" s="916"/>
      <c r="AB11" s="64"/>
      <c r="AC11" s="6"/>
      <c r="AD11" s="8"/>
      <c r="AE11" s="6"/>
    </row>
    <row r="12" spans="1:31" x14ac:dyDescent="0.2">
      <c r="A12" s="7"/>
      <c r="B12" s="6"/>
      <c r="C12" s="6"/>
      <c r="D12" s="6"/>
      <c r="E12" s="6"/>
      <c r="F12" s="6"/>
      <c r="G12" s="6"/>
      <c r="H12" s="6"/>
      <c r="I12" s="6"/>
      <c r="J12" s="6"/>
      <c r="K12" s="902" t="s">
        <v>23</v>
      </c>
      <c r="L12" s="902"/>
      <c r="M12" s="351"/>
      <c r="N12" s="64"/>
      <c r="O12" s="902" t="s">
        <v>24</v>
      </c>
      <c r="P12" s="902"/>
      <c r="Q12" s="351"/>
      <c r="R12" s="107"/>
      <c r="S12" s="902" t="s">
        <v>25</v>
      </c>
      <c r="T12" s="902"/>
      <c r="U12" s="351"/>
      <c r="V12" s="107"/>
      <c r="W12" s="902" t="s">
        <v>26</v>
      </c>
      <c r="X12" s="902"/>
      <c r="Y12" s="351"/>
      <c r="Z12" s="107"/>
      <c r="AA12" s="902" t="s">
        <v>5</v>
      </c>
      <c r="AB12" s="902"/>
      <c r="AC12" s="6"/>
      <c r="AD12" s="8"/>
      <c r="AE12" s="6"/>
    </row>
    <row r="13" spans="1:31" ht="15.75" customHeight="1" x14ac:dyDescent="0.25">
      <c r="A13" s="7"/>
      <c r="B13" s="6"/>
      <c r="C13" s="6"/>
      <c r="D13" s="6"/>
      <c r="E13" s="6"/>
      <c r="F13" s="6"/>
      <c r="G13" s="6"/>
      <c r="H13" s="6"/>
      <c r="I13" s="6"/>
      <c r="J13" s="6"/>
      <c r="K13" s="893" t="s">
        <v>1181</v>
      </c>
      <c r="L13" s="916"/>
      <c r="M13" s="429"/>
      <c r="N13" s="424"/>
      <c r="O13" s="893" t="str">
        <f>VLOOKUP('Part 1'!$L$16,Datasheet1!$B$6:$R$332,15,FALSE)</f>
        <v>-</v>
      </c>
      <c r="P13" s="916"/>
      <c r="Q13" s="429"/>
      <c r="R13" s="430"/>
      <c r="S13" s="893" t="str">
        <f>VLOOKUP('Part 1'!$L$16,Datasheet1!$B$6:$R$332,16,FALSE)</f>
        <v>-</v>
      </c>
      <c r="T13" s="916"/>
      <c r="U13" s="429"/>
      <c r="V13" s="430"/>
      <c r="W13" s="893" t="str">
        <f>VLOOKUP('Part 1'!$L$16,Datasheet1!$B$6:$R$332,17,FALSE)</f>
        <v>-</v>
      </c>
      <c r="X13" s="916"/>
      <c r="Y13" s="429"/>
      <c r="Z13" s="424"/>
      <c r="AA13" s="893" t="s">
        <v>7</v>
      </c>
      <c r="AB13" s="893"/>
      <c r="AC13" s="6"/>
      <c r="AD13" s="8"/>
      <c r="AE13" s="6"/>
    </row>
    <row r="14" spans="1:31" ht="15" customHeight="1" x14ac:dyDescent="0.25">
      <c r="A14" s="7"/>
      <c r="B14" s="6"/>
      <c r="C14" s="6"/>
      <c r="D14" s="6"/>
      <c r="E14" s="6"/>
      <c r="F14" s="6"/>
      <c r="G14" s="6"/>
      <c r="H14" s="6"/>
      <c r="I14" s="6"/>
      <c r="J14" s="6"/>
      <c r="K14" s="916" t="e">
        <f>VLOOKUP('Part 1'!$L$16,Datasheet5!$B$6:$DH$332,AF14,FALSE)</f>
        <v>#VALUE!</v>
      </c>
      <c r="L14" s="916"/>
      <c r="M14" s="429"/>
      <c r="N14" s="424"/>
      <c r="O14" s="916"/>
      <c r="P14" s="916"/>
      <c r="Q14" s="429"/>
      <c r="R14" s="430"/>
      <c r="S14" s="916"/>
      <c r="T14" s="916"/>
      <c r="U14" s="429"/>
      <c r="V14" s="430"/>
      <c r="W14" s="916"/>
      <c r="X14" s="916"/>
      <c r="Y14" s="429"/>
      <c r="Z14" s="430"/>
      <c r="AA14" s="430"/>
      <c r="AB14" s="430"/>
      <c r="AC14" s="6"/>
      <c r="AD14" s="8"/>
      <c r="AE14" s="6"/>
    </row>
    <row r="15" spans="1:31" ht="15.75" x14ac:dyDescent="0.2">
      <c r="A15" s="7"/>
      <c r="B15" s="6"/>
      <c r="C15" s="6"/>
      <c r="D15" s="6"/>
      <c r="E15" s="6"/>
      <c r="F15" s="6"/>
      <c r="G15" s="6"/>
      <c r="H15" s="6"/>
      <c r="I15" s="6"/>
      <c r="J15" s="6"/>
      <c r="K15" s="912" t="s">
        <v>20</v>
      </c>
      <c r="L15" s="912"/>
      <c r="M15" s="351"/>
      <c r="N15" s="108"/>
      <c r="O15" s="912" t="s">
        <v>20</v>
      </c>
      <c r="P15" s="912"/>
      <c r="Q15" s="351"/>
      <c r="R15" s="64"/>
      <c r="S15" s="912" t="s">
        <v>20</v>
      </c>
      <c r="T15" s="912"/>
      <c r="U15" s="351"/>
      <c r="V15" s="64"/>
      <c r="W15" s="912" t="s">
        <v>20</v>
      </c>
      <c r="X15" s="912"/>
      <c r="Y15" s="351"/>
      <c r="Z15" s="108"/>
      <c r="AA15" s="912" t="s">
        <v>20</v>
      </c>
      <c r="AB15" s="912"/>
      <c r="AC15" s="6"/>
      <c r="AD15" s="8"/>
      <c r="AE15" s="6"/>
    </row>
    <row r="16" spans="1:31" ht="16.5" thickBot="1" x14ac:dyDescent="0.3">
      <c r="A16" s="7"/>
      <c r="B16" s="6"/>
      <c r="C16" s="109" t="s">
        <v>1310</v>
      </c>
      <c r="D16" s="109"/>
      <c r="E16" s="6"/>
      <c r="F16" s="6"/>
      <c r="G16" s="6"/>
      <c r="H16" s="6"/>
      <c r="I16" s="6"/>
      <c r="J16" s="6"/>
      <c r="K16" s="218"/>
      <c r="L16" s="218"/>
      <c r="M16" s="351"/>
      <c r="N16" s="217"/>
      <c r="O16" s="218"/>
      <c r="P16" s="218"/>
      <c r="Q16" s="351"/>
      <c r="R16" s="64"/>
      <c r="S16" s="218"/>
      <c r="T16" s="218"/>
      <c r="U16" s="351"/>
      <c r="V16" s="64"/>
      <c r="W16" s="218"/>
      <c r="X16" s="218"/>
      <c r="Y16" s="351"/>
      <c r="Z16" s="217"/>
      <c r="AA16" s="218"/>
      <c r="AB16" s="218"/>
      <c r="AC16" s="6"/>
      <c r="AD16" s="8"/>
      <c r="AE16" s="6"/>
    </row>
    <row r="17" spans="1:36" ht="16.5" thickBot="1" x14ac:dyDescent="0.25">
      <c r="A17" s="7"/>
      <c r="B17" s="6"/>
      <c r="C17" s="6"/>
      <c r="D17" s="915" t="s">
        <v>942</v>
      </c>
      <c r="E17" s="917"/>
      <c r="F17" s="917"/>
      <c r="G17" s="917"/>
      <c r="H17" s="917"/>
      <c r="I17" s="917"/>
      <c r="J17" s="6"/>
      <c r="K17" s="913">
        <f>VLOOKUP('Part 1'!$L$16,Datasheet5!$B$6:$DH$332,AF17,FALSE)</f>
        <v>0</v>
      </c>
      <c r="L17" s="914"/>
      <c r="M17" s="351"/>
      <c r="N17" s="314"/>
      <c r="O17" s="913">
        <f>VLOOKUP('Part 1'!$L$16,Datasheet5!$B$6:$DH$332,AG17,FALSE)</f>
        <v>0</v>
      </c>
      <c r="P17" s="914"/>
      <c r="Q17" s="351"/>
      <c r="R17" s="314"/>
      <c r="S17" s="913">
        <f>VLOOKUP('Part 1'!$L$16,Datasheet5!$B$6:$DH$332,AH17,FALSE)</f>
        <v>0</v>
      </c>
      <c r="T17" s="914"/>
      <c r="U17" s="351"/>
      <c r="V17" s="314"/>
      <c r="W17" s="913">
        <f>VLOOKUP('Part 1'!$L$16,Datasheet5!$B$6:$DH$332,AI17,FALSE)</f>
        <v>0</v>
      </c>
      <c r="X17" s="914"/>
      <c r="Y17" s="351"/>
      <c r="Z17" s="64"/>
      <c r="AA17" s="913">
        <f>VLOOKUP('Part 1'!$L$16,Datasheet5!$B$6:$DH$332,AJ17,FALSE)</f>
        <v>0</v>
      </c>
      <c r="AB17" s="914"/>
      <c r="AC17" s="6"/>
      <c r="AD17" s="8"/>
      <c r="AE17" s="6"/>
      <c r="AF17" s="594">
        <v>107</v>
      </c>
      <c r="AG17" s="594">
        <v>108</v>
      </c>
      <c r="AH17" s="594">
        <v>109</v>
      </c>
      <c r="AI17" s="594">
        <v>110</v>
      </c>
      <c r="AJ17" s="594">
        <v>111</v>
      </c>
    </row>
    <row r="18" spans="1:36" ht="15.75" x14ac:dyDescent="0.2">
      <c r="A18" s="7"/>
      <c r="B18" s="6"/>
      <c r="C18" s="6"/>
      <c r="D18" s="917"/>
      <c r="E18" s="917"/>
      <c r="F18" s="917"/>
      <c r="G18" s="917"/>
      <c r="H18" s="917"/>
      <c r="I18" s="917"/>
      <c r="J18" s="6"/>
      <c r="K18" s="218"/>
      <c r="L18" s="218"/>
      <c r="M18" s="351"/>
      <c r="N18" s="217"/>
      <c r="O18" s="218"/>
      <c r="P18" s="218"/>
      <c r="Q18" s="351"/>
      <c r="R18" s="64"/>
      <c r="S18" s="218"/>
      <c r="T18" s="218"/>
      <c r="U18" s="351"/>
      <c r="V18" s="64"/>
      <c r="W18" s="218"/>
      <c r="X18" s="218"/>
      <c r="Y18" s="351"/>
      <c r="Z18" s="217"/>
      <c r="AA18" s="218"/>
      <c r="AB18" s="218"/>
      <c r="AC18" s="6"/>
      <c r="AD18" s="8"/>
      <c r="AE18" s="6"/>
    </row>
    <row r="19" spans="1:36" ht="15.75" x14ac:dyDescent="0.2">
      <c r="A19" s="7"/>
      <c r="B19" s="6"/>
      <c r="C19" s="6"/>
      <c r="D19" s="6"/>
      <c r="E19" s="6"/>
      <c r="F19" s="6"/>
      <c r="G19" s="6"/>
      <c r="H19" s="6"/>
      <c r="I19" s="6"/>
      <c r="J19" s="6"/>
      <c r="K19" s="6"/>
      <c r="L19" s="218"/>
      <c r="M19" s="351"/>
      <c r="N19" s="217"/>
      <c r="O19" s="218"/>
      <c r="P19" s="218"/>
      <c r="Q19" s="351"/>
      <c r="R19" s="64"/>
      <c r="S19" s="218"/>
      <c r="T19" s="218"/>
      <c r="U19" s="351"/>
      <c r="V19" s="64"/>
      <c r="W19" s="218"/>
      <c r="X19" s="218"/>
      <c r="Y19" s="351"/>
      <c r="Z19" s="217"/>
      <c r="AA19" s="218"/>
      <c r="AB19" s="218"/>
      <c r="AC19" s="6"/>
      <c r="AD19" s="8"/>
      <c r="AE19" s="6"/>
    </row>
    <row r="20" spans="1:36" ht="16.5" thickBot="1" x14ac:dyDescent="0.3">
      <c r="A20" s="7"/>
      <c r="B20" s="6"/>
      <c r="C20" s="109" t="s">
        <v>1310</v>
      </c>
      <c r="D20" s="6"/>
      <c r="E20" s="6"/>
      <c r="F20" s="6"/>
      <c r="G20" s="6"/>
      <c r="H20" s="6"/>
      <c r="I20" s="6"/>
      <c r="J20" s="6"/>
      <c r="K20" s="64"/>
      <c r="L20" s="64"/>
      <c r="M20" s="351"/>
      <c r="N20" s="64"/>
      <c r="O20" s="64"/>
      <c r="P20" s="64"/>
      <c r="Q20" s="351"/>
      <c r="R20" s="64"/>
      <c r="S20" s="64"/>
      <c r="T20" s="64"/>
      <c r="U20" s="351"/>
      <c r="V20" s="64"/>
      <c r="W20" s="64"/>
      <c r="X20" s="64"/>
      <c r="Y20" s="351"/>
      <c r="Z20" s="64"/>
      <c r="AA20" s="64"/>
      <c r="AB20" s="64"/>
      <c r="AC20" s="6"/>
      <c r="AD20" s="8"/>
      <c r="AE20" s="6"/>
      <c r="AF20" s="595"/>
    </row>
    <row r="21" spans="1:36" s="368" customFormat="1" ht="16.5" customHeight="1" thickBot="1" x14ac:dyDescent="0.25">
      <c r="A21" s="365"/>
      <c r="B21" s="366"/>
      <c r="C21" s="366"/>
      <c r="D21" s="366" t="s">
        <v>8</v>
      </c>
      <c r="E21" s="366"/>
      <c r="F21" s="366"/>
      <c r="G21" s="366"/>
      <c r="H21" s="366"/>
      <c r="I21" s="366"/>
      <c r="J21" s="366"/>
      <c r="K21" s="759">
        <f>VLOOKUP('Part 1'!$L$16,Datasheet5!$B$6:$DH$332,AF21,FALSE)</f>
        <v>11792677953.889999</v>
      </c>
      <c r="L21" s="909"/>
      <c r="M21" s="64"/>
      <c r="N21" s="64"/>
      <c r="O21" s="759">
        <f>VLOOKUP('Part 1'!$L$16,Datasheet5!$B$6:$DH$332,AG21,FALSE)</f>
        <v>9531744493</v>
      </c>
      <c r="P21" s="909"/>
      <c r="Q21" s="64"/>
      <c r="R21" s="64"/>
      <c r="S21" s="759">
        <f>VLOOKUP('Part 1'!$L$16,Datasheet5!$B$6:$DH$332,AH21,FALSE)</f>
        <v>2130732697</v>
      </c>
      <c r="T21" s="909"/>
      <c r="U21" s="446"/>
      <c r="V21" s="64"/>
      <c r="W21" s="759">
        <f>VLOOKUP('Part 1'!$L$16,Datasheet5!$B$6:$DH$332,AI21,FALSE)</f>
        <v>130200777</v>
      </c>
      <c r="X21" s="909"/>
      <c r="Y21" s="64"/>
      <c r="Z21" s="64"/>
      <c r="AA21" s="759">
        <f>VLOOKUP('Part 1'!$L$16,Datasheet5!$B$6:$DH$332,AJ21,FALSE)</f>
        <v>23585355920.889999</v>
      </c>
      <c r="AB21" s="909"/>
      <c r="AC21" s="366"/>
      <c r="AD21" s="367"/>
      <c r="AE21" s="366"/>
      <c r="AF21" s="596">
        <v>3</v>
      </c>
      <c r="AG21" s="597">
        <v>4</v>
      </c>
      <c r="AH21" s="597">
        <v>5</v>
      </c>
      <c r="AI21" s="597">
        <v>6</v>
      </c>
      <c r="AJ21" s="597">
        <v>7</v>
      </c>
    </row>
    <row r="22" spans="1:36" s="368" customFormat="1" ht="15.75" thickBot="1" x14ac:dyDescent="0.25">
      <c r="A22" s="365"/>
      <c r="B22" s="366"/>
      <c r="C22" s="366"/>
      <c r="D22" s="366"/>
      <c r="E22" s="366"/>
      <c r="F22" s="366"/>
      <c r="G22" s="366"/>
      <c r="H22" s="366"/>
      <c r="I22" s="366"/>
      <c r="J22" s="366"/>
      <c r="K22" s="64"/>
      <c r="L22" s="64"/>
      <c r="M22" s="64"/>
      <c r="N22" s="64"/>
      <c r="O22" s="64"/>
      <c r="P22" s="64"/>
      <c r="Q22" s="64"/>
      <c r="R22" s="64"/>
      <c r="S22" s="64"/>
      <c r="T22" s="64"/>
      <c r="U22" s="446"/>
      <c r="V22" s="64"/>
      <c r="W22" s="64"/>
      <c r="X22" s="64"/>
      <c r="Y22" s="64"/>
      <c r="Z22" s="64"/>
      <c r="AA22" s="64"/>
      <c r="AB22" s="64"/>
      <c r="AC22" s="366"/>
      <c r="AD22" s="367"/>
      <c r="AE22" s="366"/>
      <c r="AF22" s="596"/>
      <c r="AG22" s="597"/>
      <c r="AH22" s="597"/>
      <c r="AI22" s="597"/>
      <c r="AJ22" s="597"/>
    </row>
    <row r="23" spans="1:36" s="368" customFormat="1" ht="16.5" thickBot="1" x14ac:dyDescent="0.25">
      <c r="A23" s="365"/>
      <c r="B23" s="366"/>
      <c r="C23" s="366"/>
      <c r="D23" s="366" t="s">
        <v>9</v>
      </c>
      <c r="E23" s="366"/>
      <c r="F23" s="366"/>
      <c r="G23" s="366"/>
      <c r="H23" s="366"/>
      <c r="I23" s="366"/>
      <c r="J23" s="366"/>
      <c r="K23" s="759">
        <f>VLOOKUP('Part 1'!$L$16,Datasheet5!$B$6:$DH$332,AF23,FALSE)</f>
        <v>14315054.78409091</v>
      </c>
      <c r="L23" s="909"/>
      <c r="M23" s="64"/>
      <c r="N23" s="64"/>
      <c r="O23" s="64"/>
      <c r="P23" s="64"/>
      <c r="Q23" s="64"/>
      <c r="R23" s="64"/>
      <c r="S23" s="64"/>
      <c r="T23" s="64"/>
      <c r="U23" s="446"/>
      <c r="V23" s="64"/>
      <c r="W23" s="64"/>
      <c r="X23" s="64"/>
      <c r="Y23" s="64"/>
      <c r="Z23" s="64"/>
      <c r="AA23" s="759">
        <f>VLOOKUP('Part 1'!$L$16,Datasheet5!$B$6:$DH$332,AJ23,FALSE)</f>
        <v>14315054.78409091</v>
      </c>
      <c r="AB23" s="909"/>
      <c r="AC23" s="366"/>
      <c r="AD23" s="367"/>
      <c r="AE23" s="366"/>
      <c r="AF23" s="596">
        <v>8</v>
      </c>
      <c r="AG23" s="597"/>
      <c r="AH23" s="597"/>
      <c r="AI23" s="597"/>
      <c r="AJ23" s="597">
        <v>9</v>
      </c>
    </row>
    <row r="24" spans="1:36" s="368" customFormat="1" ht="15.75" thickBot="1" x14ac:dyDescent="0.25">
      <c r="A24" s="365"/>
      <c r="B24" s="366"/>
      <c r="C24" s="366"/>
      <c r="D24" s="366"/>
      <c r="E24" s="366"/>
      <c r="F24" s="366"/>
      <c r="G24" s="366"/>
      <c r="H24" s="366"/>
      <c r="I24" s="366"/>
      <c r="J24" s="366"/>
      <c r="K24" s="64"/>
      <c r="L24" s="64"/>
      <c r="M24" s="64"/>
      <c r="N24" s="64"/>
      <c r="O24" s="64"/>
      <c r="P24" s="64"/>
      <c r="Q24" s="64"/>
      <c r="R24" s="64"/>
      <c r="S24" s="64"/>
      <c r="T24" s="64"/>
      <c r="U24" s="446"/>
      <c r="V24" s="64"/>
      <c r="W24" s="64"/>
      <c r="X24" s="64"/>
      <c r="Y24" s="64"/>
      <c r="Z24" s="64"/>
      <c r="AA24" s="64"/>
      <c r="AB24" s="64"/>
      <c r="AC24" s="366"/>
      <c r="AD24" s="367"/>
      <c r="AE24" s="366"/>
      <c r="AF24" s="596"/>
      <c r="AG24" s="597"/>
      <c r="AH24" s="597"/>
      <c r="AI24" s="597"/>
      <c r="AJ24" s="597"/>
    </row>
    <row r="25" spans="1:36" s="368" customFormat="1" ht="16.5" thickBot="1" x14ac:dyDescent="0.25">
      <c r="A25" s="365"/>
      <c r="B25" s="366"/>
      <c r="C25" s="366"/>
      <c r="D25" s="370">
        <v>3</v>
      </c>
      <c r="E25" s="366"/>
      <c r="F25" s="366"/>
      <c r="G25" s="366"/>
      <c r="H25" s="366"/>
      <c r="I25" s="366"/>
      <c r="J25" s="371" t="s">
        <v>976</v>
      </c>
      <c r="K25" s="759">
        <f>VLOOKUP('Part 1'!$L$16,Datasheet5!$B$6:$DH$332,AF25,FALSE)</f>
        <v>11778362899.105909</v>
      </c>
      <c r="L25" s="909"/>
      <c r="M25" s="64"/>
      <c r="N25" s="64"/>
      <c r="O25" s="64"/>
      <c r="P25" s="64"/>
      <c r="Q25" s="64"/>
      <c r="R25" s="64"/>
      <c r="S25" s="64"/>
      <c r="T25" s="64"/>
      <c r="U25" s="446"/>
      <c r="V25" s="64"/>
      <c r="W25" s="64"/>
      <c r="X25" s="64"/>
      <c r="Y25" s="64"/>
      <c r="Z25" s="64"/>
      <c r="AA25" s="64"/>
      <c r="AB25" s="64"/>
      <c r="AC25" s="366"/>
      <c r="AD25" s="367"/>
      <c r="AE25" s="366"/>
      <c r="AF25" s="596">
        <v>10</v>
      </c>
      <c r="AG25" s="597"/>
      <c r="AH25" s="597"/>
      <c r="AI25" s="597"/>
      <c r="AJ25" s="597"/>
    </row>
    <row r="26" spans="1:36" s="368" customFormat="1" x14ac:dyDescent="0.2">
      <c r="A26" s="365"/>
      <c r="B26" s="366"/>
      <c r="C26" s="366"/>
      <c r="D26" s="366"/>
      <c r="E26" s="366"/>
      <c r="F26" s="366"/>
      <c r="G26" s="366"/>
      <c r="H26" s="366"/>
      <c r="I26" s="366"/>
      <c r="J26" s="366"/>
      <c r="K26" s="64"/>
      <c r="L26" s="64"/>
      <c r="M26" s="64"/>
      <c r="N26" s="64"/>
      <c r="O26" s="64"/>
      <c r="P26" s="64"/>
      <c r="Q26" s="64"/>
      <c r="R26" s="64"/>
      <c r="S26" s="64"/>
      <c r="T26" s="64"/>
      <c r="U26" s="446"/>
      <c r="V26" s="64"/>
      <c r="W26" s="64"/>
      <c r="X26" s="64"/>
      <c r="Y26" s="64"/>
      <c r="Z26" s="64"/>
      <c r="AA26" s="64"/>
      <c r="AB26" s="64"/>
      <c r="AC26" s="366"/>
      <c r="AD26" s="367"/>
      <c r="AE26" s="366"/>
      <c r="AF26" s="596"/>
      <c r="AG26" s="597"/>
      <c r="AH26" s="597"/>
      <c r="AI26" s="597"/>
      <c r="AJ26" s="597"/>
    </row>
    <row r="27" spans="1:36" s="368" customFormat="1" ht="16.5" thickBot="1" x14ac:dyDescent="0.25">
      <c r="A27" s="365"/>
      <c r="B27" s="366"/>
      <c r="C27" s="372" t="s">
        <v>1311</v>
      </c>
      <c r="D27" s="366"/>
      <c r="E27" s="366"/>
      <c r="F27" s="366"/>
      <c r="G27" s="366"/>
      <c r="H27" s="366"/>
      <c r="I27" s="366"/>
      <c r="J27" s="366"/>
      <c r="K27" s="64"/>
      <c r="L27" s="64"/>
      <c r="M27" s="64"/>
      <c r="N27" s="64"/>
      <c r="O27" s="64"/>
      <c r="P27" s="64"/>
      <c r="Q27" s="64"/>
      <c r="R27" s="64"/>
      <c r="S27" s="64"/>
      <c r="T27" s="64"/>
      <c r="U27" s="446"/>
      <c r="V27" s="64"/>
      <c r="W27" s="64"/>
      <c r="X27" s="64"/>
      <c r="Y27" s="64"/>
      <c r="Z27" s="64"/>
      <c r="AA27" s="64"/>
      <c r="AB27" s="64"/>
      <c r="AC27" s="366"/>
      <c r="AD27" s="367"/>
      <c r="AE27" s="366"/>
      <c r="AF27" s="596"/>
      <c r="AG27" s="597"/>
      <c r="AH27" s="597"/>
      <c r="AI27" s="597"/>
      <c r="AJ27" s="597"/>
    </row>
    <row r="28" spans="1:36" s="368" customFormat="1" ht="16.5" thickBot="1" x14ac:dyDescent="0.25">
      <c r="A28" s="365"/>
      <c r="B28" s="366"/>
      <c r="C28" s="366"/>
      <c r="D28" s="366" t="s">
        <v>10</v>
      </c>
      <c r="E28" s="366"/>
      <c r="F28" s="366"/>
      <c r="G28" s="366"/>
      <c r="H28" s="366"/>
      <c r="I28" s="366"/>
      <c r="J28" s="366"/>
      <c r="K28" s="64"/>
      <c r="L28" s="64"/>
      <c r="M28" s="64"/>
      <c r="N28" s="64"/>
      <c r="O28" s="759">
        <f>VLOOKUP('Part 1'!$L$16,Datasheet5!$B$6:$DH$332,AG28,FALSE)</f>
        <v>84113460</v>
      </c>
      <c r="P28" s="909"/>
      <c r="Q28" s="64"/>
      <c r="R28" s="64"/>
      <c r="S28" s="64"/>
      <c r="T28" s="64"/>
      <c r="U28" s="446"/>
      <c r="V28" s="64"/>
      <c r="W28" s="64"/>
      <c r="X28" s="64"/>
      <c r="Y28" s="64"/>
      <c r="Z28" s="64"/>
      <c r="AA28" s="759">
        <f>VLOOKUP('Part 1'!$L$16,Datasheet5!$B$6:$DH$332,AJ28,FALSE)</f>
        <v>84113460</v>
      </c>
      <c r="AB28" s="909"/>
      <c r="AC28" s="366"/>
      <c r="AD28" s="367"/>
      <c r="AE28" s="366"/>
      <c r="AF28" s="596"/>
      <c r="AG28" s="597">
        <v>11</v>
      </c>
      <c r="AH28" s="597"/>
      <c r="AI28" s="597"/>
      <c r="AJ28" s="597">
        <v>12</v>
      </c>
    </row>
    <row r="29" spans="1:36" s="368" customFormat="1" ht="15.75" thickBot="1" x14ac:dyDescent="0.25">
      <c r="A29" s="365"/>
      <c r="B29" s="366"/>
      <c r="C29" s="366"/>
      <c r="D29" s="366"/>
      <c r="E29" s="366"/>
      <c r="F29" s="366"/>
      <c r="G29" s="366"/>
      <c r="H29" s="366"/>
      <c r="I29" s="366"/>
      <c r="J29" s="366"/>
      <c r="K29" s="64"/>
      <c r="L29" s="64"/>
      <c r="M29" s="64"/>
      <c r="N29" s="64"/>
      <c r="O29" s="64"/>
      <c r="P29" s="64"/>
      <c r="Q29" s="64"/>
      <c r="R29" s="64"/>
      <c r="S29" s="64"/>
      <c r="T29" s="64"/>
      <c r="U29" s="446"/>
      <c r="V29" s="64"/>
      <c r="W29" s="64"/>
      <c r="X29" s="64"/>
      <c r="Y29" s="64"/>
      <c r="Z29" s="64"/>
      <c r="AA29" s="64"/>
      <c r="AB29" s="64"/>
      <c r="AC29" s="366"/>
      <c r="AD29" s="367"/>
      <c r="AE29" s="366"/>
      <c r="AF29" s="596"/>
      <c r="AG29" s="597"/>
      <c r="AH29" s="597"/>
      <c r="AI29" s="597"/>
      <c r="AJ29" s="597"/>
    </row>
    <row r="30" spans="1:36" s="368" customFormat="1" ht="16.5" thickBot="1" x14ac:dyDescent="0.25">
      <c r="A30" s="365"/>
      <c r="B30" s="366"/>
      <c r="C30" s="366"/>
      <c r="D30" s="366" t="s">
        <v>83</v>
      </c>
      <c r="E30" s="366"/>
      <c r="F30" s="366"/>
      <c r="G30" s="366"/>
      <c r="H30" s="366"/>
      <c r="I30" s="366"/>
      <c r="J30" s="366"/>
      <c r="K30" s="64"/>
      <c r="L30" s="64"/>
      <c r="M30" s="64"/>
      <c r="N30" s="64"/>
      <c r="O30" s="759">
        <f>VLOOKUP('Part 1'!$L$16,Datasheet5!$B$6:$DH$332,AG30,FALSE)</f>
        <v>28737781</v>
      </c>
      <c r="P30" s="909"/>
      <c r="Q30" s="64"/>
      <c r="R30" s="64"/>
      <c r="S30" s="64"/>
      <c r="T30" s="64"/>
      <c r="U30" s="446"/>
      <c r="V30" s="64"/>
      <c r="W30" s="64"/>
      <c r="X30" s="64"/>
      <c r="Y30" s="64"/>
      <c r="Z30" s="64"/>
      <c r="AA30" s="759">
        <f>VLOOKUP('Part 1'!$L$16,Datasheet5!$B$6:$DH$332,AJ30,FALSE)</f>
        <v>28737781</v>
      </c>
      <c r="AB30" s="909"/>
      <c r="AC30" s="366"/>
      <c r="AD30" s="367"/>
      <c r="AE30" s="366"/>
      <c r="AF30" s="596"/>
      <c r="AG30" s="597">
        <v>13</v>
      </c>
      <c r="AH30" s="597"/>
      <c r="AI30" s="597"/>
      <c r="AJ30" s="597">
        <v>14</v>
      </c>
    </row>
    <row r="31" spans="1:36" s="368" customFormat="1" ht="15.75" thickBot="1" x14ac:dyDescent="0.25">
      <c r="A31" s="365"/>
      <c r="B31" s="366"/>
      <c r="C31" s="366"/>
      <c r="D31" s="366"/>
      <c r="E31" s="366"/>
      <c r="F31" s="366"/>
      <c r="G31" s="366"/>
      <c r="H31" s="366"/>
      <c r="I31" s="366"/>
      <c r="J31" s="366"/>
      <c r="K31" s="64"/>
      <c r="L31" s="64"/>
      <c r="M31" s="64"/>
      <c r="N31" s="64"/>
      <c r="O31" s="64"/>
      <c r="P31" s="64"/>
      <c r="Q31" s="64"/>
      <c r="R31" s="64"/>
      <c r="S31" s="64"/>
      <c r="T31" s="64"/>
      <c r="U31" s="446"/>
      <c r="V31" s="64"/>
      <c r="W31" s="64"/>
      <c r="X31" s="64"/>
      <c r="Y31" s="64"/>
      <c r="Z31" s="64"/>
      <c r="AA31" s="64"/>
      <c r="AB31" s="64"/>
      <c r="AC31" s="366"/>
      <c r="AD31" s="367"/>
      <c r="AE31" s="366"/>
      <c r="AF31" s="596"/>
      <c r="AG31" s="597"/>
      <c r="AH31" s="597"/>
      <c r="AI31" s="597"/>
      <c r="AJ31" s="597"/>
    </row>
    <row r="32" spans="1:36" s="368" customFormat="1" ht="16.5" thickBot="1" x14ac:dyDescent="0.25">
      <c r="A32" s="365"/>
      <c r="B32" s="366"/>
      <c r="C32" s="366"/>
      <c r="D32" s="366" t="s">
        <v>949</v>
      </c>
      <c r="E32" s="366"/>
      <c r="F32" s="366"/>
      <c r="G32" s="366"/>
      <c r="H32" s="366"/>
      <c r="I32" s="366"/>
      <c r="J32" s="366"/>
      <c r="K32" s="64"/>
      <c r="L32" s="64"/>
      <c r="M32" s="64"/>
      <c r="N32" s="64"/>
      <c r="O32" s="759">
        <f>VLOOKUP('Part 1'!$L$16,Datasheet5!$B$6:$DH$332,AG32,FALSE)</f>
        <v>49461247</v>
      </c>
      <c r="P32" s="909"/>
      <c r="Q32" s="64"/>
      <c r="R32" s="64"/>
      <c r="S32" s="759">
        <f>VLOOKUP('Part 1'!$L$16,Datasheet5!$B$6:$DH$332,AH32,FALSE)</f>
        <v>1898219</v>
      </c>
      <c r="T32" s="909"/>
      <c r="U32" s="446"/>
      <c r="V32" s="64"/>
      <c r="W32" s="64"/>
      <c r="X32" s="64"/>
      <c r="Y32" s="64"/>
      <c r="Z32" s="64"/>
      <c r="AA32" s="759">
        <f>VLOOKUP('Part 1'!$L$16,Datasheet5!$B$6:$DH$332,AJ32,FALSE)</f>
        <v>51359466</v>
      </c>
      <c r="AB32" s="909"/>
      <c r="AC32" s="366"/>
      <c r="AD32" s="367"/>
      <c r="AE32" s="366"/>
      <c r="AF32" s="596"/>
      <c r="AG32" s="597">
        <v>15</v>
      </c>
      <c r="AH32" s="597">
        <v>16</v>
      </c>
      <c r="AI32" s="597"/>
      <c r="AJ32" s="597">
        <v>17</v>
      </c>
    </row>
    <row r="33" spans="1:36" s="368" customFormat="1" ht="15.75" thickBot="1" x14ac:dyDescent="0.25">
      <c r="A33" s="365"/>
      <c r="B33" s="366"/>
      <c r="C33" s="366"/>
      <c r="D33" s="366"/>
      <c r="E33" s="366"/>
      <c r="F33" s="366"/>
      <c r="G33" s="366"/>
      <c r="H33" s="366"/>
      <c r="I33" s="366"/>
      <c r="J33" s="366"/>
      <c r="K33" s="64"/>
      <c r="L33" s="64"/>
      <c r="M33" s="64"/>
      <c r="N33" s="64"/>
      <c r="O33" s="64"/>
      <c r="P33" s="64"/>
      <c r="Q33" s="64"/>
      <c r="R33" s="64"/>
      <c r="S33" s="64"/>
      <c r="T33" s="64"/>
      <c r="U33" s="446"/>
      <c r="V33" s="64"/>
      <c r="W33" s="64"/>
      <c r="X33" s="64"/>
      <c r="Y33" s="64"/>
      <c r="Z33" s="64"/>
      <c r="AA33" s="64"/>
      <c r="AB33" s="64"/>
      <c r="AC33" s="366"/>
      <c r="AD33" s="367"/>
      <c r="AE33" s="366"/>
      <c r="AF33" s="596"/>
      <c r="AG33" s="597"/>
      <c r="AH33" s="597"/>
      <c r="AI33" s="597"/>
      <c r="AJ33" s="597"/>
    </row>
    <row r="34" spans="1:36" s="368" customFormat="1" ht="16.5" thickBot="1" x14ac:dyDescent="0.25">
      <c r="A34" s="365"/>
      <c r="B34" s="366"/>
      <c r="C34" s="366"/>
      <c r="D34" s="366" t="s">
        <v>950</v>
      </c>
      <c r="E34" s="366"/>
      <c r="F34" s="366"/>
      <c r="G34" s="366"/>
      <c r="H34" s="366"/>
      <c r="I34" s="366"/>
      <c r="J34" s="366"/>
      <c r="K34" s="64"/>
      <c r="L34" s="64"/>
      <c r="M34" s="64"/>
      <c r="N34" s="64"/>
      <c r="O34" s="759">
        <f>VLOOKUP('Part 1'!$L$16,Datasheet5!$B$6:$DH$332,AG34,FALSE)</f>
        <v>14026754.415537192</v>
      </c>
      <c r="P34" s="909"/>
      <c r="Q34" s="64"/>
      <c r="R34" s="64"/>
      <c r="S34" s="759">
        <f>VLOOKUP('Part 1'!$L$16,Datasheet5!$B$6:$DH$332,AH34,FALSE)</f>
        <v>256327.03694214873</v>
      </c>
      <c r="T34" s="909"/>
      <c r="U34" s="446"/>
      <c r="V34" s="64"/>
      <c r="W34" s="759">
        <f>VLOOKUP('Part 1'!$L$16,Datasheet5!$B$6:$DH$332,AI34,FALSE)</f>
        <v>31973.331611570255</v>
      </c>
      <c r="X34" s="909"/>
      <c r="Y34" s="64"/>
      <c r="Z34" s="64"/>
      <c r="AA34" s="759">
        <f>VLOOKUP('Part 1'!$L$16,Datasheet5!$B$6:$DH$332,AJ34,FALSE)</f>
        <v>14315054.78409091</v>
      </c>
      <c r="AB34" s="909"/>
      <c r="AC34" s="366"/>
      <c r="AD34" s="367"/>
      <c r="AE34" s="366"/>
      <c r="AF34" s="596"/>
      <c r="AG34" s="597">
        <v>18</v>
      </c>
      <c r="AH34" s="597">
        <v>19</v>
      </c>
      <c r="AI34" s="597">
        <v>20</v>
      </c>
      <c r="AJ34" s="597">
        <v>21</v>
      </c>
    </row>
    <row r="35" spans="1:36" s="368" customFormat="1" ht="15.75" x14ac:dyDescent="0.2">
      <c r="A35" s="365"/>
      <c r="B35" s="366"/>
      <c r="C35" s="366"/>
      <c r="D35" s="366"/>
      <c r="E35" s="366"/>
      <c r="F35" s="366"/>
      <c r="G35" s="366"/>
      <c r="H35" s="366"/>
      <c r="I35" s="366"/>
      <c r="J35" s="366"/>
      <c r="K35" s="64"/>
      <c r="L35" s="64"/>
      <c r="M35" s="64"/>
      <c r="N35" s="64"/>
      <c r="O35" s="76"/>
      <c r="P35" s="64"/>
      <c r="Q35" s="64"/>
      <c r="R35" s="64"/>
      <c r="S35" s="76"/>
      <c r="T35" s="64"/>
      <c r="U35" s="446"/>
      <c r="V35" s="64"/>
      <c r="W35" s="76"/>
      <c r="X35" s="64"/>
      <c r="Y35" s="64"/>
      <c r="Z35" s="64"/>
      <c r="AA35" s="76"/>
      <c r="AB35" s="64"/>
      <c r="AC35" s="366"/>
      <c r="AD35" s="367"/>
      <c r="AE35" s="366"/>
      <c r="AF35" s="596"/>
      <c r="AG35" s="597"/>
      <c r="AH35" s="597"/>
      <c r="AI35" s="597"/>
      <c r="AJ35" s="597"/>
    </row>
    <row r="36" spans="1:36" s="368" customFormat="1" ht="15.75" x14ac:dyDescent="0.2">
      <c r="A36" s="365"/>
      <c r="B36" s="366"/>
      <c r="C36" s="372" t="s">
        <v>11</v>
      </c>
      <c r="D36" s="366"/>
      <c r="E36" s="366"/>
      <c r="F36" s="366"/>
      <c r="G36" s="366"/>
      <c r="H36" s="366"/>
      <c r="I36" s="366"/>
      <c r="J36" s="366"/>
      <c r="K36" s="64"/>
      <c r="L36" s="64"/>
      <c r="M36" s="64"/>
      <c r="N36" s="64"/>
      <c r="O36" s="76"/>
      <c r="P36" s="64"/>
      <c r="Q36" s="64"/>
      <c r="R36" s="64"/>
      <c r="S36" s="76"/>
      <c r="T36" s="64"/>
      <c r="U36" s="446"/>
      <c r="V36" s="64"/>
      <c r="W36" s="76"/>
      <c r="X36" s="64"/>
      <c r="Y36" s="64"/>
      <c r="Z36" s="64"/>
      <c r="AA36" s="76"/>
      <c r="AB36" s="64"/>
      <c r="AC36" s="366"/>
      <c r="AD36" s="367"/>
      <c r="AE36" s="366"/>
      <c r="AF36" s="596"/>
      <c r="AG36" s="597"/>
      <c r="AH36" s="597"/>
      <c r="AI36" s="597"/>
      <c r="AJ36" s="597"/>
    </row>
    <row r="37" spans="1:36" s="368" customFormat="1" ht="16.5" thickBot="1" x14ac:dyDescent="0.25">
      <c r="A37" s="365"/>
      <c r="B37" s="366"/>
      <c r="C37" s="372" t="s">
        <v>12</v>
      </c>
      <c r="D37" s="366"/>
      <c r="E37" s="366"/>
      <c r="F37" s="366"/>
      <c r="G37" s="366"/>
      <c r="H37" s="366"/>
      <c r="I37" s="366"/>
      <c r="J37" s="366"/>
      <c r="K37" s="911" t="s">
        <v>20</v>
      </c>
      <c r="L37" s="911"/>
      <c r="M37" s="64"/>
      <c r="N37" s="449"/>
      <c r="O37" s="911" t="s">
        <v>20</v>
      </c>
      <c r="P37" s="911"/>
      <c r="Q37" s="64"/>
      <c r="R37" s="64"/>
      <c r="S37" s="911" t="s">
        <v>20</v>
      </c>
      <c r="T37" s="911"/>
      <c r="U37" s="446"/>
      <c r="V37" s="64"/>
      <c r="W37" s="911" t="s">
        <v>20</v>
      </c>
      <c r="X37" s="911"/>
      <c r="Y37" s="64"/>
      <c r="Z37" s="449"/>
      <c r="AA37" s="911" t="s">
        <v>20</v>
      </c>
      <c r="AB37" s="911"/>
      <c r="AC37" s="366"/>
      <c r="AD37" s="367"/>
      <c r="AE37" s="366"/>
      <c r="AF37" s="596"/>
      <c r="AG37" s="597"/>
      <c r="AH37" s="597"/>
      <c r="AI37" s="597"/>
      <c r="AJ37" s="597"/>
    </row>
    <row r="38" spans="1:36" s="368" customFormat="1" ht="16.5" thickBot="1" x14ac:dyDescent="0.25">
      <c r="A38" s="365"/>
      <c r="B38" s="366"/>
      <c r="C38" s="366"/>
      <c r="D38" s="366" t="s">
        <v>977</v>
      </c>
      <c r="E38" s="366"/>
      <c r="F38" s="366"/>
      <c r="G38" s="366"/>
      <c r="H38" s="366"/>
      <c r="I38" s="366"/>
      <c r="J38" s="366"/>
      <c r="K38" s="759">
        <f>VLOOKUP('Part 1'!$L$16,Datasheet5!$B$6:$DH$332,AF38,FALSE)</f>
        <v>631040406.54000032</v>
      </c>
      <c r="L38" s="909"/>
      <c r="M38" s="64"/>
      <c r="N38" s="64"/>
      <c r="O38" s="759">
        <f>VLOOKUP('Part 1'!$L$16,Datasheet5!$B$6:$DH$332,AG38,FALSE)</f>
        <v>527662818</v>
      </c>
      <c r="P38" s="909"/>
      <c r="Q38" s="64"/>
      <c r="R38" s="64"/>
      <c r="S38" s="759">
        <f>VLOOKUP('Part 1'!$L$16,Datasheet5!$B$6:$DH$332,AH38,FALSE)</f>
        <v>95432100</v>
      </c>
      <c r="T38" s="909"/>
      <c r="U38" s="446"/>
      <c r="V38" s="64"/>
      <c r="W38" s="759">
        <f>VLOOKUP('Part 1'!$L$16,Datasheet5!$B$6:$DH$332,AI38,FALSE)</f>
        <v>7945510</v>
      </c>
      <c r="X38" s="909"/>
      <c r="Y38" s="64"/>
      <c r="Z38" s="64"/>
      <c r="AA38" s="759">
        <f>VLOOKUP('Part 1'!$L$16,Datasheet5!$B$6:$DH$332,AJ38,FALSE)</f>
        <v>1262080834.5400002</v>
      </c>
      <c r="AB38" s="909"/>
      <c r="AC38" s="366"/>
      <c r="AD38" s="367"/>
      <c r="AE38" s="366"/>
      <c r="AF38" s="596">
        <v>22</v>
      </c>
      <c r="AG38" s="597">
        <v>23</v>
      </c>
      <c r="AH38" s="597">
        <v>24</v>
      </c>
      <c r="AI38" s="597">
        <v>25</v>
      </c>
      <c r="AJ38" s="597">
        <v>26</v>
      </c>
    </row>
    <row r="39" spans="1:36" s="368" customFormat="1" ht="15.75" thickBot="1" x14ac:dyDescent="0.25">
      <c r="A39" s="365"/>
      <c r="B39" s="366"/>
      <c r="C39" s="366"/>
      <c r="D39" s="366"/>
      <c r="E39" s="366"/>
      <c r="F39" s="366"/>
      <c r="G39" s="366"/>
      <c r="H39" s="366"/>
      <c r="I39" s="366"/>
      <c r="J39" s="366"/>
      <c r="K39" s="64"/>
      <c r="L39" s="64"/>
      <c r="M39" s="64"/>
      <c r="N39" s="64"/>
      <c r="O39" s="64"/>
      <c r="P39" s="64"/>
      <c r="Q39" s="64"/>
      <c r="R39" s="64"/>
      <c r="S39" s="64"/>
      <c r="T39" s="64"/>
      <c r="U39" s="446"/>
      <c r="V39" s="64"/>
      <c r="W39" s="64"/>
      <c r="X39" s="64"/>
      <c r="Y39" s="64"/>
      <c r="Z39" s="64"/>
      <c r="AA39" s="64"/>
      <c r="AB39" s="64"/>
      <c r="AC39" s="366"/>
      <c r="AD39" s="367"/>
      <c r="AE39" s="366"/>
      <c r="AF39" s="596"/>
      <c r="AG39" s="597"/>
      <c r="AH39" s="597"/>
      <c r="AI39" s="597"/>
      <c r="AJ39" s="597"/>
    </row>
    <row r="40" spans="1:36" s="368" customFormat="1" ht="18" customHeight="1" thickBot="1" x14ac:dyDescent="0.25">
      <c r="A40" s="365"/>
      <c r="B40" s="366"/>
      <c r="C40" s="366"/>
      <c r="D40" s="366" t="s">
        <v>1066</v>
      </c>
      <c r="E40" s="366"/>
      <c r="F40" s="366"/>
      <c r="G40" s="366"/>
      <c r="H40" s="366"/>
      <c r="I40" s="366"/>
      <c r="J40" s="366"/>
      <c r="K40" s="759">
        <f>VLOOKUP('Part 1'!$L$16,Datasheet5!$B$6:$DH$332,AF40,FALSE)</f>
        <v>-414031073.85000002</v>
      </c>
      <c r="L40" s="909"/>
      <c r="M40" s="64"/>
      <c r="N40" s="64"/>
      <c r="O40" s="759">
        <f>VLOOKUP('Part 1'!$L$16,Datasheet5!$B$6:$DH$332,AG40,FALSE)</f>
        <v>-307329287</v>
      </c>
      <c r="P40" s="909"/>
      <c r="Q40" s="64"/>
      <c r="R40" s="64"/>
      <c r="S40" s="759">
        <f>VLOOKUP('Part 1'!$L$16,Datasheet5!$B$6:$DH$332,AH40,FALSE)</f>
        <v>-103562368</v>
      </c>
      <c r="T40" s="909"/>
      <c r="U40" s="446"/>
      <c r="V40" s="64"/>
      <c r="W40" s="759">
        <f>VLOOKUP('Part 1'!$L$16,Datasheet5!$B$6:$DH$332,AI40,FALSE)</f>
        <v>-3139445</v>
      </c>
      <c r="X40" s="909"/>
      <c r="Y40" s="64"/>
      <c r="Z40" s="64"/>
      <c r="AA40" s="759">
        <f>VLOOKUP('Part 1'!$L$16,Datasheet5!$B$6:$DH$332,AJ40,FALSE)</f>
        <v>-828062173.8499999</v>
      </c>
      <c r="AB40" s="909"/>
      <c r="AC40" s="366"/>
      <c r="AD40" s="367"/>
      <c r="AE40" s="366"/>
      <c r="AF40" s="596">
        <v>27</v>
      </c>
      <c r="AG40" s="597">
        <v>28</v>
      </c>
      <c r="AH40" s="597">
        <v>29</v>
      </c>
      <c r="AI40" s="597">
        <v>30</v>
      </c>
      <c r="AJ40" s="597">
        <v>31</v>
      </c>
    </row>
    <row r="41" spans="1:36" s="368" customFormat="1" x14ac:dyDescent="0.2">
      <c r="A41" s="365"/>
      <c r="B41" s="366"/>
      <c r="C41" s="366"/>
      <c r="D41" s="366"/>
      <c r="E41" s="366"/>
      <c r="F41" s="366"/>
      <c r="G41" s="366"/>
      <c r="H41" s="366"/>
      <c r="I41" s="366"/>
      <c r="J41" s="366"/>
      <c r="K41" s="64"/>
      <c r="L41" s="64"/>
      <c r="M41" s="64"/>
      <c r="N41" s="64"/>
      <c r="O41" s="64"/>
      <c r="P41" s="64"/>
      <c r="Q41" s="64"/>
      <c r="R41" s="64"/>
      <c r="S41" s="64"/>
      <c r="T41" s="64"/>
      <c r="U41" s="446"/>
      <c r="V41" s="64"/>
      <c r="W41" s="64"/>
      <c r="X41" s="64"/>
      <c r="Y41" s="64"/>
      <c r="Z41" s="64"/>
      <c r="AA41" s="64"/>
      <c r="AB41" s="64"/>
      <c r="AC41" s="366"/>
      <c r="AD41" s="367"/>
      <c r="AE41" s="366"/>
      <c r="AF41" s="596"/>
      <c r="AG41" s="597"/>
      <c r="AH41" s="597"/>
      <c r="AI41" s="597"/>
      <c r="AJ41" s="597"/>
    </row>
    <row r="42" spans="1:36" s="368" customFormat="1" ht="16.5" thickBot="1" x14ac:dyDescent="0.25">
      <c r="A42" s="373"/>
      <c r="B42" s="369"/>
      <c r="C42" s="372" t="s">
        <v>84</v>
      </c>
      <c r="D42" s="366"/>
      <c r="E42" s="369"/>
      <c r="F42" s="369"/>
      <c r="G42" s="369"/>
      <c r="H42" s="369"/>
      <c r="I42" s="369"/>
      <c r="J42" s="369"/>
      <c r="K42" s="450"/>
      <c r="L42" s="450"/>
      <c r="M42" s="64"/>
      <c r="N42" s="450"/>
      <c r="O42" s="450"/>
      <c r="P42" s="450"/>
      <c r="Q42" s="64"/>
      <c r="R42" s="450"/>
      <c r="S42" s="450"/>
      <c r="T42" s="450"/>
      <c r="U42" s="446"/>
      <c r="V42" s="450"/>
      <c r="W42" s="450"/>
      <c r="X42" s="450"/>
      <c r="Y42" s="64"/>
      <c r="Z42" s="450"/>
      <c r="AA42" s="450"/>
      <c r="AB42" s="450"/>
      <c r="AC42" s="369"/>
      <c r="AD42" s="367"/>
      <c r="AE42" s="366"/>
      <c r="AF42" s="596"/>
      <c r="AG42" s="597"/>
      <c r="AH42" s="597"/>
      <c r="AI42" s="597"/>
      <c r="AJ42" s="597"/>
    </row>
    <row r="43" spans="1:36" s="368" customFormat="1" ht="16.5" thickBot="1" x14ac:dyDescent="0.25">
      <c r="A43" s="373"/>
      <c r="B43" s="369"/>
      <c r="C43" s="374"/>
      <c r="D43" s="366" t="s">
        <v>1312</v>
      </c>
      <c r="E43" s="369"/>
      <c r="F43" s="369"/>
      <c r="G43" s="369"/>
      <c r="H43" s="369"/>
      <c r="I43" s="369"/>
      <c r="J43" s="369"/>
      <c r="K43" s="907">
        <f>VLOOKUP('Part 1'!$L$16,Datasheet5!$B$6:$DH$332,AF43,FALSE)</f>
        <v>-342711190.245</v>
      </c>
      <c r="L43" s="908"/>
      <c r="M43" s="64"/>
      <c r="N43" s="64"/>
      <c r="O43" s="907">
        <f>VLOOKUP('Part 1'!$L$16,Datasheet5!$B$6:$DH$332,AG43,FALSE)</f>
        <v>-287632688.86899996</v>
      </c>
      <c r="P43" s="908"/>
      <c r="Q43" s="64"/>
      <c r="R43" s="64"/>
      <c r="S43" s="907">
        <f>VLOOKUP('Part 1'!$L$16,Datasheet5!$B$6:$DH$332,AH43,FALSE)</f>
        <v>-47672427.936000004</v>
      </c>
      <c r="T43" s="908"/>
      <c r="U43" s="446"/>
      <c r="V43" s="64"/>
      <c r="W43" s="907">
        <f>VLOOKUP('Part 1'!$L$16,Datasheet5!$B$6:$DH$332,AI43,FALSE)</f>
        <v>-4511665.16</v>
      </c>
      <c r="X43" s="908"/>
      <c r="Y43" s="64"/>
      <c r="Z43" s="64"/>
      <c r="AA43" s="907">
        <f>VLOOKUP('Part 1'!$L$16,Datasheet5!$B$6:$DH$332,AJ43,FALSE)</f>
        <v>-682527970.73000014</v>
      </c>
      <c r="AB43" s="908"/>
      <c r="AC43" s="369"/>
      <c r="AD43" s="367"/>
      <c r="AE43" s="366"/>
      <c r="AF43" s="594">
        <v>32</v>
      </c>
      <c r="AG43" s="594">
        <v>33</v>
      </c>
      <c r="AH43" s="597">
        <v>34</v>
      </c>
      <c r="AI43" s="597">
        <v>35</v>
      </c>
      <c r="AJ43" s="597">
        <v>36</v>
      </c>
    </row>
    <row r="44" spans="1:36" s="368" customFormat="1" ht="16.5" thickBot="1" x14ac:dyDescent="0.25">
      <c r="A44" s="373"/>
      <c r="B44" s="369"/>
      <c r="C44" s="374"/>
      <c r="D44" s="374"/>
      <c r="E44" s="369"/>
      <c r="F44" s="369"/>
      <c r="G44" s="369"/>
      <c r="H44" s="369"/>
      <c r="I44" s="369"/>
      <c r="J44" s="375"/>
      <c r="K44" s="447"/>
      <c r="L44" s="447"/>
      <c r="M44" s="64"/>
      <c r="N44" s="448"/>
      <c r="O44" s="447"/>
      <c r="P44" s="447"/>
      <c r="Q44" s="64"/>
      <c r="R44" s="448"/>
      <c r="S44" s="447"/>
      <c r="T44" s="447"/>
      <c r="U44" s="446"/>
      <c r="V44" s="448"/>
      <c r="W44" s="447"/>
      <c r="X44" s="447"/>
      <c r="Y44" s="64"/>
      <c r="Z44" s="448"/>
      <c r="AA44" s="447"/>
      <c r="AB44" s="448"/>
      <c r="AC44" s="375"/>
      <c r="AD44" s="376"/>
      <c r="AE44" s="592"/>
      <c r="AF44" s="596"/>
      <c r="AG44" s="597"/>
      <c r="AH44" s="597"/>
      <c r="AI44" s="597"/>
      <c r="AJ44" s="597"/>
    </row>
    <row r="45" spans="1:36" s="368" customFormat="1" ht="16.5" thickBot="1" x14ac:dyDescent="0.25">
      <c r="A45" s="373"/>
      <c r="B45" s="369"/>
      <c r="C45" s="374"/>
      <c r="D45" s="366" t="s">
        <v>951</v>
      </c>
      <c r="E45" s="369"/>
      <c r="F45" s="369"/>
      <c r="G45" s="369"/>
      <c r="H45" s="369"/>
      <c r="I45" s="369"/>
      <c r="J45" s="375"/>
      <c r="K45" s="759">
        <f>VLOOKUP('Part 1'!$L$16,Datasheet5!$B$6:$DH$332,AF45,FALSE)</f>
        <v>105646302</v>
      </c>
      <c r="L45" s="909"/>
      <c r="M45" s="64"/>
      <c r="N45" s="64"/>
      <c r="O45" s="759">
        <f>VLOOKUP('Part 1'!$L$16,Datasheet5!$B$6:$DH$332,AG45,FALSE)</f>
        <v>93424676</v>
      </c>
      <c r="P45" s="909"/>
      <c r="Q45" s="64"/>
      <c r="R45" s="64"/>
      <c r="S45" s="759">
        <f>VLOOKUP('Part 1'!$L$16,Datasheet5!$B$6:$DH$332,AH45,FALSE)</f>
        <v>10611027</v>
      </c>
      <c r="T45" s="909"/>
      <c r="U45" s="446"/>
      <c r="V45" s="64"/>
      <c r="W45" s="759">
        <f>VLOOKUP('Part 1'!$L$16,Datasheet5!$B$6:$DH$332,AI45,FALSE)</f>
        <v>1610607</v>
      </c>
      <c r="X45" s="909"/>
      <c r="Y45" s="64"/>
      <c r="Z45" s="448"/>
      <c r="AA45" s="759">
        <f>VLOOKUP('Part 1'!$L$16,Datasheet5!$B$6:$DH$332,AJ45,FALSE)</f>
        <v>211292612</v>
      </c>
      <c r="AB45" s="909"/>
      <c r="AC45" s="375"/>
      <c r="AD45" s="376"/>
      <c r="AE45" s="592"/>
      <c r="AF45" s="596">
        <v>37</v>
      </c>
      <c r="AG45" s="597">
        <v>38</v>
      </c>
      <c r="AH45" s="597">
        <v>39</v>
      </c>
      <c r="AI45" s="597">
        <v>40</v>
      </c>
      <c r="AJ45" s="597">
        <v>41</v>
      </c>
    </row>
    <row r="46" spans="1:36" s="368" customFormat="1" ht="15.75" thickBot="1" x14ac:dyDescent="0.25">
      <c r="A46" s="373"/>
      <c r="B46" s="369"/>
      <c r="C46" s="374"/>
      <c r="D46" s="374"/>
      <c r="E46" s="369"/>
      <c r="F46" s="369"/>
      <c r="G46" s="369"/>
      <c r="H46" s="369"/>
      <c r="I46" s="369"/>
      <c r="J46" s="369"/>
      <c r="K46" s="450"/>
      <c r="L46" s="450"/>
      <c r="M46" s="64"/>
      <c r="N46" s="450"/>
      <c r="O46" s="450"/>
      <c r="P46" s="450"/>
      <c r="Q46" s="64"/>
      <c r="R46" s="450"/>
      <c r="S46" s="450"/>
      <c r="T46" s="450"/>
      <c r="U46" s="446"/>
      <c r="V46" s="450"/>
      <c r="W46" s="450"/>
      <c r="X46" s="450"/>
      <c r="Y46" s="64"/>
      <c r="Z46" s="450"/>
      <c r="AA46" s="450"/>
      <c r="AB46" s="450"/>
      <c r="AC46" s="369"/>
      <c r="AD46" s="367"/>
      <c r="AE46" s="366"/>
      <c r="AF46" s="596"/>
      <c r="AG46" s="597"/>
      <c r="AH46" s="597"/>
      <c r="AI46" s="597"/>
      <c r="AJ46" s="597"/>
    </row>
    <row r="47" spans="1:36" s="368" customFormat="1" ht="16.5" thickBot="1" x14ac:dyDescent="0.25">
      <c r="A47" s="373"/>
      <c r="B47" s="369"/>
      <c r="C47" s="374"/>
      <c r="D47" s="366" t="s">
        <v>952</v>
      </c>
      <c r="E47" s="369"/>
      <c r="F47" s="369"/>
      <c r="G47" s="369"/>
      <c r="H47" s="369"/>
      <c r="I47" s="369"/>
      <c r="J47" s="369"/>
      <c r="K47" s="759">
        <f>VLOOKUP('Part 1'!$L$16,Datasheet5!$B$6:$DH$332,AF47,FALSE)</f>
        <v>-105599330</v>
      </c>
      <c r="L47" s="909"/>
      <c r="M47" s="64"/>
      <c r="N47" s="64"/>
      <c r="O47" s="759">
        <f>VLOOKUP('Part 1'!$L$16,Datasheet5!$B$6:$DH$332,AG47,FALSE)</f>
        <v>-91327566</v>
      </c>
      <c r="P47" s="909"/>
      <c r="Q47" s="64"/>
      <c r="R47" s="64"/>
      <c r="S47" s="759">
        <f>VLOOKUP('Part 1'!$L$16,Datasheet5!$B$6:$DH$332,AH47,FALSE)</f>
        <v>-12793924</v>
      </c>
      <c r="T47" s="909"/>
      <c r="U47" s="446"/>
      <c r="V47" s="64"/>
      <c r="W47" s="759">
        <f>VLOOKUP('Part 1'!$L$16,Datasheet5!$B$6:$DH$332,AI47,FALSE)</f>
        <v>-1477859</v>
      </c>
      <c r="X47" s="909"/>
      <c r="Y47" s="64"/>
      <c r="Z47" s="64"/>
      <c r="AA47" s="759">
        <f>VLOOKUP('Part 1'!$L$16,Datasheet5!$B$6:$DH$332,AJ47,FALSE)</f>
        <v>-211198679</v>
      </c>
      <c r="AB47" s="909"/>
      <c r="AC47" s="369"/>
      <c r="AD47" s="367"/>
      <c r="AE47" s="366"/>
      <c r="AF47" s="596">
        <v>42</v>
      </c>
      <c r="AG47" s="597">
        <v>43</v>
      </c>
      <c r="AH47" s="597">
        <v>44</v>
      </c>
      <c r="AI47" s="597">
        <v>45</v>
      </c>
      <c r="AJ47" s="597">
        <v>46</v>
      </c>
    </row>
    <row r="48" spans="1:36" s="368" customFormat="1" ht="15.75" thickBot="1" x14ac:dyDescent="0.25">
      <c r="A48" s="373"/>
      <c r="B48" s="369"/>
      <c r="C48" s="374"/>
      <c r="D48" s="374"/>
      <c r="E48" s="369"/>
      <c r="F48" s="369"/>
      <c r="G48" s="369"/>
      <c r="H48" s="369"/>
      <c r="I48" s="369"/>
      <c r="J48" s="369"/>
      <c r="K48" s="450"/>
      <c r="L48" s="450"/>
      <c r="M48" s="64"/>
      <c r="N48" s="450"/>
      <c r="O48" s="450"/>
      <c r="P48" s="450"/>
      <c r="Q48" s="64"/>
      <c r="R48" s="450"/>
      <c r="S48" s="450"/>
      <c r="T48" s="450"/>
      <c r="U48" s="446"/>
      <c r="V48" s="450"/>
      <c r="W48" s="450"/>
      <c r="X48" s="450"/>
      <c r="Y48" s="64"/>
      <c r="Z48" s="450"/>
      <c r="AA48" s="450"/>
      <c r="AB48" s="450"/>
      <c r="AC48" s="369"/>
      <c r="AD48" s="367"/>
      <c r="AE48" s="366"/>
      <c r="AF48" s="596"/>
      <c r="AG48" s="597"/>
      <c r="AH48" s="597"/>
      <c r="AI48" s="597"/>
      <c r="AJ48" s="597"/>
    </row>
    <row r="49" spans="1:36" s="368" customFormat="1" ht="16.5" thickBot="1" x14ac:dyDescent="0.25">
      <c r="A49" s="373"/>
      <c r="B49" s="369"/>
      <c r="C49" s="374"/>
      <c r="D49" s="366" t="s">
        <v>1313</v>
      </c>
      <c r="E49" s="369"/>
      <c r="F49" s="369"/>
      <c r="G49" s="369"/>
      <c r="H49" s="369"/>
      <c r="I49" s="369"/>
      <c r="J49" s="369"/>
      <c r="K49" s="759">
        <f>VLOOKUP('Part 1'!$L$16,Datasheet5!$B$6:$DH$332,AF49,FALSE)</f>
        <v>-342664218.245</v>
      </c>
      <c r="L49" s="909"/>
      <c r="M49" s="64"/>
      <c r="N49" s="64"/>
      <c r="O49" s="759">
        <f>VLOOKUP('Part 1'!$L$16,Datasheet5!$B$6:$DH$332,AG49,FALSE)</f>
        <v>-285535578.86899996</v>
      </c>
      <c r="P49" s="909"/>
      <c r="Q49" s="64"/>
      <c r="R49" s="64"/>
      <c r="S49" s="759">
        <f>VLOOKUP('Part 1'!$L$16,Datasheet5!$B$6:$DH$332,AH49,FALSE)</f>
        <v>-49855324.936000004</v>
      </c>
      <c r="T49" s="909"/>
      <c r="U49" s="446"/>
      <c r="V49" s="64"/>
      <c r="W49" s="759">
        <f>VLOOKUP('Part 1'!$L$16,Datasheet5!$B$6:$DH$332,AI49,FALSE)</f>
        <v>-4378917.16</v>
      </c>
      <c r="X49" s="909"/>
      <c r="Y49" s="64"/>
      <c r="Z49" s="64"/>
      <c r="AA49" s="759">
        <f>VLOOKUP('Part 1'!$L$16,Datasheet5!$B$6:$DH$332,AJ49,FALSE)</f>
        <v>-682434037.73000014</v>
      </c>
      <c r="AB49" s="909"/>
      <c r="AC49" s="369"/>
      <c r="AD49" s="367"/>
      <c r="AE49" s="366"/>
      <c r="AF49" s="596">
        <v>47</v>
      </c>
      <c r="AG49" s="597">
        <v>48</v>
      </c>
      <c r="AH49" s="597">
        <v>49</v>
      </c>
      <c r="AI49" s="597">
        <v>50</v>
      </c>
      <c r="AJ49" s="597">
        <v>51</v>
      </c>
    </row>
    <row r="50" spans="1:36" s="368" customFormat="1" x14ac:dyDescent="0.2">
      <c r="A50" s="373"/>
      <c r="B50" s="369"/>
      <c r="C50" s="374"/>
      <c r="D50" s="374"/>
      <c r="E50" s="369"/>
      <c r="F50" s="369"/>
      <c r="G50" s="369"/>
      <c r="H50" s="369"/>
      <c r="I50" s="369"/>
      <c r="J50" s="369"/>
      <c r="K50" s="450"/>
      <c r="L50" s="450"/>
      <c r="M50" s="64"/>
      <c r="N50" s="450"/>
      <c r="O50" s="450"/>
      <c r="P50" s="450"/>
      <c r="Q50" s="64"/>
      <c r="R50" s="450"/>
      <c r="S50" s="450"/>
      <c r="T50" s="450"/>
      <c r="U50" s="446"/>
      <c r="V50" s="450"/>
      <c r="W50" s="450"/>
      <c r="X50" s="450"/>
      <c r="Y50" s="64"/>
      <c r="Z50" s="450"/>
      <c r="AA50" s="450"/>
      <c r="AB50" s="450"/>
      <c r="AC50" s="369"/>
      <c r="AD50" s="367"/>
      <c r="AE50" s="366"/>
      <c r="AF50" s="596"/>
      <c r="AG50" s="597"/>
      <c r="AH50" s="597"/>
      <c r="AI50" s="597"/>
      <c r="AJ50" s="597"/>
    </row>
    <row r="51" spans="1:36" s="368" customFormat="1" ht="15.75" x14ac:dyDescent="0.2">
      <c r="A51" s="373"/>
      <c r="B51" s="369"/>
      <c r="C51" s="377" t="s">
        <v>13</v>
      </c>
      <c r="D51" s="374"/>
      <c r="E51" s="369"/>
      <c r="F51" s="369"/>
      <c r="G51" s="369"/>
      <c r="H51" s="369"/>
      <c r="I51" s="369"/>
      <c r="J51" s="369"/>
      <c r="K51" s="450"/>
      <c r="L51" s="450"/>
      <c r="M51" s="64"/>
      <c r="N51" s="450"/>
      <c r="O51" s="450"/>
      <c r="P51" s="450"/>
      <c r="Q51" s="64"/>
      <c r="R51" s="450"/>
      <c r="S51" s="450"/>
      <c r="T51" s="450"/>
      <c r="U51" s="446"/>
      <c r="V51" s="450"/>
      <c r="W51" s="450"/>
      <c r="X51" s="450"/>
      <c r="Y51" s="64"/>
      <c r="Z51" s="450"/>
      <c r="AA51" s="450"/>
      <c r="AB51" s="450"/>
      <c r="AC51" s="369"/>
      <c r="AD51" s="367"/>
      <c r="AE51" s="366"/>
      <c r="AF51" s="596"/>
      <c r="AG51" s="597"/>
      <c r="AH51" s="597"/>
      <c r="AI51" s="597"/>
      <c r="AJ51" s="597"/>
    </row>
    <row r="52" spans="1:36" s="368" customFormat="1" ht="16.5" thickBot="1" x14ac:dyDescent="0.25">
      <c r="A52" s="373"/>
      <c r="B52" s="369"/>
      <c r="C52" s="377"/>
      <c r="D52" s="377" t="s">
        <v>14</v>
      </c>
      <c r="E52" s="369"/>
      <c r="F52" s="369"/>
      <c r="G52" s="369"/>
      <c r="H52" s="369"/>
      <c r="I52" s="369"/>
      <c r="J52" s="369"/>
      <c r="K52" s="450"/>
      <c r="L52" s="450"/>
      <c r="M52" s="64"/>
      <c r="N52" s="450"/>
      <c r="O52" s="450"/>
      <c r="P52" s="450"/>
      <c r="Q52" s="64"/>
      <c r="R52" s="450"/>
      <c r="S52" s="450"/>
      <c r="T52" s="450"/>
      <c r="U52" s="446"/>
      <c r="V52" s="450"/>
      <c r="W52" s="450"/>
      <c r="X52" s="450"/>
      <c r="Y52" s="64"/>
      <c r="Z52" s="450"/>
      <c r="AA52" s="450"/>
      <c r="AB52" s="450"/>
      <c r="AC52" s="369"/>
      <c r="AD52" s="367"/>
      <c r="AE52" s="366"/>
      <c r="AF52" s="596"/>
      <c r="AG52" s="597"/>
      <c r="AH52" s="597"/>
      <c r="AI52" s="597"/>
      <c r="AJ52" s="597"/>
    </row>
    <row r="53" spans="1:36" s="368" customFormat="1" ht="16.5" thickBot="1" x14ac:dyDescent="0.25">
      <c r="A53" s="373"/>
      <c r="B53" s="369"/>
      <c r="C53" s="374"/>
      <c r="D53" s="366" t="s">
        <v>1314</v>
      </c>
      <c r="E53" s="369"/>
      <c r="F53" s="369"/>
      <c r="G53" s="369"/>
      <c r="H53" s="369"/>
      <c r="I53" s="369"/>
      <c r="J53" s="369"/>
      <c r="K53" s="887">
        <f>VLOOKUP('Part 1'!$L$16,Datasheet5!$B$6:$DH$332,AF53,FALSE)</f>
        <v>-1401213044.4799998</v>
      </c>
      <c r="L53" s="910"/>
      <c r="M53" s="64"/>
      <c r="N53" s="64"/>
      <c r="O53" s="887">
        <f>VLOOKUP('Part 1'!$L$16,Datasheet5!$B$6:$DH$332,AG53,FALSE)</f>
        <v>-1115984920</v>
      </c>
      <c r="P53" s="910"/>
      <c r="Q53" s="64"/>
      <c r="R53" s="64"/>
      <c r="S53" s="887">
        <f>VLOOKUP('Part 1'!$L$16,Datasheet5!$B$6:$DH$332,AH53,FALSE)</f>
        <v>-270274728</v>
      </c>
      <c r="T53" s="910"/>
      <c r="U53" s="446"/>
      <c r="V53" s="64"/>
      <c r="W53" s="887">
        <f>VLOOKUP('Part 1'!$L$16,Datasheet5!$B$6:$DH$332,AI53,FALSE)</f>
        <v>-14953412</v>
      </c>
      <c r="X53" s="910"/>
      <c r="Y53" s="64"/>
      <c r="Z53" s="64"/>
      <c r="AA53" s="887">
        <f>VLOOKUP('Part 1'!$L$16,Datasheet5!$B$6:$DH$332,AJ53,FALSE)</f>
        <v>-2802426102.2400002</v>
      </c>
      <c r="AB53" s="910"/>
      <c r="AC53" s="369"/>
      <c r="AD53" s="367"/>
      <c r="AE53" s="366"/>
      <c r="AF53" s="594">
        <v>52</v>
      </c>
      <c r="AG53" s="594">
        <v>53</v>
      </c>
      <c r="AH53" s="597">
        <v>54</v>
      </c>
      <c r="AI53" s="597">
        <v>55</v>
      </c>
      <c r="AJ53" s="597">
        <v>56</v>
      </c>
    </row>
    <row r="54" spans="1:36" s="368" customFormat="1" ht="15.75" thickBot="1" x14ac:dyDescent="0.25">
      <c r="A54" s="373"/>
      <c r="B54" s="369"/>
      <c r="C54" s="374"/>
      <c r="D54" s="374"/>
      <c r="E54" s="369"/>
      <c r="F54" s="369"/>
      <c r="G54" s="369"/>
      <c r="H54" s="369"/>
      <c r="I54" s="369"/>
      <c r="J54" s="369"/>
      <c r="K54" s="450"/>
      <c r="L54" s="450"/>
      <c r="M54" s="64"/>
      <c r="N54" s="450"/>
      <c r="O54" s="450"/>
      <c r="P54" s="450"/>
      <c r="Q54" s="64"/>
      <c r="R54" s="450"/>
      <c r="S54" s="450"/>
      <c r="T54" s="450"/>
      <c r="U54" s="446"/>
      <c r="V54" s="450"/>
      <c r="W54" s="450"/>
      <c r="X54" s="450"/>
      <c r="Y54" s="64"/>
      <c r="Z54" s="450"/>
      <c r="AA54" s="450"/>
      <c r="AB54" s="450"/>
      <c r="AC54" s="369"/>
      <c r="AD54" s="367"/>
      <c r="AE54" s="366"/>
      <c r="AF54" s="596"/>
      <c r="AG54" s="597"/>
      <c r="AH54" s="597"/>
      <c r="AI54" s="597"/>
      <c r="AJ54" s="597"/>
    </row>
    <row r="55" spans="1:36" s="368" customFormat="1" ht="16.5" thickBot="1" x14ac:dyDescent="0.25">
      <c r="A55" s="373"/>
      <c r="B55" s="369"/>
      <c r="C55" s="374"/>
      <c r="D55" s="366" t="s">
        <v>953</v>
      </c>
      <c r="E55" s="369"/>
      <c r="F55" s="369"/>
      <c r="G55" s="369"/>
      <c r="H55" s="369"/>
      <c r="I55" s="369"/>
      <c r="J55" s="369"/>
      <c r="K55" s="759">
        <f>VLOOKUP('Part 1'!$L$16,Datasheet5!$B$6:$DH$332,AF55,FALSE)</f>
        <v>378544879</v>
      </c>
      <c r="L55" s="909"/>
      <c r="M55" s="64"/>
      <c r="N55" s="64"/>
      <c r="O55" s="759">
        <f>VLOOKUP('Part 1'!$L$16,Datasheet5!$B$6:$DH$332,AG55,FALSE)</f>
        <v>312587550</v>
      </c>
      <c r="P55" s="909"/>
      <c r="Q55" s="64"/>
      <c r="R55" s="64"/>
      <c r="S55" s="759">
        <f>VLOOKUP('Part 1'!$L$16,Datasheet5!$B$6:$DH$332,AH55,FALSE)</f>
        <v>61105262</v>
      </c>
      <c r="T55" s="909"/>
      <c r="U55" s="446"/>
      <c r="V55" s="64"/>
      <c r="W55" s="759">
        <f>VLOOKUP('Part 1'!$L$16,Datasheet5!$B$6:$DH$332,AI55,FALSE)</f>
        <v>4852072</v>
      </c>
      <c r="X55" s="909"/>
      <c r="Y55" s="64"/>
      <c r="Z55" s="450"/>
      <c r="AA55" s="759">
        <f>VLOOKUP('Part 1'!$L$16,Datasheet5!$B$6:$DH$332,AJ55,FALSE)</f>
        <v>757089763</v>
      </c>
      <c r="AB55" s="909"/>
      <c r="AC55" s="369"/>
      <c r="AD55" s="367"/>
      <c r="AE55" s="366"/>
      <c r="AF55" s="596">
        <v>57</v>
      </c>
      <c r="AG55" s="597">
        <v>58</v>
      </c>
      <c r="AH55" s="597">
        <v>59</v>
      </c>
      <c r="AI55" s="597">
        <v>60</v>
      </c>
      <c r="AJ55" s="597">
        <v>61</v>
      </c>
    </row>
    <row r="56" spans="1:36" s="368" customFormat="1" ht="15.75" thickBot="1" x14ac:dyDescent="0.25">
      <c r="A56" s="373"/>
      <c r="B56" s="369"/>
      <c r="C56" s="374"/>
      <c r="D56" s="374"/>
      <c r="E56" s="369"/>
      <c r="F56" s="369"/>
      <c r="G56" s="369"/>
      <c r="H56" s="369"/>
      <c r="I56" s="369"/>
      <c r="J56" s="369"/>
      <c r="K56" s="450"/>
      <c r="L56" s="450"/>
      <c r="M56" s="64"/>
      <c r="N56" s="450"/>
      <c r="O56" s="450"/>
      <c r="P56" s="450"/>
      <c r="Q56" s="64"/>
      <c r="R56" s="450"/>
      <c r="S56" s="450"/>
      <c r="T56" s="450"/>
      <c r="U56" s="446"/>
      <c r="V56" s="450"/>
      <c r="W56" s="450"/>
      <c r="X56" s="450"/>
      <c r="Y56" s="64"/>
      <c r="Z56" s="450"/>
      <c r="AA56" s="450"/>
      <c r="AB56" s="450"/>
      <c r="AC56" s="369"/>
      <c r="AD56" s="367"/>
      <c r="AE56" s="366"/>
      <c r="AF56" s="596"/>
      <c r="AG56" s="597"/>
      <c r="AH56" s="597"/>
      <c r="AI56" s="597"/>
      <c r="AJ56" s="597"/>
    </row>
    <row r="57" spans="1:36" s="368" customFormat="1" ht="16.5" thickBot="1" x14ac:dyDescent="0.25">
      <c r="A57" s="373"/>
      <c r="B57" s="369"/>
      <c r="C57" s="374"/>
      <c r="D57" s="366" t="s">
        <v>954</v>
      </c>
      <c r="E57" s="369"/>
      <c r="F57" s="369"/>
      <c r="G57" s="369"/>
      <c r="H57" s="369"/>
      <c r="I57" s="369"/>
      <c r="J57" s="369"/>
      <c r="K57" s="759">
        <f>VLOOKUP('Part 1'!$L$16,Datasheet5!$B$6:$DH$332,AF57,FALSE)</f>
        <v>-296618291</v>
      </c>
      <c r="L57" s="909"/>
      <c r="M57" s="64"/>
      <c r="N57" s="64"/>
      <c r="O57" s="759">
        <f>VLOOKUP('Part 1'!$L$16,Datasheet5!$B$6:$DH$332,AG57,FALSE)</f>
        <v>-254336848</v>
      </c>
      <c r="P57" s="909"/>
      <c r="Q57" s="64"/>
      <c r="R57" s="64"/>
      <c r="S57" s="759">
        <f>VLOOKUP('Part 1'!$L$16,Datasheet5!$B$6:$DH$332,AH57,FALSE)</f>
        <v>-38279771</v>
      </c>
      <c r="T57" s="909"/>
      <c r="U57" s="446"/>
      <c r="V57" s="64"/>
      <c r="W57" s="759">
        <f>VLOOKUP('Part 1'!$L$16,Datasheet5!$B$6:$DH$332,AI57,FALSE)</f>
        <v>-4001702</v>
      </c>
      <c r="X57" s="909"/>
      <c r="Y57" s="64"/>
      <c r="Z57" s="64"/>
      <c r="AA57" s="759">
        <f>VLOOKUP('Part 1'!$L$16,Datasheet5!$B$6:$DH$332,AJ57,FALSE)</f>
        <v>-593236612</v>
      </c>
      <c r="AB57" s="909"/>
      <c r="AC57" s="369"/>
      <c r="AD57" s="367"/>
      <c r="AE57" s="366"/>
      <c r="AF57" s="596">
        <v>62</v>
      </c>
      <c r="AG57" s="597">
        <v>63</v>
      </c>
      <c r="AH57" s="597">
        <v>64</v>
      </c>
      <c r="AI57" s="597">
        <v>65</v>
      </c>
      <c r="AJ57" s="597">
        <v>66</v>
      </c>
    </row>
    <row r="58" spans="1:36" s="368" customFormat="1" ht="15.75" thickBot="1" x14ac:dyDescent="0.25">
      <c r="A58" s="373"/>
      <c r="B58" s="369"/>
      <c r="C58" s="374"/>
      <c r="D58" s="374"/>
      <c r="E58" s="369"/>
      <c r="F58" s="369"/>
      <c r="G58" s="369"/>
      <c r="H58" s="369"/>
      <c r="I58" s="369"/>
      <c r="J58" s="369"/>
      <c r="K58" s="450"/>
      <c r="L58" s="450"/>
      <c r="M58" s="64"/>
      <c r="N58" s="450"/>
      <c r="O58" s="450"/>
      <c r="P58" s="450"/>
      <c r="Q58" s="64"/>
      <c r="R58" s="450"/>
      <c r="S58" s="450"/>
      <c r="T58" s="450"/>
      <c r="U58" s="446"/>
      <c r="V58" s="450"/>
      <c r="W58" s="450"/>
      <c r="X58" s="450"/>
      <c r="Y58" s="64"/>
      <c r="Z58" s="450"/>
      <c r="AA58" s="450"/>
      <c r="AB58" s="450"/>
      <c r="AC58" s="369"/>
      <c r="AD58" s="367"/>
      <c r="AE58" s="366"/>
      <c r="AF58" s="596"/>
      <c r="AG58" s="597"/>
      <c r="AH58" s="597"/>
      <c r="AI58" s="597"/>
      <c r="AJ58" s="597"/>
    </row>
    <row r="59" spans="1:36" s="368" customFormat="1" ht="16.5" thickBot="1" x14ac:dyDescent="0.25">
      <c r="A59" s="373"/>
      <c r="B59" s="369"/>
      <c r="C59" s="374"/>
      <c r="D59" s="366" t="s">
        <v>1315</v>
      </c>
      <c r="E59" s="369"/>
      <c r="F59" s="369"/>
      <c r="G59" s="369"/>
      <c r="H59" s="369"/>
      <c r="I59" s="369"/>
      <c r="J59" s="369"/>
      <c r="K59" s="759">
        <f>VLOOKUP('Part 1'!$L$16,Datasheet5!$B$6:$DH$332,AF59,FALSE)</f>
        <v>-1319286456.48</v>
      </c>
      <c r="L59" s="909"/>
      <c r="M59" s="64"/>
      <c r="N59" s="64"/>
      <c r="O59" s="759">
        <f>VLOOKUP('Part 1'!$L$16,Datasheet5!$B$6:$DH$332,AG59,FALSE)</f>
        <v>-1057734218</v>
      </c>
      <c r="P59" s="909"/>
      <c r="Q59" s="64"/>
      <c r="R59" s="64"/>
      <c r="S59" s="759">
        <f>VLOOKUP('Part 1'!$L$16,Datasheet5!$B$6:$DH$332,AH59,FALSE)</f>
        <v>-247449237</v>
      </c>
      <c r="T59" s="909"/>
      <c r="U59" s="446"/>
      <c r="V59" s="64"/>
      <c r="W59" s="759">
        <f>VLOOKUP('Part 1'!$L$16,Datasheet5!$B$6:$DH$332,AI59,FALSE)</f>
        <v>-14103042</v>
      </c>
      <c r="X59" s="909"/>
      <c r="Y59" s="64"/>
      <c r="Z59" s="64"/>
      <c r="AA59" s="759">
        <f>VLOOKUP('Part 1'!$L$16,Datasheet5!$B$6:$DH$332,AJ59,FALSE)</f>
        <v>-2638572951.2400002</v>
      </c>
      <c r="AB59" s="909"/>
      <c r="AC59" s="369"/>
      <c r="AD59" s="367"/>
      <c r="AE59" s="366"/>
      <c r="AF59" s="596">
        <v>67</v>
      </c>
      <c r="AG59" s="597">
        <v>68</v>
      </c>
      <c r="AH59" s="597">
        <v>69</v>
      </c>
      <c r="AI59" s="597">
        <v>70</v>
      </c>
      <c r="AJ59" s="597">
        <v>71</v>
      </c>
    </row>
    <row r="60" spans="1:36" ht="15.75" thickBot="1" x14ac:dyDescent="0.25">
      <c r="A60" s="14"/>
      <c r="B60" s="2"/>
      <c r="C60" s="18"/>
      <c r="D60" s="49"/>
      <c r="E60" s="127"/>
      <c r="F60" s="127"/>
      <c r="G60" s="127"/>
      <c r="H60" s="127"/>
      <c r="I60" s="127"/>
      <c r="J60" s="2"/>
      <c r="K60" s="2"/>
      <c r="L60" s="2"/>
      <c r="M60" s="351"/>
      <c r="N60" s="2"/>
      <c r="O60" s="2"/>
      <c r="P60" s="2"/>
      <c r="Q60" s="2"/>
      <c r="R60" s="2"/>
      <c r="S60" s="2"/>
      <c r="T60" s="2"/>
      <c r="U60" s="351"/>
      <c r="V60" s="2"/>
      <c r="W60" s="2"/>
      <c r="X60" s="2"/>
      <c r="Y60" s="351"/>
      <c r="Z60" s="2"/>
      <c r="AA60" s="2"/>
      <c r="AB60" s="2"/>
      <c r="AC60" s="2"/>
      <c r="AD60" s="8"/>
      <c r="AE60" s="6"/>
      <c r="AF60" s="595"/>
    </row>
    <row r="61" spans="1:36" ht="15.75" thickBot="1" x14ac:dyDescent="0.25">
      <c r="A61" s="457"/>
      <c r="B61" s="458"/>
      <c r="C61" s="418"/>
      <c r="D61" s="418"/>
      <c r="E61" s="458"/>
      <c r="F61" s="458"/>
      <c r="G61" s="458"/>
      <c r="H61" s="458"/>
      <c r="I61" s="458"/>
      <c r="J61" s="458"/>
      <c r="K61" s="458"/>
      <c r="L61" s="458"/>
      <c r="M61" s="459"/>
      <c r="N61" s="458"/>
      <c r="O61" s="458"/>
      <c r="P61" s="458"/>
      <c r="Q61" s="458"/>
      <c r="R61" s="458"/>
      <c r="S61" s="458"/>
      <c r="T61" s="458"/>
      <c r="U61" s="458"/>
      <c r="V61" s="458"/>
      <c r="W61" s="458"/>
      <c r="X61" s="458"/>
      <c r="Y61" s="458"/>
      <c r="Z61" s="458"/>
      <c r="AA61" s="458"/>
      <c r="AB61" s="458"/>
      <c r="AC61" s="458"/>
      <c r="AD61" s="460"/>
      <c r="AE61" s="6"/>
      <c r="AF61" s="595"/>
    </row>
    <row r="62" spans="1:36" x14ac:dyDescent="0.2">
      <c r="A62" s="14"/>
      <c r="B62" s="2"/>
      <c r="C62" s="461"/>
      <c r="D62" s="462"/>
      <c r="E62" s="463"/>
      <c r="F62" s="463"/>
      <c r="G62" s="463"/>
      <c r="H62" s="463"/>
      <c r="I62" s="463"/>
      <c r="J62" s="463"/>
      <c r="K62" s="463"/>
      <c r="L62" s="463"/>
      <c r="M62" s="464"/>
      <c r="N62" s="463"/>
      <c r="O62" s="463"/>
      <c r="P62" s="463"/>
      <c r="Q62" s="463"/>
      <c r="R62" s="463"/>
      <c r="S62" s="463"/>
      <c r="T62" s="463"/>
      <c r="U62" s="463"/>
      <c r="V62" s="463"/>
      <c r="W62" s="463"/>
      <c r="X62" s="463"/>
      <c r="Y62" s="463"/>
      <c r="Z62" s="463"/>
      <c r="AA62" s="463"/>
      <c r="AB62" s="463"/>
      <c r="AC62" s="465"/>
      <c r="AD62" s="8"/>
      <c r="AE62" s="6"/>
      <c r="AF62" s="595"/>
    </row>
    <row r="63" spans="1:36" ht="15.75" x14ac:dyDescent="0.25">
      <c r="A63" s="14"/>
      <c r="B63" s="2"/>
      <c r="C63" s="466" t="s">
        <v>987</v>
      </c>
      <c r="D63" s="467"/>
      <c r="E63" s="468"/>
      <c r="F63" s="468"/>
      <c r="G63" s="468"/>
      <c r="H63" s="468"/>
      <c r="I63" s="468"/>
      <c r="J63" s="468"/>
      <c r="K63" s="468"/>
      <c r="L63" s="468"/>
      <c r="M63" s="469"/>
      <c r="N63" s="468"/>
      <c r="O63" s="468"/>
      <c r="P63" s="468"/>
      <c r="Q63" s="468"/>
      <c r="R63" s="468"/>
      <c r="S63" s="468"/>
      <c r="T63" s="468"/>
      <c r="U63" s="468"/>
      <c r="V63" s="468"/>
      <c r="W63" s="468"/>
      <c r="X63" s="468"/>
      <c r="Y63" s="468"/>
      <c r="Z63" s="468"/>
      <c r="AA63" s="468"/>
      <c r="AB63" s="468"/>
      <c r="AC63" s="470"/>
      <c r="AD63" s="8"/>
      <c r="AE63" s="6"/>
      <c r="AF63" s="595"/>
    </row>
    <row r="64" spans="1:36" ht="15.75" x14ac:dyDescent="0.25">
      <c r="A64" s="14"/>
      <c r="B64" s="2"/>
      <c r="C64" s="466"/>
      <c r="D64" s="467"/>
      <c r="E64" s="468"/>
      <c r="F64" s="468"/>
      <c r="G64" s="468"/>
      <c r="H64" s="468"/>
      <c r="I64" s="468"/>
      <c r="J64" s="468"/>
      <c r="K64" s="468"/>
      <c r="L64" s="468"/>
      <c r="M64" s="469"/>
      <c r="N64" s="468"/>
      <c r="O64" s="468"/>
      <c r="P64" s="468"/>
      <c r="Q64" s="468"/>
      <c r="R64" s="468"/>
      <c r="S64" s="468"/>
      <c r="T64" s="468"/>
      <c r="U64" s="468"/>
      <c r="V64" s="468"/>
      <c r="W64" s="468"/>
      <c r="X64" s="468"/>
      <c r="Y64" s="468"/>
      <c r="Z64" s="468"/>
      <c r="AA64" s="468"/>
      <c r="AB64" s="468"/>
      <c r="AC64" s="470"/>
      <c r="AD64" s="8"/>
      <c r="AE64" s="6"/>
      <c r="AF64" s="595"/>
    </row>
    <row r="65" spans="1:36" ht="15.75" x14ac:dyDescent="0.25">
      <c r="A65" s="14"/>
      <c r="B65" s="2"/>
      <c r="C65" s="466"/>
      <c r="D65" s="467"/>
      <c r="E65" s="468"/>
      <c r="F65" s="468"/>
      <c r="G65" s="468"/>
      <c r="H65" s="468"/>
      <c r="I65" s="468"/>
      <c r="J65" s="468"/>
      <c r="K65" s="925" t="s">
        <v>6</v>
      </c>
      <c r="L65" s="926"/>
      <c r="M65" s="577"/>
      <c r="N65" s="578"/>
      <c r="O65" s="925" t="str">
        <f>VLOOKUP('Part 1'!$L$16,Datasheet1!$B$6:$R$332,15,FALSE)</f>
        <v>-</v>
      </c>
      <c r="P65" s="926"/>
      <c r="Q65" s="577"/>
      <c r="R65" s="579"/>
      <c r="S65" s="925" t="str">
        <f>VLOOKUP('Part 1'!$L$16,Datasheet1!$B$6:$R$332,16,FALSE)</f>
        <v>-</v>
      </c>
      <c r="T65" s="926"/>
      <c r="U65" s="577"/>
      <c r="V65" s="579"/>
      <c r="W65" s="925" t="str">
        <f>VLOOKUP('Part 1'!$L$16,Datasheet1!$B$6:$R$332,17,FALSE)</f>
        <v>-</v>
      </c>
      <c r="X65" s="926"/>
      <c r="Y65" s="577"/>
      <c r="Z65" s="578"/>
      <c r="AA65" s="925" t="s">
        <v>7</v>
      </c>
      <c r="AB65" s="925"/>
      <c r="AC65" s="470"/>
      <c r="AD65" s="8"/>
      <c r="AE65" s="6"/>
      <c r="AF65" s="595"/>
    </row>
    <row r="66" spans="1:36" ht="15.75" x14ac:dyDescent="0.25">
      <c r="A66" s="14"/>
      <c r="B66" s="2"/>
      <c r="C66" s="471"/>
      <c r="D66" s="467"/>
      <c r="E66" s="468"/>
      <c r="F66" s="468"/>
      <c r="G66" s="468"/>
      <c r="H66" s="468"/>
      <c r="I66" s="468"/>
      <c r="J66" s="468"/>
      <c r="K66" s="926"/>
      <c r="L66" s="926"/>
      <c r="M66" s="577"/>
      <c r="N66" s="578"/>
      <c r="O66" s="926"/>
      <c r="P66" s="926"/>
      <c r="Q66" s="577"/>
      <c r="R66" s="579"/>
      <c r="S66" s="926"/>
      <c r="T66" s="926"/>
      <c r="U66" s="577"/>
      <c r="V66" s="579"/>
      <c r="W66" s="926"/>
      <c r="X66" s="926"/>
      <c r="Y66" s="577"/>
      <c r="Z66" s="579"/>
      <c r="AA66" s="579"/>
      <c r="AB66" s="579"/>
      <c r="AC66" s="470"/>
      <c r="AD66" s="8"/>
      <c r="AE66" s="6"/>
      <c r="AF66" s="595"/>
    </row>
    <row r="67" spans="1:36" ht="16.5" thickBot="1" x14ac:dyDescent="0.3">
      <c r="A67" s="14"/>
      <c r="B67" s="2"/>
      <c r="C67" s="471"/>
      <c r="D67" s="472" t="s">
        <v>988</v>
      </c>
      <c r="E67" s="468"/>
      <c r="F67" s="468"/>
      <c r="G67" s="468"/>
      <c r="H67" s="468"/>
      <c r="I67" s="468"/>
      <c r="J67" s="468"/>
      <c r="K67" s="927" t="s">
        <v>20</v>
      </c>
      <c r="L67" s="927"/>
      <c r="M67" s="469"/>
      <c r="N67" s="468"/>
      <c r="O67" s="927" t="s">
        <v>20</v>
      </c>
      <c r="P67" s="927"/>
      <c r="Q67" s="468"/>
      <c r="R67" s="468"/>
      <c r="S67" s="927" t="s">
        <v>20</v>
      </c>
      <c r="T67" s="927"/>
      <c r="U67" s="468"/>
      <c r="V67" s="468"/>
      <c r="W67" s="927" t="s">
        <v>20</v>
      </c>
      <c r="X67" s="927"/>
      <c r="Y67" s="468"/>
      <c r="Z67" s="468"/>
      <c r="AA67" s="927" t="s">
        <v>20</v>
      </c>
      <c r="AB67" s="927"/>
      <c r="AC67" s="470"/>
      <c r="AD67" s="8"/>
      <c r="AE67" s="6"/>
      <c r="AF67" s="595"/>
    </row>
    <row r="68" spans="1:36" ht="16.5" thickBot="1" x14ac:dyDescent="0.25">
      <c r="A68" s="14"/>
      <c r="B68" s="2"/>
      <c r="C68" s="471"/>
      <c r="D68" s="473" t="s">
        <v>1316</v>
      </c>
      <c r="E68" s="474"/>
      <c r="F68" s="474"/>
      <c r="G68" s="474"/>
      <c r="H68" s="474"/>
      <c r="I68" s="474"/>
      <c r="J68" s="474"/>
      <c r="K68" s="922">
        <f>VLOOKUP('Part 1'!$L$16,Datasheet5!$B$6:$DH$332,AF68,FALSE)</f>
        <v>-842981421.09100044</v>
      </c>
      <c r="L68" s="923"/>
      <c r="M68" s="469"/>
      <c r="N68" s="468"/>
      <c r="O68" s="918">
        <f>VLOOKUP('Part 1'!$L$16,Datasheet5!$B$6:$DH$332,AG68,FALSE)</f>
        <v>-674718024</v>
      </c>
      <c r="P68" s="919"/>
      <c r="Q68" s="468"/>
      <c r="R68" s="468"/>
      <c r="S68" s="918">
        <f>VLOOKUP('Part 1'!$L$16,Datasheet5!$B$6:$DH$332,AH68,FALSE)</f>
        <v>-159347920</v>
      </c>
      <c r="T68" s="919"/>
      <c r="U68" s="468"/>
      <c r="V68" s="468"/>
      <c r="W68" s="918">
        <f>VLOOKUP('Part 1'!$L$16,Datasheet5!$B$6:$DH$332,AI68,FALSE)</f>
        <v>-9401044</v>
      </c>
      <c r="X68" s="919"/>
      <c r="Y68" s="468"/>
      <c r="Z68" s="468"/>
      <c r="AA68" s="920">
        <f>VLOOKUP('Part 1'!$L$16,Datasheet5!$B$6:$DH$332,AJ68,FALSE)</f>
        <v>-1686448409.0910006</v>
      </c>
      <c r="AB68" s="921"/>
      <c r="AC68" s="470"/>
      <c r="AD68" s="8"/>
      <c r="AE68" s="6"/>
      <c r="AF68" s="595">
        <v>72</v>
      </c>
      <c r="AG68" s="594">
        <v>73</v>
      </c>
      <c r="AH68" s="594">
        <v>74</v>
      </c>
      <c r="AI68" s="594">
        <v>75</v>
      </c>
      <c r="AJ68" s="594">
        <v>76</v>
      </c>
    </row>
    <row r="69" spans="1:36" ht="15.75" thickBot="1" x14ac:dyDescent="0.25">
      <c r="A69" s="14"/>
      <c r="B69" s="2"/>
      <c r="C69" s="471"/>
      <c r="D69" s="467"/>
      <c r="E69" s="468"/>
      <c r="F69" s="468"/>
      <c r="G69" s="468"/>
      <c r="H69" s="468"/>
      <c r="I69" s="468"/>
      <c r="J69" s="468"/>
      <c r="K69" s="468"/>
      <c r="L69" s="468"/>
      <c r="M69" s="469"/>
      <c r="N69" s="468"/>
      <c r="O69" s="468"/>
      <c r="P69" s="468"/>
      <c r="Q69" s="468"/>
      <c r="R69" s="468"/>
      <c r="S69" s="468"/>
      <c r="T69" s="468"/>
      <c r="U69" s="468"/>
      <c r="V69" s="468"/>
      <c r="W69" s="468"/>
      <c r="X69" s="468"/>
      <c r="Y69" s="468"/>
      <c r="Z69" s="468"/>
      <c r="AA69" s="468"/>
      <c r="AB69" s="468"/>
      <c r="AC69" s="470"/>
      <c r="AD69" s="8"/>
      <c r="AE69" s="6"/>
      <c r="AF69" s="595"/>
    </row>
    <row r="70" spans="1:36" ht="16.5" thickBot="1" x14ac:dyDescent="0.25">
      <c r="A70" s="14"/>
      <c r="B70" s="2"/>
      <c r="C70" s="471"/>
      <c r="D70" s="473" t="s">
        <v>1317</v>
      </c>
      <c r="E70" s="474"/>
      <c r="F70" s="474"/>
      <c r="G70" s="474"/>
      <c r="H70" s="474"/>
      <c r="I70" s="474"/>
      <c r="J70" s="474"/>
      <c r="K70" s="922">
        <f>VLOOKUP('Part 1'!$L$16,Datasheet5!$B$6:$DH$332,AF70,FALSE)</f>
        <v>-628754477.10100031</v>
      </c>
      <c r="L70" s="923"/>
      <c r="M70" s="469"/>
      <c r="N70" s="468"/>
      <c r="O70" s="918">
        <f>VLOOKUP('Part 1'!$L$16,Datasheet5!$B$6:$DH$332,AG70,FALSE)</f>
        <v>-507788048</v>
      </c>
      <c r="P70" s="919"/>
      <c r="Q70" s="468"/>
      <c r="R70" s="468"/>
      <c r="S70" s="918">
        <f>VLOOKUP('Part 1'!$L$16,Datasheet5!$B$6:$DH$332,AH70,FALSE)</f>
        <v>-113856664</v>
      </c>
      <c r="T70" s="919"/>
      <c r="U70" s="468"/>
      <c r="V70" s="468"/>
      <c r="W70" s="918">
        <f>VLOOKUP('Part 1'!$L$16,Datasheet5!$B$6:$DH$332,AI70,FALSE)</f>
        <v>-7109788</v>
      </c>
      <c r="X70" s="919"/>
      <c r="Y70" s="468"/>
      <c r="Z70" s="468"/>
      <c r="AA70" s="920">
        <f>VLOOKUP('Part 1'!$L$16,Datasheet5!$B$6:$DH$332,AJ70,FALSE)</f>
        <v>-1257508977.1010003</v>
      </c>
      <c r="AB70" s="921"/>
      <c r="AC70" s="470"/>
      <c r="AD70" s="8"/>
      <c r="AE70" s="6"/>
      <c r="AF70" s="595">
        <v>77</v>
      </c>
      <c r="AG70" s="594">
        <v>78</v>
      </c>
      <c r="AH70" s="594">
        <v>79</v>
      </c>
      <c r="AI70" s="594">
        <v>80</v>
      </c>
      <c r="AJ70" s="594">
        <v>81</v>
      </c>
    </row>
    <row r="71" spans="1:36" ht="15.75" thickBot="1" x14ac:dyDescent="0.25">
      <c r="A71" s="14"/>
      <c r="B71" s="2"/>
      <c r="C71" s="471"/>
      <c r="D71" s="467"/>
      <c r="E71" s="468"/>
      <c r="F71" s="468"/>
      <c r="G71" s="468"/>
      <c r="H71" s="468"/>
      <c r="I71" s="468"/>
      <c r="J71" s="468"/>
      <c r="K71" s="468"/>
      <c r="L71" s="468"/>
      <c r="M71" s="469"/>
      <c r="N71" s="468"/>
      <c r="O71" s="468"/>
      <c r="P71" s="468"/>
      <c r="Q71" s="468"/>
      <c r="R71" s="468"/>
      <c r="S71" s="468"/>
      <c r="T71" s="468"/>
      <c r="U71" s="468"/>
      <c r="V71" s="468"/>
      <c r="W71" s="468"/>
      <c r="X71" s="468"/>
      <c r="Y71" s="468"/>
      <c r="Z71" s="468"/>
      <c r="AA71" s="468"/>
      <c r="AB71" s="468"/>
      <c r="AC71" s="470"/>
      <c r="AD71" s="8"/>
      <c r="AE71" s="6"/>
      <c r="AF71" s="595"/>
    </row>
    <row r="72" spans="1:36" ht="16.5" thickBot="1" x14ac:dyDescent="0.25">
      <c r="A72" s="14"/>
      <c r="B72" s="2"/>
      <c r="C72" s="471"/>
      <c r="D72" s="924" t="s">
        <v>1023</v>
      </c>
      <c r="E72" s="917"/>
      <c r="F72" s="917"/>
      <c r="G72" s="917"/>
      <c r="H72" s="917"/>
      <c r="I72" s="482"/>
      <c r="J72" s="474"/>
      <c r="K72" s="918">
        <f>VLOOKUP('Part 1'!$L$16,Datasheet5!$B$6:$DH$332,AF72,FALSE)</f>
        <v>-214226943.98999998</v>
      </c>
      <c r="L72" s="919"/>
      <c r="M72" s="469"/>
      <c r="N72" s="468"/>
      <c r="O72" s="918">
        <f>VLOOKUP('Part 1'!$L$16,Datasheet5!$B$6:$DH$332,AG72,FALSE)</f>
        <v>-166929976</v>
      </c>
      <c r="P72" s="919"/>
      <c r="Q72" s="468"/>
      <c r="R72" s="468"/>
      <c r="S72" s="918">
        <f>VLOOKUP('Part 1'!$L$16,Datasheet5!$B$6:$DH$332,AH72,FALSE)</f>
        <v>-45491256</v>
      </c>
      <c r="T72" s="919"/>
      <c r="U72" s="468"/>
      <c r="V72" s="468"/>
      <c r="W72" s="918">
        <f>VLOOKUP('Part 1'!$L$16,Datasheet5!$B$6:$DH$332,AI72,FALSE)</f>
        <v>-2291256</v>
      </c>
      <c r="X72" s="919"/>
      <c r="Y72" s="468"/>
      <c r="Z72" s="468"/>
      <c r="AA72" s="918">
        <f>VLOOKUP('Part 1'!$L$16,Datasheet5!$B$6:$DH$332,AJ72,FALSE)</f>
        <v>-428939431.99000001</v>
      </c>
      <c r="AB72" s="919"/>
      <c r="AC72" s="470"/>
      <c r="AD72" s="8"/>
      <c r="AE72" s="6"/>
      <c r="AF72" s="595">
        <v>82</v>
      </c>
      <c r="AG72" s="594">
        <v>83</v>
      </c>
      <c r="AH72" s="594">
        <v>84</v>
      </c>
      <c r="AI72" s="594">
        <v>85</v>
      </c>
      <c r="AJ72" s="594">
        <v>86</v>
      </c>
    </row>
    <row r="73" spans="1:36" x14ac:dyDescent="0.2">
      <c r="A73" s="14"/>
      <c r="B73" s="2"/>
      <c r="C73" s="471"/>
      <c r="D73" s="917"/>
      <c r="E73" s="917"/>
      <c r="F73" s="917"/>
      <c r="G73" s="917"/>
      <c r="H73" s="917"/>
      <c r="I73" s="482"/>
      <c r="J73" s="468"/>
      <c r="K73" s="468"/>
      <c r="L73" s="468"/>
      <c r="M73" s="469"/>
      <c r="N73" s="468"/>
      <c r="O73" s="468"/>
      <c r="P73" s="468"/>
      <c r="Q73" s="468"/>
      <c r="R73" s="468"/>
      <c r="S73" s="468"/>
      <c r="T73" s="468"/>
      <c r="U73" s="468"/>
      <c r="V73" s="468"/>
      <c r="W73" s="468"/>
      <c r="X73" s="468"/>
      <c r="Y73" s="468"/>
      <c r="Z73" s="468"/>
      <c r="AA73" s="468"/>
      <c r="AB73" s="468"/>
      <c r="AC73" s="470"/>
      <c r="AD73" s="8"/>
      <c r="AE73" s="6"/>
      <c r="AF73" s="595"/>
    </row>
    <row r="74" spans="1:36" ht="15.75" thickBot="1" x14ac:dyDescent="0.25">
      <c r="A74" s="14"/>
      <c r="B74" s="2"/>
      <c r="C74" s="471"/>
      <c r="D74" s="467"/>
      <c r="E74" s="468"/>
      <c r="F74" s="468"/>
      <c r="G74" s="468"/>
      <c r="H74" s="468"/>
      <c r="I74" s="468"/>
      <c r="J74" s="468"/>
      <c r="K74" s="468"/>
      <c r="L74" s="468"/>
      <c r="M74" s="469"/>
      <c r="N74" s="468"/>
      <c r="O74" s="468"/>
      <c r="P74" s="468"/>
      <c r="Q74" s="468"/>
      <c r="R74" s="468"/>
      <c r="S74" s="468"/>
      <c r="T74" s="468"/>
      <c r="U74" s="468"/>
      <c r="V74" s="468"/>
      <c r="W74" s="468"/>
      <c r="X74" s="468"/>
      <c r="Y74" s="468"/>
      <c r="Z74" s="468"/>
      <c r="AA74" s="468"/>
      <c r="AB74" s="468"/>
      <c r="AC74" s="470"/>
      <c r="AD74" s="8"/>
      <c r="AE74" s="6"/>
      <c r="AF74" s="595"/>
    </row>
    <row r="75" spans="1:36" ht="16.5" thickBot="1" x14ac:dyDescent="0.25">
      <c r="A75" s="14"/>
      <c r="B75" s="2"/>
      <c r="C75" s="471"/>
      <c r="D75" s="475" t="s">
        <v>1318</v>
      </c>
      <c r="E75" s="468"/>
      <c r="F75" s="468"/>
      <c r="G75" s="468"/>
      <c r="H75" s="468"/>
      <c r="I75" s="468"/>
      <c r="J75" s="468"/>
      <c r="K75" s="922">
        <f>VLOOKUP('Part 1'!$L$16,Datasheet5!$B$6:$DH$332,AF75,FALSE)</f>
        <v>11753484229</v>
      </c>
      <c r="L75" s="923"/>
      <c r="M75" s="469"/>
      <c r="N75" s="468"/>
      <c r="O75" s="918">
        <f>VLOOKUP('Part 1'!$L$16,Datasheet5!$B$6:$DH$332,AG75,FALSE)</f>
        <v>9525063178</v>
      </c>
      <c r="P75" s="919"/>
      <c r="Q75" s="468"/>
      <c r="R75" s="468"/>
      <c r="S75" s="918">
        <f>VLOOKUP('Part 1'!$L$16,Datasheet5!$B$6:$DH$332,AH75,FALSE)</f>
        <v>2097741538</v>
      </c>
      <c r="T75" s="919"/>
      <c r="U75" s="468"/>
      <c r="V75" s="468"/>
      <c r="W75" s="918">
        <f>VLOOKUP('Part 1'!$L$16,Datasheet5!$B$6:$DH$332,AI75,FALSE)</f>
        <v>130679503</v>
      </c>
      <c r="X75" s="919"/>
      <c r="Y75" s="468"/>
      <c r="Z75" s="468"/>
      <c r="AA75" s="920">
        <f>VLOOKUP('Part 1'!$L$16,Datasheet5!$B$6:$DH$332,AJ75,FALSE)</f>
        <v>23506968448</v>
      </c>
      <c r="AB75" s="921"/>
      <c r="AC75" s="470"/>
      <c r="AD75" s="8"/>
      <c r="AE75" s="6"/>
      <c r="AF75" s="595">
        <v>87</v>
      </c>
      <c r="AG75" s="594">
        <v>88</v>
      </c>
      <c r="AH75" s="594">
        <v>89</v>
      </c>
      <c r="AI75" s="594">
        <v>90</v>
      </c>
      <c r="AJ75" s="594">
        <v>91</v>
      </c>
    </row>
    <row r="76" spans="1:36" ht="15.75" thickBot="1" x14ac:dyDescent="0.25">
      <c r="A76" s="14"/>
      <c r="B76" s="2"/>
      <c r="C76" s="471"/>
      <c r="D76" s="467"/>
      <c r="E76" s="468"/>
      <c r="F76" s="468"/>
      <c r="G76" s="468"/>
      <c r="H76" s="468"/>
      <c r="I76" s="468"/>
      <c r="J76" s="468"/>
      <c r="K76" s="468"/>
      <c r="L76" s="468"/>
      <c r="M76" s="469"/>
      <c r="N76" s="468"/>
      <c r="O76" s="468"/>
      <c r="P76" s="468"/>
      <c r="Q76" s="468"/>
      <c r="R76" s="468"/>
      <c r="S76" s="468"/>
      <c r="T76" s="468"/>
      <c r="U76" s="468"/>
      <c r="V76" s="468"/>
      <c r="W76" s="468"/>
      <c r="X76" s="468"/>
      <c r="Y76" s="468"/>
      <c r="Z76" s="468"/>
      <c r="AA76" s="468"/>
      <c r="AB76" s="468"/>
      <c r="AC76" s="470"/>
      <c r="AD76" s="8"/>
      <c r="AE76" s="6"/>
      <c r="AF76" s="595"/>
    </row>
    <row r="77" spans="1:36" ht="16.5" thickBot="1" x14ac:dyDescent="0.25">
      <c r="A77" s="14"/>
      <c r="B77" s="2"/>
      <c r="C77" s="471"/>
      <c r="D77" s="475" t="s">
        <v>1319</v>
      </c>
      <c r="E77" s="468"/>
      <c r="F77" s="468"/>
      <c r="G77" s="468"/>
      <c r="H77" s="468"/>
      <c r="I77" s="468"/>
      <c r="J77" s="468"/>
      <c r="K77" s="918">
        <f>VLOOKUP('Part 1'!$L$16,Datasheet5!$B$6:$DH$332,AF77,FALSE)</f>
        <v>11792677953.889999</v>
      </c>
      <c r="L77" s="919"/>
      <c r="M77" s="469"/>
      <c r="N77" s="468"/>
      <c r="O77" s="918">
        <f>VLOOKUP('Part 1'!$L$16,Datasheet5!$B$6:$DH$332,AG77,FALSE)</f>
        <v>9531744493</v>
      </c>
      <c r="P77" s="919"/>
      <c r="Q77" s="468"/>
      <c r="R77" s="468"/>
      <c r="S77" s="918">
        <f>VLOOKUP('Part 1'!$L$16,Datasheet5!$B$6:$DH$332,AH77,FALSE)</f>
        <v>2130732697</v>
      </c>
      <c r="T77" s="919"/>
      <c r="U77" s="468"/>
      <c r="V77" s="468"/>
      <c r="W77" s="918">
        <f>VLOOKUP('Part 1'!$L$16,Datasheet5!$B$6:$DH$332,AI77,FALSE)</f>
        <v>130200777</v>
      </c>
      <c r="X77" s="919"/>
      <c r="Y77" s="468"/>
      <c r="Z77" s="468"/>
      <c r="AA77" s="918">
        <f>VLOOKUP('Part 1'!$L$16,Datasheet5!$B$6:$DH$332,AJ77,FALSE)</f>
        <v>23585355920.889999</v>
      </c>
      <c r="AB77" s="919"/>
      <c r="AC77" s="470"/>
      <c r="AD77" s="8"/>
      <c r="AE77" s="6"/>
      <c r="AF77" s="595">
        <v>92</v>
      </c>
      <c r="AG77" s="594">
        <v>93</v>
      </c>
      <c r="AH77" s="594">
        <v>94</v>
      </c>
      <c r="AI77" s="594">
        <v>95</v>
      </c>
      <c r="AJ77" s="594">
        <v>96</v>
      </c>
    </row>
    <row r="78" spans="1:36" ht="15.75" thickBot="1" x14ac:dyDescent="0.25">
      <c r="A78" s="14"/>
      <c r="B78" s="2"/>
      <c r="C78" s="471"/>
      <c r="D78" s="467"/>
      <c r="E78" s="468"/>
      <c r="F78" s="468"/>
      <c r="G78" s="468"/>
      <c r="H78" s="468"/>
      <c r="I78" s="468"/>
      <c r="J78" s="468"/>
      <c r="K78" s="468"/>
      <c r="L78" s="468"/>
      <c r="M78" s="469"/>
      <c r="N78" s="468"/>
      <c r="O78" s="468"/>
      <c r="P78" s="468"/>
      <c r="Q78" s="468"/>
      <c r="R78" s="468"/>
      <c r="S78" s="468"/>
      <c r="T78" s="468"/>
      <c r="U78" s="468"/>
      <c r="V78" s="468"/>
      <c r="W78" s="468"/>
      <c r="X78" s="468"/>
      <c r="Y78" s="468"/>
      <c r="Z78" s="468"/>
      <c r="AA78" s="468"/>
      <c r="AB78" s="468"/>
      <c r="AC78" s="470"/>
      <c r="AD78" s="8"/>
      <c r="AE78" s="6"/>
      <c r="AF78" s="595"/>
    </row>
    <row r="79" spans="1:36" ht="16.5" thickBot="1" x14ac:dyDescent="0.25">
      <c r="A79" s="14"/>
      <c r="B79" s="2"/>
      <c r="C79" s="471"/>
      <c r="D79" s="483" t="s">
        <v>1022</v>
      </c>
      <c r="E79" s="468"/>
      <c r="F79" s="468"/>
      <c r="G79" s="468"/>
      <c r="H79" s="468"/>
      <c r="I79" s="468"/>
      <c r="J79" s="468"/>
      <c r="K79" s="918">
        <f>VLOOKUP('Part 1'!$L$16,Datasheet5!$B$6:$DH$332,AF79,FALSE)</f>
        <v>39193724.890000001</v>
      </c>
      <c r="L79" s="919"/>
      <c r="M79" s="469"/>
      <c r="N79" s="468"/>
      <c r="O79" s="918">
        <f>VLOOKUP('Part 1'!$L$16,Datasheet5!$B$6:$DH$332,AG79,FALSE)</f>
        <v>6681315</v>
      </c>
      <c r="P79" s="919"/>
      <c r="Q79" s="468"/>
      <c r="R79" s="468"/>
      <c r="S79" s="918">
        <f>VLOOKUP('Part 1'!$L$16,Datasheet5!$B$6:$DH$332,AH79,FALSE)</f>
        <v>32991159</v>
      </c>
      <c r="T79" s="919"/>
      <c r="U79" s="468"/>
      <c r="V79" s="468"/>
      <c r="W79" s="918">
        <f>VLOOKUP('Part 1'!$L$16,Datasheet5!$B$6:$DH$332,AI79,FALSE)</f>
        <v>-478726</v>
      </c>
      <c r="X79" s="919"/>
      <c r="Y79" s="468"/>
      <c r="Z79" s="468"/>
      <c r="AA79" s="918">
        <f>VLOOKUP('Part 1'!$L$16,Datasheet5!$B$6:$DH$332,AJ79,FALSE)</f>
        <v>78387472.890000001</v>
      </c>
      <c r="AB79" s="919"/>
      <c r="AC79" s="470"/>
      <c r="AD79" s="8"/>
      <c r="AE79" s="6"/>
      <c r="AF79" s="594">
        <v>97</v>
      </c>
      <c r="AG79" s="594">
        <v>98</v>
      </c>
      <c r="AH79" s="594">
        <v>99</v>
      </c>
      <c r="AI79" s="594">
        <v>100</v>
      </c>
      <c r="AJ79" s="594">
        <v>101</v>
      </c>
    </row>
    <row r="80" spans="1:36" ht="15.75" thickBot="1" x14ac:dyDescent="0.25">
      <c r="A80" s="14"/>
      <c r="B80" s="2"/>
      <c r="C80" s="471"/>
      <c r="D80" s="467"/>
      <c r="E80" s="468"/>
      <c r="F80" s="468"/>
      <c r="G80" s="468"/>
      <c r="H80" s="468"/>
      <c r="I80" s="468"/>
      <c r="J80" s="468"/>
      <c r="K80" s="468"/>
      <c r="L80" s="468"/>
      <c r="M80" s="469"/>
      <c r="N80" s="468"/>
      <c r="O80" s="468"/>
      <c r="P80" s="468"/>
      <c r="Q80" s="468"/>
      <c r="R80" s="468"/>
      <c r="S80" s="468"/>
      <c r="T80" s="468"/>
      <c r="U80" s="468"/>
      <c r="V80" s="468"/>
      <c r="W80" s="468"/>
      <c r="X80" s="468"/>
      <c r="Y80" s="468"/>
      <c r="Z80" s="468"/>
      <c r="AA80" s="468"/>
      <c r="AB80" s="468"/>
      <c r="AC80" s="470"/>
      <c r="AD80" s="8"/>
      <c r="AE80" s="6"/>
      <c r="AF80" s="595"/>
    </row>
    <row r="81" spans="1:36" ht="16.5" thickBot="1" x14ac:dyDescent="0.25">
      <c r="A81" s="14"/>
      <c r="B81" s="2"/>
      <c r="C81" s="471"/>
      <c r="D81" s="475" t="s">
        <v>1320</v>
      </c>
      <c r="E81" s="468"/>
      <c r="F81" s="468"/>
      <c r="G81" s="468"/>
      <c r="H81" s="468"/>
      <c r="I81" s="468"/>
      <c r="J81" s="468"/>
      <c r="K81" s="918">
        <f>VLOOKUP('Part 1'!$L$16,Datasheet5!$B$6:$DH$332,AF81,FALSE)</f>
        <v>-175033219.09999996</v>
      </c>
      <c r="L81" s="919"/>
      <c r="M81" s="469"/>
      <c r="N81" s="468"/>
      <c r="O81" s="918">
        <f>VLOOKUP('Part 1'!$L$16,Datasheet5!$B$6:$DH$332,AG81,FALSE)</f>
        <v>-160248661</v>
      </c>
      <c r="P81" s="919"/>
      <c r="Q81" s="468"/>
      <c r="R81" s="468"/>
      <c r="S81" s="918">
        <f>VLOOKUP('Part 1'!$L$16,Datasheet5!$B$6:$DH$332,AH81,FALSE)</f>
        <v>-12500097</v>
      </c>
      <c r="T81" s="919"/>
      <c r="U81" s="468"/>
      <c r="V81" s="468"/>
      <c r="W81" s="918">
        <f>VLOOKUP('Part 1'!$L$16,Datasheet5!$B$6:$DH$332,AI81,FALSE)</f>
        <v>-2769982</v>
      </c>
      <c r="X81" s="919"/>
      <c r="Y81" s="468"/>
      <c r="Z81" s="468"/>
      <c r="AA81" s="918">
        <f>VLOOKUP('Part 1'!$L$16,Datasheet5!$B$6:$DH$332,AJ81,FALSE)</f>
        <v>-350551959.10000002</v>
      </c>
      <c r="AB81" s="919"/>
      <c r="AC81" s="470"/>
      <c r="AD81" s="8"/>
      <c r="AE81" s="6"/>
      <c r="AF81" s="594">
        <v>102</v>
      </c>
      <c r="AG81" s="594">
        <v>103</v>
      </c>
      <c r="AH81" s="594">
        <v>104</v>
      </c>
      <c r="AI81" s="594">
        <v>105</v>
      </c>
      <c r="AJ81" s="594">
        <v>106</v>
      </c>
    </row>
    <row r="82" spans="1:36" ht="15.75" thickBot="1" x14ac:dyDescent="0.25">
      <c r="A82" s="14"/>
      <c r="B82" s="2"/>
      <c r="C82" s="476"/>
      <c r="D82" s="477"/>
      <c r="E82" s="478"/>
      <c r="F82" s="478"/>
      <c r="G82" s="478"/>
      <c r="H82" s="478"/>
      <c r="I82" s="478"/>
      <c r="J82" s="478"/>
      <c r="K82" s="478"/>
      <c r="L82" s="478"/>
      <c r="M82" s="479"/>
      <c r="N82" s="478"/>
      <c r="O82" s="478"/>
      <c r="P82" s="478"/>
      <c r="Q82" s="478"/>
      <c r="R82" s="478"/>
      <c r="S82" s="478"/>
      <c r="T82" s="478"/>
      <c r="U82" s="478"/>
      <c r="V82" s="478"/>
      <c r="W82" s="478"/>
      <c r="X82" s="478"/>
      <c r="Y82" s="478"/>
      <c r="Z82" s="478"/>
      <c r="AA82" s="478"/>
      <c r="AB82" s="478"/>
      <c r="AC82" s="480"/>
      <c r="AD82" s="8"/>
      <c r="AE82" s="6"/>
      <c r="AF82" s="595"/>
    </row>
    <row r="83" spans="1:36" ht="15.75" x14ac:dyDescent="0.2">
      <c r="A83" s="14"/>
      <c r="B83" s="2"/>
      <c r="C83" s="930"/>
      <c r="D83" s="930"/>
      <c r="E83" s="930"/>
      <c r="F83" s="930"/>
      <c r="G83" s="930"/>
      <c r="H83" s="930"/>
      <c r="I83" s="930"/>
      <c r="J83" s="930"/>
      <c r="K83" s="930"/>
      <c r="L83" s="930"/>
      <c r="M83" s="930"/>
      <c r="N83" s="930"/>
      <c r="O83" s="930"/>
      <c r="P83" s="930"/>
      <c r="Q83" s="930"/>
      <c r="R83" s="930"/>
      <c r="S83" s="930"/>
      <c r="T83" s="930"/>
      <c r="U83" s="930"/>
      <c r="V83" s="930"/>
      <c r="W83" s="930"/>
      <c r="X83" s="930"/>
      <c r="Y83" s="930"/>
      <c r="Z83" s="930"/>
      <c r="AA83" s="930"/>
      <c r="AB83" s="2"/>
      <c r="AC83" s="2"/>
      <c r="AD83" s="8"/>
      <c r="AE83" s="6"/>
      <c r="AF83" s="595"/>
    </row>
    <row r="84" spans="1:36" ht="15.75" thickBot="1" x14ac:dyDescent="0.25">
      <c r="A84" s="15"/>
      <c r="B84" s="16"/>
      <c r="C84" s="70"/>
      <c r="D84" s="70"/>
      <c r="E84" s="16"/>
      <c r="F84" s="16"/>
      <c r="G84" s="16"/>
      <c r="H84" s="16"/>
      <c r="I84" s="16"/>
      <c r="J84" s="16"/>
      <c r="K84" s="111"/>
      <c r="L84" s="111"/>
      <c r="M84" s="111"/>
      <c r="N84" s="111"/>
      <c r="O84" s="111"/>
      <c r="P84" s="111"/>
      <c r="Q84" s="111"/>
      <c r="R84" s="111"/>
      <c r="S84" s="111"/>
      <c r="T84" s="111"/>
      <c r="U84" s="111"/>
      <c r="V84" s="111"/>
      <c r="W84" s="111"/>
      <c r="X84" s="111"/>
      <c r="Y84" s="111"/>
      <c r="Z84" s="111"/>
      <c r="AA84" s="111"/>
      <c r="AB84" s="111"/>
      <c r="AC84" s="111"/>
      <c r="AD84" s="570"/>
      <c r="AE84" s="6"/>
    </row>
    <row r="87" spans="1:36" x14ac:dyDescent="0.2">
      <c r="K87" s="928"/>
      <c r="L87" s="929"/>
      <c r="M87" s="929"/>
      <c r="N87" s="929"/>
      <c r="O87" s="929"/>
      <c r="P87" s="929"/>
      <c r="Q87" s="929"/>
      <c r="R87" s="929"/>
      <c r="S87" s="929"/>
    </row>
  </sheetData>
  <mergeCells count="148">
    <mergeCell ref="AA81:AB81"/>
    <mergeCell ref="K81:L81"/>
    <mergeCell ref="K67:L67"/>
    <mergeCell ref="K87:S87"/>
    <mergeCell ref="K59:L59"/>
    <mergeCell ref="O59:P59"/>
    <mergeCell ref="S59:T59"/>
    <mergeCell ref="O77:P77"/>
    <mergeCell ref="S77:T77"/>
    <mergeCell ref="K65:L66"/>
    <mergeCell ref="O65:P66"/>
    <mergeCell ref="S65:T66"/>
    <mergeCell ref="O72:P72"/>
    <mergeCell ref="S72:T72"/>
    <mergeCell ref="O75:P75"/>
    <mergeCell ref="S75:T75"/>
    <mergeCell ref="O79:P79"/>
    <mergeCell ref="S79:T79"/>
    <mergeCell ref="O67:P67"/>
    <mergeCell ref="S67:T67"/>
    <mergeCell ref="O81:P81"/>
    <mergeCell ref="S81:T81"/>
    <mergeCell ref="C83:AA83"/>
    <mergeCell ref="W81:X81"/>
    <mergeCell ref="S70:T70"/>
    <mergeCell ref="D72:H73"/>
    <mergeCell ref="W65:X66"/>
    <mergeCell ref="AA65:AB65"/>
    <mergeCell ref="W67:X67"/>
    <mergeCell ref="AA67:AB67"/>
    <mergeCell ref="O53:P53"/>
    <mergeCell ref="O49:P49"/>
    <mergeCell ref="S49:T49"/>
    <mergeCell ref="S53:T53"/>
    <mergeCell ref="S57:T57"/>
    <mergeCell ref="AA59:AB59"/>
    <mergeCell ref="W59:X59"/>
    <mergeCell ref="K68:L68"/>
    <mergeCell ref="K55:L55"/>
    <mergeCell ref="K49:L49"/>
    <mergeCell ref="K57:L57"/>
    <mergeCell ref="O68:P68"/>
    <mergeCell ref="S68:T68"/>
    <mergeCell ref="W68:X68"/>
    <mergeCell ref="AA68:AB68"/>
    <mergeCell ref="W70:X70"/>
    <mergeCell ref="AA70:AB70"/>
    <mergeCell ref="W72:X72"/>
    <mergeCell ref="AA72:AB72"/>
    <mergeCell ref="W75:X75"/>
    <mergeCell ref="AA75:AB75"/>
    <mergeCell ref="W77:X77"/>
    <mergeCell ref="AA77:AB77"/>
    <mergeCell ref="W79:X79"/>
    <mergeCell ref="AA79:AB79"/>
    <mergeCell ref="O15:P15"/>
    <mergeCell ref="K47:L47"/>
    <mergeCell ref="K45:L45"/>
    <mergeCell ref="O45:P45"/>
    <mergeCell ref="K43:L43"/>
    <mergeCell ref="K40:L40"/>
    <mergeCell ref="K79:L79"/>
    <mergeCell ref="K75:L75"/>
    <mergeCell ref="K77:L77"/>
    <mergeCell ref="K70:L70"/>
    <mergeCell ref="K72:L72"/>
    <mergeCell ref="O70:P70"/>
    <mergeCell ref="K38:L38"/>
    <mergeCell ref="O55:P55"/>
    <mergeCell ref="K23:L23"/>
    <mergeCell ref="O30:P30"/>
    <mergeCell ref="S47:T47"/>
    <mergeCell ref="K25:L25"/>
    <mergeCell ref="O28:P28"/>
    <mergeCell ref="K53:L53"/>
    <mergeCell ref="O38:P38"/>
    <mergeCell ref="S38:T38"/>
    <mergeCell ref="S34:T34"/>
    <mergeCell ref="O34:P34"/>
    <mergeCell ref="K37:L37"/>
    <mergeCell ref="O37:P37"/>
    <mergeCell ref="S37:T37"/>
    <mergeCell ref="S32:T32"/>
    <mergeCell ref="O32:P32"/>
    <mergeCell ref="T1:V1"/>
    <mergeCell ref="A3:AD3"/>
    <mergeCell ref="C10:AA11"/>
    <mergeCell ref="A2:AD2"/>
    <mergeCell ref="W13:X14"/>
    <mergeCell ref="S13:T14"/>
    <mergeCell ref="S21:T21"/>
    <mergeCell ref="AA12:AB12"/>
    <mergeCell ref="W12:X12"/>
    <mergeCell ref="C9:H9"/>
    <mergeCell ref="K12:L12"/>
    <mergeCell ref="K13:L14"/>
    <mergeCell ref="W17:X17"/>
    <mergeCell ref="AA17:AB17"/>
    <mergeCell ref="D17:I18"/>
    <mergeCell ref="AA21:AB21"/>
    <mergeCell ref="O12:P12"/>
    <mergeCell ref="K15:L15"/>
    <mergeCell ref="O21:P21"/>
    <mergeCell ref="K17:L17"/>
    <mergeCell ref="K21:L21"/>
    <mergeCell ref="O13:P14"/>
    <mergeCell ref="S15:T15"/>
    <mergeCell ref="O17:P17"/>
    <mergeCell ref="S12:T12"/>
    <mergeCell ref="AA34:AB34"/>
    <mergeCell ref="W38:X38"/>
    <mergeCell ref="AA32:AB32"/>
    <mergeCell ref="AA37:AB37"/>
    <mergeCell ref="AA13:AB13"/>
    <mergeCell ref="AA23:AB23"/>
    <mergeCell ref="W15:X15"/>
    <mergeCell ref="AA28:AB28"/>
    <mergeCell ref="AA30:AB30"/>
    <mergeCell ref="AA15:AB15"/>
    <mergeCell ref="W21:X21"/>
    <mergeCell ref="AA38:AB38"/>
    <mergeCell ref="W37:X37"/>
    <mergeCell ref="W34:X34"/>
    <mergeCell ref="S17:T17"/>
    <mergeCell ref="AA43:AB43"/>
    <mergeCell ref="S55:T55"/>
    <mergeCell ref="W55:X55"/>
    <mergeCell ref="S40:T40"/>
    <mergeCell ref="AA45:AB45"/>
    <mergeCell ref="S45:T45"/>
    <mergeCell ref="W45:X45"/>
    <mergeCell ref="W43:X43"/>
    <mergeCell ref="O57:P57"/>
    <mergeCell ref="W57:X57"/>
    <mergeCell ref="AA57:AB57"/>
    <mergeCell ref="W47:X47"/>
    <mergeCell ref="W49:X49"/>
    <mergeCell ref="AA47:AB47"/>
    <mergeCell ref="AA49:AB49"/>
    <mergeCell ref="AA55:AB55"/>
    <mergeCell ref="AA53:AB53"/>
    <mergeCell ref="W53:X53"/>
    <mergeCell ref="W40:X40"/>
    <mergeCell ref="O43:P43"/>
    <mergeCell ref="S43:T43"/>
    <mergeCell ref="O47:P47"/>
    <mergeCell ref="O40:P40"/>
    <mergeCell ref="AA40:AB40"/>
  </mergeCells>
  <phoneticPr fontId="5" type="noConversion"/>
  <dataValidations count="1">
    <dataValidation type="whole" operator="equal" allowBlank="1" showInputMessage="1" showErrorMessage="1" error="Line 14 Column 5 Total is no the sum of Columns 1 to 4" sqref="AA53:AB53">
      <formula1>K53+O53+S53+W53</formula1>
    </dataValidation>
  </dataValidations>
  <printOptions horizontalCentered="1"/>
  <pageMargins left="0.39370078740157483" right="0.39370078740157483" top="0.59055118110236227" bottom="0.59055118110236227" header="0.51181102362204722" footer="0.51181102362204722"/>
  <pageSetup paperSize="9" scale="49"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016"/>
  <sheetViews>
    <sheetView workbookViewId="0">
      <selection sqref="A1:J1"/>
    </sheetView>
  </sheetViews>
  <sheetFormatPr defaultRowHeight="15" x14ac:dyDescent="0.2"/>
  <cols>
    <col min="1" max="1" width="8.42578125" style="5" customWidth="1"/>
    <col min="2" max="2" width="33.140625" style="5" customWidth="1"/>
    <col min="3" max="3" width="12.28515625" style="5" customWidth="1"/>
    <col min="4" max="28" width="9.140625" style="214"/>
    <col min="29" max="30" width="9.140625" style="214" customWidth="1"/>
    <col min="31" max="45" width="9.140625" style="214"/>
  </cols>
  <sheetData>
    <row r="1" spans="1:45" s="212" customFormat="1" ht="12.75" x14ac:dyDescent="0.2">
      <c r="A1" s="219"/>
      <c r="B1" s="220"/>
      <c r="C1" s="221">
        <v>1516</v>
      </c>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576" t="s">
        <v>1070</v>
      </c>
      <c r="AE1" s="576" t="s">
        <v>1068</v>
      </c>
      <c r="AF1" s="215"/>
      <c r="AG1" s="215"/>
      <c r="AH1" s="215"/>
      <c r="AI1" s="215"/>
      <c r="AJ1" s="215"/>
      <c r="AK1" s="215"/>
      <c r="AL1" s="215"/>
      <c r="AM1" s="215"/>
      <c r="AN1" s="215"/>
      <c r="AO1" s="215"/>
      <c r="AP1" s="215"/>
      <c r="AQ1" s="215"/>
      <c r="AR1" s="215"/>
      <c r="AS1" s="215"/>
    </row>
    <row r="2" spans="1:45" ht="12.75" x14ac:dyDescent="0.2">
      <c r="A2" s="222"/>
      <c r="B2" s="223"/>
      <c r="C2" s="224"/>
    </row>
    <row r="3" spans="1:45" ht="12.75" x14ac:dyDescent="0.2">
      <c r="A3" s="225">
        <v>1</v>
      </c>
      <c r="B3" s="226">
        <v>2</v>
      </c>
      <c r="C3" s="227">
        <v>3</v>
      </c>
    </row>
    <row r="4" spans="1:45" ht="12.75" x14ac:dyDescent="0.2">
      <c r="A4" s="228"/>
      <c r="B4" s="229"/>
      <c r="C4" s="224"/>
    </row>
    <row r="5" spans="1:45" ht="12.75" x14ac:dyDescent="0.2">
      <c r="A5" s="230" t="s">
        <v>88</v>
      </c>
      <c r="B5" s="231" t="s">
        <v>89</v>
      </c>
      <c r="C5" s="232" t="s">
        <v>90</v>
      </c>
    </row>
    <row r="6" spans="1:45" ht="13.5" thickBot="1" x14ac:dyDescent="0.25">
      <c r="A6" s="233"/>
      <c r="B6" s="234"/>
      <c r="C6" s="235" t="s">
        <v>986</v>
      </c>
    </row>
    <row r="7" spans="1:45" s="402" customFormat="1" ht="13.5" thickBot="1" x14ac:dyDescent="0.25">
      <c r="A7" s="400"/>
      <c r="B7" s="400"/>
      <c r="C7" s="400" t="s">
        <v>978</v>
      </c>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401"/>
      <c r="AL7" s="401"/>
      <c r="AM7" s="401"/>
      <c r="AN7" s="401"/>
      <c r="AO7" s="401"/>
      <c r="AP7" s="401"/>
      <c r="AQ7" s="401"/>
      <c r="AR7" s="401"/>
      <c r="AS7" s="401"/>
    </row>
    <row r="8" spans="1:45" s="402" customFormat="1" ht="13.5" thickBot="1" x14ac:dyDescent="0.25">
      <c r="A8" s="481"/>
      <c r="B8" s="599"/>
      <c r="C8" s="600"/>
      <c r="D8" s="401"/>
      <c r="E8" s="401"/>
      <c r="F8" s="401"/>
      <c r="G8" s="401"/>
      <c r="H8" s="401"/>
      <c r="I8" s="401"/>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401"/>
      <c r="AL8" s="401"/>
      <c r="AM8" s="401"/>
      <c r="AN8" s="401"/>
      <c r="AO8" s="401"/>
      <c r="AP8" s="401"/>
      <c r="AQ8" s="401"/>
      <c r="AR8" s="401"/>
      <c r="AS8" s="401"/>
    </row>
    <row r="9" spans="1:45" ht="12.75" x14ac:dyDescent="0.2">
      <c r="A9" s="236">
        <v>1</v>
      </c>
      <c r="B9" s="237" t="s">
        <v>93</v>
      </c>
      <c r="C9" s="238" t="s">
        <v>94</v>
      </c>
    </row>
    <row r="10" spans="1:45" ht="12.75" x14ac:dyDescent="0.2">
      <c r="A10" s="236">
        <v>2</v>
      </c>
      <c r="B10" s="240" t="s">
        <v>95</v>
      </c>
      <c r="C10" s="241" t="s">
        <v>96</v>
      </c>
    </row>
    <row r="11" spans="1:45" ht="12.75" x14ac:dyDescent="0.2">
      <c r="A11" s="236">
        <v>3</v>
      </c>
      <c r="B11" s="240" t="s">
        <v>97</v>
      </c>
      <c r="C11" s="241" t="s">
        <v>98</v>
      </c>
    </row>
    <row r="12" spans="1:45" ht="12.75" x14ac:dyDescent="0.2">
      <c r="A12" s="236">
        <v>4</v>
      </c>
      <c r="B12" s="240" t="s">
        <v>99</v>
      </c>
      <c r="C12" s="241" t="s">
        <v>100</v>
      </c>
    </row>
    <row r="13" spans="1:45" ht="12.75" x14ac:dyDescent="0.2">
      <c r="A13" s="236">
        <v>5</v>
      </c>
      <c r="B13" s="240" t="s">
        <v>101</v>
      </c>
      <c r="C13" s="241" t="s">
        <v>102</v>
      </c>
    </row>
    <row r="14" spans="1:45" ht="12.75" x14ac:dyDescent="0.2">
      <c r="A14" s="236">
        <v>6</v>
      </c>
      <c r="B14" s="240" t="s">
        <v>103</v>
      </c>
      <c r="C14" s="241" t="s">
        <v>104</v>
      </c>
    </row>
    <row r="15" spans="1:45" ht="12.75" x14ac:dyDescent="0.2">
      <c r="A15" s="236">
        <v>7</v>
      </c>
      <c r="B15" s="240" t="s">
        <v>105</v>
      </c>
      <c r="C15" s="241" t="s">
        <v>106</v>
      </c>
    </row>
    <row r="16" spans="1:45" ht="12.75" x14ac:dyDescent="0.2">
      <c r="A16" s="236">
        <v>8</v>
      </c>
      <c r="B16" s="240" t="s">
        <v>107</v>
      </c>
      <c r="C16" s="241" t="s">
        <v>108</v>
      </c>
    </row>
    <row r="17" spans="1:3" ht="12.75" x14ac:dyDescent="0.2">
      <c r="A17" s="236">
        <v>9</v>
      </c>
      <c r="B17" s="240" t="s">
        <v>109</v>
      </c>
      <c r="C17" s="241" t="s">
        <v>110</v>
      </c>
    </row>
    <row r="18" spans="1:3" ht="12.75" x14ac:dyDescent="0.2">
      <c r="A18" s="236">
        <v>10</v>
      </c>
      <c r="B18" s="240" t="s">
        <v>111</v>
      </c>
      <c r="C18" s="241" t="s">
        <v>112</v>
      </c>
    </row>
    <row r="19" spans="1:3" ht="12.75" x14ac:dyDescent="0.2">
      <c r="A19" s="236">
        <v>11</v>
      </c>
      <c r="B19" s="240" t="s">
        <v>113</v>
      </c>
      <c r="C19" s="241" t="s">
        <v>114</v>
      </c>
    </row>
    <row r="20" spans="1:3" ht="12.75" x14ac:dyDescent="0.2">
      <c r="A20" s="236">
        <v>12</v>
      </c>
      <c r="B20" s="240" t="s">
        <v>115</v>
      </c>
      <c r="C20" s="241" t="s">
        <v>116</v>
      </c>
    </row>
    <row r="21" spans="1:3" ht="12.75" x14ac:dyDescent="0.2">
      <c r="A21" s="236">
        <v>13</v>
      </c>
      <c r="B21" s="240" t="s">
        <v>117</v>
      </c>
      <c r="C21" s="241" t="s">
        <v>118</v>
      </c>
    </row>
    <row r="22" spans="1:3" ht="12.75" x14ac:dyDescent="0.2">
      <c r="A22" s="236">
        <v>14</v>
      </c>
      <c r="B22" s="240" t="s">
        <v>119</v>
      </c>
      <c r="C22" s="241" t="s">
        <v>120</v>
      </c>
    </row>
    <row r="23" spans="1:3" ht="12.75" x14ac:dyDescent="0.2">
      <c r="A23" s="236">
        <v>15</v>
      </c>
      <c r="B23" s="240" t="s">
        <v>121</v>
      </c>
      <c r="C23" s="241" t="s">
        <v>122</v>
      </c>
    </row>
    <row r="24" spans="1:3" ht="12.75" x14ac:dyDescent="0.2">
      <c r="A24" s="236">
        <v>16</v>
      </c>
      <c r="B24" s="240" t="s">
        <v>123</v>
      </c>
      <c r="C24" s="241" t="s">
        <v>124</v>
      </c>
    </row>
    <row r="25" spans="1:3" ht="12.75" x14ac:dyDescent="0.2">
      <c r="A25" s="236">
        <v>17</v>
      </c>
      <c r="B25" s="240" t="s">
        <v>125</v>
      </c>
      <c r="C25" s="241" t="s">
        <v>126</v>
      </c>
    </row>
    <row r="26" spans="1:3" ht="12.75" x14ac:dyDescent="0.2">
      <c r="A26" s="236">
        <v>18</v>
      </c>
      <c r="B26" s="240" t="s">
        <v>127</v>
      </c>
      <c r="C26" s="241" t="s">
        <v>128</v>
      </c>
    </row>
    <row r="27" spans="1:3" ht="12.75" x14ac:dyDescent="0.2">
      <c r="A27" s="236">
        <v>19</v>
      </c>
      <c r="B27" s="240" t="s">
        <v>129</v>
      </c>
      <c r="C27" s="241" t="s">
        <v>130</v>
      </c>
    </row>
    <row r="28" spans="1:3" ht="12.75" x14ac:dyDescent="0.2">
      <c r="A28" s="236">
        <v>20</v>
      </c>
      <c r="B28" s="240" t="s">
        <v>131</v>
      </c>
      <c r="C28" s="241" t="s">
        <v>132</v>
      </c>
    </row>
    <row r="29" spans="1:3" ht="12.75" x14ac:dyDescent="0.2">
      <c r="A29" s="236">
        <v>21</v>
      </c>
      <c r="B29" s="240" t="s">
        <v>133</v>
      </c>
      <c r="C29" s="241" t="s">
        <v>134</v>
      </c>
    </row>
    <row r="30" spans="1:3" ht="12.75" x14ac:dyDescent="0.2">
      <c r="A30" s="236">
        <v>22</v>
      </c>
      <c r="B30" s="240" t="s">
        <v>135</v>
      </c>
      <c r="C30" s="241" t="s">
        <v>136</v>
      </c>
    </row>
    <row r="31" spans="1:3" ht="12.75" x14ac:dyDescent="0.2">
      <c r="A31" s="236">
        <v>23</v>
      </c>
      <c r="B31" s="240" t="s">
        <v>137</v>
      </c>
      <c r="C31" s="241" t="s">
        <v>138</v>
      </c>
    </row>
    <row r="32" spans="1:3" ht="12.75" x14ac:dyDescent="0.2">
      <c r="A32" s="236">
        <v>24</v>
      </c>
      <c r="B32" s="240" t="s">
        <v>139</v>
      </c>
      <c r="C32" s="241" t="s">
        <v>140</v>
      </c>
    </row>
    <row r="33" spans="1:3" ht="12.75" x14ac:dyDescent="0.2">
      <c r="A33" s="236">
        <v>25</v>
      </c>
      <c r="B33" s="240" t="s">
        <v>141</v>
      </c>
      <c r="C33" s="241" t="s">
        <v>142</v>
      </c>
    </row>
    <row r="34" spans="1:3" ht="12.75" x14ac:dyDescent="0.2">
      <c r="A34" s="236">
        <v>26</v>
      </c>
      <c r="B34" s="240" t="s">
        <v>143</v>
      </c>
      <c r="C34" s="241" t="s">
        <v>144</v>
      </c>
    </row>
    <row r="35" spans="1:3" ht="12.75" x14ac:dyDescent="0.2">
      <c r="A35" s="236">
        <v>27</v>
      </c>
      <c r="B35" s="240" t="s">
        <v>145</v>
      </c>
      <c r="C35" s="241" t="s">
        <v>146</v>
      </c>
    </row>
    <row r="36" spans="1:3" ht="12.75" x14ac:dyDescent="0.2">
      <c r="A36" s="236">
        <v>28</v>
      </c>
      <c r="B36" s="240" t="s">
        <v>147</v>
      </c>
      <c r="C36" s="241" t="s">
        <v>148</v>
      </c>
    </row>
    <row r="37" spans="1:3" ht="12.75" x14ac:dyDescent="0.2">
      <c r="A37" s="236">
        <v>29</v>
      </c>
      <c r="B37" s="240" t="s">
        <v>149</v>
      </c>
      <c r="C37" s="241" t="s">
        <v>150</v>
      </c>
    </row>
    <row r="38" spans="1:3" ht="12.75" x14ac:dyDescent="0.2">
      <c r="A38" s="236">
        <v>30</v>
      </c>
      <c r="B38" s="240" t="s">
        <v>151</v>
      </c>
      <c r="C38" s="241" t="s">
        <v>152</v>
      </c>
    </row>
    <row r="39" spans="1:3" ht="12.75" x14ac:dyDescent="0.2">
      <c r="A39" s="236">
        <v>31</v>
      </c>
      <c r="B39" s="240" t="s">
        <v>153</v>
      </c>
      <c r="C39" s="241" t="s">
        <v>154</v>
      </c>
    </row>
    <row r="40" spans="1:3" ht="12.75" x14ac:dyDescent="0.2">
      <c r="A40" s="236">
        <v>32</v>
      </c>
      <c r="B40" s="240" t="s">
        <v>155</v>
      </c>
      <c r="C40" s="241" t="s">
        <v>156</v>
      </c>
    </row>
    <row r="41" spans="1:3" ht="12.75" x14ac:dyDescent="0.2">
      <c r="A41" s="236">
        <v>33</v>
      </c>
      <c r="B41" s="240" t="s">
        <v>157</v>
      </c>
      <c r="C41" s="241" t="s">
        <v>158</v>
      </c>
    </row>
    <row r="42" spans="1:3" ht="12.75" x14ac:dyDescent="0.2">
      <c r="A42" s="236">
        <v>34</v>
      </c>
      <c r="B42" s="240" t="s">
        <v>159</v>
      </c>
      <c r="C42" s="241" t="s">
        <v>160</v>
      </c>
    </row>
    <row r="43" spans="1:3" ht="12.75" x14ac:dyDescent="0.2">
      <c r="A43" s="236">
        <v>35</v>
      </c>
      <c r="B43" s="240" t="s">
        <v>161</v>
      </c>
      <c r="C43" s="241" t="s">
        <v>162</v>
      </c>
    </row>
    <row r="44" spans="1:3" ht="12.75" x14ac:dyDescent="0.2">
      <c r="A44" s="236">
        <v>36</v>
      </c>
      <c r="B44" s="240" t="s">
        <v>163</v>
      </c>
      <c r="C44" s="241" t="s">
        <v>164</v>
      </c>
    </row>
    <row r="45" spans="1:3" ht="12.75" x14ac:dyDescent="0.2">
      <c r="A45" s="236">
        <v>37</v>
      </c>
      <c r="B45" s="240" t="s">
        <v>165</v>
      </c>
      <c r="C45" s="241" t="s">
        <v>166</v>
      </c>
    </row>
    <row r="46" spans="1:3" ht="12.75" x14ac:dyDescent="0.2">
      <c r="A46" s="236">
        <v>38</v>
      </c>
      <c r="B46" s="240" t="s">
        <v>167</v>
      </c>
      <c r="C46" s="241" t="s">
        <v>168</v>
      </c>
    </row>
    <row r="47" spans="1:3" ht="12.75" x14ac:dyDescent="0.2">
      <c r="A47" s="236">
        <v>39</v>
      </c>
      <c r="B47" s="240" t="s">
        <v>169</v>
      </c>
      <c r="C47" s="241" t="s">
        <v>170</v>
      </c>
    </row>
    <row r="48" spans="1:3" ht="12.75" x14ac:dyDescent="0.2">
      <c r="A48" s="236">
        <v>40</v>
      </c>
      <c r="B48" s="240" t="s">
        <v>171</v>
      </c>
      <c r="C48" s="241" t="s">
        <v>172</v>
      </c>
    </row>
    <row r="49" spans="1:3" ht="12.75" x14ac:dyDescent="0.2">
      <c r="A49" s="236">
        <v>41</v>
      </c>
      <c r="B49" s="240" t="s">
        <v>173</v>
      </c>
      <c r="C49" s="241" t="s">
        <v>174</v>
      </c>
    </row>
    <row r="50" spans="1:3" ht="12.75" x14ac:dyDescent="0.2">
      <c r="A50" s="236">
        <v>42</v>
      </c>
      <c r="B50" s="240" t="s">
        <v>175</v>
      </c>
      <c r="C50" s="241" t="s">
        <v>176</v>
      </c>
    </row>
    <row r="51" spans="1:3" ht="12.75" x14ac:dyDescent="0.2">
      <c r="A51" s="236">
        <v>43</v>
      </c>
      <c r="B51" s="240" t="s">
        <v>177</v>
      </c>
      <c r="C51" s="241" t="s">
        <v>178</v>
      </c>
    </row>
    <row r="52" spans="1:3" ht="12.75" x14ac:dyDescent="0.2">
      <c r="A52" s="236">
        <v>44</v>
      </c>
      <c r="B52" s="240" t="s">
        <v>179</v>
      </c>
      <c r="C52" s="241" t="s">
        <v>180</v>
      </c>
    </row>
    <row r="53" spans="1:3" ht="12.75" x14ac:dyDescent="0.2">
      <c r="A53" s="236">
        <v>45</v>
      </c>
      <c r="B53" s="240" t="s">
        <v>181</v>
      </c>
      <c r="C53" s="241" t="s">
        <v>182</v>
      </c>
    </row>
    <row r="54" spans="1:3" ht="12.75" x14ac:dyDescent="0.2">
      <c r="A54" s="236">
        <v>46</v>
      </c>
      <c r="B54" s="240" t="s">
        <v>183</v>
      </c>
      <c r="C54" s="241" t="s">
        <v>184</v>
      </c>
    </row>
    <row r="55" spans="1:3" ht="12.75" x14ac:dyDescent="0.2">
      <c r="A55" s="236">
        <v>47</v>
      </c>
      <c r="B55" s="240" t="s">
        <v>185</v>
      </c>
      <c r="C55" s="241" t="s">
        <v>186</v>
      </c>
    </row>
    <row r="56" spans="1:3" ht="12.75" x14ac:dyDescent="0.2">
      <c r="A56" s="236">
        <v>48</v>
      </c>
      <c r="B56" s="240" t="s">
        <v>187</v>
      </c>
      <c r="C56" s="241" t="s">
        <v>188</v>
      </c>
    </row>
    <row r="57" spans="1:3" ht="12.75" x14ac:dyDescent="0.2">
      <c r="A57" s="236">
        <v>49</v>
      </c>
      <c r="B57" s="242" t="s">
        <v>189</v>
      </c>
      <c r="C57" s="243" t="s">
        <v>190</v>
      </c>
    </row>
    <row r="58" spans="1:3" ht="12.75" x14ac:dyDescent="0.2">
      <c r="A58" s="236">
        <v>50</v>
      </c>
      <c r="B58" s="240" t="s">
        <v>191</v>
      </c>
      <c r="C58" s="241" t="s">
        <v>192</v>
      </c>
    </row>
    <row r="59" spans="1:3" ht="12.75" x14ac:dyDescent="0.2">
      <c r="A59" s="236">
        <v>51</v>
      </c>
      <c r="B59" s="240" t="s">
        <v>193</v>
      </c>
      <c r="C59" s="241" t="s">
        <v>194</v>
      </c>
    </row>
    <row r="60" spans="1:3" ht="12.75" x14ac:dyDescent="0.2">
      <c r="A60" s="236">
        <v>52</v>
      </c>
      <c r="B60" s="240" t="s">
        <v>195</v>
      </c>
      <c r="C60" s="241" t="s">
        <v>196</v>
      </c>
    </row>
    <row r="61" spans="1:3" ht="12.75" x14ac:dyDescent="0.2">
      <c r="A61" s="236">
        <v>53</v>
      </c>
      <c r="B61" s="240" t="s">
        <v>197</v>
      </c>
      <c r="C61" s="241" t="s">
        <v>198</v>
      </c>
    </row>
    <row r="62" spans="1:3" ht="12.75" x14ac:dyDescent="0.2">
      <c r="A62" s="236">
        <v>54</v>
      </c>
      <c r="B62" s="240" t="s">
        <v>199</v>
      </c>
      <c r="C62" s="241" t="s">
        <v>200</v>
      </c>
    </row>
    <row r="63" spans="1:3" ht="12.75" x14ac:dyDescent="0.2">
      <c r="A63" s="236">
        <v>55</v>
      </c>
      <c r="B63" s="240" t="s">
        <v>201</v>
      </c>
      <c r="C63" s="241" t="s">
        <v>202</v>
      </c>
    </row>
    <row r="64" spans="1:3" ht="12.75" x14ac:dyDescent="0.2">
      <c r="A64" s="236">
        <v>56</v>
      </c>
      <c r="B64" s="240" t="s">
        <v>203</v>
      </c>
      <c r="C64" s="241" t="s">
        <v>204</v>
      </c>
    </row>
    <row r="65" spans="1:3" ht="12.75" x14ac:dyDescent="0.2">
      <c r="A65" s="236">
        <v>57</v>
      </c>
      <c r="B65" s="240" t="s">
        <v>205</v>
      </c>
      <c r="C65" s="241" t="s">
        <v>206</v>
      </c>
    </row>
    <row r="66" spans="1:3" ht="12.75" x14ac:dyDescent="0.2">
      <c r="A66" s="236">
        <v>58</v>
      </c>
      <c r="B66" s="240" t="s">
        <v>207</v>
      </c>
      <c r="C66" s="241" t="s">
        <v>208</v>
      </c>
    </row>
    <row r="67" spans="1:3" ht="12.75" x14ac:dyDescent="0.2">
      <c r="A67" s="236">
        <v>59</v>
      </c>
      <c r="B67" s="240" t="s">
        <v>209</v>
      </c>
      <c r="C67" s="241" t="s">
        <v>210</v>
      </c>
    </row>
    <row r="68" spans="1:3" ht="12.75" x14ac:dyDescent="0.2">
      <c r="A68" s="236">
        <v>60</v>
      </c>
      <c r="B68" s="240" t="s">
        <v>211</v>
      </c>
      <c r="C68" s="241" t="s">
        <v>212</v>
      </c>
    </row>
    <row r="69" spans="1:3" ht="12.75" x14ac:dyDescent="0.2">
      <c r="A69" s="236">
        <v>61</v>
      </c>
      <c r="B69" s="240" t="s">
        <v>213</v>
      </c>
      <c r="C69" s="241" t="s">
        <v>214</v>
      </c>
    </row>
    <row r="70" spans="1:3" ht="12.75" x14ac:dyDescent="0.2">
      <c r="A70" s="236">
        <v>62</v>
      </c>
      <c r="B70" s="240" t="s">
        <v>215</v>
      </c>
      <c r="C70" s="241" t="s">
        <v>216</v>
      </c>
    </row>
    <row r="71" spans="1:3" ht="12.75" x14ac:dyDescent="0.2">
      <c r="A71" s="236">
        <v>63</v>
      </c>
      <c r="B71" s="240" t="s">
        <v>217</v>
      </c>
      <c r="C71" s="241" t="s">
        <v>218</v>
      </c>
    </row>
    <row r="72" spans="1:3" ht="12.75" x14ac:dyDescent="0.2">
      <c r="A72" s="236">
        <v>64</v>
      </c>
      <c r="B72" s="240" t="s">
        <v>219</v>
      </c>
      <c r="C72" s="241" t="s">
        <v>220</v>
      </c>
    </row>
    <row r="73" spans="1:3" ht="12.75" x14ac:dyDescent="0.2">
      <c r="A73" s="236">
        <v>65</v>
      </c>
      <c r="B73" s="240" t="s">
        <v>221</v>
      </c>
      <c r="C73" s="241" t="s">
        <v>222</v>
      </c>
    </row>
    <row r="74" spans="1:3" ht="12.75" x14ac:dyDescent="0.2">
      <c r="A74" s="236">
        <v>66</v>
      </c>
      <c r="B74" s="240" t="s">
        <v>223</v>
      </c>
      <c r="C74" s="241" t="s">
        <v>224</v>
      </c>
    </row>
    <row r="75" spans="1:3" ht="12.75" x14ac:dyDescent="0.2">
      <c r="A75" s="236">
        <v>67</v>
      </c>
      <c r="B75" s="240" t="s">
        <v>225</v>
      </c>
      <c r="C75" s="241" t="s">
        <v>226</v>
      </c>
    </row>
    <row r="76" spans="1:3" ht="12.75" x14ac:dyDescent="0.2">
      <c r="A76" s="236">
        <v>68</v>
      </c>
      <c r="B76" s="240" t="s">
        <v>227</v>
      </c>
      <c r="C76" s="241" t="s">
        <v>228</v>
      </c>
    </row>
    <row r="77" spans="1:3" ht="12.75" x14ac:dyDescent="0.2">
      <c r="A77" s="236">
        <v>69</v>
      </c>
      <c r="B77" s="240" t="s">
        <v>229</v>
      </c>
      <c r="C77" s="241" t="s">
        <v>230</v>
      </c>
    </row>
    <row r="78" spans="1:3" ht="12.75" x14ac:dyDescent="0.2">
      <c r="A78" s="236">
        <v>70</v>
      </c>
      <c r="B78" s="240" t="s">
        <v>231</v>
      </c>
      <c r="C78" s="241" t="s">
        <v>232</v>
      </c>
    </row>
    <row r="79" spans="1:3" ht="12.75" x14ac:dyDescent="0.2">
      <c r="A79" s="236">
        <v>71</v>
      </c>
      <c r="B79" s="240" t="s">
        <v>233</v>
      </c>
      <c r="C79" s="241" t="s">
        <v>234</v>
      </c>
    </row>
    <row r="80" spans="1:3" ht="12.75" x14ac:dyDescent="0.2">
      <c r="A80" s="236">
        <v>72</v>
      </c>
      <c r="B80" s="240" t="s">
        <v>235</v>
      </c>
      <c r="C80" s="241" t="s">
        <v>236</v>
      </c>
    </row>
    <row r="81" spans="1:3" ht="12.75" x14ac:dyDescent="0.2">
      <c r="A81" s="236">
        <v>73</v>
      </c>
      <c r="B81" s="240" t="s">
        <v>237</v>
      </c>
      <c r="C81" s="241" t="s">
        <v>238</v>
      </c>
    </row>
    <row r="82" spans="1:3" ht="12.75" x14ac:dyDescent="0.2">
      <c r="A82" s="236">
        <v>74</v>
      </c>
      <c r="B82" s="240" t="s">
        <v>239</v>
      </c>
      <c r="C82" s="241" t="s">
        <v>240</v>
      </c>
    </row>
    <row r="83" spans="1:3" ht="12.75" x14ac:dyDescent="0.2">
      <c r="A83" s="236">
        <v>75</v>
      </c>
      <c r="B83" s="240" t="s">
        <v>241</v>
      </c>
      <c r="C83" s="241" t="s">
        <v>242</v>
      </c>
    </row>
    <row r="84" spans="1:3" ht="12.75" x14ac:dyDescent="0.2">
      <c r="A84" s="236">
        <v>76</v>
      </c>
      <c r="B84" s="240" t="s">
        <v>243</v>
      </c>
      <c r="C84" s="241" t="s">
        <v>244</v>
      </c>
    </row>
    <row r="85" spans="1:3" ht="12.75" x14ac:dyDescent="0.2">
      <c r="A85" s="236">
        <v>77</v>
      </c>
      <c r="B85" s="240" t="s">
        <v>245</v>
      </c>
      <c r="C85" s="241" t="s">
        <v>246</v>
      </c>
    </row>
    <row r="86" spans="1:3" ht="12.75" x14ac:dyDescent="0.2">
      <c r="A86" s="236">
        <v>78</v>
      </c>
      <c r="B86" s="240" t="s">
        <v>247</v>
      </c>
      <c r="C86" s="241" t="s">
        <v>248</v>
      </c>
    </row>
    <row r="87" spans="1:3" ht="12.75" x14ac:dyDescent="0.2">
      <c r="A87" s="236">
        <v>79</v>
      </c>
      <c r="B87" s="240" t="s">
        <v>249</v>
      </c>
      <c r="C87" s="241" t="s">
        <v>250</v>
      </c>
    </row>
    <row r="88" spans="1:3" ht="12.75" x14ac:dyDescent="0.2">
      <c r="A88" s="236">
        <v>80</v>
      </c>
      <c r="B88" s="240" t="s">
        <v>251</v>
      </c>
      <c r="C88" s="241" t="s">
        <v>252</v>
      </c>
    </row>
    <row r="89" spans="1:3" ht="12.75" x14ac:dyDescent="0.2">
      <c r="A89" s="236">
        <v>81</v>
      </c>
      <c r="B89" s="240" t="s">
        <v>253</v>
      </c>
      <c r="C89" s="241" t="s">
        <v>254</v>
      </c>
    </row>
    <row r="90" spans="1:3" ht="12.75" x14ac:dyDescent="0.2">
      <c r="A90" s="236">
        <v>82</v>
      </c>
      <c r="B90" s="240" t="s">
        <v>255</v>
      </c>
      <c r="C90" s="241" t="s">
        <v>256</v>
      </c>
    </row>
    <row r="91" spans="1:3" ht="12.75" x14ac:dyDescent="0.2">
      <c r="A91" s="236">
        <v>83</v>
      </c>
      <c r="B91" s="240" t="s">
        <v>257</v>
      </c>
      <c r="C91" s="241" t="s">
        <v>258</v>
      </c>
    </row>
    <row r="92" spans="1:3" ht="12.75" x14ac:dyDescent="0.2">
      <c r="A92" s="236">
        <v>84</v>
      </c>
      <c r="B92" s="240" t="s">
        <v>259</v>
      </c>
      <c r="C92" s="241" t="s">
        <v>260</v>
      </c>
    </row>
    <row r="93" spans="1:3" ht="12.75" x14ac:dyDescent="0.2">
      <c r="A93" s="236">
        <v>85</v>
      </c>
      <c r="B93" s="240" t="s">
        <v>261</v>
      </c>
      <c r="C93" s="241" t="s">
        <v>262</v>
      </c>
    </row>
    <row r="94" spans="1:3" ht="12.75" x14ac:dyDescent="0.2">
      <c r="A94" s="236">
        <v>86</v>
      </c>
      <c r="B94" s="240" t="s">
        <v>263</v>
      </c>
      <c r="C94" s="241" t="s">
        <v>264</v>
      </c>
    </row>
    <row r="95" spans="1:3" ht="12.75" x14ac:dyDescent="0.2">
      <c r="A95" s="236">
        <v>87</v>
      </c>
      <c r="B95" s="240" t="s">
        <v>265</v>
      </c>
      <c r="C95" s="241" t="s">
        <v>266</v>
      </c>
    </row>
    <row r="96" spans="1:3" ht="12.75" x14ac:dyDescent="0.2">
      <c r="A96" s="236">
        <v>88</v>
      </c>
      <c r="B96" s="240" t="s">
        <v>267</v>
      </c>
      <c r="C96" s="241" t="s">
        <v>268</v>
      </c>
    </row>
    <row r="97" spans="1:3" ht="12.75" x14ac:dyDescent="0.2">
      <c r="A97" s="236">
        <v>89</v>
      </c>
      <c r="B97" s="240" t="s">
        <v>269</v>
      </c>
      <c r="C97" s="241" t="s">
        <v>270</v>
      </c>
    </row>
    <row r="98" spans="1:3" ht="12.75" x14ac:dyDescent="0.2">
      <c r="A98" s="236">
        <v>90</v>
      </c>
      <c r="B98" s="240" t="s">
        <v>271</v>
      </c>
      <c r="C98" s="241" t="s">
        <v>272</v>
      </c>
    </row>
    <row r="99" spans="1:3" ht="12.75" x14ac:dyDescent="0.2">
      <c r="A99" s="236">
        <v>91</v>
      </c>
      <c r="B99" s="240" t="s">
        <v>273</v>
      </c>
      <c r="C99" s="241" t="s">
        <v>274</v>
      </c>
    </row>
    <row r="100" spans="1:3" ht="12.75" x14ac:dyDescent="0.2">
      <c r="A100" s="236">
        <v>92</v>
      </c>
      <c r="B100" s="240" t="s">
        <v>275</v>
      </c>
      <c r="C100" s="241" t="s">
        <v>276</v>
      </c>
    </row>
    <row r="101" spans="1:3" ht="12.75" x14ac:dyDescent="0.2">
      <c r="A101" s="236">
        <v>93</v>
      </c>
      <c r="B101" s="240" t="s">
        <v>277</v>
      </c>
      <c r="C101" s="241" t="s">
        <v>278</v>
      </c>
    </row>
    <row r="102" spans="1:3" ht="12.75" x14ac:dyDescent="0.2">
      <c r="A102" s="236">
        <v>94</v>
      </c>
      <c r="B102" s="240" t="s">
        <v>279</v>
      </c>
      <c r="C102" s="241" t="s">
        <v>280</v>
      </c>
    </row>
    <row r="103" spans="1:3" ht="12.75" x14ac:dyDescent="0.2">
      <c r="A103" s="236">
        <v>95</v>
      </c>
      <c r="B103" s="240" t="s">
        <v>281</v>
      </c>
      <c r="C103" s="241" t="s">
        <v>282</v>
      </c>
    </row>
    <row r="104" spans="1:3" ht="12.75" x14ac:dyDescent="0.2">
      <c r="A104" s="236">
        <v>96</v>
      </c>
      <c r="B104" s="240" t="s">
        <v>283</v>
      </c>
      <c r="C104" s="241" t="s">
        <v>284</v>
      </c>
    </row>
    <row r="105" spans="1:3" ht="12.75" x14ac:dyDescent="0.2">
      <c r="A105" s="236">
        <v>97</v>
      </c>
      <c r="B105" s="240" t="s">
        <v>285</v>
      </c>
      <c r="C105" s="241" t="s">
        <v>286</v>
      </c>
    </row>
    <row r="106" spans="1:3" ht="12.75" x14ac:dyDescent="0.2">
      <c r="A106" s="236">
        <v>98</v>
      </c>
      <c r="B106" s="240" t="s">
        <v>287</v>
      </c>
      <c r="C106" s="241" t="s">
        <v>288</v>
      </c>
    </row>
    <row r="107" spans="1:3" ht="12.75" x14ac:dyDescent="0.2">
      <c r="A107" s="236">
        <v>99</v>
      </c>
      <c r="B107" s="240" t="s">
        <v>289</v>
      </c>
      <c r="C107" s="241" t="s">
        <v>290</v>
      </c>
    </row>
    <row r="108" spans="1:3" ht="12.75" x14ac:dyDescent="0.2">
      <c r="A108" s="236">
        <v>100</v>
      </c>
      <c r="B108" s="240" t="s">
        <v>291</v>
      </c>
      <c r="C108" s="241" t="s">
        <v>292</v>
      </c>
    </row>
    <row r="109" spans="1:3" ht="12.75" x14ac:dyDescent="0.2">
      <c r="A109" s="236">
        <v>101</v>
      </c>
      <c r="B109" s="240" t="s">
        <v>293</v>
      </c>
      <c r="C109" s="241" t="s">
        <v>294</v>
      </c>
    </row>
    <row r="110" spans="1:3" ht="12.75" x14ac:dyDescent="0.2">
      <c r="A110" s="236">
        <v>102</v>
      </c>
      <c r="B110" s="240" t="s">
        <v>295</v>
      </c>
      <c r="C110" s="241" t="s">
        <v>296</v>
      </c>
    </row>
    <row r="111" spans="1:3" ht="12.75" x14ac:dyDescent="0.2">
      <c r="A111" s="236">
        <v>103</v>
      </c>
      <c r="B111" s="240" t="s">
        <v>297</v>
      </c>
      <c r="C111" s="241" t="s">
        <v>298</v>
      </c>
    </row>
    <row r="112" spans="1:3" ht="12.75" x14ac:dyDescent="0.2">
      <c r="A112" s="236">
        <v>104</v>
      </c>
      <c r="B112" s="240" t="s">
        <v>299</v>
      </c>
      <c r="C112" s="241" t="s">
        <v>300</v>
      </c>
    </row>
    <row r="113" spans="1:3" ht="12.75" x14ac:dyDescent="0.2">
      <c r="A113" s="236">
        <v>105</v>
      </c>
      <c r="B113" s="240" t="s">
        <v>301</v>
      </c>
      <c r="C113" s="241" t="s">
        <v>302</v>
      </c>
    </row>
    <row r="114" spans="1:3" ht="12.75" x14ac:dyDescent="0.2">
      <c r="A114" s="236">
        <v>106</v>
      </c>
      <c r="B114" s="240" t="s">
        <v>303</v>
      </c>
      <c r="C114" s="241" t="s">
        <v>304</v>
      </c>
    </row>
    <row r="115" spans="1:3" ht="12.75" x14ac:dyDescent="0.2">
      <c r="A115" s="236">
        <v>107</v>
      </c>
      <c r="B115" s="240" t="s">
        <v>305</v>
      </c>
      <c r="C115" s="241" t="s">
        <v>306</v>
      </c>
    </row>
    <row r="116" spans="1:3" ht="12.75" x14ac:dyDescent="0.2">
      <c r="A116" s="236">
        <v>108</v>
      </c>
      <c r="B116" s="240" t="s">
        <v>307</v>
      </c>
      <c r="C116" s="241" t="s">
        <v>308</v>
      </c>
    </row>
    <row r="117" spans="1:3" ht="12.75" x14ac:dyDescent="0.2">
      <c r="A117" s="236">
        <v>109</v>
      </c>
      <c r="B117" s="240" t="s">
        <v>309</v>
      </c>
      <c r="C117" s="241" t="s">
        <v>310</v>
      </c>
    </row>
    <row r="118" spans="1:3" ht="12.75" x14ac:dyDescent="0.2">
      <c r="A118" s="236">
        <v>110</v>
      </c>
      <c r="B118" s="240" t="s">
        <v>311</v>
      </c>
      <c r="C118" s="241" t="s">
        <v>312</v>
      </c>
    </row>
    <row r="119" spans="1:3" ht="12.75" x14ac:dyDescent="0.2">
      <c r="A119" s="236">
        <v>111</v>
      </c>
      <c r="B119" s="240" t="s">
        <v>313</v>
      </c>
      <c r="C119" s="241" t="s">
        <v>314</v>
      </c>
    </row>
    <row r="120" spans="1:3" ht="12.75" x14ac:dyDescent="0.2">
      <c r="A120" s="236">
        <v>112</v>
      </c>
      <c r="B120" s="240" t="s">
        <v>315</v>
      </c>
      <c r="C120" s="241" t="s">
        <v>316</v>
      </c>
    </row>
    <row r="121" spans="1:3" ht="12.75" x14ac:dyDescent="0.2">
      <c r="A121" s="236">
        <v>113</v>
      </c>
      <c r="B121" s="240" t="s">
        <v>317</v>
      </c>
      <c r="C121" s="241" t="s">
        <v>318</v>
      </c>
    </row>
    <row r="122" spans="1:3" ht="12.75" x14ac:dyDescent="0.2">
      <c r="A122" s="236">
        <v>114</v>
      </c>
      <c r="B122" s="240" t="s">
        <v>319</v>
      </c>
      <c r="C122" s="241" t="s">
        <v>320</v>
      </c>
    </row>
    <row r="123" spans="1:3" ht="12.75" x14ac:dyDescent="0.2">
      <c r="A123" s="236">
        <v>115</v>
      </c>
      <c r="B123" s="240" t="s">
        <v>321</v>
      </c>
      <c r="C123" s="241" t="s">
        <v>322</v>
      </c>
    </row>
    <row r="124" spans="1:3" ht="12.75" x14ac:dyDescent="0.2">
      <c r="A124" s="236">
        <v>116</v>
      </c>
      <c r="B124" s="240" t="s">
        <v>323</v>
      </c>
      <c r="C124" s="241" t="s">
        <v>324</v>
      </c>
    </row>
    <row r="125" spans="1:3" ht="12.75" x14ac:dyDescent="0.2">
      <c r="A125" s="236">
        <v>117</v>
      </c>
      <c r="B125" s="240" t="s">
        <v>325</v>
      </c>
      <c r="C125" s="241" t="s">
        <v>326</v>
      </c>
    </row>
    <row r="126" spans="1:3" ht="12.75" x14ac:dyDescent="0.2">
      <c r="A126" s="236">
        <v>118</v>
      </c>
      <c r="B126" s="240" t="s">
        <v>327</v>
      </c>
      <c r="C126" s="241" t="s">
        <v>328</v>
      </c>
    </row>
    <row r="127" spans="1:3" ht="12.75" x14ac:dyDescent="0.2">
      <c r="A127" s="236">
        <v>119</v>
      </c>
      <c r="B127" s="240" t="s">
        <v>329</v>
      </c>
      <c r="C127" s="241" t="s">
        <v>330</v>
      </c>
    </row>
    <row r="128" spans="1:3" ht="12.75" x14ac:dyDescent="0.2">
      <c r="A128" s="236">
        <v>120</v>
      </c>
      <c r="B128" s="240" t="s">
        <v>331</v>
      </c>
      <c r="C128" s="241" t="s">
        <v>332</v>
      </c>
    </row>
    <row r="129" spans="1:3" ht="12.75" x14ac:dyDescent="0.2">
      <c r="A129" s="236">
        <v>121</v>
      </c>
      <c r="B129" s="240" t="s">
        <v>333</v>
      </c>
      <c r="C129" s="241" t="s">
        <v>334</v>
      </c>
    </row>
    <row r="130" spans="1:3" ht="12.75" x14ac:dyDescent="0.2">
      <c r="A130" s="236">
        <v>122</v>
      </c>
      <c r="B130" s="240" t="s">
        <v>335</v>
      </c>
      <c r="C130" s="241" t="s">
        <v>336</v>
      </c>
    </row>
    <row r="131" spans="1:3" ht="12.75" x14ac:dyDescent="0.2">
      <c r="A131" s="236">
        <v>123</v>
      </c>
      <c r="B131" s="240" t="s">
        <v>337</v>
      </c>
      <c r="C131" s="241" t="s">
        <v>338</v>
      </c>
    </row>
    <row r="132" spans="1:3" ht="12.75" x14ac:dyDescent="0.2">
      <c r="A132" s="236">
        <v>124</v>
      </c>
      <c r="B132" s="240" t="s">
        <v>339</v>
      </c>
      <c r="C132" s="241" t="s">
        <v>340</v>
      </c>
    </row>
    <row r="133" spans="1:3" ht="12.75" x14ac:dyDescent="0.2">
      <c r="A133" s="236">
        <v>125</v>
      </c>
      <c r="B133" s="240" t="s">
        <v>341</v>
      </c>
      <c r="C133" s="241" t="s">
        <v>342</v>
      </c>
    </row>
    <row r="134" spans="1:3" ht="12.75" x14ac:dyDescent="0.2">
      <c r="A134" s="236">
        <v>126</v>
      </c>
      <c r="B134" s="240" t="s">
        <v>343</v>
      </c>
      <c r="C134" s="241" t="s">
        <v>344</v>
      </c>
    </row>
    <row r="135" spans="1:3" ht="12.75" x14ac:dyDescent="0.2">
      <c r="A135" s="236">
        <v>127</v>
      </c>
      <c r="B135" s="240" t="s">
        <v>345</v>
      </c>
      <c r="C135" s="241" t="s">
        <v>346</v>
      </c>
    </row>
    <row r="136" spans="1:3" ht="12.75" x14ac:dyDescent="0.2">
      <c r="A136" s="236">
        <v>128</v>
      </c>
      <c r="B136" s="240" t="s">
        <v>347</v>
      </c>
      <c r="C136" s="241" t="s">
        <v>348</v>
      </c>
    </row>
    <row r="137" spans="1:3" ht="12.75" x14ac:dyDescent="0.2">
      <c r="A137" s="236">
        <v>129</v>
      </c>
      <c r="B137" s="240" t="s">
        <v>349</v>
      </c>
      <c r="C137" s="241" t="s">
        <v>350</v>
      </c>
    </row>
    <row r="138" spans="1:3" ht="12.75" x14ac:dyDescent="0.2">
      <c r="A138" s="236">
        <v>130</v>
      </c>
      <c r="B138" s="240" t="s">
        <v>351</v>
      </c>
      <c r="C138" s="241" t="s">
        <v>352</v>
      </c>
    </row>
    <row r="139" spans="1:3" ht="12.75" x14ac:dyDescent="0.2">
      <c r="A139" s="236">
        <v>131</v>
      </c>
      <c r="B139" s="240" t="s">
        <v>353</v>
      </c>
      <c r="C139" s="241" t="s">
        <v>354</v>
      </c>
    </row>
    <row r="140" spans="1:3" ht="12.75" x14ac:dyDescent="0.2">
      <c r="A140" s="236">
        <v>132</v>
      </c>
      <c r="B140" s="240" t="s">
        <v>355</v>
      </c>
      <c r="C140" s="241" t="s">
        <v>356</v>
      </c>
    </row>
    <row r="141" spans="1:3" ht="12.75" x14ac:dyDescent="0.2">
      <c r="A141" s="236">
        <v>133</v>
      </c>
      <c r="B141" s="240" t="s">
        <v>357</v>
      </c>
      <c r="C141" s="241" t="s">
        <v>358</v>
      </c>
    </row>
    <row r="142" spans="1:3" ht="12.75" x14ac:dyDescent="0.2">
      <c r="A142" s="236">
        <v>134</v>
      </c>
      <c r="B142" s="240" t="s">
        <v>359</v>
      </c>
      <c r="C142" s="241" t="s">
        <v>360</v>
      </c>
    </row>
    <row r="143" spans="1:3" ht="12.75" x14ac:dyDescent="0.2">
      <c r="A143" s="236">
        <v>135</v>
      </c>
      <c r="B143" s="240" t="s">
        <v>361</v>
      </c>
      <c r="C143" s="241" t="s">
        <v>362</v>
      </c>
    </row>
    <row r="144" spans="1:3" ht="12.75" x14ac:dyDescent="0.2">
      <c r="A144" s="236">
        <v>136</v>
      </c>
      <c r="B144" s="240" t="s">
        <v>363</v>
      </c>
      <c r="C144" s="241" t="s">
        <v>364</v>
      </c>
    </row>
    <row r="145" spans="1:3" ht="12.75" x14ac:dyDescent="0.2">
      <c r="A145" s="236">
        <v>137</v>
      </c>
      <c r="B145" s="240" t="s">
        <v>365</v>
      </c>
      <c r="C145" s="241" t="s">
        <v>366</v>
      </c>
    </row>
    <row r="146" spans="1:3" ht="12.75" x14ac:dyDescent="0.2">
      <c r="A146" s="236">
        <v>138</v>
      </c>
      <c r="B146" s="240" t="s">
        <v>367</v>
      </c>
      <c r="C146" s="241" t="s">
        <v>368</v>
      </c>
    </row>
    <row r="147" spans="1:3" ht="12.75" x14ac:dyDescent="0.2">
      <c r="A147" s="236">
        <v>139</v>
      </c>
      <c r="B147" s="240" t="s">
        <v>369</v>
      </c>
      <c r="C147" s="241" t="s">
        <v>370</v>
      </c>
    </row>
    <row r="148" spans="1:3" ht="12.75" x14ac:dyDescent="0.2">
      <c r="A148" s="236">
        <v>140</v>
      </c>
      <c r="B148" s="240" t="s">
        <v>371</v>
      </c>
      <c r="C148" s="241" t="s">
        <v>372</v>
      </c>
    </row>
    <row r="149" spans="1:3" ht="12.75" x14ac:dyDescent="0.2">
      <c r="A149" s="236">
        <v>141</v>
      </c>
      <c r="B149" s="240" t="s">
        <v>373</v>
      </c>
      <c r="C149" s="241" t="s">
        <v>374</v>
      </c>
    </row>
    <row r="150" spans="1:3" ht="12.75" x14ac:dyDescent="0.2">
      <c r="A150" s="236">
        <v>142</v>
      </c>
      <c r="B150" s="240" t="s">
        <v>375</v>
      </c>
      <c r="C150" s="241" t="s">
        <v>376</v>
      </c>
    </row>
    <row r="151" spans="1:3" ht="12.75" x14ac:dyDescent="0.2">
      <c r="A151" s="236">
        <v>143</v>
      </c>
      <c r="B151" s="240" t="s">
        <v>377</v>
      </c>
      <c r="C151" s="241" t="s">
        <v>378</v>
      </c>
    </row>
    <row r="152" spans="1:3" ht="12.75" x14ac:dyDescent="0.2">
      <c r="A152" s="236">
        <v>144</v>
      </c>
      <c r="B152" s="240" t="s">
        <v>379</v>
      </c>
      <c r="C152" s="241" t="s">
        <v>380</v>
      </c>
    </row>
    <row r="153" spans="1:3" ht="12.75" x14ac:dyDescent="0.2">
      <c r="A153" s="236">
        <v>145</v>
      </c>
      <c r="B153" s="240" t="s">
        <v>381</v>
      </c>
      <c r="C153" s="241" t="s">
        <v>382</v>
      </c>
    </row>
    <row r="154" spans="1:3" ht="12.75" x14ac:dyDescent="0.2">
      <c r="A154" s="236">
        <v>146</v>
      </c>
      <c r="B154" s="240" t="s">
        <v>383</v>
      </c>
      <c r="C154" s="241" t="s">
        <v>384</v>
      </c>
    </row>
    <row r="155" spans="1:3" ht="12.75" x14ac:dyDescent="0.2">
      <c r="A155" s="236">
        <v>147</v>
      </c>
      <c r="B155" s="240" t="s">
        <v>385</v>
      </c>
      <c r="C155" s="241" t="s">
        <v>386</v>
      </c>
    </row>
    <row r="156" spans="1:3" ht="12.75" x14ac:dyDescent="0.2">
      <c r="A156" s="236">
        <v>148</v>
      </c>
      <c r="B156" s="240" t="s">
        <v>387</v>
      </c>
      <c r="C156" s="241" t="s">
        <v>388</v>
      </c>
    </row>
    <row r="157" spans="1:3" ht="12.75" x14ac:dyDescent="0.2">
      <c r="A157" s="236">
        <v>149</v>
      </c>
      <c r="B157" s="240" t="s">
        <v>389</v>
      </c>
      <c r="C157" s="241" t="s">
        <v>390</v>
      </c>
    </row>
    <row r="158" spans="1:3" ht="12.75" x14ac:dyDescent="0.2">
      <c r="A158" s="236">
        <v>150</v>
      </c>
      <c r="B158" s="240" t="s">
        <v>391</v>
      </c>
      <c r="C158" s="241" t="s">
        <v>392</v>
      </c>
    </row>
    <row r="159" spans="1:3" ht="12.75" x14ac:dyDescent="0.2">
      <c r="A159" s="236">
        <v>151</v>
      </c>
      <c r="B159" s="240" t="s">
        <v>393</v>
      </c>
      <c r="C159" s="241" t="s">
        <v>394</v>
      </c>
    </row>
    <row r="160" spans="1:3" ht="12.75" x14ac:dyDescent="0.2">
      <c r="A160" s="236">
        <v>152</v>
      </c>
      <c r="B160" s="240" t="s">
        <v>395</v>
      </c>
      <c r="C160" s="241" t="s">
        <v>396</v>
      </c>
    </row>
    <row r="161" spans="1:3" ht="12.75" x14ac:dyDescent="0.2">
      <c r="A161" s="236">
        <v>153</v>
      </c>
      <c r="B161" s="240" t="s">
        <v>397</v>
      </c>
      <c r="C161" s="241" t="s">
        <v>398</v>
      </c>
    </row>
    <row r="162" spans="1:3" ht="12.75" x14ac:dyDescent="0.2">
      <c r="A162" s="236">
        <v>154</v>
      </c>
      <c r="B162" s="240" t="s">
        <v>399</v>
      </c>
      <c r="C162" s="241" t="s">
        <v>400</v>
      </c>
    </row>
    <row r="163" spans="1:3" ht="12.75" x14ac:dyDescent="0.2">
      <c r="A163" s="236">
        <v>155</v>
      </c>
      <c r="B163" s="240" t="s">
        <v>401</v>
      </c>
      <c r="C163" s="241" t="s">
        <v>402</v>
      </c>
    </row>
    <row r="164" spans="1:3" ht="12.75" x14ac:dyDescent="0.2">
      <c r="A164" s="236">
        <v>156</v>
      </c>
      <c r="B164" s="240" t="s">
        <v>403</v>
      </c>
      <c r="C164" s="241" t="s">
        <v>404</v>
      </c>
    </row>
    <row r="165" spans="1:3" ht="12.75" x14ac:dyDescent="0.2">
      <c r="A165" s="236">
        <v>157</v>
      </c>
      <c r="B165" s="240" t="s">
        <v>405</v>
      </c>
      <c r="C165" s="241" t="s">
        <v>406</v>
      </c>
    </row>
    <row r="166" spans="1:3" ht="12.75" x14ac:dyDescent="0.2">
      <c r="A166" s="236">
        <v>158</v>
      </c>
      <c r="B166" s="240" t="s">
        <v>407</v>
      </c>
      <c r="C166" s="241" t="s">
        <v>408</v>
      </c>
    </row>
    <row r="167" spans="1:3" ht="12.75" x14ac:dyDescent="0.2">
      <c r="A167" s="236">
        <v>159</v>
      </c>
      <c r="B167" s="240" t="s">
        <v>409</v>
      </c>
      <c r="C167" s="241" t="s">
        <v>410</v>
      </c>
    </row>
    <row r="168" spans="1:3" ht="12.75" x14ac:dyDescent="0.2">
      <c r="A168" s="236">
        <v>160</v>
      </c>
      <c r="B168" s="240" t="s">
        <v>411</v>
      </c>
      <c r="C168" s="241" t="s">
        <v>412</v>
      </c>
    </row>
    <row r="169" spans="1:3" ht="12.75" x14ac:dyDescent="0.2">
      <c r="A169" s="236">
        <v>161</v>
      </c>
      <c r="B169" s="240" t="s">
        <v>413</v>
      </c>
      <c r="C169" s="241" t="s">
        <v>414</v>
      </c>
    </row>
    <row r="170" spans="1:3" ht="12.75" x14ac:dyDescent="0.2">
      <c r="A170" s="236">
        <v>162</v>
      </c>
      <c r="B170" s="240" t="s">
        <v>415</v>
      </c>
      <c r="C170" s="241" t="s">
        <v>416</v>
      </c>
    </row>
    <row r="171" spans="1:3" ht="12.75" x14ac:dyDescent="0.2">
      <c r="A171" s="236">
        <v>163</v>
      </c>
      <c r="B171" s="240" t="s">
        <v>417</v>
      </c>
      <c r="C171" s="241" t="s">
        <v>418</v>
      </c>
    </row>
    <row r="172" spans="1:3" ht="12.75" x14ac:dyDescent="0.2">
      <c r="A172" s="236">
        <v>164</v>
      </c>
      <c r="B172" s="240" t="s">
        <v>419</v>
      </c>
      <c r="C172" s="241" t="s">
        <v>420</v>
      </c>
    </row>
    <row r="173" spans="1:3" ht="12.75" x14ac:dyDescent="0.2">
      <c r="A173" s="236">
        <v>165</v>
      </c>
      <c r="B173" s="240" t="s">
        <v>421</v>
      </c>
      <c r="C173" s="241" t="s">
        <v>422</v>
      </c>
    </row>
    <row r="174" spans="1:3" ht="12.75" x14ac:dyDescent="0.2">
      <c r="A174" s="236">
        <v>166</v>
      </c>
      <c r="B174" s="240" t="s">
        <v>423</v>
      </c>
      <c r="C174" s="241" t="s">
        <v>424</v>
      </c>
    </row>
    <row r="175" spans="1:3" ht="12.75" x14ac:dyDescent="0.2">
      <c r="A175" s="236">
        <v>167</v>
      </c>
      <c r="B175" s="240" t="s">
        <v>425</v>
      </c>
      <c r="C175" s="241" t="s">
        <v>426</v>
      </c>
    </row>
    <row r="176" spans="1:3" ht="12.75" x14ac:dyDescent="0.2">
      <c r="A176" s="236">
        <v>168</v>
      </c>
      <c r="B176" s="240" t="s">
        <v>427</v>
      </c>
      <c r="C176" s="241" t="s">
        <v>428</v>
      </c>
    </row>
    <row r="177" spans="1:3" ht="12.75" x14ac:dyDescent="0.2">
      <c r="A177" s="236">
        <v>169</v>
      </c>
      <c r="B177" s="240" t="s">
        <v>429</v>
      </c>
      <c r="C177" s="241" t="s">
        <v>430</v>
      </c>
    </row>
    <row r="178" spans="1:3" ht="12.75" x14ac:dyDescent="0.2">
      <c r="A178" s="236">
        <v>170</v>
      </c>
      <c r="B178" s="240" t="s">
        <v>431</v>
      </c>
      <c r="C178" s="241" t="s">
        <v>432</v>
      </c>
    </row>
    <row r="179" spans="1:3" ht="12.75" x14ac:dyDescent="0.2">
      <c r="A179" s="236">
        <v>171</v>
      </c>
      <c r="B179" s="240" t="s">
        <v>433</v>
      </c>
      <c r="C179" s="241" t="s">
        <v>434</v>
      </c>
    </row>
    <row r="180" spans="1:3" ht="12.75" x14ac:dyDescent="0.2">
      <c r="A180" s="236">
        <v>172</v>
      </c>
      <c r="B180" s="240" t="s">
        <v>435</v>
      </c>
      <c r="C180" s="241" t="s">
        <v>436</v>
      </c>
    </row>
    <row r="181" spans="1:3" ht="12.75" x14ac:dyDescent="0.2">
      <c r="A181" s="236">
        <v>173</v>
      </c>
      <c r="B181" s="240" t="s">
        <v>437</v>
      </c>
      <c r="C181" s="241" t="s">
        <v>438</v>
      </c>
    </row>
    <row r="182" spans="1:3" ht="12.75" x14ac:dyDescent="0.2">
      <c r="A182" s="236">
        <v>174</v>
      </c>
      <c r="B182" s="240" t="s">
        <v>439</v>
      </c>
      <c r="C182" s="241" t="s">
        <v>440</v>
      </c>
    </row>
    <row r="183" spans="1:3" ht="12.75" x14ac:dyDescent="0.2">
      <c r="A183" s="236">
        <v>175</v>
      </c>
      <c r="B183" s="240" t="s">
        <v>441</v>
      </c>
      <c r="C183" s="241" t="s">
        <v>442</v>
      </c>
    </row>
    <row r="184" spans="1:3" ht="12.75" x14ac:dyDescent="0.2">
      <c r="A184" s="236">
        <v>176</v>
      </c>
      <c r="B184" s="240" t="s">
        <v>443</v>
      </c>
      <c r="C184" s="241" t="s">
        <v>444</v>
      </c>
    </row>
    <row r="185" spans="1:3" ht="12.75" x14ac:dyDescent="0.2">
      <c r="A185" s="236">
        <v>177</v>
      </c>
      <c r="B185" s="240" t="s">
        <v>445</v>
      </c>
      <c r="C185" s="241" t="s">
        <v>446</v>
      </c>
    </row>
    <row r="186" spans="1:3" ht="12.75" x14ac:dyDescent="0.2">
      <c r="A186" s="236">
        <v>178</v>
      </c>
      <c r="B186" s="240" t="s">
        <v>447</v>
      </c>
      <c r="C186" s="241" t="s">
        <v>448</v>
      </c>
    </row>
    <row r="187" spans="1:3" ht="12.75" x14ac:dyDescent="0.2">
      <c r="A187" s="236">
        <v>179</v>
      </c>
      <c r="B187" s="240" t="s">
        <v>449</v>
      </c>
      <c r="C187" s="241" t="s">
        <v>450</v>
      </c>
    </row>
    <row r="188" spans="1:3" ht="12.75" x14ac:dyDescent="0.2">
      <c r="A188" s="236">
        <v>180</v>
      </c>
      <c r="B188" s="240" t="s">
        <v>451</v>
      </c>
      <c r="C188" s="241" t="s">
        <v>452</v>
      </c>
    </row>
    <row r="189" spans="1:3" ht="12.75" x14ac:dyDescent="0.2">
      <c r="A189" s="236">
        <v>181</v>
      </c>
      <c r="B189" s="240" t="s">
        <v>453</v>
      </c>
      <c r="C189" s="241" t="s">
        <v>454</v>
      </c>
    </row>
    <row r="190" spans="1:3" ht="12.75" x14ac:dyDescent="0.2">
      <c r="A190" s="236">
        <v>182</v>
      </c>
      <c r="B190" s="240" t="s">
        <v>455</v>
      </c>
      <c r="C190" s="241" t="s">
        <v>456</v>
      </c>
    </row>
    <row r="191" spans="1:3" ht="12.75" x14ac:dyDescent="0.2">
      <c r="A191" s="236">
        <v>183</v>
      </c>
      <c r="B191" s="240" t="s">
        <v>457</v>
      </c>
      <c r="C191" s="241" t="s">
        <v>458</v>
      </c>
    </row>
    <row r="192" spans="1:3" ht="12.75" x14ac:dyDescent="0.2">
      <c r="A192" s="236">
        <v>184</v>
      </c>
      <c r="B192" s="240" t="s">
        <v>459</v>
      </c>
      <c r="C192" s="241" t="s">
        <v>460</v>
      </c>
    </row>
    <row r="193" spans="1:3" ht="12.75" x14ac:dyDescent="0.2">
      <c r="A193" s="236">
        <v>185</v>
      </c>
      <c r="B193" s="240" t="s">
        <v>461</v>
      </c>
      <c r="C193" s="241" t="s">
        <v>462</v>
      </c>
    </row>
    <row r="194" spans="1:3" ht="12.75" x14ac:dyDescent="0.2">
      <c r="A194" s="236">
        <v>186</v>
      </c>
      <c r="B194" s="240" t="s">
        <v>463</v>
      </c>
      <c r="C194" s="241" t="s">
        <v>464</v>
      </c>
    </row>
    <row r="195" spans="1:3" ht="12.75" x14ac:dyDescent="0.2">
      <c r="A195" s="236">
        <v>187</v>
      </c>
      <c r="B195" s="240" t="s">
        <v>465</v>
      </c>
      <c r="C195" s="241" t="s">
        <v>466</v>
      </c>
    </row>
    <row r="196" spans="1:3" ht="12.75" x14ac:dyDescent="0.2">
      <c r="A196" s="236">
        <v>188</v>
      </c>
      <c r="B196" s="240" t="s">
        <v>467</v>
      </c>
      <c r="C196" s="241" t="s">
        <v>468</v>
      </c>
    </row>
    <row r="197" spans="1:3" ht="12.75" x14ac:dyDescent="0.2">
      <c r="A197" s="236">
        <v>189</v>
      </c>
      <c r="B197" s="240" t="s">
        <v>469</v>
      </c>
      <c r="C197" s="241" t="s">
        <v>470</v>
      </c>
    </row>
    <row r="198" spans="1:3" ht="12.75" x14ac:dyDescent="0.2">
      <c r="A198" s="236">
        <v>190</v>
      </c>
      <c r="B198" s="240" t="s">
        <v>471</v>
      </c>
      <c r="C198" s="241" t="s">
        <v>472</v>
      </c>
    </row>
    <row r="199" spans="1:3" ht="12.75" x14ac:dyDescent="0.2">
      <c r="A199" s="236">
        <v>191</v>
      </c>
      <c r="B199" s="240" t="s">
        <v>473</v>
      </c>
      <c r="C199" s="241" t="s">
        <v>474</v>
      </c>
    </row>
    <row r="200" spans="1:3" ht="12.75" x14ac:dyDescent="0.2">
      <c r="A200" s="236">
        <v>192</v>
      </c>
      <c r="B200" s="240" t="s">
        <v>475</v>
      </c>
      <c r="C200" s="241" t="s">
        <v>476</v>
      </c>
    </row>
    <row r="201" spans="1:3" ht="12.75" x14ac:dyDescent="0.2">
      <c r="A201" s="236">
        <v>193</v>
      </c>
      <c r="B201" s="240" t="s">
        <v>477</v>
      </c>
      <c r="C201" s="241" t="s">
        <v>478</v>
      </c>
    </row>
    <row r="202" spans="1:3" ht="12.75" x14ac:dyDescent="0.2">
      <c r="A202" s="236">
        <v>194</v>
      </c>
      <c r="B202" s="240" t="s">
        <v>479</v>
      </c>
      <c r="C202" s="241" t="s">
        <v>480</v>
      </c>
    </row>
    <row r="203" spans="1:3" ht="12.75" x14ac:dyDescent="0.2">
      <c r="A203" s="236">
        <v>195</v>
      </c>
      <c r="B203" s="240" t="s">
        <v>481</v>
      </c>
      <c r="C203" s="241" t="s">
        <v>482</v>
      </c>
    </row>
    <row r="204" spans="1:3" ht="12.75" x14ac:dyDescent="0.2">
      <c r="A204" s="236">
        <v>196</v>
      </c>
      <c r="B204" s="240" t="s">
        <v>483</v>
      </c>
      <c r="C204" s="241" t="s">
        <v>484</v>
      </c>
    </row>
    <row r="205" spans="1:3" ht="12.75" x14ac:dyDescent="0.2">
      <c r="A205" s="236">
        <v>197</v>
      </c>
      <c r="B205" s="240" t="s">
        <v>485</v>
      </c>
      <c r="C205" s="241" t="s">
        <v>486</v>
      </c>
    </row>
    <row r="206" spans="1:3" ht="12.75" x14ac:dyDescent="0.2">
      <c r="A206" s="236">
        <v>198</v>
      </c>
      <c r="B206" s="240" t="s">
        <v>487</v>
      </c>
      <c r="C206" s="241" t="s">
        <v>488</v>
      </c>
    </row>
    <row r="207" spans="1:3" ht="12.75" x14ac:dyDescent="0.2">
      <c r="A207" s="236">
        <v>199</v>
      </c>
      <c r="B207" s="240" t="s">
        <v>489</v>
      </c>
      <c r="C207" s="241" t="s">
        <v>490</v>
      </c>
    </row>
    <row r="208" spans="1:3" ht="12.75" x14ac:dyDescent="0.2">
      <c r="A208" s="236">
        <v>200</v>
      </c>
      <c r="B208" s="240" t="s">
        <v>491</v>
      </c>
      <c r="C208" s="241" t="s">
        <v>492</v>
      </c>
    </row>
    <row r="209" spans="1:3" ht="12.75" x14ac:dyDescent="0.2">
      <c r="A209" s="236">
        <v>201</v>
      </c>
      <c r="B209" s="240" t="s">
        <v>493</v>
      </c>
      <c r="C209" s="241" t="s">
        <v>494</v>
      </c>
    </row>
    <row r="210" spans="1:3" ht="12.75" x14ac:dyDescent="0.2">
      <c r="A210" s="236">
        <v>202</v>
      </c>
      <c r="B210" s="240" t="s">
        <v>495</v>
      </c>
      <c r="C210" s="241" t="s">
        <v>496</v>
      </c>
    </row>
    <row r="211" spans="1:3" ht="12.75" x14ac:dyDescent="0.2">
      <c r="A211" s="236">
        <v>203</v>
      </c>
      <c r="B211" s="240" t="s">
        <v>497</v>
      </c>
      <c r="C211" s="241" t="s">
        <v>498</v>
      </c>
    </row>
    <row r="212" spans="1:3" ht="12.75" x14ac:dyDescent="0.2">
      <c r="A212" s="236">
        <v>204</v>
      </c>
      <c r="B212" s="240" t="s">
        <v>499</v>
      </c>
      <c r="C212" s="241" t="s">
        <v>500</v>
      </c>
    </row>
    <row r="213" spans="1:3" ht="12.75" x14ac:dyDescent="0.2">
      <c r="A213" s="236">
        <v>205</v>
      </c>
      <c r="B213" s="240" t="s">
        <v>501</v>
      </c>
      <c r="C213" s="241" t="s">
        <v>502</v>
      </c>
    </row>
    <row r="214" spans="1:3" ht="12.75" x14ac:dyDescent="0.2">
      <c r="A214" s="236">
        <v>206</v>
      </c>
      <c r="B214" s="240" t="s">
        <v>503</v>
      </c>
      <c r="C214" s="241" t="s">
        <v>504</v>
      </c>
    </row>
    <row r="215" spans="1:3" ht="12.75" x14ac:dyDescent="0.2">
      <c r="A215" s="236">
        <v>207</v>
      </c>
      <c r="B215" s="240" t="s">
        <v>505</v>
      </c>
      <c r="C215" s="241" t="s">
        <v>506</v>
      </c>
    </row>
    <row r="216" spans="1:3" ht="12.75" x14ac:dyDescent="0.2">
      <c r="A216" s="236">
        <v>208</v>
      </c>
      <c r="B216" s="240" t="s">
        <v>507</v>
      </c>
      <c r="C216" s="241" t="s">
        <v>508</v>
      </c>
    </row>
    <row r="217" spans="1:3" ht="12.75" x14ac:dyDescent="0.2">
      <c r="A217" s="236">
        <v>209</v>
      </c>
      <c r="B217" s="240" t="s">
        <v>509</v>
      </c>
      <c r="C217" s="241" t="s">
        <v>510</v>
      </c>
    </row>
    <row r="218" spans="1:3" ht="12.75" x14ac:dyDescent="0.2">
      <c r="A218" s="236">
        <v>210</v>
      </c>
      <c r="B218" s="240" t="s">
        <v>511</v>
      </c>
      <c r="C218" s="241" t="s">
        <v>512</v>
      </c>
    </row>
    <row r="219" spans="1:3" ht="12.75" x14ac:dyDescent="0.2">
      <c r="A219" s="236">
        <v>211</v>
      </c>
      <c r="B219" s="240" t="s">
        <v>513</v>
      </c>
      <c r="C219" s="241" t="s">
        <v>514</v>
      </c>
    </row>
    <row r="220" spans="1:3" ht="12.75" x14ac:dyDescent="0.2">
      <c r="A220" s="236">
        <v>212</v>
      </c>
      <c r="B220" s="240" t="s">
        <v>515</v>
      </c>
      <c r="C220" s="241" t="s">
        <v>516</v>
      </c>
    </row>
    <row r="221" spans="1:3" ht="12.75" x14ac:dyDescent="0.2">
      <c r="A221" s="236">
        <v>213</v>
      </c>
      <c r="B221" s="240" t="s">
        <v>517</v>
      </c>
      <c r="C221" s="241" t="s">
        <v>518</v>
      </c>
    </row>
    <row r="222" spans="1:3" ht="12.75" x14ac:dyDescent="0.2">
      <c r="A222" s="236">
        <v>214</v>
      </c>
      <c r="B222" s="240" t="s">
        <v>519</v>
      </c>
      <c r="C222" s="241" t="s">
        <v>520</v>
      </c>
    </row>
    <row r="223" spans="1:3" ht="12.75" x14ac:dyDescent="0.2">
      <c r="A223" s="236">
        <v>215</v>
      </c>
      <c r="B223" s="240" t="s">
        <v>521</v>
      </c>
      <c r="C223" s="241" t="s">
        <v>522</v>
      </c>
    </row>
    <row r="224" spans="1:3" ht="12.75" x14ac:dyDescent="0.2">
      <c r="A224" s="236">
        <v>216</v>
      </c>
      <c r="B224" s="240" t="s">
        <v>523</v>
      </c>
      <c r="C224" s="241" t="s">
        <v>524</v>
      </c>
    </row>
    <row r="225" spans="1:3" ht="12.75" x14ac:dyDescent="0.2">
      <c r="A225" s="236">
        <v>217</v>
      </c>
      <c r="B225" s="240" t="s">
        <v>525</v>
      </c>
      <c r="C225" s="241" t="s">
        <v>526</v>
      </c>
    </row>
    <row r="226" spans="1:3" ht="12.75" x14ac:dyDescent="0.2">
      <c r="A226" s="236">
        <v>218</v>
      </c>
      <c r="B226" s="240" t="s">
        <v>527</v>
      </c>
      <c r="C226" s="241" t="s">
        <v>528</v>
      </c>
    </row>
    <row r="227" spans="1:3" ht="12.75" x14ac:dyDescent="0.2">
      <c r="A227" s="236">
        <v>219</v>
      </c>
      <c r="B227" s="240" t="s">
        <v>529</v>
      </c>
      <c r="C227" s="241" t="s">
        <v>530</v>
      </c>
    </row>
    <row r="228" spans="1:3" ht="12.75" x14ac:dyDescent="0.2">
      <c r="A228" s="236">
        <v>220</v>
      </c>
      <c r="B228" s="240" t="s">
        <v>531</v>
      </c>
      <c r="C228" s="241" t="s">
        <v>532</v>
      </c>
    </row>
    <row r="229" spans="1:3" ht="12.75" x14ac:dyDescent="0.2">
      <c r="A229" s="236">
        <v>221</v>
      </c>
      <c r="B229" s="240" t="s">
        <v>533</v>
      </c>
      <c r="C229" s="241" t="s">
        <v>534</v>
      </c>
    </row>
    <row r="230" spans="1:3" ht="12.75" x14ac:dyDescent="0.2">
      <c r="A230" s="236">
        <v>222</v>
      </c>
      <c r="B230" s="240" t="s">
        <v>535</v>
      </c>
      <c r="C230" s="241" t="s">
        <v>536</v>
      </c>
    </row>
    <row r="231" spans="1:3" ht="12.75" x14ac:dyDescent="0.2">
      <c r="A231" s="236">
        <v>223</v>
      </c>
      <c r="B231" s="240" t="s">
        <v>537</v>
      </c>
      <c r="C231" s="241" t="s">
        <v>538</v>
      </c>
    </row>
    <row r="232" spans="1:3" ht="12.75" x14ac:dyDescent="0.2">
      <c r="A232" s="236">
        <v>224</v>
      </c>
      <c r="B232" s="240" t="s">
        <v>539</v>
      </c>
      <c r="C232" s="241" t="s">
        <v>540</v>
      </c>
    </row>
    <row r="233" spans="1:3" ht="12.75" x14ac:dyDescent="0.2">
      <c r="A233" s="236">
        <v>225</v>
      </c>
      <c r="B233" s="240" t="s">
        <v>541</v>
      </c>
      <c r="C233" s="241" t="s">
        <v>542</v>
      </c>
    </row>
    <row r="234" spans="1:3" ht="12.75" x14ac:dyDescent="0.2">
      <c r="A234" s="236">
        <v>226</v>
      </c>
      <c r="B234" s="240" t="s">
        <v>543</v>
      </c>
      <c r="C234" s="241" t="s">
        <v>544</v>
      </c>
    </row>
    <row r="235" spans="1:3" ht="12.75" x14ac:dyDescent="0.2">
      <c r="A235" s="236">
        <v>227</v>
      </c>
      <c r="B235" s="240" t="s">
        <v>545</v>
      </c>
      <c r="C235" s="241" t="s">
        <v>546</v>
      </c>
    </row>
    <row r="236" spans="1:3" ht="12.75" x14ac:dyDescent="0.2">
      <c r="A236" s="236">
        <v>228</v>
      </c>
      <c r="B236" s="240" t="s">
        <v>547</v>
      </c>
      <c r="C236" s="241" t="s">
        <v>548</v>
      </c>
    </row>
    <row r="237" spans="1:3" ht="12.75" x14ac:dyDescent="0.2">
      <c r="A237" s="236">
        <v>229</v>
      </c>
      <c r="B237" s="240" t="s">
        <v>549</v>
      </c>
      <c r="C237" s="241" t="s">
        <v>550</v>
      </c>
    </row>
    <row r="238" spans="1:3" ht="12.75" x14ac:dyDescent="0.2">
      <c r="A238" s="236">
        <v>230</v>
      </c>
      <c r="B238" s="240" t="s">
        <v>551</v>
      </c>
      <c r="C238" s="241" t="s">
        <v>552</v>
      </c>
    </row>
    <row r="239" spans="1:3" ht="12.75" x14ac:dyDescent="0.2">
      <c r="A239" s="236">
        <v>231</v>
      </c>
      <c r="B239" s="240" t="s">
        <v>553</v>
      </c>
      <c r="C239" s="241" t="s">
        <v>554</v>
      </c>
    </row>
    <row r="240" spans="1:3" ht="12.75" x14ac:dyDescent="0.2">
      <c r="A240" s="236">
        <v>232</v>
      </c>
      <c r="B240" s="240" t="s">
        <v>555</v>
      </c>
      <c r="C240" s="241" t="s">
        <v>556</v>
      </c>
    </row>
    <row r="241" spans="1:6" ht="12.75" x14ac:dyDescent="0.2">
      <c r="A241" s="236">
        <v>233</v>
      </c>
      <c r="B241" s="240" t="s">
        <v>557</v>
      </c>
      <c r="C241" s="241" t="s">
        <v>558</v>
      </c>
    </row>
    <row r="242" spans="1:6" ht="12.75" x14ac:dyDescent="0.2">
      <c r="A242" s="236">
        <v>234</v>
      </c>
      <c r="B242" s="240" t="s">
        <v>559</v>
      </c>
      <c r="C242" s="241" t="s">
        <v>560</v>
      </c>
    </row>
    <row r="243" spans="1:6" ht="12.75" x14ac:dyDescent="0.2">
      <c r="A243" s="236">
        <v>235</v>
      </c>
      <c r="B243" s="240" t="s">
        <v>561</v>
      </c>
      <c r="C243" s="241" t="s">
        <v>562</v>
      </c>
    </row>
    <row r="244" spans="1:6" ht="12.75" x14ac:dyDescent="0.2">
      <c r="A244" s="236">
        <v>236</v>
      </c>
      <c r="B244" s="240" t="s">
        <v>563</v>
      </c>
      <c r="C244" s="241" t="s">
        <v>564</v>
      </c>
    </row>
    <row r="245" spans="1:6" ht="12.75" x14ac:dyDescent="0.2">
      <c r="A245" s="236">
        <v>237</v>
      </c>
      <c r="B245" s="240" t="s">
        <v>565</v>
      </c>
      <c r="C245" s="241" t="s">
        <v>566</v>
      </c>
    </row>
    <row r="246" spans="1:6" ht="12.75" x14ac:dyDescent="0.2">
      <c r="A246" s="236">
        <v>238</v>
      </c>
      <c r="B246" s="240" t="s">
        <v>567</v>
      </c>
      <c r="C246" s="241" t="s">
        <v>568</v>
      </c>
    </row>
    <row r="247" spans="1:6" ht="12.75" x14ac:dyDescent="0.2">
      <c r="A247" s="236">
        <v>239</v>
      </c>
      <c r="B247" s="240" t="s">
        <v>569</v>
      </c>
      <c r="C247" s="241" t="s">
        <v>570</v>
      </c>
    </row>
    <row r="248" spans="1:6" ht="12.75" x14ac:dyDescent="0.2">
      <c r="A248" s="236">
        <v>240</v>
      </c>
      <c r="B248" s="240" t="s">
        <v>571</v>
      </c>
      <c r="C248" s="241" t="s">
        <v>572</v>
      </c>
    </row>
    <row r="249" spans="1:6" ht="12.75" x14ac:dyDescent="0.2">
      <c r="A249" s="236">
        <v>241</v>
      </c>
      <c r="B249" s="240" t="s">
        <v>573</v>
      </c>
      <c r="C249" s="241" t="s">
        <v>574</v>
      </c>
    </row>
    <row r="250" spans="1:6" ht="12.75" x14ac:dyDescent="0.2">
      <c r="A250" s="236">
        <v>242</v>
      </c>
      <c r="B250" s="240" t="s">
        <v>575</v>
      </c>
      <c r="C250" s="241" t="s">
        <v>576</v>
      </c>
    </row>
    <row r="251" spans="1:6" ht="12.75" x14ac:dyDescent="0.2">
      <c r="A251" s="236">
        <v>243</v>
      </c>
      <c r="B251" s="240" t="s">
        <v>577</v>
      </c>
      <c r="C251" s="241" t="s">
        <v>578</v>
      </c>
    </row>
    <row r="252" spans="1:6" ht="12.75" x14ac:dyDescent="0.2">
      <c r="A252" s="236">
        <v>244</v>
      </c>
      <c r="B252" s="240" t="s">
        <v>579</v>
      </c>
      <c r="C252" s="241" t="s">
        <v>580</v>
      </c>
    </row>
    <row r="253" spans="1:6" ht="12.75" x14ac:dyDescent="0.2">
      <c r="A253" s="236">
        <v>245</v>
      </c>
      <c r="B253" s="240" t="s">
        <v>581</v>
      </c>
      <c r="C253" s="241" t="s">
        <v>582</v>
      </c>
    </row>
    <row r="254" spans="1:6" ht="12.75" x14ac:dyDescent="0.2">
      <c r="A254" s="236">
        <v>246</v>
      </c>
      <c r="B254" s="240" t="s">
        <v>583</v>
      </c>
      <c r="C254" s="241" t="s">
        <v>584</v>
      </c>
      <c r="D254" s="239"/>
      <c r="E254" s="239"/>
      <c r="F254" s="239"/>
    </row>
    <row r="255" spans="1:6" ht="12.75" x14ac:dyDescent="0.2">
      <c r="A255" s="236">
        <v>247</v>
      </c>
      <c r="B255" s="240" t="s">
        <v>585</v>
      </c>
      <c r="C255" s="241" t="s">
        <v>586</v>
      </c>
    </row>
    <row r="256" spans="1:6" ht="12.75" x14ac:dyDescent="0.2">
      <c r="A256" s="236">
        <v>248</v>
      </c>
      <c r="B256" s="240" t="s">
        <v>587</v>
      </c>
      <c r="C256" s="241" t="s">
        <v>588</v>
      </c>
    </row>
    <row r="257" spans="1:3" ht="12.75" x14ac:dyDescent="0.2">
      <c r="A257" s="236">
        <v>249</v>
      </c>
      <c r="B257" s="240" t="s">
        <v>589</v>
      </c>
      <c r="C257" s="241" t="s">
        <v>590</v>
      </c>
    </row>
    <row r="258" spans="1:3" ht="12.75" x14ac:dyDescent="0.2">
      <c r="A258" s="236">
        <v>250</v>
      </c>
      <c r="B258" s="240" t="s">
        <v>591</v>
      </c>
      <c r="C258" s="241" t="s">
        <v>592</v>
      </c>
    </row>
    <row r="259" spans="1:3" ht="12.75" x14ac:dyDescent="0.2">
      <c r="A259" s="236">
        <v>251</v>
      </c>
      <c r="B259" s="240" t="s">
        <v>593</v>
      </c>
      <c r="C259" s="241" t="s">
        <v>594</v>
      </c>
    </row>
    <row r="260" spans="1:3" ht="12.75" x14ac:dyDescent="0.2">
      <c r="A260" s="236">
        <v>252</v>
      </c>
      <c r="B260" s="240" t="s">
        <v>595</v>
      </c>
      <c r="C260" s="241" t="s">
        <v>596</v>
      </c>
    </row>
    <row r="261" spans="1:3" ht="12.75" x14ac:dyDescent="0.2">
      <c r="A261" s="236">
        <v>253</v>
      </c>
      <c r="B261" s="240" t="s">
        <v>597</v>
      </c>
      <c r="C261" s="241" t="s">
        <v>598</v>
      </c>
    </row>
    <row r="262" spans="1:3" ht="12.75" x14ac:dyDescent="0.2">
      <c r="A262" s="236">
        <v>254</v>
      </c>
      <c r="B262" s="240" t="s">
        <v>599</v>
      </c>
      <c r="C262" s="241" t="s">
        <v>600</v>
      </c>
    </row>
    <row r="263" spans="1:3" ht="12.75" x14ac:dyDescent="0.2">
      <c r="A263" s="236">
        <v>255</v>
      </c>
      <c r="B263" s="240" t="s">
        <v>601</v>
      </c>
      <c r="C263" s="241" t="s">
        <v>602</v>
      </c>
    </row>
    <row r="264" spans="1:3" ht="12.75" x14ac:dyDescent="0.2">
      <c r="A264" s="236">
        <v>256</v>
      </c>
      <c r="B264" s="240" t="s">
        <v>603</v>
      </c>
      <c r="C264" s="241" t="s">
        <v>604</v>
      </c>
    </row>
    <row r="265" spans="1:3" ht="12.75" x14ac:dyDescent="0.2">
      <c r="A265" s="236">
        <v>257</v>
      </c>
      <c r="B265" s="240" t="s">
        <v>605</v>
      </c>
      <c r="C265" s="241" t="s">
        <v>606</v>
      </c>
    </row>
    <row r="266" spans="1:3" ht="12.75" x14ac:dyDescent="0.2">
      <c r="A266" s="236">
        <v>258</v>
      </c>
      <c r="B266" s="240" t="s">
        <v>607</v>
      </c>
      <c r="C266" s="241" t="s">
        <v>608</v>
      </c>
    </row>
    <row r="267" spans="1:3" ht="12.75" x14ac:dyDescent="0.2">
      <c r="A267" s="236">
        <v>259</v>
      </c>
      <c r="B267" s="240" t="s">
        <v>609</v>
      </c>
      <c r="C267" s="241" t="s">
        <v>610</v>
      </c>
    </row>
    <row r="268" spans="1:3" ht="12.75" x14ac:dyDescent="0.2">
      <c r="A268" s="236">
        <v>260</v>
      </c>
      <c r="B268" s="240" t="s">
        <v>611</v>
      </c>
      <c r="C268" s="241" t="s">
        <v>612</v>
      </c>
    </row>
    <row r="269" spans="1:3" ht="12.75" x14ac:dyDescent="0.2">
      <c r="A269" s="236">
        <v>261</v>
      </c>
      <c r="B269" s="240" t="s">
        <v>613</v>
      </c>
      <c r="C269" s="241" t="s">
        <v>614</v>
      </c>
    </row>
    <row r="270" spans="1:3" ht="12.75" x14ac:dyDescent="0.2">
      <c r="A270" s="236">
        <v>262</v>
      </c>
      <c r="B270" s="240" t="s">
        <v>615</v>
      </c>
      <c r="C270" s="241" t="s">
        <v>616</v>
      </c>
    </row>
    <row r="271" spans="1:3" ht="12.75" x14ac:dyDescent="0.2">
      <c r="A271" s="236">
        <v>263</v>
      </c>
      <c r="B271" s="240" t="s">
        <v>617</v>
      </c>
      <c r="C271" s="241" t="s">
        <v>618</v>
      </c>
    </row>
    <row r="272" spans="1:3" ht="12.75" x14ac:dyDescent="0.2">
      <c r="A272" s="236">
        <v>264</v>
      </c>
      <c r="B272" s="240" t="s">
        <v>619</v>
      </c>
      <c r="C272" s="241" t="s">
        <v>620</v>
      </c>
    </row>
    <row r="273" spans="1:3" ht="12.75" x14ac:dyDescent="0.2">
      <c r="A273" s="236">
        <v>265</v>
      </c>
      <c r="B273" s="240" t="s">
        <v>621</v>
      </c>
      <c r="C273" s="241" t="s">
        <v>622</v>
      </c>
    </row>
    <row r="274" spans="1:3" ht="12.75" x14ac:dyDescent="0.2">
      <c r="A274" s="236">
        <v>266</v>
      </c>
      <c r="B274" s="240" t="s">
        <v>623</v>
      </c>
      <c r="C274" s="241" t="s">
        <v>624</v>
      </c>
    </row>
    <row r="275" spans="1:3" ht="12.75" x14ac:dyDescent="0.2">
      <c r="A275" s="236">
        <v>267</v>
      </c>
      <c r="B275" s="240" t="s">
        <v>625</v>
      </c>
      <c r="C275" s="241" t="s">
        <v>626</v>
      </c>
    </row>
    <row r="276" spans="1:3" ht="12.75" x14ac:dyDescent="0.2">
      <c r="A276" s="236">
        <v>268</v>
      </c>
      <c r="B276" s="240" t="s">
        <v>627</v>
      </c>
      <c r="C276" s="241" t="s">
        <v>628</v>
      </c>
    </row>
    <row r="277" spans="1:3" ht="12.75" x14ac:dyDescent="0.2">
      <c r="A277" s="236">
        <v>269</v>
      </c>
      <c r="B277" s="240" t="s">
        <v>629</v>
      </c>
      <c r="C277" s="241" t="s">
        <v>630</v>
      </c>
    </row>
    <row r="278" spans="1:3" ht="12.75" x14ac:dyDescent="0.2">
      <c r="A278" s="236">
        <v>270</v>
      </c>
      <c r="B278" s="240" t="s">
        <v>631</v>
      </c>
      <c r="C278" s="241" t="s">
        <v>632</v>
      </c>
    </row>
    <row r="279" spans="1:3" ht="12.75" x14ac:dyDescent="0.2">
      <c r="A279" s="236">
        <v>271</v>
      </c>
      <c r="B279" s="240" t="s">
        <v>633</v>
      </c>
      <c r="C279" s="241" t="s">
        <v>634</v>
      </c>
    </row>
    <row r="280" spans="1:3" ht="12.75" x14ac:dyDescent="0.2">
      <c r="A280" s="236">
        <v>272</v>
      </c>
      <c r="B280" s="240" t="s">
        <v>635</v>
      </c>
      <c r="C280" s="241" t="s">
        <v>636</v>
      </c>
    </row>
    <row r="281" spans="1:3" ht="12.75" x14ac:dyDescent="0.2">
      <c r="A281" s="236">
        <v>273</v>
      </c>
      <c r="B281" s="240" t="s">
        <v>637</v>
      </c>
      <c r="C281" s="241" t="s">
        <v>638</v>
      </c>
    </row>
    <row r="282" spans="1:3" ht="12.75" x14ac:dyDescent="0.2">
      <c r="A282" s="236">
        <v>274</v>
      </c>
      <c r="B282" s="240" t="s">
        <v>639</v>
      </c>
      <c r="C282" s="241" t="s">
        <v>640</v>
      </c>
    </row>
    <row r="283" spans="1:3" ht="12.75" x14ac:dyDescent="0.2">
      <c r="A283" s="236">
        <v>275</v>
      </c>
      <c r="B283" s="240" t="s">
        <v>641</v>
      </c>
      <c r="C283" s="241" t="s">
        <v>642</v>
      </c>
    </row>
    <row r="284" spans="1:3" ht="12.75" x14ac:dyDescent="0.2">
      <c r="A284" s="236">
        <v>276</v>
      </c>
      <c r="B284" s="240" t="s">
        <v>643</v>
      </c>
      <c r="C284" s="241" t="s">
        <v>644</v>
      </c>
    </row>
    <row r="285" spans="1:3" ht="12.75" x14ac:dyDescent="0.2">
      <c r="A285" s="236">
        <v>277</v>
      </c>
      <c r="B285" s="240" t="s">
        <v>645</v>
      </c>
      <c r="C285" s="241" t="s">
        <v>646</v>
      </c>
    </row>
    <row r="286" spans="1:3" ht="12.75" x14ac:dyDescent="0.2">
      <c r="A286" s="236">
        <v>278</v>
      </c>
      <c r="B286" s="240" t="s">
        <v>647</v>
      </c>
      <c r="C286" s="241" t="s">
        <v>648</v>
      </c>
    </row>
    <row r="287" spans="1:3" ht="12.75" x14ac:dyDescent="0.2">
      <c r="A287" s="236">
        <v>279</v>
      </c>
      <c r="B287" s="240" t="s">
        <v>649</v>
      </c>
      <c r="C287" s="241" t="s">
        <v>650</v>
      </c>
    </row>
    <row r="288" spans="1:3" ht="12.75" x14ac:dyDescent="0.2">
      <c r="A288" s="236">
        <v>280</v>
      </c>
      <c r="B288" s="240" t="s">
        <v>651</v>
      </c>
      <c r="C288" s="241" t="s">
        <v>652</v>
      </c>
    </row>
    <row r="289" spans="1:3" ht="12.75" x14ac:dyDescent="0.2">
      <c r="A289" s="236">
        <v>281</v>
      </c>
      <c r="B289" s="240" t="s">
        <v>653</v>
      </c>
      <c r="C289" s="241" t="s">
        <v>654</v>
      </c>
    </row>
    <row r="290" spans="1:3" ht="12.75" x14ac:dyDescent="0.2">
      <c r="A290" s="236">
        <v>282</v>
      </c>
      <c r="B290" s="240" t="s">
        <v>655</v>
      </c>
      <c r="C290" s="241" t="s">
        <v>656</v>
      </c>
    </row>
    <row r="291" spans="1:3" ht="12.75" x14ac:dyDescent="0.2">
      <c r="A291" s="236">
        <v>283</v>
      </c>
      <c r="B291" s="240" t="s">
        <v>657</v>
      </c>
      <c r="C291" s="241" t="s">
        <v>658</v>
      </c>
    </row>
    <row r="292" spans="1:3" ht="12.75" x14ac:dyDescent="0.2">
      <c r="A292" s="236">
        <v>284</v>
      </c>
      <c r="B292" s="240" t="s">
        <v>659</v>
      </c>
      <c r="C292" s="241" t="s">
        <v>660</v>
      </c>
    </row>
    <row r="293" spans="1:3" ht="12.75" x14ac:dyDescent="0.2">
      <c r="A293" s="236">
        <v>285</v>
      </c>
      <c r="B293" s="240" t="s">
        <v>661</v>
      </c>
      <c r="C293" s="241" t="s">
        <v>662</v>
      </c>
    </row>
    <row r="294" spans="1:3" ht="12.75" x14ac:dyDescent="0.2">
      <c r="A294" s="236">
        <v>286</v>
      </c>
      <c r="B294" s="240" t="s">
        <v>663</v>
      </c>
      <c r="C294" s="241" t="s">
        <v>664</v>
      </c>
    </row>
    <row r="295" spans="1:3" ht="12.75" x14ac:dyDescent="0.2">
      <c r="A295" s="236">
        <v>287</v>
      </c>
      <c r="B295" s="240" t="s">
        <v>665</v>
      </c>
      <c r="C295" s="241" t="s">
        <v>666</v>
      </c>
    </row>
    <row r="296" spans="1:3" ht="12.75" x14ac:dyDescent="0.2">
      <c r="A296" s="236">
        <v>288</v>
      </c>
      <c r="B296" s="240" t="s">
        <v>667</v>
      </c>
      <c r="C296" s="241" t="s">
        <v>668</v>
      </c>
    </row>
    <row r="297" spans="1:3" ht="12.75" x14ac:dyDescent="0.2">
      <c r="A297" s="236">
        <v>289</v>
      </c>
      <c r="B297" s="240" t="s">
        <v>669</v>
      </c>
      <c r="C297" s="241" t="s">
        <v>670</v>
      </c>
    </row>
    <row r="298" spans="1:3" ht="12.75" x14ac:dyDescent="0.2">
      <c r="A298" s="236">
        <v>290</v>
      </c>
      <c r="B298" s="240" t="s">
        <v>671</v>
      </c>
      <c r="C298" s="241" t="s">
        <v>672</v>
      </c>
    </row>
    <row r="299" spans="1:3" ht="12.75" x14ac:dyDescent="0.2">
      <c r="A299" s="236">
        <v>291</v>
      </c>
      <c r="B299" s="240" t="s">
        <v>673</v>
      </c>
      <c r="C299" s="241" t="s">
        <v>674</v>
      </c>
    </row>
    <row r="300" spans="1:3" ht="12.75" x14ac:dyDescent="0.2">
      <c r="A300" s="236">
        <v>292</v>
      </c>
      <c r="B300" s="240" t="s">
        <v>675</v>
      </c>
      <c r="C300" s="241" t="s">
        <v>676</v>
      </c>
    </row>
    <row r="301" spans="1:3" ht="12.75" x14ac:dyDescent="0.2">
      <c r="A301" s="236">
        <v>293</v>
      </c>
      <c r="B301" s="240" t="s">
        <v>677</v>
      </c>
      <c r="C301" s="241" t="s">
        <v>678</v>
      </c>
    </row>
    <row r="302" spans="1:3" ht="12.75" x14ac:dyDescent="0.2">
      <c r="A302" s="236">
        <v>294</v>
      </c>
      <c r="B302" s="240" t="s">
        <v>679</v>
      </c>
      <c r="C302" s="241" t="s">
        <v>680</v>
      </c>
    </row>
    <row r="303" spans="1:3" ht="12.75" x14ac:dyDescent="0.2">
      <c r="A303" s="236">
        <v>295</v>
      </c>
      <c r="B303" s="240" t="s">
        <v>681</v>
      </c>
      <c r="C303" s="241" t="s">
        <v>682</v>
      </c>
    </row>
    <row r="304" spans="1:3" ht="12.75" x14ac:dyDescent="0.2">
      <c r="A304" s="236">
        <v>296</v>
      </c>
      <c r="B304" s="240" t="s">
        <v>683</v>
      </c>
      <c r="C304" s="241" t="s">
        <v>684</v>
      </c>
    </row>
    <row r="305" spans="1:3" ht="12.75" x14ac:dyDescent="0.2">
      <c r="A305" s="236">
        <v>297</v>
      </c>
      <c r="B305" s="240" t="s">
        <v>685</v>
      </c>
      <c r="C305" s="241" t="s">
        <v>686</v>
      </c>
    </row>
    <row r="306" spans="1:3" ht="12.75" x14ac:dyDescent="0.2">
      <c r="A306" s="236">
        <v>298</v>
      </c>
      <c r="B306" s="240" t="s">
        <v>687</v>
      </c>
      <c r="C306" s="241" t="s">
        <v>688</v>
      </c>
    </row>
    <row r="307" spans="1:3" ht="12.75" x14ac:dyDescent="0.2">
      <c r="A307" s="236">
        <v>299</v>
      </c>
      <c r="B307" s="240" t="s">
        <v>689</v>
      </c>
      <c r="C307" s="241" t="s">
        <v>690</v>
      </c>
    </row>
    <row r="308" spans="1:3" ht="12.75" x14ac:dyDescent="0.2">
      <c r="A308" s="236">
        <v>300</v>
      </c>
      <c r="B308" s="240" t="s">
        <v>691</v>
      </c>
      <c r="C308" s="241" t="s">
        <v>692</v>
      </c>
    </row>
    <row r="309" spans="1:3" ht="12.75" x14ac:dyDescent="0.2">
      <c r="A309" s="236">
        <v>301</v>
      </c>
      <c r="B309" s="240" t="s">
        <v>693</v>
      </c>
      <c r="C309" s="241" t="s">
        <v>694</v>
      </c>
    </row>
    <row r="310" spans="1:3" ht="12.75" x14ac:dyDescent="0.2">
      <c r="A310" s="236">
        <v>302</v>
      </c>
      <c r="B310" s="240" t="s">
        <v>695</v>
      </c>
      <c r="C310" s="241" t="s">
        <v>696</v>
      </c>
    </row>
    <row r="311" spans="1:3" ht="12.75" x14ac:dyDescent="0.2">
      <c r="A311" s="236">
        <v>303</v>
      </c>
      <c r="B311" s="240" t="s">
        <v>697</v>
      </c>
      <c r="C311" s="241" t="s">
        <v>698</v>
      </c>
    </row>
    <row r="312" spans="1:3" ht="12.75" x14ac:dyDescent="0.2">
      <c r="A312" s="236">
        <v>304</v>
      </c>
      <c r="B312" s="240" t="s">
        <v>699</v>
      </c>
      <c r="C312" s="241" t="s">
        <v>700</v>
      </c>
    </row>
    <row r="313" spans="1:3" ht="12.75" x14ac:dyDescent="0.2">
      <c r="A313" s="236">
        <v>305</v>
      </c>
      <c r="B313" s="240" t="s">
        <v>701</v>
      </c>
      <c r="C313" s="241" t="s">
        <v>702</v>
      </c>
    </row>
    <row r="314" spans="1:3" ht="12.75" x14ac:dyDescent="0.2">
      <c r="A314" s="236">
        <v>306</v>
      </c>
      <c r="B314" s="240" t="s">
        <v>703</v>
      </c>
      <c r="C314" s="241" t="s">
        <v>704</v>
      </c>
    </row>
    <row r="315" spans="1:3" ht="12.75" x14ac:dyDescent="0.2">
      <c r="A315" s="236">
        <v>307</v>
      </c>
      <c r="B315" s="240" t="s">
        <v>705</v>
      </c>
      <c r="C315" s="241" t="s">
        <v>706</v>
      </c>
    </row>
    <row r="316" spans="1:3" ht="12.75" x14ac:dyDescent="0.2">
      <c r="A316" s="236">
        <v>308</v>
      </c>
      <c r="B316" s="240" t="s">
        <v>707</v>
      </c>
      <c r="C316" s="241" t="s">
        <v>708</v>
      </c>
    </row>
    <row r="317" spans="1:3" ht="12.75" x14ac:dyDescent="0.2">
      <c r="A317" s="236">
        <v>309</v>
      </c>
      <c r="B317" s="240" t="s">
        <v>709</v>
      </c>
      <c r="C317" s="241" t="s">
        <v>710</v>
      </c>
    </row>
    <row r="318" spans="1:3" ht="12.75" x14ac:dyDescent="0.2">
      <c r="A318" s="236">
        <v>310</v>
      </c>
      <c r="B318" s="240" t="s">
        <v>711</v>
      </c>
      <c r="C318" s="241" t="s">
        <v>712</v>
      </c>
    </row>
    <row r="319" spans="1:3" ht="12.75" x14ac:dyDescent="0.2">
      <c r="A319" s="236">
        <v>311</v>
      </c>
      <c r="B319" s="240" t="s">
        <v>713</v>
      </c>
      <c r="C319" s="241" t="s">
        <v>714</v>
      </c>
    </row>
    <row r="320" spans="1:3" ht="12.75" x14ac:dyDescent="0.2">
      <c r="A320" s="236">
        <v>312</v>
      </c>
      <c r="B320" s="240" t="s">
        <v>715</v>
      </c>
      <c r="C320" s="241" t="s">
        <v>716</v>
      </c>
    </row>
    <row r="321" spans="1:3" ht="12.75" x14ac:dyDescent="0.2">
      <c r="A321" s="236">
        <v>313</v>
      </c>
      <c r="B321" s="240" t="s">
        <v>717</v>
      </c>
      <c r="C321" s="241" t="s">
        <v>718</v>
      </c>
    </row>
    <row r="322" spans="1:3" ht="12.75" x14ac:dyDescent="0.2">
      <c r="A322" s="236">
        <v>314</v>
      </c>
      <c r="B322" s="240" t="s">
        <v>719</v>
      </c>
      <c r="C322" s="241" t="s">
        <v>720</v>
      </c>
    </row>
    <row r="323" spans="1:3" ht="12.75" x14ac:dyDescent="0.2">
      <c r="A323" s="236">
        <v>315</v>
      </c>
      <c r="B323" s="240" t="s">
        <v>721</v>
      </c>
      <c r="C323" s="241" t="s">
        <v>722</v>
      </c>
    </row>
    <row r="324" spans="1:3" ht="12.75" x14ac:dyDescent="0.2">
      <c r="A324" s="236">
        <v>316</v>
      </c>
      <c r="B324" s="240" t="s">
        <v>723</v>
      </c>
      <c r="C324" s="241" t="s">
        <v>724</v>
      </c>
    </row>
    <row r="325" spans="1:3" ht="12.75" x14ac:dyDescent="0.2">
      <c r="A325" s="236">
        <v>317</v>
      </c>
      <c r="B325" s="240" t="s">
        <v>725</v>
      </c>
      <c r="C325" s="241" t="s">
        <v>726</v>
      </c>
    </row>
    <row r="326" spans="1:3" ht="12.75" x14ac:dyDescent="0.2">
      <c r="A326" s="236">
        <v>318</v>
      </c>
      <c r="B326" s="240" t="s">
        <v>727</v>
      </c>
      <c r="C326" s="241" t="s">
        <v>728</v>
      </c>
    </row>
    <row r="327" spans="1:3" ht="12.75" x14ac:dyDescent="0.2">
      <c r="A327" s="236">
        <v>319</v>
      </c>
      <c r="B327" s="240" t="s">
        <v>729</v>
      </c>
      <c r="C327" s="241" t="s">
        <v>730</v>
      </c>
    </row>
    <row r="328" spans="1:3" ht="12.75" x14ac:dyDescent="0.2">
      <c r="A328" s="236">
        <v>320</v>
      </c>
      <c r="B328" s="240" t="s">
        <v>731</v>
      </c>
      <c r="C328" s="241" t="s">
        <v>732</v>
      </c>
    </row>
    <row r="329" spans="1:3" ht="12.75" x14ac:dyDescent="0.2">
      <c r="A329" s="236">
        <v>321</v>
      </c>
      <c r="B329" s="240" t="s">
        <v>733</v>
      </c>
      <c r="C329" s="241" t="s">
        <v>734</v>
      </c>
    </row>
    <row r="330" spans="1:3" ht="12.75" x14ac:dyDescent="0.2">
      <c r="A330" s="236">
        <v>322</v>
      </c>
      <c r="B330" s="240" t="s">
        <v>735</v>
      </c>
      <c r="C330" s="241" t="s">
        <v>736</v>
      </c>
    </row>
    <row r="331" spans="1:3" ht="12.75" x14ac:dyDescent="0.2">
      <c r="A331" s="236">
        <v>323</v>
      </c>
      <c r="B331" s="240" t="s">
        <v>737</v>
      </c>
      <c r="C331" s="241" t="s">
        <v>738</v>
      </c>
    </row>
    <row r="332" spans="1:3" ht="12.75" x14ac:dyDescent="0.2">
      <c r="A332" s="236">
        <v>324</v>
      </c>
      <c r="B332" s="240" t="s">
        <v>739</v>
      </c>
      <c r="C332" s="241" t="s">
        <v>740</v>
      </c>
    </row>
    <row r="333" spans="1:3" ht="12.75" x14ac:dyDescent="0.2">
      <c r="A333" s="236">
        <v>325</v>
      </c>
      <c r="B333" s="240" t="s">
        <v>741</v>
      </c>
      <c r="C333" s="241" t="s">
        <v>742</v>
      </c>
    </row>
    <row r="334" spans="1:3" ht="13.5" thickBot="1" x14ac:dyDescent="0.25">
      <c r="A334" s="244">
        <v>326</v>
      </c>
      <c r="B334" s="245" t="s">
        <v>743</v>
      </c>
      <c r="C334" s="246" t="s">
        <v>744</v>
      </c>
    </row>
    <row r="335" spans="1:3" ht="12.75" x14ac:dyDescent="0.2">
      <c r="A335" s="247">
        <v>327</v>
      </c>
      <c r="B335" s="248" t="s">
        <v>1176</v>
      </c>
      <c r="C335" s="249" t="s">
        <v>1182</v>
      </c>
    </row>
    <row r="336" spans="1:3" s="251" customFormat="1" ht="12.75" x14ac:dyDescent="0.2">
      <c r="A336" s="250"/>
      <c r="B336" s="250"/>
      <c r="C336" s="250"/>
    </row>
    <row r="337" spans="1:3" s="251" customFormat="1" x14ac:dyDescent="0.2">
      <c r="A337" s="114"/>
      <c r="B337" s="114"/>
      <c r="C337" s="114"/>
    </row>
    <row r="338" spans="1:3" s="251" customFormat="1" x14ac:dyDescent="0.2">
      <c r="A338" s="114"/>
      <c r="B338" s="114"/>
      <c r="C338" s="114"/>
    </row>
    <row r="339" spans="1:3" s="251" customFormat="1" x14ac:dyDescent="0.2">
      <c r="A339" s="114"/>
      <c r="B339" s="114"/>
      <c r="C339" s="114"/>
    </row>
    <row r="340" spans="1:3" s="251" customFormat="1" x14ac:dyDescent="0.2">
      <c r="A340" s="114"/>
      <c r="B340" s="114"/>
      <c r="C340" s="114"/>
    </row>
    <row r="341" spans="1:3" s="251" customFormat="1" x14ac:dyDescent="0.2">
      <c r="A341" s="114"/>
      <c r="B341" s="114"/>
      <c r="C341" s="114"/>
    </row>
    <row r="342" spans="1:3" s="251" customFormat="1" x14ac:dyDescent="0.2">
      <c r="A342" s="114"/>
      <c r="B342" s="114"/>
      <c r="C342" s="114"/>
    </row>
    <row r="343" spans="1:3" s="251" customFormat="1" x14ac:dyDescent="0.2">
      <c r="A343" s="114"/>
      <c r="B343" s="114"/>
      <c r="C343" s="114"/>
    </row>
    <row r="344" spans="1:3" s="251" customFormat="1" x14ac:dyDescent="0.2">
      <c r="A344" s="114"/>
      <c r="B344" s="114"/>
      <c r="C344" s="114"/>
    </row>
    <row r="345" spans="1:3" s="251" customFormat="1" x14ac:dyDescent="0.2">
      <c r="A345" s="114"/>
      <c r="B345" s="114"/>
      <c r="C345" s="114"/>
    </row>
    <row r="346" spans="1:3" s="251" customFormat="1" x14ac:dyDescent="0.2">
      <c r="A346" s="114"/>
      <c r="B346" s="114"/>
      <c r="C346" s="114"/>
    </row>
    <row r="347" spans="1:3" s="251" customFormat="1" x14ac:dyDescent="0.2">
      <c r="A347" s="114"/>
      <c r="B347" s="114"/>
      <c r="C347" s="114"/>
    </row>
    <row r="348" spans="1:3" s="251" customFormat="1" x14ac:dyDescent="0.2">
      <c r="A348" s="114"/>
      <c r="B348" s="114"/>
      <c r="C348" s="114"/>
    </row>
    <row r="349" spans="1:3" s="251" customFormat="1" x14ac:dyDescent="0.2">
      <c r="A349" s="114"/>
      <c r="B349" s="114"/>
      <c r="C349" s="114"/>
    </row>
    <row r="350" spans="1:3" s="251" customFormat="1" x14ac:dyDescent="0.2">
      <c r="A350" s="114"/>
      <c r="B350" s="114"/>
      <c r="C350" s="114"/>
    </row>
    <row r="351" spans="1:3" s="251" customFormat="1" x14ac:dyDescent="0.2">
      <c r="A351" s="114"/>
      <c r="B351" s="114"/>
      <c r="C351" s="114"/>
    </row>
    <row r="352" spans="1:3" s="251" customFormat="1" x14ac:dyDescent="0.2">
      <c r="A352" s="114"/>
      <c r="B352" s="114"/>
      <c r="C352" s="114"/>
    </row>
    <row r="353" spans="1:3" s="251" customFormat="1" x14ac:dyDescent="0.2">
      <c r="A353" s="114"/>
      <c r="B353" s="114"/>
      <c r="C353" s="114"/>
    </row>
    <row r="354" spans="1:3" s="251" customFormat="1" x14ac:dyDescent="0.2">
      <c r="A354" s="114"/>
      <c r="B354" s="114"/>
      <c r="C354" s="114"/>
    </row>
    <row r="355" spans="1:3" s="251" customFormat="1" x14ac:dyDescent="0.2">
      <c r="A355" s="114"/>
      <c r="B355" s="114"/>
      <c r="C355" s="114"/>
    </row>
    <row r="356" spans="1:3" s="251" customFormat="1" x14ac:dyDescent="0.2">
      <c r="A356" s="114"/>
      <c r="B356" s="114"/>
      <c r="C356" s="114"/>
    </row>
    <row r="357" spans="1:3" s="251" customFormat="1" x14ac:dyDescent="0.2">
      <c r="A357" s="114"/>
      <c r="B357" s="114"/>
      <c r="C357" s="114"/>
    </row>
    <row r="358" spans="1:3" s="251" customFormat="1" x14ac:dyDescent="0.2">
      <c r="A358" s="114"/>
      <c r="B358" s="114"/>
      <c r="C358" s="114"/>
    </row>
    <row r="359" spans="1:3" s="251" customFormat="1" x14ac:dyDescent="0.2">
      <c r="A359" s="114"/>
      <c r="B359" s="114"/>
      <c r="C359" s="114"/>
    </row>
    <row r="360" spans="1:3" s="251" customFormat="1" x14ac:dyDescent="0.2">
      <c r="A360" s="114"/>
      <c r="B360" s="114"/>
      <c r="C360" s="114"/>
    </row>
    <row r="361" spans="1:3" s="251" customFormat="1" x14ac:dyDescent="0.2">
      <c r="A361" s="114"/>
      <c r="B361" s="114"/>
      <c r="C361" s="114"/>
    </row>
    <row r="362" spans="1:3" s="251" customFormat="1" x14ac:dyDescent="0.2">
      <c r="A362" s="114"/>
      <c r="B362" s="114"/>
      <c r="C362" s="114"/>
    </row>
    <row r="363" spans="1:3" s="251" customFormat="1" x14ac:dyDescent="0.2">
      <c r="A363" s="114"/>
      <c r="B363" s="114"/>
      <c r="C363" s="114"/>
    </row>
    <row r="364" spans="1:3" s="251" customFormat="1" x14ac:dyDescent="0.2">
      <c r="A364" s="114"/>
      <c r="B364" s="114"/>
      <c r="C364" s="114"/>
    </row>
    <row r="365" spans="1:3" s="251" customFormat="1" x14ac:dyDescent="0.2">
      <c r="A365" s="114"/>
      <c r="B365" s="114"/>
      <c r="C365" s="114"/>
    </row>
    <row r="366" spans="1:3" s="251" customFormat="1" x14ac:dyDescent="0.2">
      <c r="A366" s="114"/>
      <c r="B366" s="114"/>
      <c r="C366" s="114"/>
    </row>
    <row r="367" spans="1:3" s="251" customFormat="1" x14ac:dyDescent="0.2">
      <c r="A367" s="114"/>
      <c r="B367" s="114"/>
      <c r="C367" s="114"/>
    </row>
    <row r="368" spans="1:3" s="251" customFormat="1" x14ac:dyDescent="0.2">
      <c r="A368" s="114"/>
      <c r="B368" s="114"/>
      <c r="C368" s="114"/>
    </row>
    <row r="369" spans="1:3" s="251" customFormat="1" x14ac:dyDescent="0.2">
      <c r="A369" s="114"/>
      <c r="B369" s="114"/>
      <c r="C369" s="114"/>
    </row>
    <row r="370" spans="1:3" s="251" customFormat="1" x14ac:dyDescent="0.2">
      <c r="A370" s="114"/>
      <c r="B370" s="114"/>
      <c r="C370" s="114"/>
    </row>
    <row r="371" spans="1:3" s="251" customFormat="1" x14ac:dyDescent="0.2">
      <c r="A371" s="114"/>
      <c r="B371" s="114"/>
      <c r="C371" s="114"/>
    </row>
    <row r="372" spans="1:3" s="251" customFormat="1" x14ac:dyDescent="0.2">
      <c r="A372" s="114"/>
      <c r="B372" s="114"/>
      <c r="C372" s="114"/>
    </row>
    <row r="373" spans="1:3" s="251" customFormat="1" x14ac:dyDescent="0.2">
      <c r="A373" s="114"/>
      <c r="B373" s="114"/>
      <c r="C373" s="114"/>
    </row>
    <row r="374" spans="1:3" s="251" customFormat="1" x14ac:dyDescent="0.2">
      <c r="A374" s="114"/>
      <c r="B374" s="114"/>
      <c r="C374" s="114"/>
    </row>
    <row r="375" spans="1:3" s="251" customFormat="1" x14ac:dyDescent="0.2">
      <c r="A375" s="114"/>
      <c r="B375" s="114"/>
      <c r="C375" s="114"/>
    </row>
    <row r="376" spans="1:3" s="251" customFormat="1" x14ac:dyDescent="0.2">
      <c r="A376" s="114"/>
      <c r="B376" s="114"/>
      <c r="C376" s="114"/>
    </row>
    <row r="377" spans="1:3" s="251" customFormat="1" x14ac:dyDescent="0.2">
      <c r="A377" s="114"/>
      <c r="B377" s="114"/>
      <c r="C377" s="114"/>
    </row>
    <row r="378" spans="1:3" s="251" customFormat="1" x14ac:dyDescent="0.2">
      <c r="A378" s="114"/>
      <c r="B378" s="114"/>
      <c r="C378" s="114"/>
    </row>
    <row r="379" spans="1:3" s="251" customFormat="1" x14ac:dyDescent="0.2">
      <c r="A379" s="114"/>
      <c r="B379" s="114"/>
      <c r="C379" s="114"/>
    </row>
    <row r="380" spans="1:3" s="251" customFormat="1" x14ac:dyDescent="0.2">
      <c r="A380" s="114"/>
      <c r="B380" s="114"/>
      <c r="C380" s="114"/>
    </row>
    <row r="381" spans="1:3" s="251" customFormat="1" x14ac:dyDescent="0.2">
      <c r="A381" s="114"/>
      <c r="B381" s="114"/>
      <c r="C381" s="114"/>
    </row>
    <row r="382" spans="1:3" s="251" customFormat="1" x14ac:dyDescent="0.2">
      <c r="A382" s="114"/>
      <c r="B382" s="114"/>
      <c r="C382" s="114"/>
    </row>
    <row r="383" spans="1:3" s="251" customFormat="1" x14ac:dyDescent="0.2">
      <c r="A383" s="114"/>
      <c r="B383" s="114"/>
      <c r="C383" s="114"/>
    </row>
    <row r="384" spans="1:3" s="251" customFormat="1" x14ac:dyDescent="0.2">
      <c r="A384" s="114"/>
      <c r="B384" s="114"/>
      <c r="C384" s="114"/>
    </row>
    <row r="385" spans="1:3" s="251" customFormat="1" x14ac:dyDescent="0.2">
      <c r="A385" s="114"/>
      <c r="B385" s="114"/>
      <c r="C385" s="114"/>
    </row>
    <row r="386" spans="1:3" s="251" customFormat="1" x14ac:dyDescent="0.2">
      <c r="A386" s="114"/>
      <c r="B386" s="114"/>
      <c r="C386" s="114"/>
    </row>
    <row r="387" spans="1:3" s="251" customFormat="1" x14ac:dyDescent="0.2">
      <c r="A387" s="114"/>
      <c r="B387" s="114"/>
      <c r="C387" s="114"/>
    </row>
    <row r="388" spans="1:3" s="251" customFormat="1" x14ac:dyDescent="0.2">
      <c r="A388" s="114"/>
      <c r="B388" s="114"/>
      <c r="C388" s="114"/>
    </row>
    <row r="389" spans="1:3" s="251" customFormat="1" x14ac:dyDescent="0.2">
      <c r="A389" s="114"/>
      <c r="B389" s="114"/>
      <c r="C389" s="114"/>
    </row>
    <row r="390" spans="1:3" s="251" customFormat="1" x14ac:dyDescent="0.2">
      <c r="A390" s="114"/>
      <c r="B390" s="114"/>
      <c r="C390" s="114"/>
    </row>
    <row r="391" spans="1:3" s="251" customFormat="1" x14ac:dyDescent="0.2">
      <c r="A391" s="114"/>
      <c r="B391" s="114"/>
      <c r="C391" s="114"/>
    </row>
    <row r="392" spans="1:3" s="251" customFormat="1" x14ac:dyDescent="0.2">
      <c r="A392" s="114"/>
      <c r="B392" s="114"/>
      <c r="C392" s="114"/>
    </row>
    <row r="393" spans="1:3" s="251" customFormat="1" x14ac:dyDescent="0.2">
      <c r="A393" s="114"/>
      <c r="B393" s="114"/>
      <c r="C393" s="114"/>
    </row>
    <row r="394" spans="1:3" s="251" customFormat="1" x14ac:dyDescent="0.2">
      <c r="A394" s="114"/>
      <c r="B394" s="114"/>
      <c r="C394" s="114"/>
    </row>
    <row r="395" spans="1:3" s="251" customFormat="1" x14ac:dyDescent="0.2">
      <c r="A395" s="114"/>
      <c r="B395" s="114"/>
      <c r="C395" s="114"/>
    </row>
    <row r="396" spans="1:3" s="251" customFormat="1" x14ac:dyDescent="0.2">
      <c r="A396" s="114"/>
      <c r="B396" s="114"/>
      <c r="C396" s="114"/>
    </row>
    <row r="397" spans="1:3" s="251" customFormat="1" x14ac:dyDescent="0.2">
      <c r="A397" s="114"/>
      <c r="B397" s="114"/>
      <c r="C397" s="114"/>
    </row>
    <row r="398" spans="1:3" s="251" customFormat="1" x14ac:dyDescent="0.2">
      <c r="A398" s="114"/>
      <c r="B398" s="114"/>
      <c r="C398" s="114"/>
    </row>
    <row r="399" spans="1:3" s="251" customFormat="1" x14ac:dyDescent="0.2">
      <c r="A399" s="114"/>
      <c r="B399" s="114"/>
      <c r="C399" s="114"/>
    </row>
    <row r="400" spans="1:3" s="251" customFormat="1" x14ac:dyDescent="0.2">
      <c r="A400" s="114"/>
      <c r="B400" s="114"/>
      <c r="C400" s="114"/>
    </row>
    <row r="401" spans="1:3" s="251" customFormat="1" x14ac:dyDescent="0.2">
      <c r="A401" s="114"/>
      <c r="B401" s="114"/>
      <c r="C401" s="114"/>
    </row>
    <row r="402" spans="1:3" s="251" customFormat="1" x14ac:dyDescent="0.2">
      <c r="A402" s="114"/>
      <c r="B402" s="114"/>
      <c r="C402" s="114"/>
    </row>
    <row r="403" spans="1:3" s="251" customFormat="1" x14ac:dyDescent="0.2">
      <c r="A403" s="114"/>
      <c r="B403" s="114"/>
      <c r="C403" s="114"/>
    </row>
    <row r="404" spans="1:3" s="251" customFormat="1" x14ac:dyDescent="0.2">
      <c r="A404" s="114"/>
      <c r="B404" s="114"/>
      <c r="C404" s="114"/>
    </row>
    <row r="405" spans="1:3" s="251" customFormat="1" x14ac:dyDescent="0.2">
      <c r="A405" s="114"/>
      <c r="B405" s="114"/>
      <c r="C405" s="114"/>
    </row>
    <row r="406" spans="1:3" s="251" customFormat="1" x14ac:dyDescent="0.2">
      <c r="A406" s="114"/>
      <c r="B406" s="114"/>
      <c r="C406" s="114"/>
    </row>
    <row r="407" spans="1:3" s="251" customFormat="1" x14ac:dyDescent="0.2">
      <c r="A407" s="114"/>
      <c r="B407" s="114"/>
      <c r="C407" s="114"/>
    </row>
    <row r="408" spans="1:3" s="251" customFormat="1" x14ac:dyDescent="0.2">
      <c r="A408" s="114"/>
      <c r="B408" s="114"/>
      <c r="C408" s="114"/>
    </row>
    <row r="409" spans="1:3" s="251" customFormat="1" x14ac:dyDescent="0.2">
      <c r="A409" s="114"/>
      <c r="B409" s="114"/>
      <c r="C409" s="114"/>
    </row>
    <row r="410" spans="1:3" s="251" customFormat="1" x14ac:dyDescent="0.2">
      <c r="A410" s="114"/>
      <c r="B410" s="114"/>
      <c r="C410" s="114"/>
    </row>
    <row r="411" spans="1:3" s="251" customFormat="1" x14ac:dyDescent="0.2">
      <c r="A411" s="114"/>
      <c r="B411" s="114"/>
      <c r="C411" s="114"/>
    </row>
    <row r="412" spans="1:3" s="251" customFormat="1" x14ac:dyDescent="0.2">
      <c r="A412" s="114"/>
      <c r="B412" s="114"/>
      <c r="C412" s="114"/>
    </row>
    <row r="413" spans="1:3" s="251" customFormat="1" x14ac:dyDescent="0.2">
      <c r="A413" s="114"/>
      <c r="B413" s="114"/>
      <c r="C413" s="114"/>
    </row>
    <row r="414" spans="1:3" s="251" customFormat="1" x14ac:dyDescent="0.2">
      <c r="A414" s="114"/>
      <c r="B414" s="114"/>
      <c r="C414" s="114"/>
    </row>
    <row r="415" spans="1:3" s="251" customFormat="1" x14ac:dyDescent="0.2">
      <c r="A415" s="114"/>
      <c r="B415" s="114"/>
      <c r="C415" s="114"/>
    </row>
    <row r="416" spans="1:3" s="251" customFormat="1" x14ac:dyDescent="0.2">
      <c r="A416" s="114"/>
      <c r="B416" s="114"/>
      <c r="C416" s="114"/>
    </row>
    <row r="417" spans="1:3" s="251" customFormat="1" x14ac:dyDescent="0.2">
      <c r="A417" s="114"/>
      <c r="B417" s="114"/>
      <c r="C417" s="114"/>
    </row>
    <row r="418" spans="1:3" s="251" customFormat="1" x14ac:dyDescent="0.2">
      <c r="A418" s="114"/>
      <c r="B418" s="114"/>
      <c r="C418" s="114"/>
    </row>
    <row r="419" spans="1:3" s="251" customFormat="1" x14ac:dyDescent="0.2">
      <c r="A419" s="114"/>
      <c r="B419" s="114"/>
      <c r="C419" s="114"/>
    </row>
    <row r="420" spans="1:3" s="251" customFormat="1" x14ac:dyDescent="0.2">
      <c r="A420" s="114"/>
      <c r="B420" s="114"/>
      <c r="C420" s="114"/>
    </row>
    <row r="421" spans="1:3" s="251" customFormat="1" x14ac:dyDescent="0.2">
      <c r="A421" s="114"/>
      <c r="B421" s="114"/>
      <c r="C421" s="114"/>
    </row>
    <row r="422" spans="1:3" s="251" customFormat="1" x14ac:dyDescent="0.2">
      <c r="A422" s="114"/>
      <c r="B422" s="114"/>
      <c r="C422" s="114"/>
    </row>
    <row r="423" spans="1:3" s="251" customFormat="1" x14ac:dyDescent="0.2">
      <c r="A423" s="114"/>
      <c r="B423" s="114"/>
      <c r="C423" s="114"/>
    </row>
    <row r="424" spans="1:3" s="251" customFormat="1" x14ac:dyDescent="0.2">
      <c r="A424" s="114"/>
      <c r="B424" s="114"/>
      <c r="C424" s="114"/>
    </row>
    <row r="425" spans="1:3" s="251" customFormat="1" x14ac:dyDescent="0.2">
      <c r="A425" s="114"/>
      <c r="B425" s="114"/>
      <c r="C425" s="114"/>
    </row>
    <row r="426" spans="1:3" s="251" customFormat="1" x14ac:dyDescent="0.2">
      <c r="A426" s="114"/>
      <c r="B426" s="114"/>
      <c r="C426" s="114"/>
    </row>
    <row r="427" spans="1:3" s="251" customFormat="1" x14ac:dyDescent="0.2">
      <c r="A427" s="114"/>
      <c r="B427" s="114"/>
      <c r="C427" s="114"/>
    </row>
    <row r="428" spans="1:3" s="251" customFormat="1" x14ac:dyDescent="0.2">
      <c r="A428" s="114"/>
      <c r="B428" s="114"/>
      <c r="C428" s="114"/>
    </row>
    <row r="429" spans="1:3" s="251" customFormat="1" x14ac:dyDescent="0.2">
      <c r="A429" s="114"/>
      <c r="B429" s="114"/>
      <c r="C429" s="114"/>
    </row>
    <row r="430" spans="1:3" s="251" customFormat="1" x14ac:dyDescent="0.2">
      <c r="A430" s="114"/>
      <c r="B430" s="114"/>
      <c r="C430" s="114"/>
    </row>
    <row r="431" spans="1:3" s="251" customFormat="1" x14ac:dyDescent="0.2">
      <c r="A431" s="114"/>
      <c r="B431" s="114"/>
      <c r="C431" s="114"/>
    </row>
    <row r="432" spans="1:3" s="251" customFormat="1" x14ac:dyDescent="0.2">
      <c r="A432" s="114"/>
      <c r="B432" s="114"/>
      <c r="C432" s="114"/>
    </row>
    <row r="433" spans="1:3" s="251" customFormat="1" x14ac:dyDescent="0.2">
      <c r="A433" s="114"/>
      <c r="B433" s="114"/>
      <c r="C433" s="114"/>
    </row>
    <row r="434" spans="1:3" s="251" customFormat="1" x14ac:dyDescent="0.2">
      <c r="A434" s="114"/>
      <c r="B434" s="114"/>
      <c r="C434" s="114"/>
    </row>
    <row r="435" spans="1:3" s="251" customFormat="1" x14ac:dyDescent="0.2">
      <c r="A435" s="114"/>
      <c r="B435" s="114"/>
      <c r="C435" s="114"/>
    </row>
    <row r="436" spans="1:3" s="251" customFormat="1" x14ac:dyDescent="0.2">
      <c r="A436" s="114"/>
      <c r="B436" s="114"/>
      <c r="C436" s="114"/>
    </row>
    <row r="437" spans="1:3" s="251" customFormat="1" x14ac:dyDescent="0.2">
      <c r="A437" s="114"/>
      <c r="B437" s="114"/>
      <c r="C437" s="114"/>
    </row>
    <row r="438" spans="1:3" s="251" customFormat="1" x14ac:dyDescent="0.2">
      <c r="A438" s="114"/>
      <c r="B438" s="114"/>
      <c r="C438" s="114"/>
    </row>
    <row r="439" spans="1:3" s="251" customFormat="1" x14ac:dyDescent="0.2">
      <c r="A439" s="114"/>
      <c r="B439" s="114"/>
      <c r="C439" s="114"/>
    </row>
    <row r="440" spans="1:3" s="251" customFormat="1" x14ac:dyDescent="0.2">
      <c r="A440" s="114"/>
      <c r="B440" s="114"/>
      <c r="C440" s="114"/>
    </row>
    <row r="441" spans="1:3" s="251" customFormat="1" x14ac:dyDescent="0.2">
      <c r="A441" s="114"/>
      <c r="B441" s="114"/>
      <c r="C441" s="114"/>
    </row>
    <row r="442" spans="1:3" s="251" customFormat="1" x14ac:dyDescent="0.2">
      <c r="A442" s="114"/>
      <c r="B442" s="114"/>
      <c r="C442" s="114"/>
    </row>
    <row r="443" spans="1:3" s="251" customFormat="1" x14ac:dyDescent="0.2">
      <c r="A443" s="114"/>
      <c r="B443" s="114"/>
      <c r="C443" s="114"/>
    </row>
    <row r="444" spans="1:3" s="251" customFormat="1" x14ac:dyDescent="0.2">
      <c r="A444" s="114"/>
      <c r="B444" s="114"/>
      <c r="C444" s="114"/>
    </row>
    <row r="445" spans="1:3" s="251" customFormat="1" x14ac:dyDescent="0.2">
      <c r="A445" s="114"/>
      <c r="B445" s="114"/>
      <c r="C445" s="114"/>
    </row>
    <row r="446" spans="1:3" s="251" customFormat="1" x14ac:dyDescent="0.2">
      <c r="A446" s="114"/>
      <c r="B446" s="114"/>
      <c r="C446" s="114"/>
    </row>
    <row r="447" spans="1:3" s="251" customFormat="1" x14ac:dyDescent="0.2">
      <c r="A447" s="114"/>
      <c r="B447" s="114"/>
      <c r="C447" s="114"/>
    </row>
    <row r="448" spans="1:3" s="251" customFormat="1" x14ac:dyDescent="0.2">
      <c r="A448" s="114"/>
      <c r="B448" s="114"/>
      <c r="C448" s="114"/>
    </row>
    <row r="449" spans="1:3" s="251" customFormat="1" x14ac:dyDescent="0.2">
      <c r="A449" s="114"/>
      <c r="B449" s="114"/>
      <c r="C449" s="114"/>
    </row>
    <row r="450" spans="1:3" s="251" customFormat="1" x14ac:dyDescent="0.2">
      <c r="A450" s="114"/>
      <c r="B450" s="114"/>
      <c r="C450" s="114"/>
    </row>
    <row r="451" spans="1:3" s="251" customFormat="1" x14ac:dyDescent="0.2">
      <c r="A451" s="114"/>
      <c r="B451" s="114"/>
      <c r="C451" s="114"/>
    </row>
    <row r="452" spans="1:3" s="251" customFormat="1" x14ac:dyDescent="0.2">
      <c r="A452" s="114"/>
      <c r="B452" s="114"/>
      <c r="C452" s="114"/>
    </row>
    <row r="453" spans="1:3" s="251" customFormat="1" x14ac:dyDescent="0.2">
      <c r="A453" s="114"/>
      <c r="B453" s="114"/>
      <c r="C453" s="114"/>
    </row>
    <row r="454" spans="1:3" s="251" customFormat="1" x14ac:dyDescent="0.2">
      <c r="A454" s="114"/>
      <c r="B454" s="114"/>
      <c r="C454" s="114"/>
    </row>
    <row r="455" spans="1:3" s="251" customFormat="1" x14ac:dyDescent="0.2">
      <c r="A455" s="114"/>
      <c r="B455" s="114"/>
      <c r="C455" s="114"/>
    </row>
    <row r="456" spans="1:3" s="251" customFormat="1" x14ac:dyDescent="0.2">
      <c r="A456" s="114"/>
      <c r="B456" s="114"/>
      <c r="C456" s="114"/>
    </row>
    <row r="457" spans="1:3" s="251" customFormat="1" x14ac:dyDescent="0.2">
      <c r="A457" s="114"/>
      <c r="B457" s="114"/>
      <c r="C457" s="114"/>
    </row>
    <row r="458" spans="1:3" s="251" customFormat="1" x14ac:dyDescent="0.2">
      <c r="A458" s="114"/>
      <c r="B458" s="114"/>
      <c r="C458" s="114"/>
    </row>
    <row r="459" spans="1:3" s="251" customFormat="1" x14ac:dyDescent="0.2">
      <c r="A459" s="114"/>
      <c r="B459" s="114"/>
      <c r="C459" s="114"/>
    </row>
    <row r="460" spans="1:3" s="251" customFormat="1" x14ac:dyDescent="0.2">
      <c r="A460" s="114"/>
      <c r="B460" s="114"/>
      <c r="C460" s="114"/>
    </row>
    <row r="461" spans="1:3" s="251" customFormat="1" x14ac:dyDescent="0.2">
      <c r="A461" s="114"/>
      <c r="B461" s="114"/>
      <c r="C461" s="114"/>
    </row>
    <row r="462" spans="1:3" s="251" customFormat="1" x14ac:dyDescent="0.2">
      <c r="A462" s="114"/>
      <c r="B462" s="114"/>
      <c r="C462" s="114"/>
    </row>
    <row r="463" spans="1:3" s="251" customFormat="1" x14ac:dyDescent="0.2">
      <c r="A463" s="114"/>
      <c r="B463" s="114"/>
      <c r="C463" s="114"/>
    </row>
    <row r="464" spans="1:3" s="251" customFormat="1" x14ac:dyDescent="0.2">
      <c r="A464" s="114"/>
      <c r="B464" s="114"/>
      <c r="C464" s="114"/>
    </row>
    <row r="465" spans="1:3" s="251" customFormat="1" x14ac:dyDescent="0.2">
      <c r="A465" s="114"/>
      <c r="B465" s="114"/>
      <c r="C465" s="114"/>
    </row>
    <row r="466" spans="1:3" s="251" customFormat="1" x14ac:dyDescent="0.2">
      <c r="A466" s="114"/>
      <c r="B466" s="114"/>
      <c r="C466" s="114"/>
    </row>
    <row r="467" spans="1:3" s="251" customFormat="1" x14ac:dyDescent="0.2">
      <c r="A467" s="114"/>
      <c r="B467" s="114"/>
      <c r="C467" s="114"/>
    </row>
    <row r="468" spans="1:3" s="251" customFormat="1" x14ac:dyDescent="0.2">
      <c r="A468" s="114"/>
      <c r="B468" s="114"/>
      <c r="C468" s="114"/>
    </row>
    <row r="469" spans="1:3" s="251" customFormat="1" x14ac:dyDescent="0.2">
      <c r="A469" s="114"/>
      <c r="B469" s="114"/>
      <c r="C469" s="114"/>
    </row>
    <row r="470" spans="1:3" s="251" customFormat="1" x14ac:dyDescent="0.2">
      <c r="A470" s="114"/>
      <c r="B470" s="114"/>
      <c r="C470" s="114"/>
    </row>
    <row r="471" spans="1:3" s="251" customFormat="1" x14ac:dyDescent="0.2">
      <c r="A471" s="114"/>
      <c r="B471" s="114"/>
      <c r="C471" s="114"/>
    </row>
    <row r="472" spans="1:3" s="251" customFormat="1" x14ac:dyDescent="0.2">
      <c r="A472" s="114"/>
      <c r="B472" s="114"/>
      <c r="C472" s="114"/>
    </row>
    <row r="473" spans="1:3" s="251" customFormat="1" x14ac:dyDescent="0.2">
      <c r="A473" s="114"/>
      <c r="B473" s="114"/>
      <c r="C473" s="114"/>
    </row>
    <row r="474" spans="1:3" s="251" customFormat="1" x14ac:dyDescent="0.2">
      <c r="A474" s="114"/>
      <c r="B474" s="114"/>
      <c r="C474" s="114"/>
    </row>
    <row r="475" spans="1:3" s="251" customFormat="1" x14ac:dyDescent="0.2">
      <c r="A475" s="114"/>
      <c r="B475" s="114"/>
      <c r="C475" s="114"/>
    </row>
    <row r="476" spans="1:3" s="251" customFormat="1" x14ac:dyDescent="0.2">
      <c r="A476" s="114"/>
      <c r="B476" s="114"/>
      <c r="C476" s="114"/>
    </row>
    <row r="477" spans="1:3" s="251" customFormat="1" x14ac:dyDescent="0.2">
      <c r="A477" s="114"/>
      <c r="B477" s="114"/>
      <c r="C477" s="114"/>
    </row>
    <row r="478" spans="1:3" s="251" customFormat="1" x14ac:dyDescent="0.2">
      <c r="A478" s="114"/>
      <c r="B478" s="114"/>
      <c r="C478" s="114"/>
    </row>
    <row r="479" spans="1:3" s="251" customFormat="1" x14ac:dyDescent="0.2">
      <c r="A479" s="114"/>
      <c r="B479" s="114"/>
      <c r="C479" s="114"/>
    </row>
    <row r="480" spans="1:3" s="251" customFormat="1" x14ac:dyDescent="0.2">
      <c r="A480" s="114"/>
      <c r="B480" s="114"/>
      <c r="C480" s="114"/>
    </row>
    <row r="481" spans="1:3" s="251" customFormat="1" x14ac:dyDescent="0.2">
      <c r="A481" s="114"/>
      <c r="B481" s="114"/>
      <c r="C481" s="114"/>
    </row>
    <row r="482" spans="1:3" s="251" customFormat="1" x14ac:dyDescent="0.2">
      <c r="A482" s="114"/>
      <c r="B482" s="114"/>
      <c r="C482" s="114"/>
    </row>
    <row r="483" spans="1:3" s="251" customFormat="1" x14ac:dyDescent="0.2">
      <c r="A483" s="114"/>
      <c r="B483" s="114"/>
      <c r="C483" s="114"/>
    </row>
    <row r="484" spans="1:3" s="251" customFormat="1" x14ac:dyDescent="0.2">
      <c r="A484" s="114"/>
      <c r="B484" s="114"/>
      <c r="C484" s="114"/>
    </row>
    <row r="485" spans="1:3" s="251" customFormat="1" x14ac:dyDescent="0.2">
      <c r="A485" s="114"/>
      <c r="B485" s="114"/>
      <c r="C485" s="114"/>
    </row>
    <row r="486" spans="1:3" s="251" customFormat="1" x14ac:dyDescent="0.2">
      <c r="A486" s="114"/>
      <c r="B486" s="114"/>
      <c r="C486" s="114"/>
    </row>
    <row r="487" spans="1:3" s="251" customFormat="1" x14ac:dyDescent="0.2">
      <c r="A487" s="114"/>
      <c r="B487" s="114"/>
      <c r="C487" s="114"/>
    </row>
    <row r="488" spans="1:3" s="251" customFormat="1" x14ac:dyDescent="0.2">
      <c r="A488" s="114"/>
      <c r="B488" s="114"/>
      <c r="C488" s="114"/>
    </row>
    <row r="489" spans="1:3" s="251" customFormat="1" x14ac:dyDescent="0.2">
      <c r="A489" s="114"/>
      <c r="B489" s="114"/>
      <c r="C489" s="114"/>
    </row>
    <row r="490" spans="1:3" s="251" customFormat="1" x14ac:dyDescent="0.2">
      <c r="A490" s="114"/>
      <c r="B490" s="114"/>
      <c r="C490" s="114"/>
    </row>
    <row r="491" spans="1:3" s="251" customFormat="1" x14ac:dyDescent="0.2">
      <c r="A491" s="114"/>
      <c r="B491" s="114"/>
      <c r="C491" s="114"/>
    </row>
    <row r="492" spans="1:3" s="251" customFormat="1" x14ac:dyDescent="0.2">
      <c r="A492" s="114"/>
      <c r="B492" s="114"/>
      <c r="C492" s="114"/>
    </row>
    <row r="493" spans="1:3" s="251" customFormat="1" x14ac:dyDescent="0.2">
      <c r="A493" s="114"/>
      <c r="B493" s="114"/>
      <c r="C493" s="114"/>
    </row>
    <row r="494" spans="1:3" s="251" customFormat="1" x14ac:dyDescent="0.2">
      <c r="A494" s="114"/>
      <c r="B494" s="114"/>
      <c r="C494" s="114"/>
    </row>
    <row r="495" spans="1:3" s="251" customFormat="1" x14ac:dyDescent="0.2">
      <c r="A495" s="114"/>
      <c r="B495" s="114"/>
      <c r="C495" s="114"/>
    </row>
    <row r="496" spans="1:3" s="251" customFormat="1" x14ac:dyDescent="0.2">
      <c r="A496" s="114"/>
      <c r="B496" s="114"/>
      <c r="C496" s="114"/>
    </row>
    <row r="497" spans="1:3" s="251" customFormat="1" x14ac:dyDescent="0.2">
      <c r="A497" s="114"/>
      <c r="B497" s="114"/>
      <c r="C497" s="114"/>
    </row>
    <row r="498" spans="1:3" s="251" customFormat="1" x14ac:dyDescent="0.2">
      <c r="A498" s="114"/>
      <c r="B498" s="114"/>
      <c r="C498" s="114"/>
    </row>
    <row r="499" spans="1:3" s="251" customFormat="1" x14ac:dyDescent="0.2">
      <c r="A499" s="114"/>
      <c r="B499" s="114"/>
      <c r="C499" s="114"/>
    </row>
    <row r="500" spans="1:3" s="251" customFormat="1" x14ac:dyDescent="0.2">
      <c r="A500" s="114"/>
      <c r="B500" s="114"/>
      <c r="C500" s="114"/>
    </row>
    <row r="501" spans="1:3" s="251" customFormat="1" x14ac:dyDescent="0.2">
      <c r="A501" s="114"/>
      <c r="B501" s="114"/>
      <c r="C501" s="114"/>
    </row>
    <row r="502" spans="1:3" s="251" customFormat="1" x14ac:dyDescent="0.2">
      <c r="A502" s="114"/>
      <c r="B502" s="114"/>
      <c r="C502" s="114"/>
    </row>
    <row r="503" spans="1:3" s="251" customFormat="1" x14ac:dyDescent="0.2">
      <c r="A503" s="114"/>
      <c r="B503" s="114"/>
      <c r="C503" s="114"/>
    </row>
    <row r="504" spans="1:3" s="251" customFormat="1" x14ac:dyDescent="0.2">
      <c r="A504" s="114"/>
      <c r="B504" s="114"/>
      <c r="C504" s="114"/>
    </row>
    <row r="505" spans="1:3" s="251" customFormat="1" x14ac:dyDescent="0.2">
      <c r="A505" s="114"/>
      <c r="B505" s="114"/>
      <c r="C505" s="114"/>
    </row>
    <row r="506" spans="1:3" s="251" customFormat="1" x14ac:dyDescent="0.2">
      <c r="A506" s="114"/>
      <c r="B506" s="114"/>
      <c r="C506" s="114"/>
    </row>
    <row r="507" spans="1:3" s="251" customFormat="1" x14ac:dyDescent="0.2">
      <c r="A507" s="114"/>
      <c r="B507" s="114"/>
      <c r="C507" s="114"/>
    </row>
    <row r="508" spans="1:3" s="251" customFormat="1" x14ac:dyDescent="0.2">
      <c r="A508" s="114"/>
      <c r="B508" s="114"/>
      <c r="C508" s="114"/>
    </row>
    <row r="509" spans="1:3" s="251" customFormat="1" x14ac:dyDescent="0.2">
      <c r="A509" s="114"/>
      <c r="B509" s="114"/>
      <c r="C509" s="114"/>
    </row>
    <row r="510" spans="1:3" s="251" customFormat="1" x14ac:dyDescent="0.2">
      <c r="A510" s="114"/>
      <c r="B510" s="114"/>
      <c r="C510" s="114"/>
    </row>
    <row r="511" spans="1:3" s="251" customFormat="1" x14ac:dyDescent="0.2">
      <c r="A511" s="114"/>
      <c r="B511" s="114"/>
      <c r="C511" s="114"/>
    </row>
    <row r="512" spans="1:3" s="251" customFormat="1" x14ac:dyDescent="0.2">
      <c r="A512" s="114"/>
      <c r="B512" s="114"/>
      <c r="C512" s="114"/>
    </row>
    <row r="513" spans="1:3" s="251" customFormat="1" x14ac:dyDescent="0.2">
      <c r="A513" s="114"/>
      <c r="B513" s="114"/>
      <c r="C513" s="114"/>
    </row>
    <row r="514" spans="1:3" s="251" customFormat="1" x14ac:dyDescent="0.2">
      <c r="A514" s="114"/>
      <c r="B514" s="114"/>
      <c r="C514" s="114"/>
    </row>
    <row r="515" spans="1:3" s="251" customFormat="1" x14ac:dyDescent="0.2">
      <c r="A515" s="114"/>
      <c r="B515" s="114"/>
      <c r="C515" s="114"/>
    </row>
    <row r="516" spans="1:3" s="251" customFormat="1" x14ac:dyDescent="0.2">
      <c r="A516" s="114"/>
      <c r="B516" s="114"/>
      <c r="C516" s="114"/>
    </row>
    <row r="517" spans="1:3" s="251" customFormat="1" x14ac:dyDescent="0.2">
      <c r="A517" s="114"/>
      <c r="B517" s="114"/>
      <c r="C517" s="114"/>
    </row>
    <row r="518" spans="1:3" s="251" customFormat="1" x14ac:dyDescent="0.2">
      <c r="A518" s="114"/>
      <c r="B518" s="114"/>
      <c r="C518" s="114"/>
    </row>
    <row r="519" spans="1:3" s="251" customFormat="1" x14ac:dyDescent="0.2">
      <c r="A519" s="114"/>
      <c r="B519" s="114"/>
      <c r="C519" s="114"/>
    </row>
    <row r="520" spans="1:3" s="251" customFormat="1" x14ac:dyDescent="0.2">
      <c r="A520" s="114"/>
      <c r="B520" s="114"/>
      <c r="C520" s="114"/>
    </row>
    <row r="521" spans="1:3" s="251" customFormat="1" x14ac:dyDescent="0.2">
      <c r="A521" s="114"/>
      <c r="B521" s="114"/>
      <c r="C521" s="114"/>
    </row>
    <row r="522" spans="1:3" s="251" customFormat="1" x14ac:dyDescent="0.2">
      <c r="A522" s="114"/>
      <c r="B522" s="114"/>
      <c r="C522" s="114"/>
    </row>
    <row r="523" spans="1:3" s="251" customFormat="1" x14ac:dyDescent="0.2">
      <c r="A523" s="114"/>
      <c r="B523" s="114"/>
      <c r="C523" s="114"/>
    </row>
    <row r="524" spans="1:3" s="251" customFormat="1" x14ac:dyDescent="0.2">
      <c r="A524" s="114"/>
      <c r="B524" s="114"/>
      <c r="C524" s="114"/>
    </row>
    <row r="525" spans="1:3" s="251" customFormat="1" x14ac:dyDescent="0.2">
      <c r="A525" s="114"/>
      <c r="B525" s="114"/>
      <c r="C525" s="114"/>
    </row>
    <row r="526" spans="1:3" s="251" customFormat="1" x14ac:dyDescent="0.2">
      <c r="A526" s="114"/>
      <c r="B526" s="114"/>
      <c r="C526" s="114"/>
    </row>
    <row r="527" spans="1:3" s="251" customFormat="1" x14ac:dyDescent="0.2">
      <c r="A527" s="114"/>
      <c r="B527" s="114"/>
      <c r="C527" s="114"/>
    </row>
    <row r="528" spans="1:3" s="251" customFormat="1" x14ac:dyDescent="0.2">
      <c r="A528" s="114"/>
      <c r="B528" s="114"/>
      <c r="C528" s="114"/>
    </row>
    <row r="529" spans="1:3" s="251" customFormat="1" x14ac:dyDescent="0.2">
      <c r="A529" s="114"/>
      <c r="B529" s="114"/>
      <c r="C529" s="114"/>
    </row>
    <row r="530" spans="1:3" s="251" customFormat="1" x14ac:dyDescent="0.2">
      <c r="A530" s="114"/>
      <c r="B530" s="114"/>
      <c r="C530" s="114"/>
    </row>
    <row r="531" spans="1:3" s="251" customFormat="1" x14ac:dyDescent="0.2">
      <c r="A531" s="114"/>
      <c r="B531" s="114"/>
      <c r="C531" s="114"/>
    </row>
    <row r="532" spans="1:3" s="251" customFormat="1" x14ac:dyDescent="0.2">
      <c r="A532" s="114"/>
      <c r="B532" s="114"/>
      <c r="C532" s="114"/>
    </row>
    <row r="533" spans="1:3" s="251" customFormat="1" x14ac:dyDescent="0.2">
      <c r="A533" s="114"/>
      <c r="B533" s="114"/>
      <c r="C533" s="114"/>
    </row>
    <row r="534" spans="1:3" s="251" customFormat="1" x14ac:dyDescent="0.2">
      <c r="A534" s="114"/>
      <c r="B534" s="114"/>
      <c r="C534" s="114"/>
    </row>
    <row r="535" spans="1:3" s="251" customFormat="1" x14ac:dyDescent="0.2">
      <c r="A535" s="114"/>
      <c r="B535" s="114"/>
      <c r="C535" s="114"/>
    </row>
    <row r="536" spans="1:3" s="251" customFormat="1" x14ac:dyDescent="0.2">
      <c r="A536" s="114"/>
      <c r="B536" s="114"/>
      <c r="C536" s="114"/>
    </row>
    <row r="537" spans="1:3" s="251" customFormat="1" x14ac:dyDescent="0.2">
      <c r="A537" s="114"/>
      <c r="B537" s="114"/>
      <c r="C537" s="114"/>
    </row>
    <row r="538" spans="1:3" s="251" customFormat="1" x14ac:dyDescent="0.2">
      <c r="A538" s="114"/>
      <c r="B538" s="114"/>
      <c r="C538" s="114"/>
    </row>
    <row r="539" spans="1:3" s="251" customFormat="1" x14ac:dyDescent="0.2">
      <c r="A539" s="114"/>
      <c r="B539" s="114"/>
      <c r="C539" s="114"/>
    </row>
    <row r="540" spans="1:3" s="251" customFormat="1" x14ac:dyDescent="0.2">
      <c r="A540" s="114"/>
      <c r="B540" s="114"/>
      <c r="C540" s="114"/>
    </row>
    <row r="541" spans="1:3" s="251" customFormat="1" x14ac:dyDescent="0.2">
      <c r="A541" s="114"/>
      <c r="B541" s="114"/>
      <c r="C541" s="114"/>
    </row>
    <row r="542" spans="1:3" s="251" customFormat="1" x14ac:dyDescent="0.2">
      <c r="A542" s="114"/>
      <c r="B542" s="114"/>
      <c r="C542" s="114"/>
    </row>
    <row r="543" spans="1:3" s="251" customFormat="1" x14ac:dyDescent="0.2">
      <c r="A543" s="114"/>
      <c r="B543" s="114"/>
      <c r="C543" s="114"/>
    </row>
    <row r="544" spans="1:3" s="251" customFormat="1" x14ac:dyDescent="0.2">
      <c r="A544" s="114"/>
      <c r="B544" s="114"/>
      <c r="C544" s="114"/>
    </row>
    <row r="545" spans="1:3" s="251" customFormat="1" x14ac:dyDescent="0.2">
      <c r="A545" s="114"/>
      <c r="B545" s="114"/>
      <c r="C545" s="114"/>
    </row>
    <row r="546" spans="1:3" s="251" customFormat="1" x14ac:dyDescent="0.2">
      <c r="A546" s="114"/>
      <c r="B546" s="114"/>
      <c r="C546" s="114"/>
    </row>
    <row r="547" spans="1:3" s="251" customFormat="1" x14ac:dyDescent="0.2">
      <c r="A547" s="114"/>
      <c r="B547" s="114"/>
      <c r="C547" s="114"/>
    </row>
    <row r="548" spans="1:3" s="251" customFormat="1" x14ac:dyDescent="0.2">
      <c r="A548" s="114"/>
      <c r="B548" s="114"/>
      <c r="C548" s="114"/>
    </row>
    <row r="549" spans="1:3" s="251" customFormat="1" x14ac:dyDescent="0.2">
      <c r="A549" s="114"/>
      <c r="B549" s="114"/>
      <c r="C549" s="114"/>
    </row>
    <row r="550" spans="1:3" s="251" customFormat="1" x14ac:dyDescent="0.2">
      <c r="A550" s="114"/>
      <c r="B550" s="114"/>
      <c r="C550" s="114"/>
    </row>
    <row r="551" spans="1:3" s="251" customFormat="1" x14ac:dyDescent="0.2">
      <c r="A551" s="114"/>
      <c r="B551" s="114"/>
      <c r="C551" s="114"/>
    </row>
    <row r="552" spans="1:3" s="251" customFormat="1" x14ac:dyDescent="0.2">
      <c r="A552" s="114"/>
      <c r="B552" s="114"/>
      <c r="C552" s="114"/>
    </row>
    <row r="553" spans="1:3" s="251" customFormat="1" x14ac:dyDescent="0.2">
      <c r="A553" s="114"/>
      <c r="B553" s="114"/>
      <c r="C553" s="114"/>
    </row>
    <row r="554" spans="1:3" s="251" customFormat="1" x14ac:dyDescent="0.2">
      <c r="A554" s="114"/>
      <c r="B554" s="114"/>
      <c r="C554" s="114"/>
    </row>
    <row r="555" spans="1:3" s="251" customFormat="1" x14ac:dyDescent="0.2">
      <c r="A555" s="114"/>
      <c r="B555" s="114"/>
      <c r="C555" s="114"/>
    </row>
    <row r="556" spans="1:3" s="251" customFormat="1" x14ac:dyDescent="0.2">
      <c r="A556" s="114"/>
      <c r="B556" s="114"/>
      <c r="C556" s="114"/>
    </row>
    <row r="557" spans="1:3" s="251" customFormat="1" x14ac:dyDescent="0.2">
      <c r="A557" s="114"/>
      <c r="B557" s="114"/>
      <c r="C557" s="114"/>
    </row>
    <row r="558" spans="1:3" s="251" customFormat="1" x14ac:dyDescent="0.2">
      <c r="A558" s="114"/>
      <c r="B558" s="114"/>
      <c r="C558" s="114"/>
    </row>
    <row r="559" spans="1:3" s="251" customFormat="1" x14ac:dyDescent="0.2">
      <c r="A559" s="114"/>
      <c r="B559" s="114"/>
      <c r="C559" s="114"/>
    </row>
    <row r="560" spans="1:3" s="251" customFormat="1" x14ac:dyDescent="0.2">
      <c r="A560" s="114"/>
      <c r="B560" s="114"/>
      <c r="C560" s="114"/>
    </row>
    <row r="561" spans="1:3" s="251" customFormat="1" x14ac:dyDescent="0.2">
      <c r="A561" s="114"/>
      <c r="B561" s="114"/>
      <c r="C561" s="114"/>
    </row>
    <row r="562" spans="1:3" s="251" customFormat="1" x14ac:dyDescent="0.2">
      <c r="A562" s="114"/>
      <c r="B562" s="114"/>
      <c r="C562" s="114"/>
    </row>
    <row r="563" spans="1:3" s="251" customFormat="1" x14ac:dyDescent="0.2">
      <c r="A563" s="114"/>
      <c r="B563" s="114"/>
      <c r="C563" s="114"/>
    </row>
    <row r="564" spans="1:3" s="251" customFormat="1" x14ac:dyDescent="0.2">
      <c r="A564" s="114"/>
      <c r="B564" s="114"/>
      <c r="C564" s="114"/>
    </row>
    <row r="565" spans="1:3" s="251" customFormat="1" x14ac:dyDescent="0.2">
      <c r="A565" s="114"/>
      <c r="B565" s="114"/>
      <c r="C565" s="114"/>
    </row>
    <row r="566" spans="1:3" s="251" customFormat="1" x14ac:dyDescent="0.2">
      <c r="A566" s="114"/>
      <c r="B566" s="114"/>
      <c r="C566" s="114"/>
    </row>
    <row r="567" spans="1:3" s="251" customFormat="1" x14ac:dyDescent="0.2">
      <c r="A567" s="114"/>
      <c r="B567" s="114"/>
      <c r="C567" s="114"/>
    </row>
    <row r="568" spans="1:3" s="251" customFormat="1" x14ac:dyDescent="0.2">
      <c r="A568" s="114"/>
      <c r="B568" s="114"/>
      <c r="C568" s="114"/>
    </row>
    <row r="569" spans="1:3" s="251" customFormat="1" x14ac:dyDescent="0.2">
      <c r="A569" s="114"/>
      <c r="B569" s="114"/>
      <c r="C569" s="114"/>
    </row>
    <row r="570" spans="1:3" s="251" customFormat="1" x14ac:dyDescent="0.2">
      <c r="A570" s="114"/>
      <c r="B570" s="114"/>
      <c r="C570" s="114"/>
    </row>
    <row r="571" spans="1:3" s="251" customFormat="1" x14ac:dyDescent="0.2">
      <c r="A571" s="114"/>
      <c r="B571" s="114"/>
      <c r="C571" s="114"/>
    </row>
    <row r="572" spans="1:3" s="251" customFormat="1" x14ac:dyDescent="0.2">
      <c r="A572" s="114"/>
      <c r="B572" s="114"/>
      <c r="C572" s="114"/>
    </row>
    <row r="573" spans="1:3" s="251" customFormat="1" x14ac:dyDescent="0.2">
      <c r="A573" s="114"/>
      <c r="B573" s="114"/>
      <c r="C573" s="114"/>
    </row>
    <row r="574" spans="1:3" s="251" customFormat="1" x14ac:dyDescent="0.2">
      <c r="A574" s="114"/>
      <c r="B574" s="114"/>
      <c r="C574" s="114"/>
    </row>
    <row r="575" spans="1:3" s="251" customFormat="1" x14ac:dyDescent="0.2">
      <c r="A575" s="114"/>
      <c r="B575" s="114"/>
      <c r="C575" s="114"/>
    </row>
    <row r="576" spans="1:3" s="251" customFormat="1" x14ac:dyDescent="0.2">
      <c r="A576" s="114"/>
      <c r="B576" s="114"/>
      <c r="C576" s="114"/>
    </row>
    <row r="577" spans="1:45" s="251" customFormat="1" x14ac:dyDescent="0.2">
      <c r="A577" s="114"/>
      <c r="B577" s="114"/>
      <c r="C577" s="114"/>
    </row>
    <row r="578" spans="1:45" s="251" customFormat="1" x14ac:dyDescent="0.2">
      <c r="A578" s="114"/>
      <c r="B578" s="114"/>
      <c r="C578" s="114"/>
    </row>
    <row r="579" spans="1:45" s="251" customFormat="1" x14ac:dyDescent="0.2">
      <c r="A579" s="114"/>
      <c r="B579" s="114"/>
      <c r="C579" s="114"/>
    </row>
    <row r="580" spans="1:45" s="251" customFormat="1" x14ac:dyDescent="0.2">
      <c r="A580" s="114"/>
      <c r="B580" s="114"/>
      <c r="C580" s="114"/>
    </row>
    <row r="581" spans="1:45" s="44" customFormat="1" x14ac:dyDescent="0.2">
      <c r="A581" s="71"/>
      <c r="B581" s="71"/>
      <c r="C581" s="71"/>
      <c r="D581" s="251"/>
      <c r="E581" s="251"/>
      <c r="F581" s="251"/>
      <c r="G581" s="251"/>
      <c r="H581" s="251"/>
      <c r="I581" s="251"/>
      <c r="J581" s="251"/>
      <c r="K581" s="251"/>
      <c r="L581" s="251"/>
      <c r="M581" s="251"/>
      <c r="N581" s="251"/>
      <c r="O581" s="251"/>
      <c r="P581" s="251"/>
      <c r="Q581" s="251"/>
      <c r="R581" s="251"/>
      <c r="S581" s="251"/>
      <c r="T581" s="251"/>
      <c r="U581" s="251"/>
      <c r="V581" s="251"/>
      <c r="W581" s="251"/>
      <c r="X581" s="251"/>
      <c r="Y581" s="251"/>
      <c r="Z581" s="251"/>
      <c r="AA581" s="251"/>
      <c r="AB581" s="251"/>
      <c r="AC581" s="251"/>
      <c r="AD581" s="251"/>
      <c r="AE581" s="251"/>
      <c r="AF581" s="251"/>
      <c r="AG581" s="251"/>
      <c r="AH581" s="251"/>
      <c r="AI581" s="251"/>
      <c r="AJ581" s="251"/>
      <c r="AK581" s="251"/>
      <c r="AL581" s="251"/>
      <c r="AM581" s="251"/>
      <c r="AN581" s="251"/>
      <c r="AO581" s="251"/>
      <c r="AP581" s="251"/>
      <c r="AQ581" s="251"/>
      <c r="AR581" s="251"/>
      <c r="AS581" s="251"/>
    </row>
    <row r="582" spans="1:45" s="44" customFormat="1" x14ac:dyDescent="0.2">
      <c r="A582" s="71"/>
      <c r="B582" s="71"/>
      <c r="C582" s="71"/>
      <c r="D582" s="251"/>
      <c r="E582" s="251"/>
      <c r="F582" s="251"/>
      <c r="G582" s="251"/>
      <c r="H582" s="251"/>
      <c r="I582" s="251"/>
      <c r="J582" s="251"/>
      <c r="K582" s="251"/>
      <c r="L582" s="251"/>
      <c r="M582" s="251"/>
      <c r="N582" s="251"/>
      <c r="O582" s="251"/>
      <c r="P582" s="251"/>
      <c r="Q582" s="251"/>
      <c r="R582" s="251"/>
      <c r="S582" s="251"/>
      <c r="T582" s="251"/>
      <c r="U582" s="251"/>
      <c r="V582" s="251"/>
      <c r="W582" s="251"/>
      <c r="X582" s="251"/>
      <c r="Y582" s="251"/>
      <c r="Z582" s="251"/>
      <c r="AA582" s="251"/>
      <c r="AB582" s="251"/>
      <c r="AC582" s="251"/>
      <c r="AD582" s="251"/>
      <c r="AE582" s="251"/>
      <c r="AF582" s="251"/>
      <c r="AG582" s="251"/>
      <c r="AH582" s="251"/>
      <c r="AI582" s="251"/>
      <c r="AJ582" s="251"/>
      <c r="AK582" s="251"/>
      <c r="AL582" s="251"/>
      <c r="AM582" s="251"/>
      <c r="AN582" s="251"/>
      <c r="AO582" s="251"/>
      <c r="AP582" s="251"/>
      <c r="AQ582" s="251"/>
      <c r="AR582" s="251"/>
      <c r="AS582" s="251"/>
    </row>
    <row r="583" spans="1:45" s="44" customFormat="1" x14ac:dyDescent="0.2">
      <c r="A583" s="71"/>
      <c r="B583" s="71"/>
      <c r="C583" s="71"/>
      <c r="D583" s="251"/>
      <c r="E583" s="251"/>
      <c r="F583" s="251"/>
      <c r="G583" s="251"/>
      <c r="H583" s="251"/>
      <c r="I583" s="251"/>
      <c r="J583" s="251"/>
      <c r="K583" s="251"/>
      <c r="L583" s="251"/>
      <c r="M583" s="251"/>
      <c r="N583" s="251"/>
      <c r="O583" s="251"/>
      <c r="P583" s="251"/>
      <c r="Q583" s="251"/>
      <c r="R583" s="251"/>
      <c r="S583" s="251"/>
      <c r="T583" s="251"/>
      <c r="U583" s="251"/>
      <c r="V583" s="251"/>
      <c r="W583" s="251"/>
      <c r="X583" s="251"/>
      <c r="Y583" s="251"/>
      <c r="Z583" s="251"/>
      <c r="AA583" s="251"/>
      <c r="AB583" s="251"/>
      <c r="AC583" s="251"/>
      <c r="AD583" s="251"/>
      <c r="AE583" s="251"/>
      <c r="AF583" s="251"/>
      <c r="AG583" s="251"/>
      <c r="AH583" s="251"/>
      <c r="AI583" s="251"/>
      <c r="AJ583" s="251"/>
      <c r="AK583" s="251"/>
      <c r="AL583" s="251"/>
      <c r="AM583" s="251"/>
      <c r="AN583" s="251"/>
      <c r="AO583" s="251"/>
      <c r="AP583" s="251"/>
      <c r="AQ583" s="251"/>
      <c r="AR583" s="251"/>
      <c r="AS583" s="251"/>
    </row>
    <row r="584" spans="1:45" s="44" customFormat="1" x14ac:dyDescent="0.2">
      <c r="A584" s="71"/>
      <c r="B584" s="71"/>
      <c r="C584" s="71"/>
      <c r="D584" s="251"/>
      <c r="E584" s="251"/>
      <c r="F584" s="251"/>
      <c r="G584" s="251"/>
      <c r="H584" s="251"/>
      <c r="I584" s="251"/>
      <c r="J584" s="251"/>
      <c r="K584" s="251"/>
      <c r="L584" s="251"/>
      <c r="M584" s="251"/>
      <c r="N584" s="251"/>
      <c r="O584" s="251"/>
      <c r="P584" s="251"/>
      <c r="Q584" s="251"/>
      <c r="R584" s="251"/>
      <c r="S584" s="251"/>
      <c r="T584" s="251"/>
      <c r="U584" s="251"/>
      <c r="V584" s="251"/>
      <c r="W584" s="251"/>
      <c r="X584" s="251"/>
      <c r="Y584" s="251"/>
      <c r="Z584" s="251"/>
      <c r="AA584" s="251"/>
      <c r="AB584" s="251"/>
      <c r="AC584" s="251"/>
      <c r="AD584" s="251"/>
      <c r="AE584" s="251"/>
      <c r="AF584" s="251"/>
      <c r="AG584" s="251"/>
      <c r="AH584" s="251"/>
      <c r="AI584" s="251"/>
      <c r="AJ584" s="251"/>
      <c r="AK584" s="251"/>
      <c r="AL584" s="251"/>
      <c r="AM584" s="251"/>
      <c r="AN584" s="251"/>
      <c r="AO584" s="251"/>
      <c r="AP584" s="251"/>
      <c r="AQ584" s="251"/>
      <c r="AR584" s="251"/>
      <c r="AS584" s="251"/>
    </row>
    <row r="585" spans="1:45" s="44" customFormat="1" x14ac:dyDescent="0.2">
      <c r="A585" s="71"/>
      <c r="B585" s="71"/>
      <c r="C585" s="71"/>
      <c r="D585" s="251"/>
      <c r="E585" s="251"/>
      <c r="F585" s="251"/>
      <c r="G585" s="251"/>
      <c r="H585" s="251"/>
      <c r="I585" s="251"/>
      <c r="J585" s="251"/>
      <c r="K585" s="251"/>
      <c r="L585" s="251"/>
      <c r="M585" s="251"/>
      <c r="N585" s="251"/>
      <c r="O585" s="251"/>
      <c r="P585" s="251"/>
      <c r="Q585" s="251"/>
      <c r="R585" s="251"/>
      <c r="S585" s="251"/>
      <c r="T585" s="251"/>
      <c r="U585" s="251"/>
      <c r="V585" s="251"/>
      <c r="W585" s="251"/>
      <c r="X585" s="251"/>
      <c r="Y585" s="251"/>
      <c r="Z585" s="251"/>
      <c r="AA585" s="251"/>
      <c r="AB585" s="251"/>
      <c r="AC585" s="251"/>
      <c r="AD585" s="251"/>
      <c r="AE585" s="251"/>
      <c r="AF585" s="251"/>
      <c r="AG585" s="251"/>
      <c r="AH585" s="251"/>
      <c r="AI585" s="251"/>
      <c r="AJ585" s="251"/>
      <c r="AK585" s="251"/>
      <c r="AL585" s="251"/>
      <c r="AM585" s="251"/>
      <c r="AN585" s="251"/>
      <c r="AO585" s="251"/>
      <c r="AP585" s="251"/>
      <c r="AQ585" s="251"/>
      <c r="AR585" s="251"/>
      <c r="AS585" s="251"/>
    </row>
    <row r="586" spans="1:45" s="44" customFormat="1" x14ac:dyDescent="0.2">
      <c r="A586" s="71"/>
      <c r="B586" s="71"/>
      <c r="C586" s="71"/>
      <c r="D586" s="251"/>
      <c r="E586" s="251"/>
      <c r="F586" s="251"/>
      <c r="G586" s="251"/>
      <c r="H586" s="251"/>
      <c r="I586" s="251"/>
      <c r="J586" s="251"/>
      <c r="K586" s="251"/>
      <c r="L586" s="251"/>
      <c r="M586" s="251"/>
      <c r="N586" s="251"/>
      <c r="O586" s="251"/>
      <c r="P586" s="251"/>
      <c r="Q586" s="251"/>
      <c r="R586" s="251"/>
      <c r="S586" s="251"/>
      <c r="T586" s="251"/>
      <c r="U586" s="251"/>
      <c r="V586" s="251"/>
      <c r="W586" s="251"/>
      <c r="X586" s="251"/>
      <c r="Y586" s="251"/>
      <c r="Z586" s="251"/>
      <c r="AA586" s="251"/>
      <c r="AB586" s="251"/>
      <c r="AC586" s="251"/>
      <c r="AD586" s="251"/>
      <c r="AE586" s="251"/>
      <c r="AF586" s="251"/>
      <c r="AG586" s="251"/>
      <c r="AH586" s="251"/>
      <c r="AI586" s="251"/>
      <c r="AJ586" s="251"/>
      <c r="AK586" s="251"/>
      <c r="AL586" s="251"/>
      <c r="AM586" s="251"/>
      <c r="AN586" s="251"/>
      <c r="AO586" s="251"/>
      <c r="AP586" s="251"/>
      <c r="AQ586" s="251"/>
      <c r="AR586" s="251"/>
      <c r="AS586" s="251"/>
    </row>
    <row r="587" spans="1:45" s="44" customFormat="1" x14ac:dyDescent="0.2">
      <c r="A587" s="71"/>
      <c r="B587" s="71"/>
      <c r="C587" s="71"/>
      <c r="D587" s="251"/>
      <c r="E587" s="251"/>
      <c r="F587" s="251"/>
      <c r="G587" s="251"/>
      <c r="H587" s="251"/>
      <c r="I587" s="251"/>
      <c r="J587" s="251"/>
      <c r="K587" s="251"/>
      <c r="L587" s="251"/>
      <c r="M587" s="251"/>
      <c r="N587" s="251"/>
      <c r="O587" s="251"/>
      <c r="P587" s="251"/>
      <c r="Q587" s="251"/>
      <c r="R587" s="251"/>
      <c r="S587" s="251"/>
      <c r="T587" s="251"/>
      <c r="U587" s="251"/>
      <c r="V587" s="251"/>
      <c r="W587" s="251"/>
      <c r="X587" s="251"/>
      <c r="Y587" s="251"/>
      <c r="Z587" s="251"/>
      <c r="AA587" s="251"/>
      <c r="AB587" s="251"/>
      <c r="AC587" s="251"/>
      <c r="AD587" s="251"/>
      <c r="AE587" s="251"/>
      <c r="AF587" s="251"/>
      <c r="AG587" s="251"/>
      <c r="AH587" s="251"/>
      <c r="AI587" s="251"/>
      <c r="AJ587" s="251"/>
      <c r="AK587" s="251"/>
      <c r="AL587" s="251"/>
      <c r="AM587" s="251"/>
      <c r="AN587" s="251"/>
      <c r="AO587" s="251"/>
      <c r="AP587" s="251"/>
      <c r="AQ587" s="251"/>
      <c r="AR587" s="251"/>
      <c r="AS587" s="251"/>
    </row>
    <row r="588" spans="1:45" s="44" customFormat="1" x14ac:dyDescent="0.2">
      <c r="A588" s="71"/>
      <c r="B588" s="71"/>
      <c r="C588" s="71"/>
      <c r="D588" s="251"/>
      <c r="E588" s="251"/>
      <c r="F588" s="251"/>
      <c r="G588" s="251"/>
      <c r="H588" s="251"/>
      <c r="I588" s="251"/>
      <c r="J588" s="251"/>
      <c r="K588" s="251"/>
      <c r="L588" s="251"/>
      <c r="M588" s="251"/>
      <c r="N588" s="251"/>
      <c r="O588" s="251"/>
      <c r="P588" s="251"/>
      <c r="Q588" s="251"/>
      <c r="R588" s="251"/>
      <c r="S588" s="251"/>
      <c r="T588" s="251"/>
      <c r="U588" s="251"/>
      <c r="V588" s="251"/>
      <c r="W588" s="251"/>
      <c r="X588" s="251"/>
      <c r="Y588" s="251"/>
      <c r="Z588" s="251"/>
      <c r="AA588" s="251"/>
      <c r="AB588" s="251"/>
      <c r="AC588" s="251"/>
      <c r="AD588" s="251"/>
      <c r="AE588" s="251"/>
      <c r="AF588" s="251"/>
      <c r="AG588" s="251"/>
      <c r="AH588" s="251"/>
      <c r="AI588" s="251"/>
      <c r="AJ588" s="251"/>
      <c r="AK588" s="251"/>
      <c r="AL588" s="251"/>
      <c r="AM588" s="251"/>
      <c r="AN588" s="251"/>
      <c r="AO588" s="251"/>
      <c r="AP588" s="251"/>
      <c r="AQ588" s="251"/>
      <c r="AR588" s="251"/>
      <c r="AS588" s="251"/>
    </row>
    <row r="589" spans="1:45" s="44" customFormat="1" x14ac:dyDescent="0.2">
      <c r="A589" s="71"/>
      <c r="B589" s="71"/>
      <c r="C589" s="71"/>
      <c r="D589" s="251"/>
      <c r="E589" s="251"/>
      <c r="F589" s="251"/>
      <c r="G589" s="251"/>
      <c r="H589" s="251"/>
      <c r="I589" s="251"/>
      <c r="J589" s="251"/>
      <c r="K589" s="251"/>
      <c r="L589" s="251"/>
      <c r="M589" s="251"/>
      <c r="N589" s="251"/>
      <c r="O589" s="251"/>
      <c r="P589" s="251"/>
      <c r="Q589" s="251"/>
      <c r="R589" s="251"/>
      <c r="S589" s="251"/>
      <c r="T589" s="251"/>
      <c r="U589" s="251"/>
      <c r="V589" s="251"/>
      <c r="W589" s="251"/>
      <c r="X589" s="251"/>
      <c r="Y589" s="251"/>
      <c r="Z589" s="251"/>
      <c r="AA589" s="251"/>
      <c r="AB589" s="251"/>
      <c r="AC589" s="251"/>
      <c r="AD589" s="251"/>
      <c r="AE589" s="251"/>
      <c r="AF589" s="251"/>
      <c r="AG589" s="251"/>
      <c r="AH589" s="251"/>
      <c r="AI589" s="251"/>
      <c r="AJ589" s="251"/>
      <c r="AK589" s="251"/>
      <c r="AL589" s="251"/>
      <c r="AM589" s="251"/>
      <c r="AN589" s="251"/>
      <c r="AO589" s="251"/>
      <c r="AP589" s="251"/>
      <c r="AQ589" s="251"/>
      <c r="AR589" s="251"/>
      <c r="AS589" s="251"/>
    </row>
    <row r="590" spans="1:45" s="44" customFormat="1" x14ac:dyDescent="0.2">
      <c r="A590" s="71"/>
      <c r="B590" s="71"/>
      <c r="C590" s="71"/>
      <c r="D590" s="251"/>
      <c r="E590" s="251"/>
      <c r="F590" s="251"/>
      <c r="G590" s="251"/>
      <c r="H590" s="251"/>
      <c r="I590" s="251"/>
      <c r="J590" s="251"/>
      <c r="K590" s="251"/>
      <c r="L590" s="251"/>
      <c r="M590" s="251"/>
      <c r="N590" s="251"/>
      <c r="O590" s="251"/>
      <c r="P590" s="251"/>
      <c r="Q590" s="251"/>
      <c r="R590" s="251"/>
      <c r="S590" s="251"/>
      <c r="T590" s="251"/>
      <c r="U590" s="251"/>
      <c r="V590" s="251"/>
      <c r="W590" s="251"/>
      <c r="X590" s="251"/>
      <c r="Y590" s="251"/>
      <c r="Z590" s="251"/>
      <c r="AA590" s="251"/>
      <c r="AB590" s="251"/>
      <c r="AC590" s="251"/>
      <c r="AD590" s="251"/>
      <c r="AE590" s="251"/>
      <c r="AF590" s="251"/>
      <c r="AG590" s="251"/>
      <c r="AH590" s="251"/>
      <c r="AI590" s="251"/>
      <c r="AJ590" s="251"/>
      <c r="AK590" s="251"/>
      <c r="AL590" s="251"/>
      <c r="AM590" s="251"/>
      <c r="AN590" s="251"/>
      <c r="AO590" s="251"/>
      <c r="AP590" s="251"/>
      <c r="AQ590" s="251"/>
      <c r="AR590" s="251"/>
      <c r="AS590" s="251"/>
    </row>
    <row r="591" spans="1:45" s="44" customFormat="1" x14ac:dyDescent="0.2">
      <c r="A591" s="71"/>
      <c r="B591" s="71"/>
      <c r="C591" s="71"/>
      <c r="D591" s="251"/>
      <c r="E591" s="251"/>
      <c r="F591" s="251"/>
      <c r="G591" s="251"/>
      <c r="H591" s="251"/>
      <c r="I591" s="251"/>
      <c r="J591" s="251"/>
      <c r="K591" s="251"/>
      <c r="L591" s="251"/>
      <c r="M591" s="251"/>
      <c r="N591" s="251"/>
      <c r="O591" s="251"/>
      <c r="P591" s="251"/>
      <c r="Q591" s="251"/>
      <c r="R591" s="251"/>
      <c r="S591" s="251"/>
      <c r="T591" s="251"/>
      <c r="U591" s="251"/>
      <c r="V591" s="251"/>
      <c r="W591" s="251"/>
      <c r="X591" s="251"/>
      <c r="Y591" s="251"/>
      <c r="Z591" s="251"/>
      <c r="AA591" s="251"/>
      <c r="AB591" s="251"/>
      <c r="AC591" s="251"/>
      <c r="AD591" s="251"/>
      <c r="AE591" s="251"/>
      <c r="AF591" s="251"/>
      <c r="AG591" s="251"/>
      <c r="AH591" s="251"/>
      <c r="AI591" s="251"/>
      <c r="AJ591" s="251"/>
      <c r="AK591" s="251"/>
      <c r="AL591" s="251"/>
      <c r="AM591" s="251"/>
      <c r="AN591" s="251"/>
      <c r="AO591" s="251"/>
      <c r="AP591" s="251"/>
      <c r="AQ591" s="251"/>
      <c r="AR591" s="251"/>
      <c r="AS591" s="251"/>
    </row>
    <row r="592" spans="1:45" s="44" customFormat="1" x14ac:dyDescent="0.2">
      <c r="A592" s="71"/>
      <c r="B592" s="71"/>
      <c r="C592" s="71"/>
      <c r="D592" s="251"/>
      <c r="E592" s="251"/>
      <c r="F592" s="251"/>
      <c r="G592" s="251"/>
      <c r="H592" s="251"/>
      <c r="I592" s="251"/>
      <c r="J592" s="251"/>
      <c r="K592" s="251"/>
      <c r="L592" s="251"/>
      <c r="M592" s="251"/>
      <c r="N592" s="251"/>
      <c r="O592" s="251"/>
      <c r="P592" s="251"/>
      <c r="Q592" s="251"/>
      <c r="R592" s="251"/>
      <c r="S592" s="251"/>
      <c r="T592" s="251"/>
      <c r="U592" s="251"/>
      <c r="V592" s="251"/>
      <c r="W592" s="251"/>
      <c r="X592" s="251"/>
      <c r="Y592" s="251"/>
      <c r="Z592" s="251"/>
      <c r="AA592" s="251"/>
      <c r="AB592" s="251"/>
      <c r="AC592" s="251"/>
      <c r="AD592" s="251"/>
      <c r="AE592" s="251"/>
      <c r="AF592" s="251"/>
      <c r="AG592" s="251"/>
      <c r="AH592" s="251"/>
      <c r="AI592" s="251"/>
      <c r="AJ592" s="251"/>
      <c r="AK592" s="251"/>
      <c r="AL592" s="251"/>
      <c r="AM592" s="251"/>
      <c r="AN592" s="251"/>
      <c r="AO592" s="251"/>
      <c r="AP592" s="251"/>
      <c r="AQ592" s="251"/>
      <c r="AR592" s="251"/>
      <c r="AS592" s="251"/>
    </row>
    <row r="593" spans="1:45" s="44" customFormat="1" x14ac:dyDescent="0.2">
      <c r="A593" s="71"/>
      <c r="B593" s="71"/>
      <c r="C593" s="71"/>
      <c r="D593" s="251"/>
      <c r="E593" s="251"/>
      <c r="F593" s="251"/>
      <c r="G593" s="251"/>
      <c r="H593" s="251"/>
      <c r="I593" s="251"/>
      <c r="J593" s="251"/>
      <c r="K593" s="251"/>
      <c r="L593" s="251"/>
      <c r="M593" s="251"/>
      <c r="N593" s="251"/>
      <c r="O593" s="251"/>
      <c r="P593" s="251"/>
      <c r="Q593" s="251"/>
      <c r="R593" s="251"/>
      <c r="S593" s="251"/>
      <c r="T593" s="251"/>
      <c r="U593" s="251"/>
      <c r="V593" s="251"/>
      <c r="W593" s="251"/>
      <c r="X593" s="251"/>
      <c r="Y593" s="251"/>
      <c r="Z593" s="251"/>
      <c r="AA593" s="251"/>
      <c r="AB593" s="251"/>
      <c r="AC593" s="251"/>
      <c r="AD593" s="251"/>
      <c r="AE593" s="251"/>
      <c r="AF593" s="251"/>
      <c r="AG593" s="251"/>
      <c r="AH593" s="251"/>
      <c r="AI593" s="251"/>
      <c r="AJ593" s="251"/>
      <c r="AK593" s="251"/>
      <c r="AL593" s="251"/>
      <c r="AM593" s="251"/>
      <c r="AN593" s="251"/>
      <c r="AO593" s="251"/>
      <c r="AP593" s="251"/>
      <c r="AQ593" s="251"/>
      <c r="AR593" s="251"/>
      <c r="AS593" s="251"/>
    </row>
    <row r="594" spans="1:45" s="44" customFormat="1" x14ac:dyDescent="0.2">
      <c r="A594" s="71"/>
      <c r="B594" s="71"/>
      <c r="C594" s="71"/>
      <c r="D594" s="251"/>
      <c r="E594" s="251"/>
      <c r="F594" s="251"/>
      <c r="G594" s="251"/>
      <c r="H594" s="251"/>
      <c r="I594" s="251"/>
      <c r="J594" s="251"/>
      <c r="K594" s="251"/>
      <c r="L594" s="251"/>
      <c r="M594" s="251"/>
      <c r="N594" s="251"/>
      <c r="O594" s="251"/>
      <c r="P594" s="251"/>
      <c r="Q594" s="251"/>
      <c r="R594" s="251"/>
      <c r="S594" s="251"/>
      <c r="T594" s="251"/>
      <c r="U594" s="251"/>
      <c r="V594" s="251"/>
      <c r="W594" s="251"/>
      <c r="X594" s="251"/>
      <c r="Y594" s="251"/>
      <c r="Z594" s="251"/>
      <c r="AA594" s="251"/>
      <c r="AB594" s="251"/>
      <c r="AC594" s="251"/>
      <c r="AD594" s="251"/>
      <c r="AE594" s="251"/>
      <c r="AF594" s="251"/>
      <c r="AG594" s="251"/>
      <c r="AH594" s="251"/>
      <c r="AI594" s="251"/>
      <c r="AJ594" s="251"/>
      <c r="AK594" s="251"/>
      <c r="AL594" s="251"/>
      <c r="AM594" s="251"/>
      <c r="AN594" s="251"/>
      <c r="AO594" s="251"/>
      <c r="AP594" s="251"/>
      <c r="AQ594" s="251"/>
      <c r="AR594" s="251"/>
      <c r="AS594" s="251"/>
    </row>
    <row r="595" spans="1:45" s="44" customFormat="1" x14ac:dyDescent="0.2">
      <c r="A595" s="71"/>
      <c r="B595" s="71"/>
      <c r="C595" s="71"/>
      <c r="D595" s="251"/>
      <c r="E595" s="251"/>
      <c r="F595" s="251"/>
      <c r="G595" s="251"/>
      <c r="H595" s="251"/>
      <c r="I595" s="251"/>
      <c r="J595" s="251"/>
      <c r="K595" s="251"/>
      <c r="L595" s="251"/>
      <c r="M595" s="251"/>
      <c r="N595" s="251"/>
      <c r="O595" s="251"/>
      <c r="P595" s="251"/>
      <c r="Q595" s="251"/>
      <c r="R595" s="251"/>
      <c r="S595" s="251"/>
      <c r="T595" s="251"/>
      <c r="U595" s="251"/>
      <c r="V595" s="251"/>
      <c r="W595" s="251"/>
      <c r="X595" s="251"/>
      <c r="Y595" s="251"/>
      <c r="Z595" s="251"/>
      <c r="AA595" s="251"/>
      <c r="AB595" s="251"/>
      <c r="AC595" s="251"/>
      <c r="AD595" s="251"/>
      <c r="AE595" s="251"/>
      <c r="AF595" s="251"/>
      <c r="AG595" s="251"/>
      <c r="AH595" s="251"/>
      <c r="AI595" s="251"/>
      <c r="AJ595" s="251"/>
      <c r="AK595" s="251"/>
      <c r="AL595" s="251"/>
      <c r="AM595" s="251"/>
      <c r="AN595" s="251"/>
      <c r="AO595" s="251"/>
      <c r="AP595" s="251"/>
      <c r="AQ595" s="251"/>
      <c r="AR595" s="251"/>
      <c r="AS595" s="251"/>
    </row>
    <row r="596" spans="1:45" s="44" customFormat="1" x14ac:dyDescent="0.2">
      <c r="A596" s="71"/>
      <c r="B596" s="71"/>
      <c r="C596" s="71"/>
      <c r="D596" s="251"/>
      <c r="E596" s="251"/>
      <c r="F596" s="251"/>
      <c r="G596" s="251"/>
      <c r="H596" s="251"/>
      <c r="I596" s="251"/>
      <c r="J596" s="251"/>
      <c r="K596" s="251"/>
      <c r="L596" s="251"/>
      <c r="M596" s="251"/>
      <c r="N596" s="251"/>
      <c r="O596" s="251"/>
      <c r="P596" s="251"/>
      <c r="Q596" s="251"/>
      <c r="R596" s="251"/>
      <c r="S596" s="251"/>
      <c r="T596" s="251"/>
      <c r="U596" s="251"/>
      <c r="V596" s="251"/>
      <c r="W596" s="251"/>
      <c r="X596" s="251"/>
      <c r="Y596" s="251"/>
      <c r="Z596" s="251"/>
      <c r="AA596" s="251"/>
      <c r="AB596" s="251"/>
      <c r="AC596" s="251"/>
      <c r="AD596" s="251"/>
      <c r="AE596" s="251"/>
      <c r="AF596" s="251"/>
      <c r="AG596" s="251"/>
      <c r="AH596" s="251"/>
      <c r="AI596" s="251"/>
      <c r="AJ596" s="251"/>
      <c r="AK596" s="251"/>
      <c r="AL596" s="251"/>
      <c r="AM596" s="251"/>
      <c r="AN596" s="251"/>
      <c r="AO596" s="251"/>
      <c r="AP596" s="251"/>
      <c r="AQ596" s="251"/>
      <c r="AR596" s="251"/>
      <c r="AS596" s="251"/>
    </row>
    <row r="597" spans="1:45" s="44" customFormat="1" x14ac:dyDescent="0.2">
      <c r="A597" s="71"/>
      <c r="B597" s="71"/>
      <c r="C597" s="71"/>
      <c r="D597" s="251"/>
      <c r="E597" s="251"/>
      <c r="F597" s="251"/>
      <c r="G597" s="251"/>
      <c r="H597" s="251"/>
      <c r="I597" s="251"/>
      <c r="J597" s="251"/>
      <c r="K597" s="251"/>
      <c r="L597" s="251"/>
      <c r="M597" s="251"/>
      <c r="N597" s="251"/>
      <c r="O597" s="251"/>
      <c r="P597" s="251"/>
      <c r="Q597" s="251"/>
      <c r="R597" s="251"/>
      <c r="S597" s="251"/>
      <c r="T597" s="251"/>
      <c r="U597" s="251"/>
      <c r="V597" s="251"/>
      <c r="W597" s="251"/>
      <c r="X597" s="251"/>
      <c r="Y597" s="251"/>
      <c r="Z597" s="251"/>
      <c r="AA597" s="251"/>
      <c r="AB597" s="251"/>
      <c r="AC597" s="251"/>
      <c r="AD597" s="251"/>
      <c r="AE597" s="251"/>
      <c r="AF597" s="251"/>
      <c r="AG597" s="251"/>
      <c r="AH597" s="251"/>
      <c r="AI597" s="251"/>
      <c r="AJ597" s="251"/>
      <c r="AK597" s="251"/>
      <c r="AL597" s="251"/>
      <c r="AM597" s="251"/>
      <c r="AN597" s="251"/>
      <c r="AO597" s="251"/>
      <c r="AP597" s="251"/>
      <c r="AQ597" s="251"/>
      <c r="AR597" s="251"/>
      <c r="AS597" s="251"/>
    </row>
    <row r="598" spans="1:45" s="44" customFormat="1" x14ac:dyDescent="0.2">
      <c r="A598" s="71"/>
      <c r="B598" s="71"/>
      <c r="C598" s="71"/>
      <c r="D598" s="251"/>
      <c r="E598" s="251"/>
      <c r="F598" s="251"/>
      <c r="G598" s="251"/>
      <c r="H598" s="251"/>
      <c r="I598" s="251"/>
      <c r="J598" s="251"/>
      <c r="K598" s="251"/>
      <c r="L598" s="251"/>
      <c r="M598" s="251"/>
      <c r="N598" s="251"/>
      <c r="O598" s="251"/>
      <c r="P598" s="251"/>
      <c r="Q598" s="251"/>
      <c r="R598" s="251"/>
      <c r="S598" s="251"/>
      <c r="T598" s="251"/>
      <c r="U598" s="251"/>
      <c r="V598" s="251"/>
      <c r="W598" s="251"/>
      <c r="X598" s="251"/>
      <c r="Y598" s="251"/>
      <c r="Z598" s="251"/>
      <c r="AA598" s="251"/>
      <c r="AB598" s="251"/>
      <c r="AC598" s="251"/>
      <c r="AD598" s="251"/>
      <c r="AE598" s="251"/>
      <c r="AF598" s="251"/>
      <c r="AG598" s="251"/>
      <c r="AH598" s="251"/>
      <c r="AI598" s="251"/>
      <c r="AJ598" s="251"/>
      <c r="AK598" s="251"/>
      <c r="AL598" s="251"/>
      <c r="AM598" s="251"/>
      <c r="AN598" s="251"/>
      <c r="AO598" s="251"/>
      <c r="AP598" s="251"/>
      <c r="AQ598" s="251"/>
      <c r="AR598" s="251"/>
      <c r="AS598" s="251"/>
    </row>
    <row r="599" spans="1:45" s="44" customFormat="1" x14ac:dyDescent="0.2">
      <c r="A599" s="71"/>
      <c r="B599" s="71"/>
      <c r="C599" s="71"/>
      <c r="D599" s="251"/>
      <c r="E599" s="251"/>
      <c r="F599" s="251"/>
      <c r="G599" s="251"/>
      <c r="H599" s="251"/>
      <c r="I599" s="251"/>
      <c r="J599" s="251"/>
      <c r="K599" s="251"/>
      <c r="L599" s="251"/>
      <c r="M599" s="251"/>
      <c r="N599" s="251"/>
      <c r="O599" s="251"/>
      <c r="P599" s="251"/>
      <c r="Q599" s="251"/>
      <c r="R599" s="251"/>
      <c r="S599" s="251"/>
      <c r="T599" s="251"/>
      <c r="U599" s="251"/>
      <c r="V599" s="251"/>
      <c r="W599" s="251"/>
      <c r="X599" s="251"/>
      <c r="Y599" s="251"/>
      <c r="Z599" s="251"/>
      <c r="AA599" s="251"/>
      <c r="AB599" s="251"/>
      <c r="AC599" s="251"/>
      <c r="AD599" s="251"/>
      <c r="AE599" s="251"/>
      <c r="AF599" s="251"/>
      <c r="AG599" s="251"/>
      <c r="AH599" s="251"/>
      <c r="AI599" s="251"/>
      <c r="AJ599" s="251"/>
      <c r="AK599" s="251"/>
      <c r="AL599" s="251"/>
      <c r="AM599" s="251"/>
      <c r="AN599" s="251"/>
      <c r="AO599" s="251"/>
      <c r="AP599" s="251"/>
      <c r="AQ599" s="251"/>
      <c r="AR599" s="251"/>
      <c r="AS599" s="251"/>
    </row>
    <row r="600" spans="1:45" s="44" customFormat="1" x14ac:dyDescent="0.2">
      <c r="A600" s="71"/>
      <c r="B600" s="71"/>
      <c r="C600" s="71"/>
      <c r="D600" s="251"/>
      <c r="E600" s="251"/>
      <c r="F600" s="251"/>
      <c r="G600" s="251"/>
      <c r="H600" s="251"/>
      <c r="I600" s="251"/>
      <c r="J600" s="251"/>
      <c r="K600" s="251"/>
      <c r="L600" s="251"/>
      <c r="M600" s="251"/>
      <c r="N600" s="251"/>
      <c r="O600" s="251"/>
      <c r="P600" s="251"/>
      <c r="Q600" s="251"/>
      <c r="R600" s="251"/>
      <c r="S600" s="251"/>
      <c r="T600" s="251"/>
      <c r="U600" s="251"/>
      <c r="V600" s="251"/>
      <c r="W600" s="251"/>
      <c r="X600" s="251"/>
      <c r="Y600" s="251"/>
      <c r="Z600" s="251"/>
      <c r="AA600" s="251"/>
      <c r="AB600" s="251"/>
      <c r="AC600" s="251"/>
      <c r="AD600" s="251"/>
      <c r="AE600" s="251"/>
      <c r="AF600" s="251"/>
      <c r="AG600" s="251"/>
      <c r="AH600" s="251"/>
      <c r="AI600" s="251"/>
      <c r="AJ600" s="251"/>
      <c r="AK600" s="251"/>
      <c r="AL600" s="251"/>
      <c r="AM600" s="251"/>
      <c r="AN600" s="251"/>
      <c r="AO600" s="251"/>
      <c r="AP600" s="251"/>
      <c r="AQ600" s="251"/>
      <c r="AR600" s="251"/>
      <c r="AS600" s="251"/>
    </row>
    <row r="601" spans="1:45" s="44" customFormat="1" x14ac:dyDescent="0.2">
      <c r="A601" s="71"/>
      <c r="B601" s="71"/>
      <c r="C601" s="71"/>
      <c r="D601" s="251"/>
      <c r="E601" s="251"/>
      <c r="F601" s="251"/>
      <c r="G601" s="251"/>
      <c r="H601" s="251"/>
      <c r="I601" s="251"/>
      <c r="J601" s="251"/>
      <c r="K601" s="251"/>
      <c r="L601" s="251"/>
      <c r="M601" s="251"/>
      <c r="N601" s="251"/>
      <c r="O601" s="251"/>
      <c r="P601" s="251"/>
      <c r="Q601" s="251"/>
      <c r="R601" s="251"/>
      <c r="S601" s="251"/>
      <c r="T601" s="251"/>
      <c r="U601" s="251"/>
      <c r="V601" s="251"/>
      <c r="W601" s="251"/>
      <c r="X601" s="251"/>
      <c r="Y601" s="251"/>
      <c r="Z601" s="251"/>
      <c r="AA601" s="251"/>
      <c r="AB601" s="251"/>
      <c r="AC601" s="251"/>
      <c r="AD601" s="251"/>
      <c r="AE601" s="251"/>
      <c r="AF601" s="251"/>
      <c r="AG601" s="251"/>
      <c r="AH601" s="251"/>
      <c r="AI601" s="251"/>
      <c r="AJ601" s="251"/>
      <c r="AK601" s="251"/>
      <c r="AL601" s="251"/>
      <c r="AM601" s="251"/>
      <c r="AN601" s="251"/>
      <c r="AO601" s="251"/>
      <c r="AP601" s="251"/>
      <c r="AQ601" s="251"/>
      <c r="AR601" s="251"/>
      <c r="AS601" s="251"/>
    </row>
    <row r="602" spans="1:45" s="44" customFormat="1" x14ac:dyDescent="0.2">
      <c r="A602" s="71"/>
      <c r="B602" s="71"/>
      <c r="C602" s="71"/>
      <c r="D602" s="251"/>
      <c r="E602" s="251"/>
      <c r="F602" s="251"/>
      <c r="G602" s="251"/>
      <c r="H602" s="251"/>
      <c r="I602" s="251"/>
      <c r="J602" s="251"/>
      <c r="K602" s="251"/>
      <c r="L602" s="251"/>
      <c r="M602" s="251"/>
      <c r="N602" s="251"/>
      <c r="O602" s="251"/>
      <c r="P602" s="251"/>
      <c r="Q602" s="251"/>
      <c r="R602" s="251"/>
      <c r="S602" s="251"/>
      <c r="T602" s="251"/>
      <c r="U602" s="251"/>
      <c r="V602" s="251"/>
      <c r="W602" s="251"/>
      <c r="X602" s="251"/>
      <c r="Y602" s="251"/>
      <c r="Z602" s="251"/>
      <c r="AA602" s="251"/>
      <c r="AB602" s="251"/>
      <c r="AC602" s="251"/>
      <c r="AD602" s="251"/>
      <c r="AE602" s="251"/>
      <c r="AF602" s="251"/>
      <c r="AG602" s="251"/>
      <c r="AH602" s="251"/>
      <c r="AI602" s="251"/>
      <c r="AJ602" s="251"/>
      <c r="AK602" s="251"/>
      <c r="AL602" s="251"/>
      <c r="AM602" s="251"/>
      <c r="AN602" s="251"/>
      <c r="AO602" s="251"/>
      <c r="AP602" s="251"/>
      <c r="AQ602" s="251"/>
      <c r="AR602" s="251"/>
      <c r="AS602" s="251"/>
    </row>
    <row r="603" spans="1:45" s="44" customFormat="1" x14ac:dyDescent="0.2">
      <c r="A603" s="71"/>
      <c r="B603" s="71"/>
      <c r="C603" s="71"/>
      <c r="D603" s="251"/>
      <c r="E603" s="251"/>
      <c r="F603" s="251"/>
      <c r="G603" s="251"/>
      <c r="H603" s="251"/>
      <c r="I603" s="251"/>
      <c r="J603" s="251"/>
      <c r="K603" s="251"/>
      <c r="L603" s="251"/>
      <c r="M603" s="251"/>
      <c r="N603" s="251"/>
      <c r="O603" s="251"/>
      <c r="P603" s="251"/>
      <c r="Q603" s="251"/>
      <c r="R603" s="251"/>
      <c r="S603" s="251"/>
      <c r="T603" s="251"/>
      <c r="U603" s="251"/>
      <c r="V603" s="251"/>
      <c r="W603" s="251"/>
      <c r="X603" s="251"/>
      <c r="Y603" s="251"/>
      <c r="Z603" s="251"/>
      <c r="AA603" s="251"/>
      <c r="AB603" s="251"/>
      <c r="AC603" s="251"/>
      <c r="AD603" s="251"/>
      <c r="AE603" s="251"/>
      <c r="AF603" s="251"/>
      <c r="AG603" s="251"/>
      <c r="AH603" s="251"/>
      <c r="AI603" s="251"/>
      <c r="AJ603" s="251"/>
      <c r="AK603" s="251"/>
      <c r="AL603" s="251"/>
      <c r="AM603" s="251"/>
      <c r="AN603" s="251"/>
      <c r="AO603" s="251"/>
      <c r="AP603" s="251"/>
      <c r="AQ603" s="251"/>
      <c r="AR603" s="251"/>
      <c r="AS603" s="251"/>
    </row>
    <row r="604" spans="1:45" s="44" customFormat="1" x14ac:dyDescent="0.2">
      <c r="A604" s="71"/>
      <c r="B604" s="71"/>
      <c r="C604" s="71"/>
      <c r="D604" s="251"/>
      <c r="E604" s="251"/>
      <c r="F604" s="251"/>
      <c r="G604" s="251"/>
      <c r="H604" s="251"/>
      <c r="I604" s="251"/>
      <c r="J604" s="251"/>
      <c r="K604" s="251"/>
      <c r="L604" s="251"/>
      <c r="M604" s="251"/>
      <c r="N604" s="251"/>
      <c r="O604" s="251"/>
      <c r="P604" s="251"/>
      <c r="Q604" s="251"/>
      <c r="R604" s="251"/>
      <c r="S604" s="251"/>
      <c r="T604" s="251"/>
      <c r="U604" s="251"/>
      <c r="V604" s="251"/>
      <c r="W604" s="251"/>
      <c r="X604" s="251"/>
      <c r="Y604" s="251"/>
      <c r="Z604" s="251"/>
      <c r="AA604" s="251"/>
      <c r="AB604" s="251"/>
      <c r="AC604" s="251"/>
      <c r="AD604" s="251"/>
      <c r="AE604" s="251"/>
      <c r="AF604" s="251"/>
      <c r="AG604" s="251"/>
      <c r="AH604" s="251"/>
      <c r="AI604" s="251"/>
      <c r="AJ604" s="251"/>
      <c r="AK604" s="251"/>
      <c r="AL604" s="251"/>
      <c r="AM604" s="251"/>
      <c r="AN604" s="251"/>
      <c r="AO604" s="251"/>
      <c r="AP604" s="251"/>
      <c r="AQ604" s="251"/>
      <c r="AR604" s="251"/>
      <c r="AS604" s="251"/>
    </row>
    <row r="605" spans="1:45" s="44" customFormat="1" x14ac:dyDescent="0.2">
      <c r="A605" s="71"/>
      <c r="B605" s="71"/>
      <c r="C605" s="71"/>
      <c r="D605" s="251"/>
      <c r="E605" s="251"/>
      <c r="F605" s="251"/>
      <c r="G605" s="251"/>
      <c r="H605" s="251"/>
      <c r="I605" s="251"/>
      <c r="J605" s="251"/>
      <c r="K605" s="251"/>
      <c r="L605" s="251"/>
      <c r="M605" s="251"/>
      <c r="N605" s="251"/>
      <c r="O605" s="251"/>
      <c r="P605" s="251"/>
      <c r="Q605" s="251"/>
      <c r="R605" s="251"/>
      <c r="S605" s="251"/>
      <c r="T605" s="251"/>
      <c r="U605" s="251"/>
      <c r="V605" s="251"/>
      <c r="W605" s="251"/>
      <c r="X605" s="251"/>
      <c r="Y605" s="251"/>
      <c r="Z605" s="251"/>
      <c r="AA605" s="251"/>
      <c r="AB605" s="251"/>
      <c r="AC605" s="251"/>
      <c r="AD605" s="251"/>
      <c r="AE605" s="251"/>
      <c r="AF605" s="251"/>
      <c r="AG605" s="251"/>
      <c r="AH605" s="251"/>
      <c r="AI605" s="251"/>
      <c r="AJ605" s="251"/>
      <c r="AK605" s="251"/>
      <c r="AL605" s="251"/>
      <c r="AM605" s="251"/>
      <c r="AN605" s="251"/>
      <c r="AO605" s="251"/>
      <c r="AP605" s="251"/>
      <c r="AQ605" s="251"/>
      <c r="AR605" s="251"/>
      <c r="AS605" s="251"/>
    </row>
    <row r="606" spans="1:45" s="44" customFormat="1" x14ac:dyDescent="0.2">
      <c r="A606" s="71"/>
      <c r="B606" s="71"/>
      <c r="C606" s="71"/>
      <c r="D606" s="251"/>
      <c r="E606" s="251"/>
      <c r="F606" s="251"/>
      <c r="G606" s="251"/>
      <c r="H606" s="251"/>
      <c r="I606" s="251"/>
      <c r="J606" s="251"/>
      <c r="K606" s="251"/>
      <c r="L606" s="251"/>
      <c r="M606" s="251"/>
      <c r="N606" s="251"/>
      <c r="O606" s="251"/>
      <c r="P606" s="251"/>
      <c r="Q606" s="251"/>
      <c r="R606" s="251"/>
      <c r="S606" s="251"/>
      <c r="T606" s="251"/>
      <c r="U606" s="251"/>
      <c r="V606" s="251"/>
      <c r="W606" s="251"/>
      <c r="X606" s="251"/>
      <c r="Y606" s="251"/>
      <c r="Z606" s="251"/>
      <c r="AA606" s="251"/>
      <c r="AB606" s="251"/>
      <c r="AC606" s="251"/>
      <c r="AD606" s="251"/>
      <c r="AE606" s="251"/>
      <c r="AF606" s="251"/>
      <c r="AG606" s="251"/>
      <c r="AH606" s="251"/>
      <c r="AI606" s="251"/>
      <c r="AJ606" s="251"/>
      <c r="AK606" s="251"/>
      <c r="AL606" s="251"/>
      <c r="AM606" s="251"/>
      <c r="AN606" s="251"/>
      <c r="AO606" s="251"/>
      <c r="AP606" s="251"/>
      <c r="AQ606" s="251"/>
      <c r="AR606" s="251"/>
      <c r="AS606" s="251"/>
    </row>
    <row r="607" spans="1:45" s="44" customFormat="1" x14ac:dyDescent="0.2">
      <c r="A607" s="71"/>
      <c r="B607" s="71"/>
      <c r="C607" s="7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251"/>
      <c r="AE607" s="251"/>
      <c r="AF607" s="251"/>
      <c r="AG607" s="251"/>
      <c r="AH607" s="251"/>
      <c r="AI607" s="251"/>
      <c r="AJ607" s="251"/>
      <c r="AK607" s="251"/>
      <c r="AL607" s="251"/>
      <c r="AM607" s="251"/>
      <c r="AN607" s="251"/>
      <c r="AO607" s="251"/>
      <c r="AP607" s="251"/>
      <c r="AQ607" s="251"/>
      <c r="AR607" s="251"/>
      <c r="AS607" s="251"/>
    </row>
    <row r="608" spans="1:45" s="44" customFormat="1" x14ac:dyDescent="0.2">
      <c r="A608" s="71"/>
      <c r="B608" s="71"/>
      <c r="C608" s="71"/>
      <c r="D608" s="251"/>
      <c r="E608" s="251"/>
      <c r="F608" s="251"/>
      <c r="G608" s="251"/>
      <c r="H608" s="251"/>
      <c r="I608" s="251"/>
      <c r="J608" s="251"/>
      <c r="K608" s="251"/>
      <c r="L608" s="251"/>
      <c r="M608" s="251"/>
      <c r="N608" s="251"/>
      <c r="O608" s="251"/>
      <c r="P608" s="251"/>
      <c r="Q608" s="251"/>
      <c r="R608" s="251"/>
      <c r="S608" s="251"/>
      <c r="T608" s="251"/>
      <c r="U608" s="251"/>
      <c r="V608" s="251"/>
      <c r="W608" s="251"/>
      <c r="X608" s="251"/>
      <c r="Y608" s="251"/>
      <c r="Z608" s="251"/>
      <c r="AA608" s="251"/>
      <c r="AB608" s="251"/>
      <c r="AC608" s="251"/>
      <c r="AD608" s="251"/>
      <c r="AE608" s="251"/>
      <c r="AF608" s="251"/>
      <c r="AG608" s="251"/>
      <c r="AH608" s="251"/>
      <c r="AI608" s="251"/>
      <c r="AJ608" s="251"/>
      <c r="AK608" s="251"/>
      <c r="AL608" s="251"/>
      <c r="AM608" s="251"/>
      <c r="AN608" s="251"/>
      <c r="AO608" s="251"/>
      <c r="AP608" s="251"/>
      <c r="AQ608" s="251"/>
      <c r="AR608" s="251"/>
      <c r="AS608" s="251"/>
    </row>
    <row r="609" spans="1:45" s="44" customFormat="1" x14ac:dyDescent="0.2">
      <c r="A609" s="71"/>
      <c r="B609" s="71"/>
      <c r="C609" s="71"/>
      <c r="D609" s="251"/>
      <c r="E609" s="251"/>
      <c r="F609" s="251"/>
      <c r="G609" s="251"/>
      <c r="H609" s="251"/>
      <c r="I609" s="251"/>
      <c r="J609" s="251"/>
      <c r="K609" s="251"/>
      <c r="L609" s="251"/>
      <c r="M609" s="251"/>
      <c r="N609" s="251"/>
      <c r="O609" s="251"/>
      <c r="P609" s="251"/>
      <c r="Q609" s="251"/>
      <c r="R609" s="251"/>
      <c r="S609" s="251"/>
      <c r="T609" s="251"/>
      <c r="U609" s="251"/>
      <c r="V609" s="251"/>
      <c r="W609" s="251"/>
      <c r="X609" s="251"/>
      <c r="Y609" s="251"/>
      <c r="Z609" s="251"/>
      <c r="AA609" s="251"/>
      <c r="AB609" s="251"/>
      <c r="AC609" s="251"/>
      <c r="AD609" s="251"/>
      <c r="AE609" s="251"/>
      <c r="AF609" s="251"/>
      <c r="AG609" s="251"/>
      <c r="AH609" s="251"/>
      <c r="AI609" s="251"/>
      <c r="AJ609" s="251"/>
      <c r="AK609" s="251"/>
      <c r="AL609" s="251"/>
      <c r="AM609" s="251"/>
      <c r="AN609" s="251"/>
      <c r="AO609" s="251"/>
      <c r="AP609" s="251"/>
      <c r="AQ609" s="251"/>
      <c r="AR609" s="251"/>
      <c r="AS609" s="251"/>
    </row>
    <row r="610" spans="1:45" s="44" customFormat="1" x14ac:dyDescent="0.2">
      <c r="A610" s="71"/>
      <c r="B610" s="71"/>
      <c r="C610" s="71"/>
      <c r="D610" s="251"/>
      <c r="E610" s="251"/>
      <c r="F610" s="251"/>
      <c r="G610" s="251"/>
      <c r="H610" s="251"/>
      <c r="I610" s="251"/>
      <c r="J610" s="251"/>
      <c r="K610" s="251"/>
      <c r="L610" s="251"/>
      <c r="M610" s="251"/>
      <c r="N610" s="251"/>
      <c r="O610" s="251"/>
      <c r="P610" s="251"/>
      <c r="Q610" s="251"/>
      <c r="R610" s="251"/>
      <c r="S610" s="251"/>
      <c r="T610" s="251"/>
      <c r="U610" s="251"/>
      <c r="V610" s="251"/>
      <c r="W610" s="251"/>
      <c r="X610" s="251"/>
      <c r="Y610" s="251"/>
      <c r="Z610" s="251"/>
      <c r="AA610" s="251"/>
      <c r="AB610" s="251"/>
      <c r="AC610" s="251"/>
      <c r="AD610" s="251"/>
      <c r="AE610" s="251"/>
      <c r="AF610" s="251"/>
      <c r="AG610" s="251"/>
      <c r="AH610" s="251"/>
      <c r="AI610" s="251"/>
      <c r="AJ610" s="251"/>
      <c r="AK610" s="251"/>
      <c r="AL610" s="251"/>
      <c r="AM610" s="251"/>
      <c r="AN610" s="251"/>
      <c r="AO610" s="251"/>
      <c r="AP610" s="251"/>
      <c r="AQ610" s="251"/>
      <c r="AR610" s="251"/>
      <c r="AS610" s="251"/>
    </row>
    <row r="611" spans="1:45" s="44" customFormat="1" x14ac:dyDescent="0.2">
      <c r="A611" s="71"/>
      <c r="B611" s="71"/>
      <c r="C611" s="71"/>
      <c r="D611" s="251"/>
      <c r="E611" s="251"/>
      <c r="F611" s="251"/>
      <c r="G611" s="251"/>
      <c r="H611" s="251"/>
      <c r="I611" s="251"/>
      <c r="J611" s="251"/>
      <c r="K611" s="251"/>
      <c r="L611" s="251"/>
      <c r="M611" s="251"/>
      <c r="N611" s="251"/>
      <c r="O611" s="251"/>
      <c r="P611" s="251"/>
      <c r="Q611" s="251"/>
      <c r="R611" s="251"/>
      <c r="S611" s="251"/>
      <c r="T611" s="251"/>
      <c r="U611" s="251"/>
      <c r="V611" s="251"/>
      <c r="W611" s="251"/>
      <c r="X611" s="251"/>
      <c r="Y611" s="251"/>
      <c r="Z611" s="251"/>
      <c r="AA611" s="251"/>
      <c r="AB611" s="251"/>
      <c r="AC611" s="251"/>
      <c r="AD611" s="251"/>
      <c r="AE611" s="251"/>
      <c r="AF611" s="251"/>
      <c r="AG611" s="251"/>
      <c r="AH611" s="251"/>
      <c r="AI611" s="251"/>
      <c r="AJ611" s="251"/>
      <c r="AK611" s="251"/>
      <c r="AL611" s="251"/>
      <c r="AM611" s="251"/>
      <c r="AN611" s="251"/>
      <c r="AO611" s="251"/>
      <c r="AP611" s="251"/>
      <c r="AQ611" s="251"/>
      <c r="AR611" s="251"/>
      <c r="AS611" s="251"/>
    </row>
    <row r="612" spans="1:45" s="44" customFormat="1" x14ac:dyDescent="0.2">
      <c r="A612" s="71"/>
      <c r="B612" s="71"/>
      <c r="C612" s="71"/>
      <c r="D612" s="251"/>
      <c r="E612" s="251"/>
      <c r="F612" s="251"/>
      <c r="G612" s="251"/>
      <c r="H612" s="251"/>
      <c r="I612" s="251"/>
      <c r="J612" s="251"/>
      <c r="K612" s="251"/>
      <c r="L612" s="251"/>
      <c r="M612" s="251"/>
      <c r="N612" s="251"/>
      <c r="O612" s="251"/>
      <c r="P612" s="251"/>
      <c r="Q612" s="251"/>
      <c r="R612" s="251"/>
      <c r="S612" s="251"/>
      <c r="T612" s="251"/>
      <c r="U612" s="251"/>
      <c r="V612" s="251"/>
      <c r="W612" s="251"/>
      <c r="X612" s="251"/>
      <c r="Y612" s="251"/>
      <c r="Z612" s="251"/>
      <c r="AA612" s="251"/>
      <c r="AB612" s="251"/>
      <c r="AC612" s="251"/>
      <c r="AD612" s="251"/>
      <c r="AE612" s="251"/>
      <c r="AF612" s="251"/>
      <c r="AG612" s="251"/>
      <c r="AH612" s="251"/>
      <c r="AI612" s="251"/>
      <c r="AJ612" s="251"/>
      <c r="AK612" s="251"/>
      <c r="AL612" s="251"/>
      <c r="AM612" s="251"/>
      <c r="AN612" s="251"/>
      <c r="AO612" s="251"/>
      <c r="AP612" s="251"/>
      <c r="AQ612" s="251"/>
      <c r="AR612" s="251"/>
      <c r="AS612" s="251"/>
    </row>
    <row r="613" spans="1:45" s="44" customFormat="1" x14ac:dyDescent="0.2">
      <c r="A613" s="71"/>
      <c r="B613" s="71"/>
      <c r="C613" s="71"/>
      <c r="D613" s="251"/>
      <c r="E613" s="251"/>
      <c r="F613" s="251"/>
      <c r="G613" s="251"/>
      <c r="H613" s="251"/>
      <c r="I613" s="251"/>
      <c r="J613" s="251"/>
      <c r="K613" s="251"/>
      <c r="L613" s="251"/>
      <c r="M613" s="251"/>
      <c r="N613" s="251"/>
      <c r="O613" s="251"/>
      <c r="P613" s="251"/>
      <c r="Q613" s="251"/>
      <c r="R613" s="251"/>
      <c r="S613" s="251"/>
      <c r="T613" s="251"/>
      <c r="U613" s="251"/>
      <c r="V613" s="251"/>
      <c r="W613" s="251"/>
      <c r="X613" s="251"/>
      <c r="Y613" s="251"/>
      <c r="Z613" s="251"/>
      <c r="AA613" s="251"/>
      <c r="AB613" s="251"/>
      <c r="AC613" s="251"/>
      <c r="AD613" s="251"/>
      <c r="AE613" s="251"/>
      <c r="AF613" s="251"/>
      <c r="AG613" s="251"/>
      <c r="AH613" s="251"/>
      <c r="AI613" s="251"/>
      <c r="AJ613" s="251"/>
      <c r="AK613" s="251"/>
      <c r="AL613" s="251"/>
      <c r="AM613" s="251"/>
      <c r="AN613" s="251"/>
      <c r="AO613" s="251"/>
      <c r="AP613" s="251"/>
      <c r="AQ613" s="251"/>
      <c r="AR613" s="251"/>
      <c r="AS613" s="251"/>
    </row>
    <row r="614" spans="1:45" s="44" customFormat="1" x14ac:dyDescent="0.2">
      <c r="A614" s="71"/>
      <c r="B614" s="71"/>
      <c r="C614" s="71"/>
      <c r="D614" s="251"/>
      <c r="E614" s="251"/>
      <c r="F614" s="251"/>
      <c r="G614" s="251"/>
      <c r="H614" s="251"/>
      <c r="I614" s="251"/>
      <c r="J614" s="251"/>
      <c r="K614" s="251"/>
      <c r="L614" s="251"/>
      <c r="M614" s="251"/>
      <c r="N614" s="251"/>
      <c r="O614" s="251"/>
      <c r="P614" s="251"/>
      <c r="Q614" s="251"/>
      <c r="R614" s="251"/>
      <c r="S614" s="251"/>
      <c r="T614" s="251"/>
      <c r="U614" s="251"/>
      <c r="V614" s="251"/>
      <c r="W614" s="251"/>
      <c r="X614" s="251"/>
      <c r="Y614" s="251"/>
      <c r="Z614" s="251"/>
      <c r="AA614" s="251"/>
      <c r="AB614" s="251"/>
      <c r="AC614" s="251"/>
      <c r="AD614" s="251"/>
      <c r="AE614" s="251"/>
      <c r="AF614" s="251"/>
      <c r="AG614" s="251"/>
      <c r="AH614" s="251"/>
      <c r="AI614" s="251"/>
      <c r="AJ614" s="251"/>
      <c r="AK614" s="251"/>
      <c r="AL614" s="251"/>
      <c r="AM614" s="251"/>
      <c r="AN614" s="251"/>
      <c r="AO614" s="251"/>
      <c r="AP614" s="251"/>
      <c r="AQ614" s="251"/>
      <c r="AR614" s="251"/>
      <c r="AS614" s="251"/>
    </row>
    <row r="615" spans="1:45" s="44" customFormat="1" x14ac:dyDescent="0.2">
      <c r="A615" s="71"/>
      <c r="B615" s="71"/>
      <c r="C615" s="71"/>
      <c r="D615" s="251"/>
      <c r="E615" s="251"/>
      <c r="F615" s="251"/>
      <c r="G615" s="251"/>
      <c r="H615" s="251"/>
      <c r="I615" s="251"/>
      <c r="J615" s="251"/>
      <c r="K615" s="251"/>
      <c r="L615" s="251"/>
      <c r="M615" s="251"/>
      <c r="N615" s="251"/>
      <c r="O615" s="251"/>
      <c r="P615" s="251"/>
      <c r="Q615" s="251"/>
      <c r="R615" s="251"/>
      <c r="S615" s="251"/>
      <c r="T615" s="251"/>
      <c r="U615" s="251"/>
      <c r="V615" s="251"/>
      <c r="W615" s="251"/>
      <c r="X615" s="251"/>
      <c r="Y615" s="251"/>
      <c r="Z615" s="251"/>
      <c r="AA615" s="251"/>
      <c r="AB615" s="251"/>
      <c r="AC615" s="251"/>
      <c r="AD615" s="251"/>
      <c r="AE615" s="251"/>
      <c r="AF615" s="251"/>
      <c r="AG615" s="251"/>
      <c r="AH615" s="251"/>
      <c r="AI615" s="251"/>
      <c r="AJ615" s="251"/>
      <c r="AK615" s="251"/>
      <c r="AL615" s="251"/>
      <c r="AM615" s="251"/>
      <c r="AN615" s="251"/>
      <c r="AO615" s="251"/>
      <c r="AP615" s="251"/>
      <c r="AQ615" s="251"/>
      <c r="AR615" s="251"/>
      <c r="AS615" s="251"/>
    </row>
    <row r="616" spans="1:45" s="44" customFormat="1" x14ac:dyDescent="0.2">
      <c r="A616" s="71"/>
      <c r="B616" s="71"/>
      <c r="C616" s="71"/>
      <c r="D616" s="251"/>
      <c r="E616" s="251"/>
      <c r="F616" s="251"/>
      <c r="G616" s="251"/>
      <c r="H616" s="251"/>
      <c r="I616" s="251"/>
      <c r="J616" s="251"/>
      <c r="K616" s="251"/>
      <c r="L616" s="251"/>
      <c r="M616" s="251"/>
      <c r="N616" s="251"/>
      <c r="O616" s="251"/>
      <c r="P616" s="251"/>
      <c r="Q616" s="251"/>
      <c r="R616" s="251"/>
      <c r="S616" s="251"/>
      <c r="T616" s="251"/>
      <c r="U616" s="251"/>
      <c r="V616" s="251"/>
      <c r="W616" s="251"/>
      <c r="X616" s="251"/>
      <c r="Y616" s="251"/>
      <c r="Z616" s="251"/>
      <c r="AA616" s="251"/>
      <c r="AB616" s="251"/>
      <c r="AC616" s="251"/>
      <c r="AD616" s="251"/>
      <c r="AE616" s="251"/>
      <c r="AF616" s="251"/>
      <c r="AG616" s="251"/>
      <c r="AH616" s="251"/>
      <c r="AI616" s="251"/>
      <c r="AJ616" s="251"/>
      <c r="AK616" s="251"/>
      <c r="AL616" s="251"/>
      <c r="AM616" s="251"/>
      <c r="AN616" s="251"/>
      <c r="AO616" s="251"/>
      <c r="AP616" s="251"/>
      <c r="AQ616" s="251"/>
      <c r="AR616" s="251"/>
      <c r="AS616" s="251"/>
    </row>
    <row r="617" spans="1:45" s="44" customFormat="1" x14ac:dyDescent="0.2">
      <c r="A617" s="71"/>
      <c r="B617" s="71"/>
      <c r="C617" s="71"/>
      <c r="D617" s="251"/>
      <c r="E617" s="251"/>
      <c r="F617" s="251"/>
      <c r="G617" s="251"/>
      <c r="H617" s="251"/>
      <c r="I617" s="251"/>
      <c r="J617" s="251"/>
      <c r="K617" s="251"/>
      <c r="L617" s="251"/>
      <c r="M617" s="251"/>
      <c r="N617" s="251"/>
      <c r="O617" s="251"/>
      <c r="P617" s="251"/>
      <c r="Q617" s="251"/>
      <c r="R617" s="251"/>
      <c r="S617" s="251"/>
      <c r="T617" s="251"/>
      <c r="U617" s="251"/>
      <c r="V617" s="251"/>
      <c r="W617" s="251"/>
      <c r="X617" s="251"/>
      <c r="Y617" s="251"/>
      <c r="Z617" s="251"/>
      <c r="AA617" s="251"/>
      <c r="AB617" s="251"/>
      <c r="AC617" s="251"/>
      <c r="AD617" s="251"/>
      <c r="AE617" s="251"/>
      <c r="AF617" s="251"/>
      <c r="AG617" s="251"/>
      <c r="AH617" s="251"/>
      <c r="AI617" s="251"/>
      <c r="AJ617" s="251"/>
      <c r="AK617" s="251"/>
      <c r="AL617" s="251"/>
      <c r="AM617" s="251"/>
      <c r="AN617" s="251"/>
      <c r="AO617" s="251"/>
      <c r="AP617" s="251"/>
      <c r="AQ617" s="251"/>
      <c r="AR617" s="251"/>
      <c r="AS617" s="251"/>
    </row>
    <row r="618" spans="1:45" s="44" customFormat="1" x14ac:dyDescent="0.2">
      <c r="A618" s="71"/>
      <c r="B618" s="71"/>
      <c r="C618" s="71"/>
      <c r="D618" s="251"/>
      <c r="E618" s="251"/>
      <c r="F618" s="251"/>
      <c r="G618" s="251"/>
      <c r="H618" s="251"/>
      <c r="I618" s="251"/>
      <c r="J618" s="251"/>
      <c r="K618" s="251"/>
      <c r="L618" s="251"/>
      <c r="M618" s="251"/>
      <c r="N618" s="251"/>
      <c r="O618" s="251"/>
      <c r="P618" s="251"/>
      <c r="Q618" s="251"/>
      <c r="R618" s="251"/>
      <c r="S618" s="251"/>
      <c r="T618" s="251"/>
      <c r="U618" s="251"/>
      <c r="V618" s="251"/>
      <c r="W618" s="251"/>
      <c r="X618" s="251"/>
      <c r="Y618" s="251"/>
      <c r="Z618" s="251"/>
      <c r="AA618" s="251"/>
      <c r="AB618" s="251"/>
      <c r="AC618" s="251"/>
      <c r="AD618" s="251"/>
      <c r="AE618" s="251"/>
      <c r="AF618" s="251"/>
      <c r="AG618" s="251"/>
      <c r="AH618" s="251"/>
      <c r="AI618" s="251"/>
      <c r="AJ618" s="251"/>
      <c r="AK618" s="251"/>
      <c r="AL618" s="251"/>
      <c r="AM618" s="251"/>
      <c r="AN618" s="251"/>
      <c r="AO618" s="251"/>
      <c r="AP618" s="251"/>
      <c r="AQ618" s="251"/>
      <c r="AR618" s="251"/>
      <c r="AS618" s="251"/>
    </row>
    <row r="619" spans="1:45" s="44" customFormat="1" x14ac:dyDescent="0.2">
      <c r="A619" s="71"/>
      <c r="B619" s="71"/>
      <c r="C619" s="71"/>
      <c r="D619" s="251"/>
      <c r="E619" s="251"/>
      <c r="F619" s="251"/>
      <c r="G619" s="251"/>
      <c r="H619" s="251"/>
      <c r="I619" s="251"/>
      <c r="J619" s="251"/>
      <c r="K619" s="251"/>
      <c r="L619" s="251"/>
      <c r="M619" s="251"/>
      <c r="N619" s="251"/>
      <c r="O619" s="251"/>
      <c r="P619" s="251"/>
      <c r="Q619" s="251"/>
      <c r="R619" s="251"/>
      <c r="S619" s="251"/>
      <c r="T619" s="251"/>
      <c r="U619" s="251"/>
      <c r="V619" s="251"/>
      <c r="W619" s="251"/>
      <c r="X619" s="251"/>
      <c r="Y619" s="251"/>
      <c r="Z619" s="251"/>
      <c r="AA619" s="251"/>
      <c r="AB619" s="251"/>
      <c r="AC619" s="251"/>
      <c r="AD619" s="251"/>
      <c r="AE619" s="251"/>
      <c r="AF619" s="251"/>
      <c r="AG619" s="251"/>
      <c r="AH619" s="251"/>
      <c r="AI619" s="251"/>
      <c r="AJ619" s="251"/>
      <c r="AK619" s="251"/>
      <c r="AL619" s="251"/>
      <c r="AM619" s="251"/>
      <c r="AN619" s="251"/>
      <c r="AO619" s="251"/>
      <c r="AP619" s="251"/>
      <c r="AQ619" s="251"/>
      <c r="AR619" s="251"/>
      <c r="AS619" s="251"/>
    </row>
    <row r="620" spans="1:45" s="44" customFormat="1" x14ac:dyDescent="0.2">
      <c r="A620" s="71"/>
      <c r="B620" s="71"/>
      <c r="C620" s="71"/>
      <c r="D620" s="251"/>
      <c r="E620" s="251"/>
      <c r="F620" s="251"/>
      <c r="G620" s="251"/>
      <c r="H620" s="251"/>
      <c r="I620" s="251"/>
      <c r="J620" s="251"/>
      <c r="K620" s="251"/>
      <c r="L620" s="251"/>
      <c r="M620" s="251"/>
      <c r="N620" s="251"/>
      <c r="O620" s="251"/>
      <c r="P620" s="251"/>
      <c r="Q620" s="251"/>
      <c r="R620" s="251"/>
      <c r="S620" s="251"/>
      <c r="T620" s="251"/>
      <c r="U620" s="251"/>
      <c r="V620" s="251"/>
      <c r="W620" s="251"/>
      <c r="X620" s="251"/>
      <c r="Y620" s="251"/>
      <c r="Z620" s="251"/>
      <c r="AA620" s="251"/>
      <c r="AB620" s="251"/>
      <c r="AC620" s="251"/>
      <c r="AD620" s="251"/>
      <c r="AE620" s="251"/>
      <c r="AF620" s="251"/>
      <c r="AG620" s="251"/>
      <c r="AH620" s="251"/>
      <c r="AI620" s="251"/>
      <c r="AJ620" s="251"/>
      <c r="AK620" s="251"/>
      <c r="AL620" s="251"/>
      <c r="AM620" s="251"/>
      <c r="AN620" s="251"/>
      <c r="AO620" s="251"/>
      <c r="AP620" s="251"/>
      <c r="AQ620" s="251"/>
      <c r="AR620" s="251"/>
      <c r="AS620" s="251"/>
    </row>
    <row r="621" spans="1:45" s="44" customFormat="1" x14ac:dyDescent="0.2">
      <c r="A621" s="71"/>
      <c r="B621" s="71"/>
      <c r="C621" s="71"/>
      <c r="D621" s="251"/>
      <c r="E621" s="251"/>
      <c r="F621" s="251"/>
      <c r="G621" s="251"/>
      <c r="H621" s="251"/>
      <c r="I621" s="251"/>
      <c r="J621" s="251"/>
      <c r="K621" s="251"/>
      <c r="L621" s="251"/>
      <c r="M621" s="251"/>
      <c r="N621" s="251"/>
      <c r="O621" s="251"/>
      <c r="P621" s="251"/>
      <c r="Q621" s="251"/>
      <c r="R621" s="251"/>
      <c r="S621" s="251"/>
      <c r="T621" s="251"/>
      <c r="U621" s="251"/>
      <c r="V621" s="251"/>
      <c r="W621" s="251"/>
      <c r="X621" s="251"/>
      <c r="Y621" s="251"/>
      <c r="Z621" s="251"/>
      <c r="AA621" s="251"/>
      <c r="AB621" s="251"/>
      <c r="AC621" s="251"/>
      <c r="AD621" s="251"/>
      <c r="AE621" s="251"/>
      <c r="AF621" s="251"/>
      <c r="AG621" s="251"/>
      <c r="AH621" s="251"/>
      <c r="AI621" s="251"/>
      <c r="AJ621" s="251"/>
      <c r="AK621" s="251"/>
      <c r="AL621" s="251"/>
      <c r="AM621" s="251"/>
      <c r="AN621" s="251"/>
      <c r="AO621" s="251"/>
      <c r="AP621" s="251"/>
      <c r="AQ621" s="251"/>
      <c r="AR621" s="251"/>
      <c r="AS621" s="251"/>
    </row>
    <row r="622" spans="1:45" s="44" customFormat="1" x14ac:dyDescent="0.2">
      <c r="A622" s="71"/>
      <c r="B622" s="71"/>
      <c r="C622" s="71"/>
      <c r="D622" s="251"/>
      <c r="E622" s="251"/>
      <c r="F622" s="251"/>
      <c r="G622" s="251"/>
      <c r="H622" s="251"/>
      <c r="I622" s="251"/>
      <c r="J622" s="251"/>
      <c r="K622" s="251"/>
      <c r="L622" s="251"/>
      <c r="M622" s="251"/>
      <c r="N622" s="251"/>
      <c r="O622" s="251"/>
      <c r="P622" s="251"/>
      <c r="Q622" s="251"/>
      <c r="R622" s="251"/>
      <c r="S622" s="251"/>
      <c r="T622" s="251"/>
      <c r="U622" s="251"/>
      <c r="V622" s="251"/>
      <c r="W622" s="251"/>
      <c r="X622" s="251"/>
      <c r="Y622" s="251"/>
      <c r="Z622" s="251"/>
      <c r="AA622" s="251"/>
      <c r="AB622" s="251"/>
      <c r="AC622" s="251"/>
      <c r="AD622" s="251"/>
      <c r="AE622" s="251"/>
      <c r="AF622" s="251"/>
      <c r="AG622" s="251"/>
      <c r="AH622" s="251"/>
      <c r="AI622" s="251"/>
      <c r="AJ622" s="251"/>
      <c r="AK622" s="251"/>
      <c r="AL622" s="251"/>
      <c r="AM622" s="251"/>
      <c r="AN622" s="251"/>
      <c r="AO622" s="251"/>
      <c r="AP622" s="251"/>
      <c r="AQ622" s="251"/>
      <c r="AR622" s="251"/>
      <c r="AS622" s="251"/>
    </row>
    <row r="623" spans="1:45" s="44" customFormat="1" x14ac:dyDescent="0.2">
      <c r="A623" s="71"/>
      <c r="B623" s="71"/>
      <c r="C623" s="71"/>
      <c r="D623" s="251"/>
      <c r="E623" s="251"/>
      <c r="F623" s="251"/>
      <c r="G623" s="251"/>
      <c r="H623" s="251"/>
      <c r="I623" s="251"/>
      <c r="J623" s="251"/>
      <c r="K623" s="251"/>
      <c r="L623" s="251"/>
      <c r="M623" s="251"/>
      <c r="N623" s="251"/>
      <c r="O623" s="251"/>
      <c r="P623" s="251"/>
      <c r="Q623" s="251"/>
      <c r="R623" s="251"/>
      <c r="S623" s="251"/>
      <c r="T623" s="251"/>
      <c r="U623" s="251"/>
      <c r="V623" s="251"/>
      <c r="W623" s="251"/>
      <c r="X623" s="251"/>
      <c r="Y623" s="251"/>
      <c r="Z623" s="251"/>
      <c r="AA623" s="251"/>
      <c r="AB623" s="251"/>
      <c r="AC623" s="251"/>
      <c r="AD623" s="251"/>
      <c r="AE623" s="251"/>
      <c r="AF623" s="251"/>
      <c r="AG623" s="251"/>
      <c r="AH623" s="251"/>
      <c r="AI623" s="251"/>
      <c r="AJ623" s="251"/>
      <c r="AK623" s="251"/>
      <c r="AL623" s="251"/>
      <c r="AM623" s="251"/>
      <c r="AN623" s="251"/>
      <c r="AO623" s="251"/>
      <c r="AP623" s="251"/>
      <c r="AQ623" s="251"/>
      <c r="AR623" s="251"/>
      <c r="AS623" s="251"/>
    </row>
    <row r="624" spans="1:45" s="44" customFormat="1" x14ac:dyDescent="0.2">
      <c r="A624" s="71"/>
      <c r="B624" s="71"/>
      <c r="C624" s="71"/>
      <c r="D624" s="251"/>
      <c r="E624" s="251"/>
      <c r="F624" s="251"/>
      <c r="G624" s="251"/>
      <c r="H624" s="251"/>
      <c r="I624" s="251"/>
      <c r="J624" s="251"/>
      <c r="K624" s="251"/>
      <c r="L624" s="251"/>
      <c r="M624" s="251"/>
      <c r="N624" s="251"/>
      <c r="O624" s="251"/>
      <c r="P624" s="251"/>
      <c r="Q624" s="251"/>
      <c r="R624" s="251"/>
      <c r="S624" s="251"/>
      <c r="T624" s="251"/>
      <c r="U624" s="251"/>
      <c r="V624" s="251"/>
      <c r="W624" s="251"/>
      <c r="X624" s="251"/>
      <c r="Y624" s="251"/>
      <c r="Z624" s="251"/>
      <c r="AA624" s="251"/>
      <c r="AB624" s="251"/>
      <c r="AC624" s="251"/>
      <c r="AD624" s="251"/>
      <c r="AE624" s="251"/>
      <c r="AF624" s="251"/>
      <c r="AG624" s="251"/>
      <c r="AH624" s="251"/>
      <c r="AI624" s="251"/>
      <c r="AJ624" s="251"/>
      <c r="AK624" s="251"/>
      <c r="AL624" s="251"/>
      <c r="AM624" s="251"/>
      <c r="AN624" s="251"/>
      <c r="AO624" s="251"/>
      <c r="AP624" s="251"/>
      <c r="AQ624" s="251"/>
      <c r="AR624" s="251"/>
      <c r="AS624" s="251"/>
    </row>
    <row r="625" spans="1:45" s="44" customFormat="1" x14ac:dyDescent="0.2">
      <c r="A625" s="71"/>
      <c r="B625" s="71"/>
      <c r="C625" s="71"/>
      <c r="D625" s="251"/>
      <c r="E625" s="251"/>
      <c r="F625" s="251"/>
      <c r="G625" s="251"/>
      <c r="H625" s="251"/>
      <c r="I625" s="251"/>
      <c r="J625" s="251"/>
      <c r="K625" s="251"/>
      <c r="L625" s="251"/>
      <c r="M625" s="251"/>
      <c r="N625" s="251"/>
      <c r="O625" s="251"/>
      <c r="P625" s="251"/>
      <c r="Q625" s="251"/>
      <c r="R625" s="251"/>
      <c r="S625" s="251"/>
      <c r="T625" s="251"/>
      <c r="U625" s="251"/>
      <c r="V625" s="251"/>
      <c r="W625" s="251"/>
      <c r="X625" s="251"/>
      <c r="Y625" s="251"/>
      <c r="Z625" s="251"/>
      <c r="AA625" s="251"/>
      <c r="AB625" s="251"/>
      <c r="AC625" s="251"/>
      <c r="AD625" s="251"/>
      <c r="AE625" s="251"/>
      <c r="AF625" s="251"/>
      <c r="AG625" s="251"/>
      <c r="AH625" s="251"/>
      <c r="AI625" s="251"/>
      <c r="AJ625" s="251"/>
      <c r="AK625" s="251"/>
      <c r="AL625" s="251"/>
      <c r="AM625" s="251"/>
      <c r="AN625" s="251"/>
      <c r="AO625" s="251"/>
      <c r="AP625" s="251"/>
      <c r="AQ625" s="251"/>
      <c r="AR625" s="251"/>
      <c r="AS625" s="251"/>
    </row>
    <row r="626" spans="1:45" s="44" customFormat="1" x14ac:dyDescent="0.2">
      <c r="A626" s="71"/>
      <c r="B626" s="71"/>
      <c r="C626" s="71"/>
      <c r="D626" s="251"/>
      <c r="E626" s="251"/>
      <c r="F626" s="251"/>
      <c r="G626" s="251"/>
      <c r="H626" s="251"/>
      <c r="I626" s="251"/>
      <c r="J626" s="251"/>
      <c r="K626" s="251"/>
      <c r="L626" s="251"/>
      <c r="M626" s="251"/>
      <c r="N626" s="251"/>
      <c r="O626" s="251"/>
      <c r="P626" s="251"/>
      <c r="Q626" s="251"/>
      <c r="R626" s="251"/>
      <c r="S626" s="251"/>
      <c r="T626" s="251"/>
      <c r="U626" s="251"/>
      <c r="V626" s="251"/>
      <c r="W626" s="251"/>
      <c r="X626" s="251"/>
      <c r="Y626" s="251"/>
      <c r="Z626" s="251"/>
      <c r="AA626" s="251"/>
      <c r="AB626" s="251"/>
      <c r="AC626" s="251"/>
      <c r="AD626" s="251"/>
      <c r="AE626" s="251"/>
      <c r="AF626" s="251"/>
      <c r="AG626" s="251"/>
      <c r="AH626" s="251"/>
      <c r="AI626" s="251"/>
      <c r="AJ626" s="251"/>
      <c r="AK626" s="251"/>
      <c r="AL626" s="251"/>
      <c r="AM626" s="251"/>
      <c r="AN626" s="251"/>
      <c r="AO626" s="251"/>
      <c r="AP626" s="251"/>
      <c r="AQ626" s="251"/>
      <c r="AR626" s="251"/>
      <c r="AS626" s="251"/>
    </row>
    <row r="627" spans="1:45" s="44" customFormat="1" x14ac:dyDescent="0.2">
      <c r="A627" s="71"/>
      <c r="B627" s="71"/>
      <c r="C627" s="71"/>
      <c r="D627" s="251"/>
      <c r="E627" s="251"/>
      <c r="F627" s="251"/>
      <c r="G627" s="251"/>
      <c r="H627" s="251"/>
      <c r="I627" s="251"/>
      <c r="J627" s="251"/>
      <c r="K627" s="251"/>
      <c r="L627" s="251"/>
      <c r="M627" s="251"/>
      <c r="N627" s="251"/>
      <c r="O627" s="251"/>
      <c r="P627" s="251"/>
      <c r="Q627" s="251"/>
      <c r="R627" s="251"/>
      <c r="S627" s="251"/>
      <c r="T627" s="251"/>
      <c r="U627" s="251"/>
      <c r="V627" s="251"/>
      <c r="W627" s="251"/>
      <c r="X627" s="251"/>
      <c r="Y627" s="251"/>
      <c r="Z627" s="251"/>
      <c r="AA627" s="251"/>
      <c r="AB627" s="251"/>
      <c r="AC627" s="251"/>
      <c r="AD627" s="251"/>
      <c r="AE627" s="251"/>
      <c r="AF627" s="251"/>
      <c r="AG627" s="251"/>
      <c r="AH627" s="251"/>
      <c r="AI627" s="251"/>
      <c r="AJ627" s="251"/>
      <c r="AK627" s="251"/>
      <c r="AL627" s="251"/>
      <c r="AM627" s="251"/>
      <c r="AN627" s="251"/>
      <c r="AO627" s="251"/>
      <c r="AP627" s="251"/>
      <c r="AQ627" s="251"/>
      <c r="AR627" s="251"/>
      <c r="AS627" s="251"/>
    </row>
    <row r="628" spans="1:45" s="44" customFormat="1" x14ac:dyDescent="0.2">
      <c r="A628" s="71"/>
      <c r="B628" s="71"/>
      <c r="C628" s="71"/>
      <c r="D628" s="251"/>
      <c r="E628" s="251"/>
      <c r="F628" s="251"/>
      <c r="G628" s="251"/>
      <c r="H628" s="251"/>
      <c r="I628" s="251"/>
      <c r="J628" s="251"/>
      <c r="K628" s="251"/>
      <c r="L628" s="251"/>
      <c r="M628" s="251"/>
      <c r="N628" s="251"/>
      <c r="O628" s="251"/>
      <c r="P628" s="251"/>
      <c r="Q628" s="251"/>
      <c r="R628" s="251"/>
      <c r="S628" s="251"/>
      <c r="T628" s="251"/>
      <c r="U628" s="251"/>
      <c r="V628" s="251"/>
      <c r="W628" s="251"/>
      <c r="X628" s="251"/>
      <c r="Y628" s="251"/>
      <c r="Z628" s="251"/>
      <c r="AA628" s="251"/>
      <c r="AB628" s="251"/>
      <c r="AC628" s="251"/>
      <c r="AD628" s="251"/>
      <c r="AE628" s="251"/>
      <c r="AF628" s="251"/>
      <c r="AG628" s="251"/>
      <c r="AH628" s="251"/>
      <c r="AI628" s="251"/>
      <c r="AJ628" s="251"/>
      <c r="AK628" s="251"/>
      <c r="AL628" s="251"/>
      <c r="AM628" s="251"/>
      <c r="AN628" s="251"/>
      <c r="AO628" s="251"/>
      <c r="AP628" s="251"/>
      <c r="AQ628" s="251"/>
      <c r="AR628" s="251"/>
      <c r="AS628" s="251"/>
    </row>
    <row r="629" spans="1:45" s="44" customFormat="1" x14ac:dyDescent="0.2">
      <c r="A629" s="71"/>
      <c r="B629" s="71"/>
      <c r="C629" s="71"/>
      <c r="D629" s="251"/>
      <c r="E629" s="251"/>
      <c r="F629" s="251"/>
      <c r="G629" s="251"/>
      <c r="H629" s="251"/>
      <c r="I629" s="251"/>
      <c r="J629" s="251"/>
      <c r="K629" s="251"/>
      <c r="L629" s="251"/>
      <c r="M629" s="251"/>
      <c r="N629" s="251"/>
      <c r="O629" s="251"/>
      <c r="P629" s="251"/>
      <c r="Q629" s="251"/>
      <c r="R629" s="251"/>
      <c r="S629" s="251"/>
      <c r="T629" s="251"/>
      <c r="U629" s="251"/>
      <c r="V629" s="251"/>
      <c r="W629" s="251"/>
      <c r="X629" s="251"/>
      <c r="Y629" s="251"/>
      <c r="Z629" s="251"/>
      <c r="AA629" s="251"/>
      <c r="AB629" s="251"/>
      <c r="AC629" s="251"/>
      <c r="AD629" s="251"/>
      <c r="AE629" s="251"/>
      <c r="AF629" s="251"/>
      <c r="AG629" s="251"/>
      <c r="AH629" s="251"/>
      <c r="AI629" s="251"/>
      <c r="AJ629" s="251"/>
      <c r="AK629" s="251"/>
      <c r="AL629" s="251"/>
      <c r="AM629" s="251"/>
      <c r="AN629" s="251"/>
      <c r="AO629" s="251"/>
      <c r="AP629" s="251"/>
      <c r="AQ629" s="251"/>
      <c r="AR629" s="251"/>
      <c r="AS629" s="251"/>
    </row>
    <row r="630" spans="1:45" s="44" customFormat="1" x14ac:dyDescent="0.2">
      <c r="A630" s="71"/>
      <c r="B630" s="71"/>
      <c r="C630" s="71"/>
      <c r="D630" s="251"/>
      <c r="E630" s="251"/>
      <c r="F630" s="251"/>
      <c r="G630" s="251"/>
      <c r="H630" s="251"/>
      <c r="I630" s="251"/>
      <c r="J630" s="251"/>
      <c r="K630" s="251"/>
      <c r="L630" s="251"/>
      <c r="M630" s="251"/>
      <c r="N630" s="251"/>
      <c r="O630" s="251"/>
      <c r="P630" s="251"/>
      <c r="Q630" s="251"/>
      <c r="R630" s="251"/>
      <c r="S630" s="251"/>
      <c r="T630" s="251"/>
      <c r="U630" s="251"/>
      <c r="V630" s="251"/>
      <c r="W630" s="251"/>
      <c r="X630" s="251"/>
      <c r="Y630" s="251"/>
      <c r="Z630" s="251"/>
      <c r="AA630" s="251"/>
      <c r="AB630" s="251"/>
      <c r="AC630" s="251"/>
      <c r="AD630" s="251"/>
      <c r="AE630" s="251"/>
      <c r="AF630" s="251"/>
      <c r="AG630" s="251"/>
      <c r="AH630" s="251"/>
      <c r="AI630" s="251"/>
      <c r="AJ630" s="251"/>
      <c r="AK630" s="251"/>
      <c r="AL630" s="251"/>
      <c r="AM630" s="251"/>
      <c r="AN630" s="251"/>
      <c r="AO630" s="251"/>
      <c r="AP630" s="251"/>
      <c r="AQ630" s="251"/>
      <c r="AR630" s="251"/>
      <c r="AS630" s="251"/>
    </row>
    <row r="631" spans="1:45" s="44" customFormat="1" x14ac:dyDescent="0.2">
      <c r="A631" s="71"/>
      <c r="B631" s="71"/>
      <c r="C631" s="71"/>
      <c r="D631" s="251"/>
      <c r="E631" s="251"/>
      <c r="F631" s="251"/>
      <c r="G631" s="251"/>
      <c r="H631" s="251"/>
      <c r="I631" s="251"/>
      <c r="J631" s="251"/>
      <c r="K631" s="251"/>
      <c r="L631" s="251"/>
      <c r="M631" s="251"/>
      <c r="N631" s="251"/>
      <c r="O631" s="251"/>
      <c r="P631" s="251"/>
      <c r="Q631" s="251"/>
      <c r="R631" s="251"/>
      <c r="S631" s="251"/>
      <c r="T631" s="251"/>
      <c r="U631" s="251"/>
      <c r="V631" s="251"/>
      <c r="W631" s="251"/>
      <c r="X631" s="251"/>
      <c r="Y631" s="251"/>
      <c r="Z631" s="251"/>
      <c r="AA631" s="251"/>
      <c r="AB631" s="251"/>
      <c r="AC631" s="251"/>
      <c r="AD631" s="251"/>
      <c r="AE631" s="251"/>
      <c r="AF631" s="251"/>
      <c r="AG631" s="251"/>
      <c r="AH631" s="251"/>
      <c r="AI631" s="251"/>
      <c r="AJ631" s="251"/>
      <c r="AK631" s="251"/>
      <c r="AL631" s="251"/>
      <c r="AM631" s="251"/>
      <c r="AN631" s="251"/>
      <c r="AO631" s="251"/>
      <c r="AP631" s="251"/>
      <c r="AQ631" s="251"/>
      <c r="AR631" s="251"/>
      <c r="AS631" s="251"/>
    </row>
    <row r="632" spans="1:45" s="44" customFormat="1" x14ac:dyDescent="0.2">
      <c r="A632" s="71"/>
      <c r="B632" s="71"/>
      <c r="C632" s="71"/>
      <c r="D632" s="251"/>
      <c r="E632" s="251"/>
      <c r="F632" s="251"/>
      <c r="G632" s="251"/>
      <c r="H632" s="251"/>
      <c r="I632" s="251"/>
      <c r="J632" s="251"/>
      <c r="K632" s="251"/>
      <c r="L632" s="251"/>
      <c r="M632" s="251"/>
      <c r="N632" s="251"/>
      <c r="O632" s="251"/>
      <c r="P632" s="251"/>
      <c r="Q632" s="251"/>
      <c r="R632" s="251"/>
      <c r="S632" s="251"/>
      <c r="T632" s="251"/>
      <c r="U632" s="251"/>
      <c r="V632" s="251"/>
      <c r="W632" s="251"/>
      <c r="X632" s="251"/>
      <c r="Y632" s="251"/>
      <c r="Z632" s="251"/>
      <c r="AA632" s="251"/>
      <c r="AB632" s="251"/>
      <c r="AC632" s="251"/>
      <c r="AD632" s="251"/>
      <c r="AE632" s="251"/>
      <c r="AF632" s="251"/>
      <c r="AG632" s="251"/>
      <c r="AH632" s="251"/>
      <c r="AI632" s="251"/>
      <c r="AJ632" s="251"/>
      <c r="AK632" s="251"/>
      <c r="AL632" s="251"/>
      <c r="AM632" s="251"/>
      <c r="AN632" s="251"/>
      <c r="AO632" s="251"/>
      <c r="AP632" s="251"/>
      <c r="AQ632" s="251"/>
      <c r="AR632" s="251"/>
      <c r="AS632" s="251"/>
    </row>
    <row r="633" spans="1:45" s="44" customFormat="1" x14ac:dyDescent="0.2">
      <c r="A633" s="71"/>
      <c r="B633" s="71"/>
      <c r="C633" s="71"/>
      <c r="D633" s="251"/>
      <c r="E633" s="251"/>
      <c r="F633" s="251"/>
      <c r="G633" s="251"/>
      <c r="H633" s="251"/>
      <c r="I633" s="251"/>
      <c r="J633" s="251"/>
      <c r="K633" s="251"/>
      <c r="L633" s="251"/>
      <c r="M633" s="251"/>
      <c r="N633" s="251"/>
      <c r="O633" s="251"/>
      <c r="P633" s="251"/>
      <c r="Q633" s="251"/>
      <c r="R633" s="251"/>
      <c r="S633" s="251"/>
      <c r="T633" s="251"/>
      <c r="U633" s="251"/>
      <c r="V633" s="251"/>
      <c r="W633" s="251"/>
      <c r="X633" s="251"/>
      <c r="Y633" s="251"/>
      <c r="Z633" s="251"/>
      <c r="AA633" s="251"/>
      <c r="AB633" s="251"/>
      <c r="AC633" s="251"/>
      <c r="AD633" s="251"/>
      <c r="AE633" s="251"/>
      <c r="AF633" s="251"/>
      <c r="AG633" s="251"/>
      <c r="AH633" s="251"/>
      <c r="AI633" s="251"/>
      <c r="AJ633" s="251"/>
      <c r="AK633" s="251"/>
      <c r="AL633" s="251"/>
      <c r="AM633" s="251"/>
      <c r="AN633" s="251"/>
      <c r="AO633" s="251"/>
      <c r="AP633" s="251"/>
      <c r="AQ633" s="251"/>
      <c r="AR633" s="251"/>
      <c r="AS633" s="251"/>
    </row>
    <row r="634" spans="1:45" s="44" customFormat="1" x14ac:dyDescent="0.2">
      <c r="A634" s="71"/>
      <c r="B634" s="71"/>
      <c r="C634" s="71"/>
      <c r="D634" s="251"/>
      <c r="E634" s="251"/>
      <c r="F634" s="251"/>
      <c r="G634" s="251"/>
      <c r="H634" s="251"/>
      <c r="I634" s="251"/>
      <c r="J634" s="251"/>
      <c r="K634" s="251"/>
      <c r="L634" s="251"/>
      <c r="M634" s="251"/>
      <c r="N634" s="251"/>
      <c r="O634" s="251"/>
      <c r="P634" s="251"/>
      <c r="Q634" s="251"/>
      <c r="R634" s="251"/>
      <c r="S634" s="251"/>
      <c r="T634" s="251"/>
      <c r="U634" s="251"/>
      <c r="V634" s="251"/>
      <c r="W634" s="251"/>
      <c r="X634" s="251"/>
      <c r="Y634" s="251"/>
      <c r="Z634" s="251"/>
      <c r="AA634" s="251"/>
      <c r="AB634" s="251"/>
      <c r="AC634" s="251"/>
      <c r="AD634" s="251"/>
      <c r="AE634" s="251"/>
      <c r="AF634" s="251"/>
      <c r="AG634" s="251"/>
      <c r="AH634" s="251"/>
      <c r="AI634" s="251"/>
      <c r="AJ634" s="251"/>
      <c r="AK634" s="251"/>
      <c r="AL634" s="251"/>
      <c r="AM634" s="251"/>
      <c r="AN634" s="251"/>
      <c r="AO634" s="251"/>
      <c r="AP634" s="251"/>
      <c r="AQ634" s="251"/>
      <c r="AR634" s="251"/>
      <c r="AS634" s="251"/>
    </row>
    <row r="635" spans="1:45" s="44" customFormat="1" x14ac:dyDescent="0.2">
      <c r="A635" s="71"/>
      <c r="B635" s="71"/>
      <c r="C635" s="71"/>
      <c r="D635" s="251"/>
      <c r="E635" s="251"/>
      <c r="F635" s="251"/>
      <c r="G635" s="251"/>
      <c r="H635" s="251"/>
      <c r="I635" s="251"/>
      <c r="J635" s="251"/>
      <c r="K635" s="251"/>
      <c r="L635" s="251"/>
      <c r="M635" s="251"/>
      <c r="N635" s="251"/>
      <c r="O635" s="251"/>
      <c r="P635" s="251"/>
      <c r="Q635" s="251"/>
      <c r="R635" s="251"/>
      <c r="S635" s="251"/>
      <c r="T635" s="251"/>
      <c r="U635" s="251"/>
      <c r="V635" s="251"/>
      <c r="W635" s="251"/>
      <c r="X635" s="251"/>
      <c r="Y635" s="251"/>
      <c r="Z635" s="251"/>
      <c r="AA635" s="251"/>
      <c r="AB635" s="251"/>
      <c r="AC635" s="251"/>
      <c r="AD635" s="251"/>
      <c r="AE635" s="251"/>
      <c r="AF635" s="251"/>
      <c r="AG635" s="251"/>
      <c r="AH635" s="251"/>
      <c r="AI635" s="251"/>
      <c r="AJ635" s="251"/>
      <c r="AK635" s="251"/>
      <c r="AL635" s="251"/>
      <c r="AM635" s="251"/>
      <c r="AN635" s="251"/>
      <c r="AO635" s="251"/>
      <c r="AP635" s="251"/>
      <c r="AQ635" s="251"/>
      <c r="AR635" s="251"/>
      <c r="AS635" s="251"/>
    </row>
    <row r="636" spans="1:45" s="44" customFormat="1" x14ac:dyDescent="0.2">
      <c r="A636" s="71"/>
      <c r="B636" s="71"/>
      <c r="C636" s="71"/>
      <c r="D636" s="251"/>
      <c r="E636" s="251"/>
      <c r="F636" s="251"/>
      <c r="G636" s="251"/>
      <c r="H636" s="251"/>
      <c r="I636" s="251"/>
      <c r="J636" s="251"/>
      <c r="K636" s="251"/>
      <c r="L636" s="251"/>
      <c r="M636" s="251"/>
      <c r="N636" s="251"/>
      <c r="O636" s="251"/>
      <c r="P636" s="251"/>
      <c r="Q636" s="251"/>
      <c r="R636" s="251"/>
      <c r="S636" s="251"/>
      <c r="T636" s="251"/>
      <c r="U636" s="251"/>
      <c r="V636" s="251"/>
      <c r="W636" s="251"/>
      <c r="X636" s="251"/>
      <c r="Y636" s="251"/>
      <c r="Z636" s="251"/>
      <c r="AA636" s="251"/>
      <c r="AB636" s="251"/>
      <c r="AC636" s="251"/>
      <c r="AD636" s="251"/>
      <c r="AE636" s="251"/>
      <c r="AF636" s="251"/>
      <c r="AG636" s="251"/>
      <c r="AH636" s="251"/>
      <c r="AI636" s="251"/>
      <c r="AJ636" s="251"/>
      <c r="AK636" s="251"/>
      <c r="AL636" s="251"/>
      <c r="AM636" s="251"/>
      <c r="AN636" s="251"/>
      <c r="AO636" s="251"/>
      <c r="AP636" s="251"/>
      <c r="AQ636" s="251"/>
      <c r="AR636" s="251"/>
      <c r="AS636" s="251"/>
    </row>
    <row r="637" spans="1:45" s="44" customFormat="1" x14ac:dyDescent="0.2">
      <c r="A637" s="71"/>
      <c r="B637" s="71"/>
      <c r="C637" s="71"/>
      <c r="D637" s="251"/>
      <c r="E637" s="251"/>
      <c r="F637" s="251"/>
      <c r="G637" s="251"/>
      <c r="H637" s="251"/>
      <c r="I637" s="251"/>
      <c r="J637" s="251"/>
      <c r="K637" s="251"/>
      <c r="L637" s="251"/>
      <c r="M637" s="251"/>
      <c r="N637" s="251"/>
      <c r="O637" s="251"/>
      <c r="P637" s="251"/>
      <c r="Q637" s="251"/>
      <c r="R637" s="251"/>
      <c r="S637" s="251"/>
      <c r="T637" s="251"/>
      <c r="U637" s="251"/>
      <c r="V637" s="251"/>
      <c r="W637" s="251"/>
      <c r="X637" s="251"/>
      <c r="Y637" s="251"/>
      <c r="Z637" s="251"/>
      <c r="AA637" s="251"/>
      <c r="AB637" s="251"/>
      <c r="AC637" s="251"/>
      <c r="AD637" s="251"/>
      <c r="AE637" s="251"/>
      <c r="AF637" s="251"/>
      <c r="AG637" s="251"/>
      <c r="AH637" s="251"/>
      <c r="AI637" s="251"/>
      <c r="AJ637" s="251"/>
      <c r="AK637" s="251"/>
      <c r="AL637" s="251"/>
      <c r="AM637" s="251"/>
      <c r="AN637" s="251"/>
      <c r="AO637" s="251"/>
      <c r="AP637" s="251"/>
      <c r="AQ637" s="251"/>
      <c r="AR637" s="251"/>
      <c r="AS637" s="251"/>
    </row>
    <row r="638" spans="1:45" s="44" customFormat="1" x14ac:dyDescent="0.2">
      <c r="A638" s="71"/>
      <c r="B638" s="71"/>
      <c r="C638" s="71"/>
      <c r="D638" s="251"/>
      <c r="E638" s="251"/>
      <c r="F638" s="251"/>
      <c r="G638" s="251"/>
      <c r="H638" s="251"/>
      <c r="I638" s="251"/>
      <c r="J638" s="251"/>
      <c r="K638" s="251"/>
      <c r="L638" s="251"/>
      <c r="M638" s="251"/>
      <c r="N638" s="251"/>
      <c r="O638" s="251"/>
      <c r="P638" s="251"/>
      <c r="Q638" s="251"/>
      <c r="R638" s="251"/>
      <c r="S638" s="251"/>
      <c r="T638" s="251"/>
      <c r="U638" s="251"/>
      <c r="V638" s="251"/>
      <c r="W638" s="251"/>
      <c r="X638" s="251"/>
      <c r="Y638" s="251"/>
      <c r="Z638" s="251"/>
      <c r="AA638" s="251"/>
      <c r="AB638" s="251"/>
      <c r="AC638" s="251"/>
      <c r="AD638" s="251"/>
      <c r="AE638" s="251"/>
      <c r="AF638" s="251"/>
      <c r="AG638" s="251"/>
      <c r="AH638" s="251"/>
      <c r="AI638" s="251"/>
      <c r="AJ638" s="251"/>
      <c r="AK638" s="251"/>
      <c r="AL638" s="251"/>
      <c r="AM638" s="251"/>
      <c r="AN638" s="251"/>
      <c r="AO638" s="251"/>
      <c r="AP638" s="251"/>
      <c r="AQ638" s="251"/>
      <c r="AR638" s="251"/>
      <c r="AS638" s="251"/>
    </row>
    <row r="639" spans="1:45" s="44" customFormat="1" x14ac:dyDescent="0.2">
      <c r="A639" s="71"/>
      <c r="B639" s="71"/>
      <c r="C639" s="71"/>
      <c r="D639" s="251"/>
      <c r="E639" s="251"/>
      <c r="F639" s="251"/>
      <c r="G639" s="251"/>
      <c r="H639" s="251"/>
      <c r="I639" s="251"/>
      <c r="J639" s="251"/>
      <c r="K639" s="251"/>
      <c r="L639" s="251"/>
      <c r="M639" s="251"/>
      <c r="N639" s="251"/>
      <c r="O639" s="251"/>
      <c r="P639" s="251"/>
      <c r="Q639" s="251"/>
      <c r="R639" s="251"/>
      <c r="S639" s="251"/>
      <c r="T639" s="251"/>
      <c r="U639" s="251"/>
      <c r="V639" s="251"/>
      <c r="W639" s="251"/>
      <c r="X639" s="251"/>
      <c r="Y639" s="251"/>
      <c r="Z639" s="251"/>
      <c r="AA639" s="251"/>
      <c r="AB639" s="251"/>
      <c r="AC639" s="251"/>
      <c r="AD639" s="251"/>
      <c r="AE639" s="251"/>
      <c r="AF639" s="251"/>
      <c r="AG639" s="251"/>
      <c r="AH639" s="251"/>
      <c r="AI639" s="251"/>
      <c r="AJ639" s="251"/>
      <c r="AK639" s="251"/>
      <c r="AL639" s="251"/>
      <c r="AM639" s="251"/>
      <c r="AN639" s="251"/>
      <c r="AO639" s="251"/>
      <c r="AP639" s="251"/>
      <c r="AQ639" s="251"/>
      <c r="AR639" s="251"/>
      <c r="AS639" s="251"/>
    </row>
    <row r="640" spans="1:45" s="44" customFormat="1" x14ac:dyDescent="0.2">
      <c r="A640" s="71"/>
      <c r="B640" s="71"/>
      <c r="C640" s="71"/>
      <c r="D640" s="251"/>
      <c r="E640" s="251"/>
      <c r="F640" s="251"/>
      <c r="G640" s="251"/>
      <c r="H640" s="251"/>
      <c r="I640" s="251"/>
      <c r="J640" s="251"/>
      <c r="K640" s="251"/>
      <c r="L640" s="251"/>
      <c r="M640" s="251"/>
      <c r="N640" s="251"/>
      <c r="O640" s="251"/>
      <c r="P640" s="251"/>
      <c r="Q640" s="251"/>
      <c r="R640" s="251"/>
      <c r="S640" s="251"/>
      <c r="T640" s="251"/>
      <c r="U640" s="251"/>
      <c r="V640" s="251"/>
      <c r="W640" s="251"/>
      <c r="X640" s="251"/>
      <c r="Y640" s="251"/>
      <c r="Z640" s="251"/>
      <c r="AA640" s="251"/>
      <c r="AB640" s="251"/>
      <c r="AC640" s="251"/>
      <c r="AD640" s="251"/>
      <c r="AE640" s="251"/>
      <c r="AF640" s="251"/>
      <c r="AG640" s="251"/>
      <c r="AH640" s="251"/>
      <c r="AI640" s="251"/>
      <c r="AJ640" s="251"/>
      <c r="AK640" s="251"/>
      <c r="AL640" s="251"/>
      <c r="AM640" s="251"/>
      <c r="AN640" s="251"/>
      <c r="AO640" s="251"/>
      <c r="AP640" s="251"/>
      <c r="AQ640" s="251"/>
      <c r="AR640" s="251"/>
      <c r="AS640" s="251"/>
    </row>
    <row r="641" spans="1:45" s="44" customFormat="1" x14ac:dyDescent="0.2">
      <c r="A641" s="71"/>
      <c r="B641" s="71"/>
      <c r="C641" s="71"/>
      <c r="D641" s="251"/>
      <c r="E641" s="251"/>
      <c r="F641" s="251"/>
      <c r="G641" s="251"/>
      <c r="H641" s="251"/>
      <c r="I641" s="251"/>
      <c r="J641" s="251"/>
      <c r="K641" s="251"/>
      <c r="L641" s="251"/>
      <c r="M641" s="251"/>
      <c r="N641" s="251"/>
      <c r="O641" s="251"/>
      <c r="P641" s="251"/>
      <c r="Q641" s="251"/>
      <c r="R641" s="251"/>
      <c r="S641" s="251"/>
      <c r="T641" s="251"/>
      <c r="U641" s="251"/>
      <c r="V641" s="251"/>
      <c r="W641" s="251"/>
      <c r="X641" s="251"/>
      <c r="Y641" s="251"/>
      <c r="Z641" s="251"/>
      <c r="AA641" s="251"/>
      <c r="AB641" s="251"/>
      <c r="AC641" s="251"/>
      <c r="AD641" s="251"/>
      <c r="AE641" s="251"/>
      <c r="AF641" s="251"/>
      <c r="AG641" s="251"/>
      <c r="AH641" s="251"/>
      <c r="AI641" s="251"/>
      <c r="AJ641" s="251"/>
      <c r="AK641" s="251"/>
      <c r="AL641" s="251"/>
      <c r="AM641" s="251"/>
      <c r="AN641" s="251"/>
      <c r="AO641" s="251"/>
      <c r="AP641" s="251"/>
      <c r="AQ641" s="251"/>
      <c r="AR641" s="251"/>
      <c r="AS641" s="251"/>
    </row>
    <row r="642" spans="1:45" s="44" customFormat="1" x14ac:dyDescent="0.2">
      <c r="A642" s="71"/>
      <c r="B642" s="71"/>
      <c r="C642" s="71"/>
      <c r="D642" s="251"/>
      <c r="E642" s="251"/>
      <c r="F642" s="251"/>
      <c r="G642" s="251"/>
      <c r="H642" s="251"/>
      <c r="I642" s="251"/>
      <c r="J642" s="251"/>
      <c r="K642" s="251"/>
      <c r="L642" s="251"/>
      <c r="M642" s="251"/>
      <c r="N642" s="251"/>
      <c r="O642" s="251"/>
      <c r="P642" s="251"/>
      <c r="Q642" s="251"/>
      <c r="R642" s="251"/>
      <c r="S642" s="251"/>
      <c r="T642" s="251"/>
      <c r="U642" s="251"/>
      <c r="V642" s="251"/>
      <c r="W642" s="251"/>
      <c r="X642" s="251"/>
      <c r="Y642" s="251"/>
      <c r="Z642" s="251"/>
      <c r="AA642" s="251"/>
      <c r="AB642" s="251"/>
      <c r="AC642" s="251"/>
      <c r="AD642" s="251"/>
      <c r="AE642" s="251"/>
      <c r="AF642" s="251"/>
      <c r="AG642" s="251"/>
      <c r="AH642" s="251"/>
      <c r="AI642" s="251"/>
      <c r="AJ642" s="251"/>
      <c r="AK642" s="251"/>
      <c r="AL642" s="251"/>
      <c r="AM642" s="251"/>
      <c r="AN642" s="251"/>
      <c r="AO642" s="251"/>
      <c r="AP642" s="251"/>
      <c r="AQ642" s="251"/>
      <c r="AR642" s="251"/>
      <c r="AS642" s="251"/>
    </row>
    <row r="643" spans="1:45" s="44" customFormat="1" x14ac:dyDescent="0.2">
      <c r="A643" s="71"/>
      <c r="B643" s="71"/>
      <c r="C643" s="71"/>
      <c r="D643" s="251"/>
      <c r="E643" s="251"/>
      <c r="F643" s="251"/>
      <c r="G643" s="251"/>
      <c r="H643" s="251"/>
      <c r="I643" s="251"/>
      <c r="J643" s="251"/>
      <c r="K643" s="251"/>
      <c r="L643" s="251"/>
      <c r="M643" s="251"/>
      <c r="N643" s="251"/>
      <c r="O643" s="251"/>
      <c r="P643" s="251"/>
      <c r="Q643" s="251"/>
      <c r="R643" s="251"/>
      <c r="S643" s="251"/>
      <c r="T643" s="251"/>
      <c r="U643" s="251"/>
      <c r="V643" s="251"/>
      <c r="W643" s="251"/>
      <c r="X643" s="251"/>
      <c r="Y643" s="251"/>
      <c r="Z643" s="251"/>
      <c r="AA643" s="251"/>
      <c r="AB643" s="251"/>
      <c r="AC643" s="251"/>
      <c r="AD643" s="251"/>
      <c r="AE643" s="251"/>
      <c r="AF643" s="251"/>
      <c r="AG643" s="251"/>
      <c r="AH643" s="251"/>
      <c r="AI643" s="251"/>
      <c r="AJ643" s="251"/>
      <c r="AK643" s="251"/>
      <c r="AL643" s="251"/>
      <c r="AM643" s="251"/>
      <c r="AN643" s="251"/>
      <c r="AO643" s="251"/>
      <c r="AP643" s="251"/>
      <c r="AQ643" s="251"/>
      <c r="AR643" s="251"/>
      <c r="AS643" s="251"/>
    </row>
    <row r="644" spans="1:45" s="44" customFormat="1" x14ac:dyDescent="0.2">
      <c r="A644" s="71"/>
      <c r="B644" s="71"/>
      <c r="C644" s="71"/>
      <c r="D644" s="251"/>
      <c r="E644" s="251"/>
      <c r="F644" s="251"/>
      <c r="G644" s="251"/>
      <c r="H644" s="251"/>
      <c r="I644" s="251"/>
      <c r="J644" s="251"/>
      <c r="K644" s="251"/>
      <c r="L644" s="251"/>
      <c r="M644" s="251"/>
      <c r="N644" s="251"/>
      <c r="O644" s="251"/>
      <c r="P644" s="251"/>
      <c r="Q644" s="251"/>
      <c r="R644" s="251"/>
      <c r="S644" s="251"/>
      <c r="T644" s="251"/>
      <c r="U644" s="251"/>
      <c r="V644" s="251"/>
      <c r="W644" s="251"/>
      <c r="X644" s="251"/>
      <c r="Y644" s="251"/>
      <c r="Z644" s="251"/>
      <c r="AA644" s="251"/>
      <c r="AB644" s="251"/>
      <c r="AC644" s="251"/>
      <c r="AD644" s="251"/>
      <c r="AE644" s="251"/>
      <c r="AF644" s="251"/>
      <c r="AG644" s="251"/>
      <c r="AH644" s="251"/>
      <c r="AI644" s="251"/>
      <c r="AJ644" s="251"/>
      <c r="AK644" s="251"/>
      <c r="AL644" s="251"/>
      <c r="AM644" s="251"/>
      <c r="AN644" s="251"/>
      <c r="AO644" s="251"/>
      <c r="AP644" s="251"/>
      <c r="AQ644" s="251"/>
      <c r="AR644" s="251"/>
      <c r="AS644" s="251"/>
    </row>
    <row r="645" spans="1:45" s="44" customFormat="1" x14ac:dyDescent="0.2">
      <c r="A645" s="71"/>
      <c r="B645" s="71"/>
      <c r="C645" s="71"/>
      <c r="D645" s="251"/>
      <c r="E645" s="251"/>
      <c r="F645" s="251"/>
      <c r="G645" s="251"/>
      <c r="H645" s="251"/>
      <c r="I645" s="251"/>
      <c r="J645" s="251"/>
      <c r="K645" s="251"/>
      <c r="L645" s="251"/>
      <c r="M645" s="251"/>
      <c r="N645" s="251"/>
      <c r="O645" s="251"/>
      <c r="P645" s="251"/>
      <c r="Q645" s="251"/>
      <c r="R645" s="251"/>
      <c r="S645" s="251"/>
      <c r="T645" s="251"/>
      <c r="U645" s="251"/>
      <c r="V645" s="251"/>
      <c r="W645" s="251"/>
      <c r="X645" s="251"/>
      <c r="Y645" s="251"/>
      <c r="Z645" s="251"/>
      <c r="AA645" s="251"/>
      <c r="AB645" s="251"/>
      <c r="AC645" s="251"/>
      <c r="AD645" s="251"/>
      <c r="AE645" s="251"/>
      <c r="AF645" s="251"/>
      <c r="AG645" s="251"/>
      <c r="AH645" s="251"/>
      <c r="AI645" s="251"/>
      <c r="AJ645" s="251"/>
      <c r="AK645" s="251"/>
      <c r="AL645" s="251"/>
      <c r="AM645" s="251"/>
      <c r="AN645" s="251"/>
      <c r="AO645" s="251"/>
      <c r="AP645" s="251"/>
      <c r="AQ645" s="251"/>
      <c r="AR645" s="251"/>
      <c r="AS645" s="251"/>
    </row>
    <row r="646" spans="1:45" s="44" customFormat="1" x14ac:dyDescent="0.2">
      <c r="A646" s="71"/>
      <c r="B646" s="71"/>
      <c r="C646" s="71"/>
      <c r="D646" s="251"/>
      <c r="E646" s="251"/>
      <c r="F646" s="251"/>
      <c r="G646" s="251"/>
      <c r="H646" s="251"/>
      <c r="I646" s="251"/>
      <c r="J646" s="251"/>
      <c r="K646" s="251"/>
      <c r="L646" s="251"/>
      <c r="M646" s="251"/>
      <c r="N646" s="251"/>
      <c r="O646" s="251"/>
      <c r="P646" s="251"/>
      <c r="Q646" s="251"/>
      <c r="R646" s="251"/>
      <c r="S646" s="251"/>
      <c r="T646" s="251"/>
      <c r="U646" s="251"/>
      <c r="V646" s="251"/>
      <c r="W646" s="251"/>
      <c r="X646" s="251"/>
      <c r="Y646" s="251"/>
      <c r="Z646" s="251"/>
      <c r="AA646" s="251"/>
      <c r="AB646" s="251"/>
      <c r="AC646" s="251"/>
      <c r="AD646" s="251"/>
      <c r="AE646" s="251"/>
      <c r="AF646" s="251"/>
      <c r="AG646" s="251"/>
      <c r="AH646" s="251"/>
      <c r="AI646" s="251"/>
      <c r="AJ646" s="251"/>
      <c r="AK646" s="251"/>
      <c r="AL646" s="251"/>
      <c r="AM646" s="251"/>
      <c r="AN646" s="251"/>
      <c r="AO646" s="251"/>
      <c r="AP646" s="251"/>
      <c r="AQ646" s="251"/>
      <c r="AR646" s="251"/>
      <c r="AS646" s="251"/>
    </row>
    <row r="647" spans="1:45" s="44" customFormat="1" x14ac:dyDescent="0.2">
      <c r="A647" s="71"/>
      <c r="B647" s="71"/>
      <c r="C647" s="71"/>
      <c r="D647" s="251"/>
      <c r="E647" s="251"/>
      <c r="F647" s="251"/>
      <c r="G647" s="251"/>
      <c r="H647" s="251"/>
      <c r="I647" s="251"/>
      <c r="J647" s="251"/>
      <c r="K647" s="251"/>
      <c r="L647" s="251"/>
      <c r="M647" s="251"/>
      <c r="N647" s="251"/>
      <c r="O647" s="251"/>
      <c r="P647" s="251"/>
      <c r="Q647" s="251"/>
      <c r="R647" s="251"/>
      <c r="S647" s="251"/>
      <c r="T647" s="251"/>
      <c r="U647" s="251"/>
      <c r="V647" s="251"/>
      <c r="W647" s="251"/>
      <c r="X647" s="251"/>
      <c r="Y647" s="251"/>
      <c r="Z647" s="251"/>
      <c r="AA647" s="251"/>
      <c r="AB647" s="251"/>
      <c r="AC647" s="251"/>
      <c r="AD647" s="251"/>
      <c r="AE647" s="251"/>
      <c r="AF647" s="251"/>
      <c r="AG647" s="251"/>
      <c r="AH647" s="251"/>
      <c r="AI647" s="251"/>
      <c r="AJ647" s="251"/>
      <c r="AK647" s="251"/>
      <c r="AL647" s="251"/>
      <c r="AM647" s="251"/>
      <c r="AN647" s="251"/>
      <c r="AO647" s="251"/>
      <c r="AP647" s="251"/>
      <c r="AQ647" s="251"/>
      <c r="AR647" s="251"/>
      <c r="AS647" s="251"/>
    </row>
    <row r="648" spans="1:45" s="44" customFormat="1" x14ac:dyDescent="0.2">
      <c r="A648" s="71"/>
      <c r="B648" s="71"/>
      <c r="C648" s="71"/>
      <c r="D648" s="251"/>
      <c r="E648" s="251"/>
      <c r="F648" s="251"/>
      <c r="G648" s="251"/>
      <c r="H648" s="251"/>
      <c r="I648" s="251"/>
      <c r="J648" s="251"/>
      <c r="K648" s="251"/>
      <c r="L648" s="251"/>
      <c r="M648" s="251"/>
      <c r="N648" s="251"/>
      <c r="O648" s="251"/>
      <c r="P648" s="251"/>
      <c r="Q648" s="251"/>
      <c r="R648" s="251"/>
      <c r="S648" s="251"/>
      <c r="T648" s="251"/>
      <c r="U648" s="251"/>
      <c r="V648" s="251"/>
      <c r="W648" s="251"/>
      <c r="X648" s="251"/>
      <c r="Y648" s="251"/>
      <c r="Z648" s="251"/>
      <c r="AA648" s="251"/>
      <c r="AB648" s="251"/>
      <c r="AC648" s="251"/>
      <c r="AD648" s="251"/>
      <c r="AE648" s="251"/>
      <c r="AF648" s="251"/>
      <c r="AG648" s="251"/>
      <c r="AH648" s="251"/>
      <c r="AI648" s="251"/>
      <c r="AJ648" s="251"/>
      <c r="AK648" s="251"/>
      <c r="AL648" s="251"/>
      <c r="AM648" s="251"/>
      <c r="AN648" s="251"/>
      <c r="AO648" s="251"/>
      <c r="AP648" s="251"/>
      <c r="AQ648" s="251"/>
      <c r="AR648" s="251"/>
      <c r="AS648" s="251"/>
    </row>
    <row r="649" spans="1:45" s="44" customFormat="1" x14ac:dyDescent="0.2">
      <c r="A649" s="71"/>
      <c r="B649" s="71"/>
      <c r="C649" s="71"/>
      <c r="D649" s="251"/>
      <c r="E649" s="251"/>
      <c r="F649" s="251"/>
      <c r="G649" s="251"/>
      <c r="H649" s="251"/>
      <c r="I649" s="251"/>
      <c r="J649" s="251"/>
      <c r="K649" s="251"/>
      <c r="L649" s="251"/>
      <c r="M649" s="251"/>
      <c r="N649" s="251"/>
      <c r="O649" s="251"/>
      <c r="P649" s="251"/>
      <c r="Q649" s="251"/>
      <c r="R649" s="251"/>
      <c r="S649" s="251"/>
      <c r="T649" s="251"/>
      <c r="U649" s="251"/>
      <c r="V649" s="251"/>
      <c r="W649" s="251"/>
      <c r="X649" s="251"/>
      <c r="Y649" s="251"/>
      <c r="Z649" s="251"/>
      <c r="AA649" s="251"/>
      <c r="AB649" s="251"/>
      <c r="AC649" s="251"/>
      <c r="AD649" s="251"/>
      <c r="AE649" s="251"/>
      <c r="AF649" s="251"/>
      <c r="AG649" s="251"/>
      <c r="AH649" s="251"/>
      <c r="AI649" s="251"/>
      <c r="AJ649" s="251"/>
      <c r="AK649" s="251"/>
      <c r="AL649" s="251"/>
      <c r="AM649" s="251"/>
      <c r="AN649" s="251"/>
      <c r="AO649" s="251"/>
      <c r="AP649" s="251"/>
      <c r="AQ649" s="251"/>
      <c r="AR649" s="251"/>
      <c r="AS649" s="251"/>
    </row>
    <row r="650" spans="1:45" s="44" customFormat="1" x14ac:dyDescent="0.2">
      <c r="A650" s="71"/>
      <c r="B650" s="71"/>
      <c r="C650" s="71"/>
      <c r="D650" s="251"/>
      <c r="E650" s="251"/>
      <c r="F650" s="251"/>
      <c r="G650" s="251"/>
      <c r="H650" s="251"/>
      <c r="I650" s="251"/>
      <c r="J650" s="251"/>
      <c r="K650" s="251"/>
      <c r="L650" s="251"/>
      <c r="M650" s="251"/>
      <c r="N650" s="251"/>
      <c r="O650" s="251"/>
      <c r="P650" s="251"/>
      <c r="Q650" s="251"/>
      <c r="R650" s="251"/>
      <c r="S650" s="251"/>
      <c r="T650" s="251"/>
      <c r="U650" s="251"/>
      <c r="V650" s="251"/>
      <c r="W650" s="251"/>
      <c r="X650" s="251"/>
      <c r="Y650" s="251"/>
      <c r="Z650" s="251"/>
      <c r="AA650" s="251"/>
      <c r="AB650" s="251"/>
      <c r="AC650" s="251"/>
      <c r="AD650" s="251"/>
      <c r="AE650" s="251"/>
      <c r="AF650" s="251"/>
      <c r="AG650" s="251"/>
      <c r="AH650" s="251"/>
      <c r="AI650" s="251"/>
      <c r="AJ650" s="251"/>
      <c r="AK650" s="251"/>
      <c r="AL650" s="251"/>
      <c r="AM650" s="251"/>
      <c r="AN650" s="251"/>
      <c r="AO650" s="251"/>
      <c r="AP650" s="251"/>
      <c r="AQ650" s="251"/>
      <c r="AR650" s="251"/>
      <c r="AS650" s="251"/>
    </row>
    <row r="651" spans="1:45" s="44" customFormat="1" x14ac:dyDescent="0.2">
      <c r="A651" s="71"/>
      <c r="B651" s="71"/>
      <c r="C651" s="71"/>
      <c r="D651" s="251"/>
      <c r="E651" s="251"/>
      <c r="F651" s="251"/>
      <c r="G651" s="251"/>
      <c r="H651" s="251"/>
      <c r="I651" s="251"/>
      <c r="J651" s="251"/>
      <c r="K651" s="251"/>
      <c r="L651" s="251"/>
      <c r="M651" s="251"/>
      <c r="N651" s="251"/>
      <c r="O651" s="251"/>
      <c r="P651" s="251"/>
      <c r="Q651" s="251"/>
      <c r="R651" s="251"/>
      <c r="S651" s="251"/>
      <c r="T651" s="251"/>
      <c r="U651" s="251"/>
      <c r="V651" s="251"/>
      <c r="W651" s="251"/>
      <c r="X651" s="251"/>
      <c r="Y651" s="251"/>
      <c r="Z651" s="251"/>
      <c r="AA651" s="251"/>
      <c r="AB651" s="251"/>
      <c r="AC651" s="251"/>
      <c r="AD651" s="251"/>
      <c r="AE651" s="251"/>
      <c r="AF651" s="251"/>
      <c r="AG651" s="251"/>
      <c r="AH651" s="251"/>
      <c r="AI651" s="251"/>
      <c r="AJ651" s="251"/>
      <c r="AK651" s="251"/>
      <c r="AL651" s="251"/>
      <c r="AM651" s="251"/>
      <c r="AN651" s="251"/>
      <c r="AO651" s="251"/>
      <c r="AP651" s="251"/>
      <c r="AQ651" s="251"/>
      <c r="AR651" s="251"/>
      <c r="AS651" s="251"/>
    </row>
    <row r="652" spans="1:45" s="44" customFormat="1" x14ac:dyDescent="0.2">
      <c r="A652" s="71"/>
      <c r="B652" s="71"/>
      <c r="C652" s="71"/>
      <c r="D652" s="251"/>
      <c r="E652" s="251"/>
      <c r="F652" s="251"/>
      <c r="G652" s="251"/>
      <c r="H652" s="251"/>
      <c r="I652" s="251"/>
      <c r="J652" s="251"/>
      <c r="K652" s="251"/>
      <c r="L652" s="251"/>
      <c r="M652" s="251"/>
      <c r="N652" s="251"/>
      <c r="O652" s="251"/>
      <c r="P652" s="251"/>
      <c r="Q652" s="251"/>
      <c r="R652" s="251"/>
      <c r="S652" s="251"/>
      <c r="T652" s="251"/>
      <c r="U652" s="251"/>
      <c r="V652" s="251"/>
      <c r="W652" s="251"/>
      <c r="X652" s="251"/>
      <c r="Y652" s="251"/>
      <c r="Z652" s="251"/>
      <c r="AA652" s="251"/>
      <c r="AB652" s="251"/>
      <c r="AC652" s="251"/>
      <c r="AD652" s="251"/>
      <c r="AE652" s="251"/>
      <c r="AF652" s="251"/>
      <c r="AG652" s="251"/>
      <c r="AH652" s="251"/>
      <c r="AI652" s="251"/>
      <c r="AJ652" s="251"/>
      <c r="AK652" s="251"/>
      <c r="AL652" s="251"/>
      <c r="AM652" s="251"/>
      <c r="AN652" s="251"/>
      <c r="AO652" s="251"/>
      <c r="AP652" s="251"/>
      <c r="AQ652" s="251"/>
      <c r="AR652" s="251"/>
      <c r="AS652" s="251"/>
    </row>
    <row r="653" spans="1:45" s="44" customFormat="1" x14ac:dyDescent="0.2">
      <c r="A653" s="71"/>
      <c r="B653" s="71"/>
      <c r="C653" s="71"/>
      <c r="D653" s="251"/>
      <c r="E653" s="251"/>
      <c r="F653" s="251"/>
      <c r="G653" s="251"/>
      <c r="H653" s="251"/>
      <c r="I653" s="251"/>
      <c r="J653" s="251"/>
      <c r="K653" s="251"/>
      <c r="L653" s="251"/>
      <c r="M653" s="251"/>
      <c r="N653" s="251"/>
      <c r="O653" s="251"/>
      <c r="P653" s="251"/>
      <c r="Q653" s="251"/>
      <c r="R653" s="251"/>
      <c r="S653" s="251"/>
      <c r="T653" s="251"/>
      <c r="U653" s="251"/>
      <c r="V653" s="251"/>
      <c r="W653" s="251"/>
      <c r="X653" s="251"/>
      <c r="Y653" s="251"/>
      <c r="Z653" s="251"/>
      <c r="AA653" s="251"/>
      <c r="AB653" s="251"/>
      <c r="AC653" s="251"/>
      <c r="AD653" s="251"/>
      <c r="AE653" s="251"/>
      <c r="AF653" s="251"/>
      <c r="AG653" s="251"/>
      <c r="AH653" s="251"/>
      <c r="AI653" s="251"/>
      <c r="AJ653" s="251"/>
      <c r="AK653" s="251"/>
      <c r="AL653" s="251"/>
      <c r="AM653" s="251"/>
      <c r="AN653" s="251"/>
      <c r="AO653" s="251"/>
      <c r="AP653" s="251"/>
      <c r="AQ653" s="251"/>
      <c r="AR653" s="251"/>
      <c r="AS653" s="251"/>
    </row>
    <row r="654" spans="1:45" s="44" customFormat="1" x14ac:dyDescent="0.2">
      <c r="A654" s="71"/>
      <c r="B654" s="71"/>
      <c r="C654" s="71"/>
      <c r="D654" s="251"/>
      <c r="E654" s="251"/>
      <c r="F654" s="251"/>
      <c r="G654" s="251"/>
      <c r="H654" s="251"/>
      <c r="I654" s="251"/>
      <c r="J654" s="251"/>
      <c r="K654" s="251"/>
      <c r="L654" s="251"/>
      <c r="M654" s="251"/>
      <c r="N654" s="251"/>
      <c r="O654" s="251"/>
      <c r="P654" s="251"/>
      <c r="Q654" s="251"/>
      <c r="R654" s="251"/>
      <c r="S654" s="251"/>
      <c r="T654" s="251"/>
      <c r="U654" s="251"/>
      <c r="V654" s="251"/>
      <c r="W654" s="251"/>
      <c r="X654" s="251"/>
      <c r="Y654" s="251"/>
      <c r="Z654" s="251"/>
      <c r="AA654" s="251"/>
      <c r="AB654" s="251"/>
      <c r="AC654" s="251"/>
      <c r="AD654" s="251"/>
      <c r="AE654" s="251"/>
      <c r="AF654" s="251"/>
      <c r="AG654" s="251"/>
      <c r="AH654" s="251"/>
      <c r="AI654" s="251"/>
      <c r="AJ654" s="251"/>
      <c r="AK654" s="251"/>
      <c r="AL654" s="251"/>
      <c r="AM654" s="251"/>
      <c r="AN654" s="251"/>
      <c r="AO654" s="251"/>
      <c r="AP654" s="251"/>
      <c r="AQ654" s="251"/>
      <c r="AR654" s="251"/>
      <c r="AS654" s="251"/>
    </row>
    <row r="655" spans="1:45" s="44" customFormat="1" x14ac:dyDescent="0.2">
      <c r="A655" s="71"/>
      <c r="B655" s="71"/>
      <c r="C655" s="71"/>
      <c r="D655" s="251"/>
      <c r="E655" s="251"/>
      <c r="F655" s="251"/>
      <c r="G655" s="251"/>
      <c r="H655" s="251"/>
      <c r="I655" s="251"/>
      <c r="J655" s="251"/>
      <c r="K655" s="251"/>
      <c r="L655" s="251"/>
      <c r="M655" s="251"/>
      <c r="N655" s="251"/>
      <c r="O655" s="251"/>
      <c r="P655" s="251"/>
      <c r="Q655" s="251"/>
      <c r="R655" s="251"/>
      <c r="S655" s="251"/>
      <c r="T655" s="251"/>
      <c r="U655" s="251"/>
      <c r="V655" s="251"/>
      <c r="W655" s="251"/>
      <c r="X655" s="251"/>
      <c r="Y655" s="251"/>
      <c r="Z655" s="251"/>
      <c r="AA655" s="251"/>
      <c r="AB655" s="251"/>
      <c r="AC655" s="251"/>
      <c r="AD655" s="251"/>
      <c r="AE655" s="251"/>
      <c r="AF655" s="251"/>
      <c r="AG655" s="251"/>
      <c r="AH655" s="251"/>
      <c r="AI655" s="251"/>
      <c r="AJ655" s="251"/>
      <c r="AK655" s="251"/>
      <c r="AL655" s="251"/>
      <c r="AM655" s="251"/>
      <c r="AN655" s="251"/>
      <c r="AO655" s="251"/>
      <c r="AP655" s="251"/>
      <c r="AQ655" s="251"/>
      <c r="AR655" s="251"/>
      <c r="AS655" s="251"/>
    </row>
    <row r="656" spans="1:45" s="44" customFormat="1" x14ac:dyDescent="0.2">
      <c r="A656" s="71"/>
      <c r="B656" s="71"/>
      <c r="C656" s="71"/>
      <c r="D656" s="251"/>
      <c r="E656" s="251"/>
      <c r="F656" s="251"/>
      <c r="G656" s="251"/>
      <c r="H656" s="251"/>
      <c r="I656" s="251"/>
      <c r="J656" s="251"/>
      <c r="K656" s="251"/>
      <c r="L656" s="251"/>
      <c r="M656" s="251"/>
      <c r="N656" s="251"/>
      <c r="O656" s="251"/>
      <c r="P656" s="251"/>
      <c r="Q656" s="251"/>
      <c r="R656" s="251"/>
      <c r="S656" s="251"/>
      <c r="T656" s="251"/>
      <c r="U656" s="251"/>
      <c r="V656" s="251"/>
      <c r="W656" s="251"/>
      <c r="X656" s="251"/>
      <c r="Y656" s="251"/>
      <c r="Z656" s="251"/>
      <c r="AA656" s="251"/>
      <c r="AB656" s="251"/>
      <c r="AC656" s="251"/>
      <c r="AD656" s="251"/>
      <c r="AE656" s="251"/>
      <c r="AF656" s="251"/>
      <c r="AG656" s="251"/>
      <c r="AH656" s="251"/>
      <c r="AI656" s="251"/>
      <c r="AJ656" s="251"/>
      <c r="AK656" s="251"/>
      <c r="AL656" s="251"/>
      <c r="AM656" s="251"/>
      <c r="AN656" s="251"/>
      <c r="AO656" s="251"/>
      <c r="AP656" s="251"/>
      <c r="AQ656" s="251"/>
      <c r="AR656" s="251"/>
      <c r="AS656" s="251"/>
    </row>
    <row r="657" spans="1:45" s="44" customFormat="1" x14ac:dyDescent="0.2">
      <c r="A657" s="71"/>
      <c r="B657" s="71"/>
      <c r="C657" s="71"/>
      <c r="D657" s="251"/>
      <c r="E657" s="251"/>
      <c r="F657" s="251"/>
      <c r="G657" s="251"/>
      <c r="H657" s="251"/>
      <c r="I657" s="251"/>
      <c r="J657" s="251"/>
      <c r="K657" s="251"/>
      <c r="L657" s="251"/>
      <c r="M657" s="251"/>
      <c r="N657" s="251"/>
      <c r="O657" s="251"/>
      <c r="P657" s="251"/>
      <c r="Q657" s="251"/>
      <c r="R657" s="251"/>
      <c r="S657" s="251"/>
      <c r="T657" s="251"/>
      <c r="U657" s="251"/>
      <c r="V657" s="251"/>
      <c r="W657" s="251"/>
      <c r="X657" s="251"/>
      <c r="Y657" s="251"/>
      <c r="Z657" s="251"/>
      <c r="AA657" s="251"/>
      <c r="AB657" s="251"/>
      <c r="AC657" s="251"/>
      <c r="AD657" s="251"/>
      <c r="AE657" s="251"/>
      <c r="AF657" s="251"/>
      <c r="AG657" s="251"/>
      <c r="AH657" s="251"/>
      <c r="AI657" s="251"/>
      <c r="AJ657" s="251"/>
      <c r="AK657" s="251"/>
      <c r="AL657" s="251"/>
      <c r="AM657" s="251"/>
      <c r="AN657" s="251"/>
      <c r="AO657" s="251"/>
      <c r="AP657" s="251"/>
      <c r="AQ657" s="251"/>
      <c r="AR657" s="251"/>
      <c r="AS657" s="251"/>
    </row>
    <row r="658" spans="1:45" s="44" customFormat="1" x14ac:dyDescent="0.2">
      <c r="A658" s="71"/>
      <c r="B658" s="71"/>
      <c r="C658" s="71"/>
      <c r="D658" s="251"/>
      <c r="E658" s="251"/>
      <c r="F658" s="251"/>
      <c r="G658" s="251"/>
      <c r="H658" s="251"/>
      <c r="I658" s="251"/>
      <c r="J658" s="251"/>
      <c r="K658" s="251"/>
      <c r="L658" s="251"/>
      <c r="M658" s="251"/>
      <c r="N658" s="251"/>
      <c r="O658" s="251"/>
      <c r="P658" s="251"/>
      <c r="Q658" s="251"/>
      <c r="R658" s="251"/>
      <c r="S658" s="251"/>
      <c r="T658" s="251"/>
      <c r="U658" s="251"/>
      <c r="V658" s="251"/>
      <c r="W658" s="251"/>
      <c r="X658" s="251"/>
      <c r="Y658" s="251"/>
      <c r="Z658" s="251"/>
      <c r="AA658" s="251"/>
      <c r="AB658" s="251"/>
      <c r="AC658" s="251"/>
      <c r="AD658" s="251"/>
      <c r="AE658" s="251"/>
      <c r="AF658" s="251"/>
      <c r="AG658" s="251"/>
      <c r="AH658" s="251"/>
      <c r="AI658" s="251"/>
      <c r="AJ658" s="251"/>
      <c r="AK658" s="251"/>
      <c r="AL658" s="251"/>
      <c r="AM658" s="251"/>
      <c r="AN658" s="251"/>
      <c r="AO658" s="251"/>
      <c r="AP658" s="251"/>
      <c r="AQ658" s="251"/>
      <c r="AR658" s="251"/>
      <c r="AS658" s="251"/>
    </row>
    <row r="659" spans="1:45" s="44" customFormat="1" x14ac:dyDescent="0.2">
      <c r="A659" s="71"/>
      <c r="B659" s="71"/>
      <c r="C659" s="71"/>
      <c r="D659" s="251"/>
      <c r="E659" s="251"/>
      <c r="F659" s="251"/>
      <c r="G659" s="251"/>
      <c r="H659" s="251"/>
      <c r="I659" s="251"/>
      <c r="J659" s="251"/>
      <c r="K659" s="251"/>
      <c r="L659" s="251"/>
      <c r="M659" s="251"/>
      <c r="N659" s="251"/>
      <c r="O659" s="251"/>
      <c r="P659" s="251"/>
      <c r="Q659" s="251"/>
      <c r="R659" s="251"/>
      <c r="S659" s="251"/>
      <c r="T659" s="251"/>
      <c r="U659" s="251"/>
      <c r="V659" s="251"/>
      <c r="W659" s="251"/>
      <c r="X659" s="251"/>
      <c r="Y659" s="251"/>
      <c r="Z659" s="251"/>
      <c r="AA659" s="251"/>
      <c r="AB659" s="251"/>
      <c r="AC659" s="251"/>
      <c r="AD659" s="251"/>
      <c r="AE659" s="251"/>
      <c r="AF659" s="251"/>
      <c r="AG659" s="251"/>
      <c r="AH659" s="251"/>
      <c r="AI659" s="251"/>
      <c r="AJ659" s="251"/>
      <c r="AK659" s="251"/>
      <c r="AL659" s="251"/>
      <c r="AM659" s="251"/>
      <c r="AN659" s="251"/>
      <c r="AO659" s="251"/>
      <c r="AP659" s="251"/>
      <c r="AQ659" s="251"/>
      <c r="AR659" s="251"/>
      <c r="AS659" s="251"/>
    </row>
    <row r="660" spans="1:45" s="44" customFormat="1" x14ac:dyDescent="0.2">
      <c r="A660" s="71"/>
      <c r="B660" s="71"/>
      <c r="C660" s="71"/>
      <c r="D660" s="251"/>
      <c r="E660" s="251"/>
      <c r="F660" s="251"/>
      <c r="G660" s="251"/>
      <c r="H660" s="251"/>
      <c r="I660" s="251"/>
      <c r="J660" s="251"/>
      <c r="K660" s="251"/>
      <c r="L660" s="251"/>
      <c r="M660" s="251"/>
      <c r="N660" s="251"/>
      <c r="O660" s="251"/>
      <c r="P660" s="251"/>
      <c r="Q660" s="251"/>
      <c r="R660" s="251"/>
      <c r="S660" s="251"/>
      <c r="T660" s="251"/>
      <c r="U660" s="251"/>
      <c r="V660" s="251"/>
      <c r="W660" s="251"/>
      <c r="X660" s="251"/>
      <c r="Y660" s="251"/>
      <c r="Z660" s="251"/>
      <c r="AA660" s="251"/>
      <c r="AB660" s="251"/>
      <c r="AC660" s="251"/>
      <c r="AD660" s="251"/>
      <c r="AE660" s="251"/>
      <c r="AF660" s="251"/>
      <c r="AG660" s="251"/>
      <c r="AH660" s="251"/>
      <c r="AI660" s="251"/>
      <c r="AJ660" s="251"/>
      <c r="AK660" s="251"/>
      <c r="AL660" s="251"/>
      <c r="AM660" s="251"/>
      <c r="AN660" s="251"/>
      <c r="AO660" s="251"/>
      <c r="AP660" s="251"/>
      <c r="AQ660" s="251"/>
      <c r="AR660" s="251"/>
      <c r="AS660" s="251"/>
    </row>
    <row r="661" spans="1:45" s="44" customFormat="1" x14ac:dyDescent="0.2">
      <c r="A661" s="71"/>
      <c r="B661" s="71"/>
      <c r="C661" s="71"/>
      <c r="D661" s="251"/>
      <c r="E661" s="251"/>
      <c r="F661" s="251"/>
      <c r="G661" s="251"/>
      <c r="H661" s="251"/>
      <c r="I661" s="251"/>
      <c r="J661" s="251"/>
      <c r="K661" s="251"/>
      <c r="L661" s="251"/>
      <c r="M661" s="251"/>
      <c r="N661" s="251"/>
      <c r="O661" s="251"/>
      <c r="P661" s="251"/>
      <c r="Q661" s="251"/>
      <c r="R661" s="251"/>
      <c r="S661" s="251"/>
      <c r="T661" s="251"/>
      <c r="U661" s="251"/>
      <c r="V661" s="251"/>
      <c r="W661" s="251"/>
      <c r="X661" s="251"/>
      <c r="Y661" s="251"/>
      <c r="Z661" s="251"/>
      <c r="AA661" s="251"/>
      <c r="AB661" s="251"/>
      <c r="AC661" s="251"/>
      <c r="AD661" s="251"/>
      <c r="AE661" s="251"/>
      <c r="AF661" s="251"/>
      <c r="AG661" s="251"/>
      <c r="AH661" s="251"/>
      <c r="AI661" s="251"/>
      <c r="AJ661" s="251"/>
      <c r="AK661" s="251"/>
      <c r="AL661" s="251"/>
      <c r="AM661" s="251"/>
      <c r="AN661" s="251"/>
      <c r="AO661" s="251"/>
      <c r="AP661" s="251"/>
      <c r="AQ661" s="251"/>
      <c r="AR661" s="251"/>
      <c r="AS661" s="251"/>
    </row>
    <row r="662" spans="1:45" s="44" customFormat="1" x14ac:dyDescent="0.2">
      <c r="A662" s="71"/>
      <c r="B662" s="71"/>
      <c r="C662" s="71"/>
      <c r="D662" s="251"/>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c r="AA662" s="251"/>
      <c r="AB662" s="251"/>
      <c r="AC662" s="251"/>
      <c r="AD662" s="251"/>
      <c r="AE662" s="251"/>
      <c r="AF662" s="251"/>
      <c r="AG662" s="251"/>
      <c r="AH662" s="251"/>
      <c r="AI662" s="251"/>
      <c r="AJ662" s="251"/>
      <c r="AK662" s="251"/>
      <c r="AL662" s="251"/>
      <c r="AM662" s="251"/>
      <c r="AN662" s="251"/>
      <c r="AO662" s="251"/>
      <c r="AP662" s="251"/>
      <c r="AQ662" s="251"/>
      <c r="AR662" s="251"/>
      <c r="AS662" s="251"/>
    </row>
    <row r="663" spans="1:45" s="44" customFormat="1" x14ac:dyDescent="0.2">
      <c r="A663" s="71"/>
      <c r="B663" s="71"/>
      <c r="C663" s="71"/>
      <c r="D663" s="251"/>
      <c r="E663" s="251"/>
      <c r="F663" s="251"/>
      <c r="G663" s="251"/>
      <c r="H663" s="251"/>
      <c r="I663" s="251"/>
      <c r="J663" s="251"/>
      <c r="K663" s="251"/>
      <c r="L663" s="251"/>
      <c r="M663" s="251"/>
      <c r="N663" s="251"/>
      <c r="O663" s="251"/>
      <c r="P663" s="251"/>
      <c r="Q663" s="251"/>
      <c r="R663" s="251"/>
      <c r="S663" s="251"/>
      <c r="T663" s="251"/>
      <c r="U663" s="251"/>
      <c r="V663" s="251"/>
      <c r="W663" s="251"/>
      <c r="X663" s="251"/>
      <c r="Y663" s="251"/>
      <c r="Z663" s="251"/>
      <c r="AA663" s="251"/>
      <c r="AB663" s="251"/>
      <c r="AC663" s="251"/>
      <c r="AD663" s="251"/>
      <c r="AE663" s="251"/>
      <c r="AF663" s="251"/>
      <c r="AG663" s="251"/>
      <c r="AH663" s="251"/>
      <c r="AI663" s="251"/>
      <c r="AJ663" s="251"/>
      <c r="AK663" s="251"/>
      <c r="AL663" s="251"/>
      <c r="AM663" s="251"/>
      <c r="AN663" s="251"/>
      <c r="AO663" s="251"/>
      <c r="AP663" s="251"/>
      <c r="AQ663" s="251"/>
      <c r="AR663" s="251"/>
      <c r="AS663" s="251"/>
    </row>
    <row r="664" spans="1:45" s="44" customFormat="1" x14ac:dyDescent="0.2">
      <c r="A664" s="71"/>
      <c r="B664" s="71"/>
      <c r="C664" s="71"/>
      <c r="D664" s="251"/>
      <c r="E664" s="251"/>
      <c r="F664" s="251"/>
      <c r="G664" s="251"/>
      <c r="H664" s="251"/>
      <c r="I664" s="251"/>
      <c r="J664" s="251"/>
      <c r="K664" s="251"/>
      <c r="L664" s="251"/>
      <c r="M664" s="251"/>
      <c r="N664" s="251"/>
      <c r="O664" s="251"/>
      <c r="P664" s="251"/>
      <c r="Q664" s="251"/>
      <c r="R664" s="251"/>
      <c r="S664" s="251"/>
      <c r="T664" s="251"/>
      <c r="U664" s="251"/>
      <c r="V664" s="251"/>
      <c r="W664" s="251"/>
      <c r="X664" s="251"/>
      <c r="Y664" s="251"/>
      <c r="Z664" s="251"/>
      <c r="AA664" s="251"/>
      <c r="AB664" s="251"/>
      <c r="AC664" s="251"/>
      <c r="AD664" s="251"/>
      <c r="AE664" s="251"/>
      <c r="AF664" s="251"/>
      <c r="AG664" s="251"/>
      <c r="AH664" s="251"/>
      <c r="AI664" s="251"/>
      <c r="AJ664" s="251"/>
      <c r="AK664" s="251"/>
      <c r="AL664" s="251"/>
      <c r="AM664" s="251"/>
      <c r="AN664" s="251"/>
      <c r="AO664" s="251"/>
      <c r="AP664" s="251"/>
      <c r="AQ664" s="251"/>
      <c r="AR664" s="251"/>
      <c r="AS664" s="251"/>
    </row>
    <row r="665" spans="1:45" s="44" customFormat="1" x14ac:dyDescent="0.2">
      <c r="A665" s="71"/>
      <c r="B665" s="71"/>
      <c r="C665" s="71"/>
      <c r="D665" s="251"/>
      <c r="E665" s="251"/>
      <c r="F665" s="251"/>
      <c r="G665" s="251"/>
      <c r="H665" s="251"/>
      <c r="I665" s="251"/>
      <c r="J665" s="251"/>
      <c r="K665" s="251"/>
      <c r="L665" s="251"/>
      <c r="M665" s="251"/>
      <c r="N665" s="251"/>
      <c r="O665" s="251"/>
      <c r="P665" s="251"/>
      <c r="Q665" s="251"/>
      <c r="R665" s="251"/>
      <c r="S665" s="251"/>
      <c r="T665" s="251"/>
      <c r="U665" s="251"/>
      <c r="V665" s="251"/>
      <c r="W665" s="251"/>
      <c r="X665" s="251"/>
      <c r="Y665" s="251"/>
      <c r="Z665" s="251"/>
      <c r="AA665" s="251"/>
      <c r="AB665" s="251"/>
      <c r="AC665" s="251"/>
      <c r="AD665" s="251"/>
      <c r="AE665" s="251"/>
      <c r="AF665" s="251"/>
      <c r="AG665" s="251"/>
      <c r="AH665" s="251"/>
      <c r="AI665" s="251"/>
      <c r="AJ665" s="251"/>
      <c r="AK665" s="251"/>
      <c r="AL665" s="251"/>
      <c r="AM665" s="251"/>
      <c r="AN665" s="251"/>
      <c r="AO665" s="251"/>
      <c r="AP665" s="251"/>
      <c r="AQ665" s="251"/>
      <c r="AR665" s="251"/>
      <c r="AS665" s="251"/>
    </row>
    <row r="666" spans="1:45" s="44" customFormat="1" x14ac:dyDescent="0.2">
      <c r="A666" s="71"/>
      <c r="B666" s="71"/>
      <c r="C666" s="71"/>
      <c r="D666" s="251"/>
      <c r="E666" s="251"/>
      <c r="F666" s="251"/>
      <c r="G666" s="251"/>
      <c r="H666" s="251"/>
      <c r="I666" s="251"/>
      <c r="J666" s="251"/>
      <c r="K666" s="251"/>
      <c r="L666" s="251"/>
      <c r="M666" s="251"/>
      <c r="N666" s="251"/>
      <c r="O666" s="251"/>
      <c r="P666" s="251"/>
      <c r="Q666" s="251"/>
      <c r="R666" s="251"/>
      <c r="S666" s="251"/>
      <c r="T666" s="251"/>
      <c r="U666" s="251"/>
      <c r="V666" s="251"/>
      <c r="W666" s="251"/>
      <c r="X666" s="251"/>
      <c r="Y666" s="251"/>
      <c r="Z666" s="251"/>
      <c r="AA666" s="251"/>
      <c r="AB666" s="251"/>
      <c r="AC666" s="251"/>
      <c r="AD666" s="251"/>
      <c r="AE666" s="251"/>
      <c r="AF666" s="251"/>
      <c r="AG666" s="251"/>
      <c r="AH666" s="251"/>
      <c r="AI666" s="251"/>
      <c r="AJ666" s="251"/>
      <c r="AK666" s="251"/>
      <c r="AL666" s="251"/>
      <c r="AM666" s="251"/>
      <c r="AN666" s="251"/>
      <c r="AO666" s="251"/>
      <c r="AP666" s="251"/>
      <c r="AQ666" s="251"/>
      <c r="AR666" s="251"/>
      <c r="AS666" s="251"/>
    </row>
    <row r="667" spans="1:45" s="44" customFormat="1" x14ac:dyDescent="0.2">
      <c r="A667" s="71"/>
      <c r="B667" s="71"/>
      <c r="C667" s="71"/>
      <c r="D667" s="251"/>
      <c r="E667" s="251"/>
      <c r="F667" s="251"/>
      <c r="G667" s="251"/>
      <c r="H667" s="251"/>
      <c r="I667" s="251"/>
      <c r="J667" s="251"/>
      <c r="K667" s="251"/>
      <c r="L667" s="251"/>
      <c r="M667" s="251"/>
      <c r="N667" s="251"/>
      <c r="O667" s="251"/>
      <c r="P667" s="251"/>
      <c r="Q667" s="251"/>
      <c r="R667" s="251"/>
      <c r="S667" s="251"/>
      <c r="T667" s="251"/>
      <c r="U667" s="251"/>
      <c r="V667" s="251"/>
      <c r="W667" s="251"/>
      <c r="X667" s="251"/>
      <c r="Y667" s="251"/>
      <c r="Z667" s="251"/>
      <c r="AA667" s="251"/>
      <c r="AB667" s="251"/>
      <c r="AC667" s="251"/>
      <c r="AD667" s="251"/>
      <c r="AE667" s="251"/>
      <c r="AF667" s="251"/>
      <c r="AG667" s="251"/>
      <c r="AH667" s="251"/>
      <c r="AI667" s="251"/>
      <c r="AJ667" s="251"/>
      <c r="AK667" s="251"/>
      <c r="AL667" s="251"/>
      <c r="AM667" s="251"/>
      <c r="AN667" s="251"/>
      <c r="AO667" s="251"/>
      <c r="AP667" s="251"/>
      <c r="AQ667" s="251"/>
      <c r="AR667" s="251"/>
      <c r="AS667" s="251"/>
    </row>
    <row r="668" spans="1:45" s="44" customFormat="1" x14ac:dyDescent="0.2">
      <c r="A668" s="71"/>
      <c r="B668" s="71"/>
      <c r="C668" s="71"/>
      <c r="D668" s="251"/>
      <c r="E668" s="251"/>
      <c r="F668" s="251"/>
      <c r="G668" s="251"/>
      <c r="H668" s="251"/>
      <c r="I668" s="251"/>
      <c r="J668" s="251"/>
      <c r="K668" s="251"/>
      <c r="L668" s="251"/>
      <c r="M668" s="251"/>
      <c r="N668" s="251"/>
      <c r="O668" s="251"/>
      <c r="P668" s="251"/>
      <c r="Q668" s="251"/>
      <c r="R668" s="251"/>
      <c r="S668" s="251"/>
      <c r="T668" s="251"/>
      <c r="U668" s="251"/>
      <c r="V668" s="251"/>
      <c r="W668" s="251"/>
      <c r="X668" s="251"/>
      <c r="Y668" s="251"/>
      <c r="Z668" s="251"/>
      <c r="AA668" s="251"/>
      <c r="AB668" s="251"/>
      <c r="AC668" s="251"/>
      <c r="AD668" s="251"/>
      <c r="AE668" s="251"/>
      <c r="AF668" s="251"/>
      <c r="AG668" s="251"/>
      <c r="AH668" s="251"/>
      <c r="AI668" s="251"/>
      <c r="AJ668" s="251"/>
      <c r="AK668" s="251"/>
      <c r="AL668" s="251"/>
      <c r="AM668" s="251"/>
      <c r="AN668" s="251"/>
      <c r="AO668" s="251"/>
      <c r="AP668" s="251"/>
      <c r="AQ668" s="251"/>
      <c r="AR668" s="251"/>
      <c r="AS668" s="251"/>
    </row>
    <row r="669" spans="1:45" s="44" customFormat="1" x14ac:dyDescent="0.2">
      <c r="A669" s="71"/>
      <c r="B669" s="71"/>
      <c r="C669" s="71"/>
      <c r="D669" s="251"/>
      <c r="E669" s="251"/>
      <c r="F669" s="251"/>
      <c r="G669" s="251"/>
      <c r="H669" s="251"/>
      <c r="I669" s="251"/>
      <c r="J669" s="251"/>
      <c r="K669" s="251"/>
      <c r="L669" s="251"/>
      <c r="M669" s="251"/>
      <c r="N669" s="251"/>
      <c r="O669" s="251"/>
      <c r="P669" s="251"/>
      <c r="Q669" s="251"/>
      <c r="R669" s="251"/>
      <c r="S669" s="251"/>
      <c r="T669" s="251"/>
      <c r="U669" s="251"/>
      <c r="V669" s="251"/>
      <c r="W669" s="251"/>
      <c r="X669" s="251"/>
      <c r="Y669" s="251"/>
      <c r="Z669" s="251"/>
      <c r="AA669" s="251"/>
      <c r="AB669" s="251"/>
      <c r="AC669" s="251"/>
      <c r="AD669" s="251"/>
      <c r="AE669" s="251"/>
      <c r="AF669" s="251"/>
      <c r="AG669" s="251"/>
      <c r="AH669" s="251"/>
      <c r="AI669" s="251"/>
      <c r="AJ669" s="251"/>
      <c r="AK669" s="251"/>
      <c r="AL669" s="251"/>
      <c r="AM669" s="251"/>
      <c r="AN669" s="251"/>
      <c r="AO669" s="251"/>
      <c r="AP669" s="251"/>
      <c r="AQ669" s="251"/>
      <c r="AR669" s="251"/>
      <c r="AS669" s="251"/>
    </row>
    <row r="670" spans="1:45" s="44" customFormat="1" x14ac:dyDescent="0.2">
      <c r="A670" s="71"/>
      <c r="B670" s="71"/>
      <c r="C670" s="71"/>
      <c r="D670" s="251"/>
      <c r="E670" s="251"/>
      <c r="F670" s="251"/>
      <c r="G670" s="251"/>
      <c r="H670" s="251"/>
      <c r="I670" s="251"/>
      <c r="J670" s="251"/>
      <c r="K670" s="251"/>
      <c r="L670" s="251"/>
      <c r="M670" s="251"/>
      <c r="N670" s="251"/>
      <c r="O670" s="251"/>
      <c r="P670" s="251"/>
      <c r="Q670" s="251"/>
      <c r="R670" s="251"/>
      <c r="S670" s="251"/>
      <c r="T670" s="251"/>
      <c r="U670" s="251"/>
      <c r="V670" s="251"/>
      <c r="W670" s="251"/>
      <c r="X670" s="251"/>
      <c r="Y670" s="251"/>
      <c r="Z670" s="251"/>
      <c r="AA670" s="251"/>
      <c r="AB670" s="251"/>
      <c r="AC670" s="251"/>
      <c r="AD670" s="251"/>
      <c r="AE670" s="251"/>
      <c r="AF670" s="251"/>
      <c r="AG670" s="251"/>
      <c r="AH670" s="251"/>
      <c r="AI670" s="251"/>
      <c r="AJ670" s="251"/>
      <c r="AK670" s="251"/>
      <c r="AL670" s="251"/>
      <c r="AM670" s="251"/>
      <c r="AN670" s="251"/>
      <c r="AO670" s="251"/>
      <c r="AP670" s="251"/>
      <c r="AQ670" s="251"/>
      <c r="AR670" s="251"/>
      <c r="AS670" s="251"/>
    </row>
    <row r="671" spans="1:45" s="44" customFormat="1" x14ac:dyDescent="0.2">
      <c r="A671" s="71"/>
      <c r="B671" s="71"/>
      <c r="C671" s="71"/>
      <c r="D671" s="251"/>
      <c r="E671" s="251"/>
      <c r="F671" s="251"/>
      <c r="G671" s="251"/>
      <c r="H671" s="251"/>
      <c r="I671" s="251"/>
      <c r="J671" s="251"/>
      <c r="K671" s="251"/>
      <c r="L671" s="251"/>
      <c r="M671" s="251"/>
      <c r="N671" s="251"/>
      <c r="O671" s="251"/>
      <c r="P671" s="251"/>
      <c r="Q671" s="251"/>
      <c r="R671" s="251"/>
      <c r="S671" s="251"/>
      <c r="T671" s="251"/>
      <c r="U671" s="251"/>
      <c r="V671" s="251"/>
      <c r="W671" s="251"/>
      <c r="X671" s="251"/>
      <c r="Y671" s="251"/>
      <c r="Z671" s="251"/>
      <c r="AA671" s="251"/>
      <c r="AB671" s="251"/>
      <c r="AC671" s="251"/>
      <c r="AD671" s="251"/>
      <c r="AE671" s="251"/>
      <c r="AF671" s="251"/>
      <c r="AG671" s="251"/>
      <c r="AH671" s="251"/>
      <c r="AI671" s="251"/>
      <c r="AJ671" s="251"/>
      <c r="AK671" s="251"/>
      <c r="AL671" s="251"/>
      <c r="AM671" s="251"/>
      <c r="AN671" s="251"/>
      <c r="AO671" s="251"/>
      <c r="AP671" s="251"/>
      <c r="AQ671" s="251"/>
      <c r="AR671" s="251"/>
      <c r="AS671" s="251"/>
    </row>
    <row r="672" spans="1:45" s="44" customFormat="1" x14ac:dyDescent="0.2">
      <c r="A672" s="71"/>
      <c r="B672" s="71"/>
      <c r="C672" s="71"/>
      <c r="D672" s="251"/>
      <c r="E672" s="251"/>
      <c r="F672" s="251"/>
      <c r="G672" s="251"/>
      <c r="H672" s="251"/>
      <c r="I672" s="251"/>
      <c r="J672" s="251"/>
      <c r="K672" s="251"/>
      <c r="L672" s="251"/>
      <c r="M672" s="251"/>
      <c r="N672" s="251"/>
      <c r="O672" s="251"/>
      <c r="P672" s="251"/>
      <c r="Q672" s="251"/>
      <c r="R672" s="251"/>
      <c r="S672" s="251"/>
      <c r="T672" s="251"/>
      <c r="U672" s="251"/>
      <c r="V672" s="251"/>
      <c r="W672" s="251"/>
      <c r="X672" s="251"/>
      <c r="Y672" s="251"/>
      <c r="Z672" s="251"/>
      <c r="AA672" s="251"/>
      <c r="AB672" s="251"/>
      <c r="AC672" s="251"/>
      <c r="AD672" s="251"/>
      <c r="AE672" s="251"/>
      <c r="AF672" s="251"/>
      <c r="AG672" s="251"/>
      <c r="AH672" s="251"/>
      <c r="AI672" s="251"/>
      <c r="AJ672" s="251"/>
      <c r="AK672" s="251"/>
      <c r="AL672" s="251"/>
      <c r="AM672" s="251"/>
      <c r="AN672" s="251"/>
      <c r="AO672" s="251"/>
      <c r="AP672" s="251"/>
      <c r="AQ672" s="251"/>
      <c r="AR672" s="251"/>
      <c r="AS672" s="251"/>
    </row>
    <row r="673" spans="1:45" s="44" customFormat="1" x14ac:dyDescent="0.2">
      <c r="A673" s="71"/>
      <c r="B673" s="71"/>
      <c r="C673" s="71"/>
      <c r="D673" s="251"/>
      <c r="E673" s="251"/>
      <c r="F673" s="251"/>
      <c r="G673" s="251"/>
      <c r="H673" s="251"/>
      <c r="I673" s="251"/>
      <c r="J673" s="251"/>
      <c r="K673" s="251"/>
      <c r="L673" s="251"/>
      <c r="M673" s="251"/>
      <c r="N673" s="251"/>
      <c r="O673" s="251"/>
      <c r="P673" s="251"/>
      <c r="Q673" s="251"/>
      <c r="R673" s="251"/>
      <c r="S673" s="251"/>
      <c r="T673" s="251"/>
      <c r="U673" s="251"/>
      <c r="V673" s="251"/>
      <c r="W673" s="251"/>
      <c r="X673" s="251"/>
      <c r="Y673" s="251"/>
      <c r="Z673" s="251"/>
      <c r="AA673" s="251"/>
      <c r="AB673" s="251"/>
      <c r="AC673" s="251"/>
      <c r="AD673" s="251"/>
      <c r="AE673" s="251"/>
      <c r="AF673" s="251"/>
      <c r="AG673" s="251"/>
      <c r="AH673" s="251"/>
      <c r="AI673" s="251"/>
      <c r="AJ673" s="251"/>
      <c r="AK673" s="251"/>
      <c r="AL673" s="251"/>
      <c r="AM673" s="251"/>
      <c r="AN673" s="251"/>
      <c r="AO673" s="251"/>
      <c r="AP673" s="251"/>
      <c r="AQ673" s="251"/>
      <c r="AR673" s="251"/>
      <c r="AS673" s="251"/>
    </row>
    <row r="674" spans="1:45" s="44" customFormat="1" x14ac:dyDescent="0.2">
      <c r="A674" s="71"/>
      <c r="B674" s="71"/>
      <c r="C674" s="71"/>
      <c r="D674" s="251"/>
      <c r="E674" s="251"/>
      <c r="F674" s="251"/>
      <c r="G674" s="251"/>
      <c r="H674" s="251"/>
      <c r="I674" s="251"/>
      <c r="J674" s="251"/>
      <c r="K674" s="251"/>
      <c r="L674" s="251"/>
      <c r="M674" s="251"/>
      <c r="N674" s="251"/>
      <c r="O674" s="251"/>
      <c r="P674" s="251"/>
      <c r="Q674" s="251"/>
      <c r="R674" s="251"/>
      <c r="S674" s="251"/>
      <c r="T674" s="251"/>
      <c r="U674" s="251"/>
      <c r="V674" s="251"/>
      <c r="W674" s="251"/>
      <c r="X674" s="251"/>
      <c r="Y674" s="251"/>
      <c r="Z674" s="251"/>
      <c r="AA674" s="251"/>
      <c r="AB674" s="251"/>
      <c r="AC674" s="251"/>
      <c r="AD674" s="251"/>
      <c r="AE674" s="251"/>
      <c r="AF674" s="251"/>
      <c r="AG674" s="251"/>
      <c r="AH674" s="251"/>
      <c r="AI674" s="251"/>
      <c r="AJ674" s="251"/>
      <c r="AK674" s="251"/>
      <c r="AL674" s="251"/>
      <c r="AM674" s="251"/>
      <c r="AN674" s="251"/>
      <c r="AO674" s="251"/>
      <c r="AP674" s="251"/>
      <c r="AQ674" s="251"/>
      <c r="AR674" s="251"/>
      <c r="AS674" s="251"/>
    </row>
    <row r="675" spans="1:45" s="44" customFormat="1" x14ac:dyDescent="0.2">
      <c r="A675" s="71"/>
      <c r="B675" s="71"/>
      <c r="C675" s="71"/>
      <c r="D675" s="251"/>
      <c r="E675" s="251"/>
      <c r="F675" s="251"/>
      <c r="G675" s="251"/>
      <c r="H675" s="251"/>
      <c r="I675" s="251"/>
      <c r="J675" s="251"/>
      <c r="K675" s="251"/>
      <c r="L675" s="251"/>
      <c r="M675" s="251"/>
      <c r="N675" s="251"/>
      <c r="O675" s="251"/>
      <c r="P675" s="251"/>
      <c r="Q675" s="251"/>
      <c r="R675" s="251"/>
      <c r="S675" s="251"/>
      <c r="T675" s="251"/>
      <c r="U675" s="251"/>
      <c r="V675" s="251"/>
      <c r="W675" s="251"/>
      <c r="X675" s="251"/>
      <c r="Y675" s="251"/>
      <c r="Z675" s="251"/>
      <c r="AA675" s="251"/>
      <c r="AB675" s="251"/>
      <c r="AC675" s="251"/>
      <c r="AD675" s="251"/>
      <c r="AE675" s="251"/>
      <c r="AF675" s="251"/>
      <c r="AG675" s="251"/>
      <c r="AH675" s="251"/>
      <c r="AI675" s="251"/>
      <c r="AJ675" s="251"/>
      <c r="AK675" s="251"/>
      <c r="AL675" s="251"/>
      <c r="AM675" s="251"/>
      <c r="AN675" s="251"/>
      <c r="AO675" s="251"/>
      <c r="AP675" s="251"/>
      <c r="AQ675" s="251"/>
      <c r="AR675" s="251"/>
      <c r="AS675" s="251"/>
    </row>
    <row r="676" spans="1:45" s="44" customFormat="1" x14ac:dyDescent="0.2">
      <c r="A676" s="71"/>
      <c r="B676" s="71"/>
      <c r="C676" s="71"/>
      <c r="D676" s="251"/>
      <c r="E676" s="251"/>
      <c r="F676" s="251"/>
      <c r="G676" s="251"/>
      <c r="H676" s="251"/>
      <c r="I676" s="251"/>
      <c r="J676" s="251"/>
      <c r="K676" s="251"/>
      <c r="L676" s="251"/>
      <c r="M676" s="251"/>
      <c r="N676" s="251"/>
      <c r="O676" s="251"/>
      <c r="P676" s="251"/>
      <c r="Q676" s="251"/>
      <c r="R676" s="251"/>
      <c r="S676" s="251"/>
      <c r="T676" s="251"/>
      <c r="U676" s="251"/>
      <c r="V676" s="251"/>
      <c r="W676" s="251"/>
      <c r="X676" s="251"/>
      <c r="Y676" s="251"/>
      <c r="Z676" s="251"/>
      <c r="AA676" s="251"/>
      <c r="AB676" s="251"/>
      <c r="AC676" s="251"/>
      <c r="AD676" s="251"/>
      <c r="AE676" s="251"/>
      <c r="AF676" s="251"/>
      <c r="AG676" s="251"/>
      <c r="AH676" s="251"/>
      <c r="AI676" s="251"/>
      <c r="AJ676" s="251"/>
      <c r="AK676" s="251"/>
      <c r="AL676" s="251"/>
      <c r="AM676" s="251"/>
      <c r="AN676" s="251"/>
      <c r="AO676" s="251"/>
      <c r="AP676" s="251"/>
      <c r="AQ676" s="251"/>
      <c r="AR676" s="251"/>
      <c r="AS676" s="251"/>
    </row>
    <row r="677" spans="1:45" s="44" customFormat="1" x14ac:dyDescent="0.2">
      <c r="A677" s="71"/>
      <c r="B677" s="71"/>
      <c r="C677" s="71"/>
      <c r="D677" s="251"/>
      <c r="E677" s="251"/>
      <c r="F677" s="251"/>
      <c r="G677" s="251"/>
      <c r="H677" s="251"/>
      <c r="I677" s="251"/>
      <c r="J677" s="251"/>
      <c r="K677" s="251"/>
      <c r="L677" s="251"/>
      <c r="M677" s="251"/>
      <c r="N677" s="251"/>
      <c r="O677" s="251"/>
      <c r="P677" s="251"/>
      <c r="Q677" s="251"/>
      <c r="R677" s="251"/>
      <c r="S677" s="251"/>
      <c r="T677" s="251"/>
      <c r="U677" s="251"/>
      <c r="V677" s="251"/>
      <c r="W677" s="251"/>
      <c r="X677" s="251"/>
      <c r="Y677" s="251"/>
      <c r="Z677" s="251"/>
      <c r="AA677" s="251"/>
      <c r="AB677" s="251"/>
      <c r="AC677" s="251"/>
      <c r="AD677" s="251"/>
      <c r="AE677" s="251"/>
      <c r="AF677" s="251"/>
      <c r="AG677" s="251"/>
      <c r="AH677" s="251"/>
      <c r="AI677" s="251"/>
      <c r="AJ677" s="251"/>
      <c r="AK677" s="251"/>
      <c r="AL677" s="251"/>
      <c r="AM677" s="251"/>
      <c r="AN677" s="251"/>
      <c r="AO677" s="251"/>
      <c r="AP677" s="251"/>
      <c r="AQ677" s="251"/>
      <c r="AR677" s="251"/>
      <c r="AS677" s="251"/>
    </row>
    <row r="678" spans="1:45" s="44" customFormat="1" x14ac:dyDescent="0.2">
      <c r="A678" s="71"/>
      <c r="B678" s="71"/>
      <c r="C678" s="71"/>
      <c r="D678" s="251"/>
      <c r="E678" s="251"/>
      <c r="F678" s="251"/>
      <c r="G678" s="251"/>
      <c r="H678" s="251"/>
      <c r="I678" s="251"/>
      <c r="J678" s="251"/>
      <c r="K678" s="251"/>
      <c r="L678" s="251"/>
      <c r="M678" s="251"/>
      <c r="N678" s="251"/>
      <c r="O678" s="251"/>
      <c r="P678" s="251"/>
      <c r="Q678" s="251"/>
      <c r="R678" s="251"/>
      <c r="S678" s="251"/>
      <c r="T678" s="251"/>
      <c r="U678" s="251"/>
      <c r="V678" s="251"/>
      <c r="W678" s="251"/>
      <c r="X678" s="251"/>
      <c r="Y678" s="251"/>
      <c r="Z678" s="251"/>
      <c r="AA678" s="251"/>
      <c r="AB678" s="251"/>
      <c r="AC678" s="251"/>
      <c r="AD678" s="251"/>
      <c r="AE678" s="251"/>
      <c r="AF678" s="251"/>
      <c r="AG678" s="251"/>
      <c r="AH678" s="251"/>
      <c r="AI678" s="251"/>
      <c r="AJ678" s="251"/>
      <c r="AK678" s="251"/>
      <c r="AL678" s="251"/>
      <c r="AM678" s="251"/>
      <c r="AN678" s="251"/>
      <c r="AO678" s="251"/>
      <c r="AP678" s="251"/>
      <c r="AQ678" s="251"/>
      <c r="AR678" s="251"/>
      <c r="AS678" s="251"/>
    </row>
    <row r="679" spans="1:45" s="44" customFormat="1" x14ac:dyDescent="0.2">
      <c r="A679" s="71"/>
      <c r="B679" s="71"/>
      <c r="C679" s="71"/>
      <c r="D679" s="251"/>
      <c r="E679" s="251"/>
      <c r="F679" s="251"/>
      <c r="G679" s="251"/>
      <c r="H679" s="251"/>
      <c r="I679" s="251"/>
      <c r="J679" s="251"/>
      <c r="K679" s="251"/>
      <c r="L679" s="251"/>
      <c r="M679" s="251"/>
      <c r="N679" s="251"/>
      <c r="O679" s="251"/>
      <c r="P679" s="251"/>
      <c r="Q679" s="251"/>
      <c r="R679" s="251"/>
      <c r="S679" s="251"/>
      <c r="T679" s="251"/>
      <c r="U679" s="251"/>
      <c r="V679" s="251"/>
      <c r="W679" s="251"/>
      <c r="X679" s="251"/>
      <c r="Y679" s="251"/>
      <c r="Z679" s="251"/>
      <c r="AA679" s="251"/>
      <c r="AB679" s="251"/>
      <c r="AC679" s="251"/>
      <c r="AD679" s="251"/>
      <c r="AE679" s="251"/>
      <c r="AF679" s="251"/>
      <c r="AG679" s="251"/>
      <c r="AH679" s="251"/>
      <c r="AI679" s="251"/>
      <c r="AJ679" s="251"/>
      <c r="AK679" s="251"/>
      <c r="AL679" s="251"/>
      <c r="AM679" s="251"/>
      <c r="AN679" s="251"/>
      <c r="AO679" s="251"/>
      <c r="AP679" s="251"/>
      <c r="AQ679" s="251"/>
      <c r="AR679" s="251"/>
      <c r="AS679" s="251"/>
    </row>
    <row r="680" spans="1:45" s="44" customFormat="1" x14ac:dyDescent="0.2">
      <c r="A680" s="71"/>
      <c r="B680" s="71"/>
      <c r="C680" s="71"/>
      <c r="D680" s="251"/>
      <c r="E680" s="251"/>
      <c r="F680" s="251"/>
      <c r="G680" s="251"/>
      <c r="H680" s="251"/>
      <c r="I680" s="251"/>
      <c r="J680" s="251"/>
      <c r="K680" s="251"/>
      <c r="L680" s="251"/>
      <c r="M680" s="251"/>
      <c r="N680" s="251"/>
      <c r="O680" s="251"/>
      <c r="P680" s="251"/>
      <c r="Q680" s="251"/>
      <c r="R680" s="251"/>
      <c r="S680" s="251"/>
      <c r="T680" s="251"/>
      <c r="U680" s="251"/>
      <c r="V680" s="251"/>
      <c r="W680" s="251"/>
      <c r="X680" s="251"/>
      <c r="Y680" s="251"/>
      <c r="Z680" s="251"/>
      <c r="AA680" s="251"/>
      <c r="AB680" s="251"/>
      <c r="AC680" s="251"/>
      <c r="AD680" s="251"/>
      <c r="AE680" s="251"/>
      <c r="AF680" s="251"/>
      <c r="AG680" s="251"/>
      <c r="AH680" s="251"/>
      <c r="AI680" s="251"/>
      <c r="AJ680" s="251"/>
      <c r="AK680" s="251"/>
      <c r="AL680" s="251"/>
      <c r="AM680" s="251"/>
      <c r="AN680" s="251"/>
      <c r="AO680" s="251"/>
      <c r="AP680" s="251"/>
      <c r="AQ680" s="251"/>
      <c r="AR680" s="251"/>
      <c r="AS680" s="251"/>
    </row>
    <row r="681" spans="1:45" s="44" customFormat="1" x14ac:dyDescent="0.2">
      <c r="A681" s="71"/>
      <c r="B681" s="71"/>
      <c r="C681" s="71"/>
      <c r="D681" s="251"/>
      <c r="E681" s="251"/>
      <c r="F681" s="251"/>
      <c r="G681" s="251"/>
      <c r="H681" s="251"/>
      <c r="I681" s="251"/>
      <c r="J681" s="251"/>
      <c r="K681" s="251"/>
      <c r="L681" s="251"/>
      <c r="M681" s="251"/>
      <c r="N681" s="251"/>
      <c r="O681" s="251"/>
      <c r="P681" s="251"/>
      <c r="Q681" s="251"/>
      <c r="R681" s="251"/>
      <c r="S681" s="251"/>
      <c r="T681" s="251"/>
      <c r="U681" s="251"/>
      <c r="V681" s="251"/>
      <c r="W681" s="251"/>
      <c r="X681" s="251"/>
      <c r="Y681" s="251"/>
      <c r="Z681" s="251"/>
      <c r="AA681" s="251"/>
      <c r="AB681" s="251"/>
      <c r="AC681" s="251"/>
      <c r="AD681" s="251"/>
      <c r="AE681" s="251"/>
      <c r="AF681" s="251"/>
      <c r="AG681" s="251"/>
      <c r="AH681" s="251"/>
      <c r="AI681" s="251"/>
      <c r="AJ681" s="251"/>
      <c r="AK681" s="251"/>
      <c r="AL681" s="251"/>
      <c r="AM681" s="251"/>
      <c r="AN681" s="251"/>
      <c r="AO681" s="251"/>
      <c r="AP681" s="251"/>
      <c r="AQ681" s="251"/>
      <c r="AR681" s="251"/>
      <c r="AS681" s="251"/>
    </row>
    <row r="682" spans="1:45" s="44" customFormat="1" x14ac:dyDescent="0.2">
      <c r="A682" s="71"/>
      <c r="B682" s="71"/>
      <c r="C682" s="71"/>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c r="AA682" s="251"/>
      <c r="AB682" s="251"/>
      <c r="AC682" s="251"/>
      <c r="AD682" s="251"/>
      <c r="AE682" s="251"/>
      <c r="AF682" s="251"/>
      <c r="AG682" s="251"/>
      <c r="AH682" s="251"/>
      <c r="AI682" s="251"/>
      <c r="AJ682" s="251"/>
      <c r="AK682" s="251"/>
      <c r="AL682" s="251"/>
      <c r="AM682" s="251"/>
      <c r="AN682" s="251"/>
      <c r="AO682" s="251"/>
      <c r="AP682" s="251"/>
      <c r="AQ682" s="251"/>
      <c r="AR682" s="251"/>
      <c r="AS682" s="251"/>
    </row>
    <row r="683" spans="1:45" s="44" customFormat="1" x14ac:dyDescent="0.2">
      <c r="A683" s="71"/>
      <c r="B683" s="71"/>
      <c r="C683" s="71"/>
      <c r="D683" s="251"/>
      <c r="E683" s="251"/>
      <c r="F683" s="251"/>
      <c r="G683" s="251"/>
      <c r="H683" s="251"/>
      <c r="I683" s="251"/>
      <c r="J683" s="251"/>
      <c r="K683" s="251"/>
      <c r="L683" s="251"/>
      <c r="M683" s="251"/>
      <c r="N683" s="251"/>
      <c r="O683" s="251"/>
      <c r="P683" s="251"/>
      <c r="Q683" s="251"/>
      <c r="R683" s="251"/>
      <c r="S683" s="251"/>
      <c r="T683" s="251"/>
      <c r="U683" s="251"/>
      <c r="V683" s="251"/>
      <c r="W683" s="251"/>
      <c r="X683" s="251"/>
      <c r="Y683" s="251"/>
      <c r="Z683" s="251"/>
      <c r="AA683" s="251"/>
      <c r="AB683" s="251"/>
      <c r="AC683" s="251"/>
      <c r="AD683" s="251"/>
      <c r="AE683" s="251"/>
      <c r="AF683" s="251"/>
      <c r="AG683" s="251"/>
      <c r="AH683" s="251"/>
      <c r="AI683" s="251"/>
      <c r="AJ683" s="251"/>
      <c r="AK683" s="251"/>
      <c r="AL683" s="251"/>
      <c r="AM683" s="251"/>
      <c r="AN683" s="251"/>
      <c r="AO683" s="251"/>
      <c r="AP683" s="251"/>
      <c r="AQ683" s="251"/>
      <c r="AR683" s="251"/>
      <c r="AS683" s="251"/>
    </row>
    <row r="684" spans="1:45" s="44" customFormat="1" x14ac:dyDescent="0.2">
      <c r="A684" s="71"/>
      <c r="B684" s="71"/>
      <c r="C684" s="71"/>
      <c r="D684" s="251"/>
      <c r="E684" s="251"/>
      <c r="F684" s="251"/>
      <c r="G684" s="251"/>
      <c r="H684" s="251"/>
      <c r="I684" s="251"/>
      <c r="J684" s="251"/>
      <c r="K684" s="251"/>
      <c r="L684" s="251"/>
      <c r="M684" s="251"/>
      <c r="N684" s="251"/>
      <c r="O684" s="251"/>
      <c r="P684" s="251"/>
      <c r="Q684" s="251"/>
      <c r="R684" s="251"/>
      <c r="S684" s="251"/>
      <c r="T684" s="251"/>
      <c r="U684" s="251"/>
      <c r="V684" s="251"/>
      <c r="W684" s="251"/>
      <c r="X684" s="251"/>
      <c r="Y684" s="251"/>
      <c r="Z684" s="251"/>
      <c r="AA684" s="251"/>
      <c r="AB684" s="251"/>
      <c r="AC684" s="251"/>
      <c r="AD684" s="251"/>
      <c r="AE684" s="251"/>
      <c r="AF684" s="251"/>
      <c r="AG684" s="251"/>
      <c r="AH684" s="251"/>
      <c r="AI684" s="251"/>
      <c r="AJ684" s="251"/>
      <c r="AK684" s="251"/>
      <c r="AL684" s="251"/>
      <c r="AM684" s="251"/>
      <c r="AN684" s="251"/>
      <c r="AO684" s="251"/>
      <c r="AP684" s="251"/>
      <c r="AQ684" s="251"/>
      <c r="AR684" s="251"/>
      <c r="AS684" s="251"/>
    </row>
    <row r="685" spans="1:45" s="44" customFormat="1" x14ac:dyDescent="0.2">
      <c r="A685" s="71"/>
      <c r="B685" s="71"/>
      <c r="C685" s="71"/>
      <c r="D685" s="251"/>
      <c r="E685" s="251"/>
      <c r="F685" s="251"/>
      <c r="G685" s="251"/>
      <c r="H685" s="251"/>
      <c r="I685" s="251"/>
      <c r="J685" s="251"/>
      <c r="K685" s="251"/>
      <c r="L685" s="251"/>
      <c r="M685" s="251"/>
      <c r="N685" s="251"/>
      <c r="O685" s="251"/>
      <c r="P685" s="251"/>
      <c r="Q685" s="251"/>
      <c r="R685" s="251"/>
      <c r="S685" s="251"/>
      <c r="T685" s="251"/>
      <c r="U685" s="251"/>
      <c r="V685" s="251"/>
      <c r="W685" s="251"/>
      <c r="X685" s="251"/>
      <c r="Y685" s="251"/>
      <c r="Z685" s="251"/>
      <c r="AA685" s="251"/>
      <c r="AB685" s="251"/>
      <c r="AC685" s="251"/>
      <c r="AD685" s="251"/>
      <c r="AE685" s="251"/>
      <c r="AF685" s="251"/>
      <c r="AG685" s="251"/>
      <c r="AH685" s="251"/>
      <c r="AI685" s="251"/>
      <c r="AJ685" s="251"/>
      <c r="AK685" s="251"/>
      <c r="AL685" s="251"/>
      <c r="AM685" s="251"/>
      <c r="AN685" s="251"/>
      <c r="AO685" s="251"/>
      <c r="AP685" s="251"/>
      <c r="AQ685" s="251"/>
      <c r="AR685" s="251"/>
      <c r="AS685" s="251"/>
    </row>
    <row r="686" spans="1:45" s="44" customFormat="1" x14ac:dyDescent="0.2">
      <c r="A686" s="71"/>
      <c r="B686" s="71"/>
      <c r="C686" s="7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251"/>
      <c r="AE686" s="251"/>
      <c r="AF686" s="251"/>
      <c r="AG686" s="251"/>
      <c r="AH686" s="251"/>
      <c r="AI686" s="251"/>
      <c r="AJ686" s="251"/>
      <c r="AK686" s="251"/>
      <c r="AL686" s="251"/>
      <c r="AM686" s="251"/>
      <c r="AN686" s="251"/>
      <c r="AO686" s="251"/>
      <c r="AP686" s="251"/>
      <c r="AQ686" s="251"/>
      <c r="AR686" s="251"/>
      <c r="AS686" s="251"/>
    </row>
    <row r="687" spans="1:45" s="44" customFormat="1" x14ac:dyDescent="0.2">
      <c r="A687" s="71"/>
      <c r="B687" s="71"/>
      <c r="C687" s="71"/>
      <c r="D687" s="251"/>
      <c r="E687" s="251"/>
      <c r="F687" s="251"/>
      <c r="G687" s="251"/>
      <c r="H687" s="251"/>
      <c r="I687" s="251"/>
      <c r="J687" s="251"/>
      <c r="K687" s="251"/>
      <c r="L687" s="251"/>
      <c r="M687" s="251"/>
      <c r="N687" s="251"/>
      <c r="O687" s="251"/>
      <c r="P687" s="251"/>
      <c r="Q687" s="251"/>
      <c r="R687" s="251"/>
      <c r="S687" s="251"/>
      <c r="T687" s="251"/>
      <c r="U687" s="251"/>
      <c r="V687" s="251"/>
      <c r="W687" s="251"/>
      <c r="X687" s="251"/>
      <c r="Y687" s="251"/>
      <c r="Z687" s="251"/>
      <c r="AA687" s="251"/>
      <c r="AB687" s="251"/>
      <c r="AC687" s="251"/>
      <c r="AD687" s="251"/>
      <c r="AE687" s="251"/>
      <c r="AF687" s="251"/>
      <c r="AG687" s="251"/>
      <c r="AH687" s="251"/>
      <c r="AI687" s="251"/>
      <c r="AJ687" s="251"/>
      <c r="AK687" s="251"/>
      <c r="AL687" s="251"/>
      <c r="AM687" s="251"/>
      <c r="AN687" s="251"/>
      <c r="AO687" s="251"/>
      <c r="AP687" s="251"/>
      <c r="AQ687" s="251"/>
      <c r="AR687" s="251"/>
      <c r="AS687" s="251"/>
    </row>
    <row r="688" spans="1:45" s="44" customFormat="1" x14ac:dyDescent="0.2">
      <c r="A688" s="71"/>
      <c r="B688" s="71"/>
      <c r="C688" s="71"/>
      <c r="D688" s="251"/>
      <c r="E688" s="251"/>
      <c r="F688" s="251"/>
      <c r="G688" s="251"/>
      <c r="H688" s="251"/>
      <c r="I688" s="251"/>
      <c r="J688" s="251"/>
      <c r="K688" s="251"/>
      <c r="L688" s="251"/>
      <c r="M688" s="251"/>
      <c r="N688" s="251"/>
      <c r="O688" s="251"/>
      <c r="P688" s="251"/>
      <c r="Q688" s="251"/>
      <c r="R688" s="251"/>
      <c r="S688" s="251"/>
      <c r="T688" s="251"/>
      <c r="U688" s="251"/>
      <c r="V688" s="251"/>
      <c r="W688" s="251"/>
      <c r="X688" s="251"/>
      <c r="Y688" s="251"/>
      <c r="Z688" s="251"/>
      <c r="AA688" s="251"/>
      <c r="AB688" s="251"/>
      <c r="AC688" s="251"/>
      <c r="AD688" s="251"/>
      <c r="AE688" s="251"/>
      <c r="AF688" s="251"/>
      <c r="AG688" s="251"/>
      <c r="AH688" s="251"/>
      <c r="AI688" s="251"/>
      <c r="AJ688" s="251"/>
      <c r="AK688" s="251"/>
      <c r="AL688" s="251"/>
      <c r="AM688" s="251"/>
      <c r="AN688" s="251"/>
      <c r="AO688" s="251"/>
      <c r="AP688" s="251"/>
      <c r="AQ688" s="251"/>
      <c r="AR688" s="251"/>
      <c r="AS688" s="251"/>
    </row>
    <row r="689" spans="1:45" s="44" customFormat="1" x14ac:dyDescent="0.2">
      <c r="A689" s="71"/>
      <c r="B689" s="71"/>
      <c r="C689" s="71"/>
      <c r="D689" s="251"/>
      <c r="E689" s="251"/>
      <c r="F689" s="251"/>
      <c r="G689" s="251"/>
      <c r="H689" s="251"/>
      <c r="I689" s="251"/>
      <c r="J689" s="251"/>
      <c r="K689" s="251"/>
      <c r="L689" s="251"/>
      <c r="M689" s="251"/>
      <c r="N689" s="251"/>
      <c r="O689" s="251"/>
      <c r="P689" s="251"/>
      <c r="Q689" s="251"/>
      <c r="R689" s="251"/>
      <c r="S689" s="251"/>
      <c r="T689" s="251"/>
      <c r="U689" s="251"/>
      <c r="V689" s="251"/>
      <c r="W689" s="251"/>
      <c r="X689" s="251"/>
      <c r="Y689" s="251"/>
      <c r="Z689" s="251"/>
      <c r="AA689" s="251"/>
      <c r="AB689" s="251"/>
      <c r="AC689" s="251"/>
      <c r="AD689" s="251"/>
      <c r="AE689" s="251"/>
      <c r="AF689" s="251"/>
      <c r="AG689" s="251"/>
      <c r="AH689" s="251"/>
      <c r="AI689" s="251"/>
      <c r="AJ689" s="251"/>
      <c r="AK689" s="251"/>
      <c r="AL689" s="251"/>
      <c r="AM689" s="251"/>
      <c r="AN689" s="251"/>
      <c r="AO689" s="251"/>
      <c r="AP689" s="251"/>
      <c r="AQ689" s="251"/>
      <c r="AR689" s="251"/>
      <c r="AS689" s="251"/>
    </row>
    <row r="690" spans="1:45" s="44" customFormat="1" x14ac:dyDescent="0.2">
      <c r="A690" s="71"/>
      <c r="B690" s="71"/>
      <c r="C690" s="71"/>
      <c r="D690" s="251"/>
      <c r="E690" s="251"/>
      <c r="F690" s="251"/>
      <c r="G690" s="251"/>
      <c r="H690" s="251"/>
      <c r="I690" s="251"/>
      <c r="J690" s="251"/>
      <c r="K690" s="251"/>
      <c r="L690" s="251"/>
      <c r="M690" s="251"/>
      <c r="N690" s="251"/>
      <c r="O690" s="251"/>
      <c r="P690" s="251"/>
      <c r="Q690" s="251"/>
      <c r="R690" s="251"/>
      <c r="S690" s="251"/>
      <c r="T690" s="251"/>
      <c r="U690" s="251"/>
      <c r="V690" s="251"/>
      <c r="W690" s="251"/>
      <c r="X690" s="251"/>
      <c r="Y690" s="251"/>
      <c r="Z690" s="251"/>
      <c r="AA690" s="251"/>
      <c r="AB690" s="251"/>
      <c r="AC690" s="251"/>
      <c r="AD690" s="251"/>
      <c r="AE690" s="251"/>
      <c r="AF690" s="251"/>
      <c r="AG690" s="251"/>
      <c r="AH690" s="251"/>
      <c r="AI690" s="251"/>
      <c r="AJ690" s="251"/>
      <c r="AK690" s="251"/>
      <c r="AL690" s="251"/>
      <c r="AM690" s="251"/>
      <c r="AN690" s="251"/>
      <c r="AO690" s="251"/>
      <c r="AP690" s="251"/>
      <c r="AQ690" s="251"/>
      <c r="AR690" s="251"/>
      <c r="AS690" s="251"/>
    </row>
    <row r="691" spans="1:45" s="44" customFormat="1" x14ac:dyDescent="0.2">
      <c r="A691" s="71"/>
      <c r="B691" s="71"/>
      <c r="C691" s="71"/>
      <c r="D691" s="251"/>
      <c r="E691" s="251"/>
      <c r="F691" s="251"/>
      <c r="G691" s="251"/>
      <c r="H691" s="251"/>
      <c r="I691" s="251"/>
      <c r="J691" s="251"/>
      <c r="K691" s="251"/>
      <c r="L691" s="251"/>
      <c r="M691" s="251"/>
      <c r="N691" s="251"/>
      <c r="O691" s="251"/>
      <c r="P691" s="251"/>
      <c r="Q691" s="251"/>
      <c r="R691" s="251"/>
      <c r="S691" s="251"/>
      <c r="T691" s="251"/>
      <c r="U691" s="251"/>
      <c r="V691" s="251"/>
      <c r="W691" s="251"/>
      <c r="X691" s="251"/>
      <c r="Y691" s="251"/>
      <c r="Z691" s="251"/>
      <c r="AA691" s="251"/>
      <c r="AB691" s="251"/>
      <c r="AC691" s="251"/>
      <c r="AD691" s="251"/>
      <c r="AE691" s="251"/>
      <c r="AF691" s="251"/>
      <c r="AG691" s="251"/>
      <c r="AH691" s="251"/>
      <c r="AI691" s="251"/>
      <c r="AJ691" s="251"/>
      <c r="AK691" s="251"/>
      <c r="AL691" s="251"/>
      <c r="AM691" s="251"/>
      <c r="AN691" s="251"/>
      <c r="AO691" s="251"/>
      <c r="AP691" s="251"/>
      <c r="AQ691" s="251"/>
      <c r="AR691" s="251"/>
      <c r="AS691" s="251"/>
    </row>
    <row r="692" spans="1:45" s="44" customFormat="1" x14ac:dyDescent="0.2">
      <c r="A692" s="71"/>
      <c r="B692" s="71"/>
      <c r="C692" s="71"/>
      <c r="D692" s="251"/>
      <c r="E692" s="251"/>
      <c r="F692" s="251"/>
      <c r="G692" s="251"/>
      <c r="H692" s="251"/>
      <c r="I692" s="251"/>
      <c r="J692" s="251"/>
      <c r="K692" s="251"/>
      <c r="L692" s="251"/>
      <c r="M692" s="251"/>
      <c r="N692" s="251"/>
      <c r="O692" s="251"/>
      <c r="P692" s="251"/>
      <c r="Q692" s="251"/>
      <c r="R692" s="251"/>
      <c r="S692" s="251"/>
      <c r="T692" s="251"/>
      <c r="U692" s="251"/>
      <c r="V692" s="251"/>
      <c r="W692" s="251"/>
      <c r="X692" s="251"/>
      <c r="Y692" s="251"/>
      <c r="Z692" s="251"/>
      <c r="AA692" s="251"/>
      <c r="AB692" s="251"/>
      <c r="AC692" s="251"/>
      <c r="AD692" s="251"/>
      <c r="AE692" s="251"/>
      <c r="AF692" s="251"/>
      <c r="AG692" s="251"/>
      <c r="AH692" s="251"/>
      <c r="AI692" s="251"/>
      <c r="AJ692" s="251"/>
      <c r="AK692" s="251"/>
      <c r="AL692" s="251"/>
      <c r="AM692" s="251"/>
      <c r="AN692" s="251"/>
      <c r="AO692" s="251"/>
      <c r="AP692" s="251"/>
      <c r="AQ692" s="251"/>
      <c r="AR692" s="251"/>
      <c r="AS692" s="251"/>
    </row>
    <row r="693" spans="1:45" s="44" customFormat="1" x14ac:dyDescent="0.2">
      <c r="A693" s="71"/>
      <c r="B693" s="71"/>
      <c r="C693" s="71"/>
      <c r="D693" s="251"/>
      <c r="E693" s="251"/>
      <c r="F693" s="251"/>
      <c r="G693" s="251"/>
      <c r="H693" s="251"/>
      <c r="I693" s="251"/>
      <c r="J693" s="251"/>
      <c r="K693" s="251"/>
      <c r="L693" s="251"/>
      <c r="M693" s="251"/>
      <c r="N693" s="251"/>
      <c r="O693" s="251"/>
      <c r="P693" s="251"/>
      <c r="Q693" s="251"/>
      <c r="R693" s="251"/>
      <c r="S693" s="251"/>
      <c r="T693" s="251"/>
      <c r="U693" s="251"/>
      <c r="V693" s="251"/>
      <c r="W693" s="251"/>
      <c r="X693" s="251"/>
      <c r="Y693" s="251"/>
      <c r="Z693" s="251"/>
      <c r="AA693" s="251"/>
      <c r="AB693" s="251"/>
      <c r="AC693" s="251"/>
      <c r="AD693" s="251"/>
      <c r="AE693" s="251"/>
      <c r="AF693" s="251"/>
      <c r="AG693" s="251"/>
      <c r="AH693" s="251"/>
      <c r="AI693" s="251"/>
      <c r="AJ693" s="251"/>
      <c r="AK693" s="251"/>
      <c r="AL693" s="251"/>
      <c r="AM693" s="251"/>
      <c r="AN693" s="251"/>
      <c r="AO693" s="251"/>
      <c r="AP693" s="251"/>
      <c r="AQ693" s="251"/>
      <c r="AR693" s="251"/>
      <c r="AS693" s="251"/>
    </row>
    <row r="694" spans="1:45" s="44" customFormat="1" x14ac:dyDescent="0.2">
      <c r="A694" s="71"/>
      <c r="B694" s="71"/>
      <c r="C694" s="71"/>
      <c r="D694" s="251"/>
      <c r="E694" s="251"/>
      <c r="F694" s="251"/>
      <c r="G694" s="251"/>
      <c r="H694" s="251"/>
      <c r="I694" s="251"/>
      <c r="J694" s="251"/>
      <c r="K694" s="251"/>
      <c r="L694" s="251"/>
      <c r="M694" s="251"/>
      <c r="N694" s="251"/>
      <c r="O694" s="251"/>
      <c r="P694" s="251"/>
      <c r="Q694" s="251"/>
      <c r="R694" s="251"/>
      <c r="S694" s="251"/>
      <c r="T694" s="251"/>
      <c r="U694" s="251"/>
      <c r="V694" s="251"/>
      <c r="W694" s="251"/>
      <c r="X694" s="251"/>
      <c r="Y694" s="251"/>
      <c r="Z694" s="251"/>
      <c r="AA694" s="251"/>
      <c r="AB694" s="251"/>
      <c r="AC694" s="251"/>
      <c r="AD694" s="251"/>
      <c r="AE694" s="251"/>
      <c r="AF694" s="251"/>
      <c r="AG694" s="251"/>
      <c r="AH694" s="251"/>
      <c r="AI694" s="251"/>
      <c r="AJ694" s="251"/>
      <c r="AK694" s="251"/>
      <c r="AL694" s="251"/>
      <c r="AM694" s="251"/>
      <c r="AN694" s="251"/>
      <c r="AO694" s="251"/>
      <c r="AP694" s="251"/>
      <c r="AQ694" s="251"/>
      <c r="AR694" s="251"/>
      <c r="AS694" s="251"/>
    </row>
    <row r="695" spans="1:45" s="44" customFormat="1" x14ac:dyDescent="0.2">
      <c r="A695" s="71"/>
      <c r="B695" s="71"/>
      <c r="C695" s="71"/>
      <c r="D695" s="251"/>
      <c r="E695" s="251"/>
      <c r="F695" s="251"/>
      <c r="G695" s="251"/>
      <c r="H695" s="251"/>
      <c r="I695" s="251"/>
      <c r="J695" s="251"/>
      <c r="K695" s="251"/>
      <c r="L695" s="251"/>
      <c r="M695" s="251"/>
      <c r="N695" s="251"/>
      <c r="O695" s="251"/>
      <c r="P695" s="251"/>
      <c r="Q695" s="251"/>
      <c r="R695" s="251"/>
      <c r="S695" s="251"/>
      <c r="T695" s="251"/>
      <c r="U695" s="251"/>
      <c r="V695" s="251"/>
      <c r="W695" s="251"/>
      <c r="X695" s="251"/>
      <c r="Y695" s="251"/>
      <c r="Z695" s="251"/>
      <c r="AA695" s="251"/>
      <c r="AB695" s="251"/>
      <c r="AC695" s="251"/>
      <c r="AD695" s="251"/>
      <c r="AE695" s="251"/>
      <c r="AF695" s="251"/>
      <c r="AG695" s="251"/>
      <c r="AH695" s="251"/>
      <c r="AI695" s="251"/>
      <c r="AJ695" s="251"/>
      <c r="AK695" s="251"/>
      <c r="AL695" s="251"/>
      <c r="AM695" s="251"/>
      <c r="AN695" s="251"/>
      <c r="AO695" s="251"/>
      <c r="AP695" s="251"/>
      <c r="AQ695" s="251"/>
      <c r="AR695" s="251"/>
      <c r="AS695" s="251"/>
    </row>
    <row r="696" spans="1:45" s="44" customFormat="1" x14ac:dyDescent="0.2">
      <c r="A696" s="71"/>
      <c r="B696" s="71"/>
      <c r="C696" s="71"/>
      <c r="D696" s="251"/>
      <c r="E696" s="251"/>
      <c r="F696" s="251"/>
      <c r="G696" s="251"/>
      <c r="H696" s="251"/>
      <c r="I696" s="251"/>
      <c r="J696" s="251"/>
      <c r="K696" s="251"/>
      <c r="L696" s="251"/>
      <c r="M696" s="251"/>
      <c r="N696" s="251"/>
      <c r="O696" s="251"/>
      <c r="P696" s="251"/>
      <c r="Q696" s="251"/>
      <c r="R696" s="251"/>
      <c r="S696" s="251"/>
      <c r="T696" s="251"/>
      <c r="U696" s="251"/>
      <c r="V696" s="251"/>
      <c r="W696" s="251"/>
      <c r="X696" s="251"/>
      <c r="Y696" s="251"/>
      <c r="Z696" s="251"/>
      <c r="AA696" s="251"/>
      <c r="AB696" s="251"/>
      <c r="AC696" s="251"/>
      <c r="AD696" s="251"/>
      <c r="AE696" s="251"/>
      <c r="AF696" s="251"/>
      <c r="AG696" s="251"/>
      <c r="AH696" s="251"/>
      <c r="AI696" s="251"/>
      <c r="AJ696" s="251"/>
      <c r="AK696" s="251"/>
      <c r="AL696" s="251"/>
      <c r="AM696" s="251"/>
      <c r="AN696" s="251"/>
      <c r="AO696" s="251"/>
      <c r="AP696" s="251"/>
      <c r="AQ696" s="251"/>
      <c r="AR696" s="251"/>
      <c r="AS696" s="251"/>
    </row>
    <row r="697" spans="1:45" s="44" customFormat="1" x14ac:dyDescent="0.2">
      <c r="A697" s="71"/>
      <c r="B697" s="71"/>
      <c r="C697" s="71"/>
      <c r="D697" s="251"/>
      <c r="E697" s="251"/>
      <c r="F697" s="251"/>
      <c r="G697" s="251"/>
      <c r="H697" s="251"/>
      <c r="I697" s="251"/>
      <c r="J697" s="251"/>
      <c r="K697" s="251"/>
      <c r="L697" s="251"/>
      <c r="M697" s="251"/>
      <c r="N697" s="251"/>
      <c r="O697" s="251"/>
      <c r="P697" s="251"/>
      <c r="Q697" s="251"/>
      <c r="R697" s="251"/>
      <c r="S697" s="251"/>
      <c r="T697" s="251"/>
      <c r="U697" s="251"/>
      <c r="V697" s="251"/>
      <c r="W697" s="251"/>
      <c r="X697" s="251"/>
      <c r="Y697" s="251"/>
      <c r="Z697" s="251"/>
      <c r="AA697" s="251"/>
      <c r="AB697" s="251"/>
      <c r="AC697" s="251"/>
      <c r="AD697" s="251"/>
      <c r="AE697" s="251"/>
      <c r="AF697" s="251"/>
      <c r="AG697" s="251"/>
      <c r="AH697" s="251"/>
      <c r="AI697" s="251"/>
      <c r="AJ697" s="251"/>
      <c r="AK697" s="251"/>
      <c r="AL697" s="251"/>
      <c r="AM697" s="251"/>
      <c r="AN697" s="251"/>
      <c r="AO697" s="251"/>
      <c r="AP697" s="251"/>
      <c r="AQ697" s="251"/>
      <c r="AR697" s="251"/>
      <c r="AS697" s="251"/>
    </row>
    <row r="698" spans="1:45" s="44" customFormat="1" x14ac:dyDescent="0.2">
      <c r="A698" s="71"/>
      <c r="B698" s="71"/>
      <c r="C698" s="71"/>
      <c r="D698" s="251"/>
      <c r="E698" s="251"/>
      <c r="F698" s="251"/>
      <c r="G698" s="251"/>
      <c r="H698" s="251"/>
      <c r="I698" s="251"/>
      <c r="J698" s="251"/>
      <c r="K698" s="251"/>
      <c r="L698" s="251"/>
      <c r="M698" s="251"/>
      <c r="N698" s="251"/>
      <c r="O698" s="251"/>
      <c r="P698" s="251"/>
      <c r="Q698" s="251"/>
      <c r="R698" s="251"/>
      <c r="S698" s="251"/>
      <c r="T698" s="251"/>
      <c r="U698" s="251"/>
      <c r="V698" s="251"/>
      <c r="W698" s="251"/>
      <c r="X698" s="251"/>
      <c r="Y698" s="251"/>
      <c r="Z698" s="251"/>
      <c r="AA698" s="251"/>
      <c r="AB698" s="251"/>
      <c r="AC698" s="251"/>
      <c r="AD698" s="251"/>
      <c r="AE698" s="251"/>
      <c r="AF698" s="251"/>
      <c r="AG698" s="251"/>
      <c r="AH698" s="251"/>
      <c r="AI698" s="251"/>
      <c r="AJ698" s="251"/>
      <c r="AK698" s="251"/>
      <c r="AL698" s="251"/>
      <c r="AM698" s="251"/>
      <c r="AN698" s="251"/>
      <c r="AO698" s="251"/>
      <c r="AP698" s="251"/>
      <c r="AQ698" s="251"/>
      <c r="AR698" s="251"/>
      <c r="AS698" s="251"/>
    </row>
    <row r="699" spans="1:45" s="44" customFormat="1" x14ac:dyDescent="0.2">
      <c r="A699" s="71"/>
      <c r="B699" s="71"/>
      <c r="C699" s="71"/>
      <c r="D699" s="251"/>
      <c r="E699" s="251"/>
      <c r="F699" s="251"/>
      <c r="G699" s="251"/>
      <c r="H699" s="251"/>
      <c r="I699" s="251"/>
      <c r="J699" s="251"/>
      <c r="K699" s="251"/>
      <c r="L699" s="251"/>
      <c r="M699" s="251"/>
      <c r="N699" s="251"/>
      <c r="O699" s="251"/>
      <c r="P699" s="251"/>
      <c r="Q699" s="251"/>
      <c r="R699" s="251"/>
      <c r="S699" s="251"/>
      <c r="T699" s="251"/>
      <c r="U699" s="251"/>
      <c r="V699" s="251"/>
      <c r="W699" s="251"/>
      <c r="X699" s="251"/>
      <c r="Y699" s="251"/>
      <c r="Z699" s="251"/>
      <c r="AA699" s="251"/>
      <c r="AB699" s="251"/>
      <c r="AC699" s="251"/>
      <c r="AD699" s="251"/>
      <c r="AE699" s="251"/>
      <c r="AF699" s="251"/>
      <c r="AG699" s="251"/>
      <c r="AH699" s="251"/>
      <c r="AI699" s="251"/>
      <c r="AJ699" s="251"/>
      <c r="AK699" s="251"/>
      <c r="AL699" s="251"/>
      <c r="AM699" s="251"/>
      <c r="AN699" s="251"/>
      <c r="AO699" s="251"/>
      <c r="AP699" s="251"/>
      <c r="AQ699" s="251"/>
      <c r="AR699" s="251"/>
      <c r="AS699" s="251"/>
    </row>
    <row r="700" spans="1:45" s="44" customFormat="1" x14ac:dyDescent="0.2">
      <c r="A700" s="71"/>
      <c r="B700" s="71"/>
      <c r="C700" s="71"/>
      <c r="D700" s="251"/>
      <c r="E700" s="251"/>
      <c r="F700" s="251"/>
      <c r="G700" s="251"/>
      <c r="H700" s="251"/>
      <c r="I700" s="251"/>
      <c r="J700" s="251"/>
      <c r="K700" s="251"/>
      <c r="L700" s="251"/>
      <c r="M700" s="251"/>
      <c r="N700" s="251"/>
      <c r="O700" s="251"/>
      <c r="P700" s="251"/>
      <c r="Q700" s="251"/>
      <c r="R700" s="251"/>
      <c r="S700" s="251"/>
      <c r="T700" s="251"/>
      <c r="U700" s="251"/>
      <c r="V700" s="251"/>
      <c r="W700" s="251"/>
      <c r="X700" s="251"/>
      <c r="Y700" s="251"/>
      <c r="Z700" s="251"/>
      <c r="AA700" s="251"/>
      <c r="AB700" s="251"/>
      <c r="AC700" s="251"/>
      <c r="AD700" s="251"/>
      <c r="AE700" s="251"/>
      <c r="AF700" s="251"/>
      <c r="AG700" s="251"/>
      <c r="AH700" s="251"/>
      <c r="AI700" s="251"/>
      <c r="AJ700" s="251"/>
      <c r="AK700" s="251"/>
      <c r="AL700" s="251"/>
      <c r="AM700" s="251"/>
      <c r="AN700" s="251"/>
      <c r="AO700" s="251"/>
      <c r="AP700" s="251"/>
      <c r="AQ700" s="251"/>
      <c r="AR700" s="251"/>
      <c r="AS700" s="251"/>
    </row>
    <row r="701" spans="1:45" s="44" customFormat="1" x14ac:dyDescent="0.2">
      <c r="A701" s="71"/>
      <c r="B701" s="71"/>
      <c r="C701" s="71"/>
      <c r="D701" s="251"/>
      <c r="E701" s="251"/>
      <c r="F701" s="251"/>
      <c r="G701" s="251"/>
      <c r="H701" s="251"/>
      <c r="I701" s="251"/>
      <c r="J701" s="251"/>
      <c r="K701" s="251"/>
      <c r="L701" s="251"/>
      <c r="M701" s="251"/>
      <c r="N701" s="251"/>
      <c r="O701" s="251"/>
      <c r="P701" s="251"/>
      <c r="Q701" s="251"/>
      <c r="R701" s="251"/>
      <c r="S701" s="251"/>
      <c r="T701" s="251"/>
      <c r="U701" s="251"/>
      <c r="V701" s="251"/>
      <c r="W701" s="251"/>
      <c r="X701" s="251"/>
      <c r="Y701" s="251"/>
      <c r="Z701" s="251"/>
      <c r="AA701" s="251"/>
      <c r="AB701" s="251"/>
      <c r="AC701" s="251"/>
      <c r="AD701" s="251"/>
      <c r="AE701" s="251"/>
      <c r="AF701" s="251"/>
      <c r="AG701" s="251"/>
      <c r="AH701" s="251"/>
      <c r="AI701" s="251"/>
      <c r="AJ701" s="251"/>
      <c r="AK701" s="251"/>
      <c r="AL701" s="251"/>
      <c r="AM701" s="251"/>
      <c r="AN701" s="251"/>
      <c r="AO701" s="251"/>
      <c r="AP701" s="251"/>
      <c r="AQ701" s="251"/>
      <c r="AR701" s="251"/>
      <c r="AS701" s="251"/>
    </row>
    <row r="702" spans="1:45" s="44" customFormat="1" x14ac:dyDescent="0.2">
      <c r="A702" s="71"/>
      <c r="B702" s="71"/>
      <c r="C702" s="71"/>
      <c r="D702" s="251"/>
      <c r="E702" s="251"/>
      <c r="F702" s="251"/>
      <c r="G702" s="251"/>
      <c r="H702" s="251"/>
      <c r="I702" s="251"/>
      <c r="J702" s="251"/>
      <c r="K702" s="251"/>
      <c r="L702" s="251"/>
      <c r="M702" s="251"/>
      <c r="N702" s="251"/>
      <c r="O702" s="251"/>
      <c r="P702" s="251"/>
      <c r="Q702" s="251"/>
      <c r="R702" s="251"/>
      <c r="S702" s="251"/>
      <c r="T702" s="251"/>
      <c r="U702" s="251"/>
      <c r="V702" s="251"/>
      <c r="W702" s="251"/>
      <c r="X702" s="251"/>
      <c r="Y702" s="251"/>
      <c r="Z702" s="251"/>
      <c r="AA702" s="251"/>
      <c r="AB702" s="251"/>
      <c r="AC702" s="251"/>
      <c r="AD702" s="251"/>
      <c r="AE702" s="251"/>
      <c r="AF702" s="251"/>
      <c r="AG702" s="251"/>
      <c r="AH702" s="251"/>
      <c r="AI702" s="251"/>
      <c r="AJ702" s="251"/>
      <c r="AK702" s="251"/>
      <c r="AL702" s="251"/>
      <c r="AM702" s="251"/>
      <c r="AN702" s="251"/>
      <c r="AO702" s="251"/>
      <c r="AP702" s="251"/>
      <c r="AQ702" s="251"/>
      <c r="AR702" s="251"/>
      <c r="AS702" s="251"/>
    </row>
    <row r="703" spans="1:45" s="44" customFormat="1" x14ac:dyDescent="0.2">
      <c r="A703" s="71"/>
      <c r="B703" s="71"/>
      <c r="C703" s="71"/>
      <c r="D703" s="251"/>
      <c r="E703" s="251"/>
      <c r="F703" s="251"/>
      <c r="G703" s="251"/>
      <c r="H703" s="251"/>
      <c r="I703" s="251"/>
      <c r="J703" s="251"/>
      <c r="K703" s="251"/>
      <c r="L703" s="251"/>
      <c r="M703" s="251"/>
      <c r="N703" s="251"/>
      <c r="O703" s="251"/>
      <c r="P703" s="251"/>
      <c r="Q703" s="251"/>
      <c r="R703" s="251"/>
      <c r="S703" s="251"/>
      <c r="T703" s="251"/>
      <c r="U703" s="251"/>
      <c r="V703" s="251"/>
      <c r="W703" s="251"/>
      <c r="X703" s="251"/>
      <c r="Y703" s="251"/>
      <c r="Z703" s="251"/>
      <c r="AA703" s="251"/>
      <c r="AB703" s="251"/>
      <c r="AC703" s="251"/>
      <c r="AD703" s="251"/>
      <c r="AE703" s="251"/>
      <c r="AF703" s="251"/>
      <c r="AG703" s="251"/>
      <c r="AH703" s="251"/>
      <c r="AI703" s="251"/>
      <c r="AJ703" s="251"/>
      <c r="AK703" s="251"/>
      <c r="AL703" s="251"/>
      <c r="AM703" s="251"/>
      <c r="AN703" s="251"/>
      <c r="AO703" s="251"/>
      <c r="AP703" s="251"/>
      <c r="AQ703" s="251"/>
      <c r="AR703" s="251"/>
      <c r="AS703" s="251"/>
    </row>
    <row r="704" spans="1:45" s="44" customFormat="1" x14ac:dyDescent="0.2">
      <c r="A704" s="71"/>
      <c r="B704" s="71"/>
      <c r="C704" s="71"/>
      <c r="D704" s="251"/>
      <c r="E704" s="251"/>
      <c r="F704" s="251"/>
      <c r="G704" s="251"/>
      <c r="H704" s="251"/>
      <c r="I704" s="251"/>
      <c r="J704" s="251"/>
      <c r="K704" s="251"/>
      <c r="L704" s="251"/>
      <c r="M704" s="251"/>
      <c r="N704" s="251"/>
      <c r="O704" s="251"/>
      <c r="P704" s="251"/>
      <c r="Q704" s="251"/>
      <c r="R704" s="251"/>
      <c r="S704" s="251"/>
      <c r="T704" s="251"/>
      <c r="U704" s="251"/>
      <c r="V704" s="251"/>
      <c r="W704" s="251"/>
      <c r="X704" s="251"/>
      <c r="Y704" s="251"/>
      <c r="Z704" s="251"/>
      <c r="AA704" s="251"/>
      <c r="AB704" s="251"/>
      <c r="AC704" s="251"/>
      <c r="AD704" s="251"/>
      <c r="AE704" s="251"/>
      <c r="AF704" s="251"/>
      <c r="AG704" s="251"/>
      <c r="AH704" s="251"/>
      <c r="AI704" s="251"/>
      <c r="AJ704" s="251"/>
      <c r="AK704" s="251"/>
      <c r="AL704" s="251"/>
      <c r="AM704" s="251"/>
      <c r="AN704" s="251"/>
      <c r="AO704" s="251"/>
      <c r="AP704" s="251"/>
      <c r="AQ704" s="251"/>
      <c r="AR704" s="251"/>
      <c r="AS704" s="251"/>
    </row>
    <row r="705" spans="1:45" s="44" customFormat="1" x14ac:dyDescent="0.2">
      <c r="A705" s="71"/>
      <c r="B705" s="71"/>
      <c r="C705" s="71"/>
      <c r="D705" s="251"/>
      <c r="E705" s="251"/>
      <c r="F705" s="251"/>
      <c r="G705" s="251"/>
      <c r="H705" s="251"/>
      <c r="I705" s="251"/>
      <c r="J705" s="251"/>
      <c r="K705" s="251"/>
      <c r="L705" s="251"/>
      <c r="M705" s="251"/>
      <c r="N705" s="251"/>
      <c r="O705" s="251"/>
      <c r="P705" s="251"/>
      <c r="Q705" s="251"/>
      <c r="R705" s="251"/>
      <c r="S705" s="251"/>
      <c r="T705" s="251"/>
      <c r="U705" s="251"/>
      <c r="V705" s="251"/>
      <c r="W705" s="251"/>
      <c r="X705" s="251"/>
      <c r="Y705" s="251"/>
      <c r="Z705" s="251"/>
      <c r="AA705" s="251"/>
      <c r="AB705" s="251"/>
      <c r="AC705" s="251"/>
      <c r="AD705" s="251"/>
      <c r="AE705" s="251"/>
      <c r="AF705" s="251"/>
      <c r="AG705" s="251"/>
      <c r="AH705" s="251"/>
      <c r="AI705" s="251"/>
      <c r="AJ705" s="251"/>
      <c r="AK705" s="251"/>
      <c r="AL705" s="251"/>
      <c r="AM705" s="251"/>
      <c r="AN705" s="251"/>
      <c r="AO705" s="251"/>
      <c r="AP705" s="251"/>
      <c r="AQ705" s="251"/>
      <c r="AR705" s="251"/>
      <c r="AS705" s="251"/>
    </row>
    <row r="706" spans="1:45" s="44" customFormat="1" x14ac:dyDescent="0.2">
      <c r="A706" s="71"/>
      <c r="B706" s="71"/>
      <c r="C706" s="7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c r="AA706" s="251"/>
      <c r="AB706" s="251"/>
      <c r="AC706" s="251"/>
      <c r="AD706" s="251"/>
      <c r="AE706" s="251"/>
      <c r="AF706" s="251"/>
      <c r="AG706" s="251"/>
      <c r="AH706" s="251"/>
      <c r="AI706" s="251"/>
      <c r="AJ706" s="251"/>
      <c r="AK706" s="251"/>
      <c r="AL706" s="251"/>
      <c r="AM706" s="251"/>
      <c r="AN706" s="251"/>
      <c r="AO706" s="251"/>
      <c r="AP706" s="251"/>
      <c r="AQ706" s="251"/>
      <c r="AR706" s="251"/>
      <c r="AS706" s="251"/>
    </row>
    <row r="707" spans="1:45" s="44" customFormat="1" x14ac:dyDescent="0.2">
      <c r="A707" s="71"/>
      <c r="B707" s="71"/>
      <c r="C707" s="71"/>
      <c r="D707" s="251"/>
      <c r="E707" s="251"/>
      <c r="F707" s="251"/>
      <c r="G707" s="251"/>
      <c r="H707" s="251"/>
      <c r="I707" s="251"/>
      <c r="J707" s="251"/>
      <c r="K707" s="251"/>
      <c r="L707" s="251"/>
      <c r="M707" s="251"/>
      <c r="N707" s="251"/>
      <c r="O707" s="251"/>
      <c r="P707" s="251"/>
      <c r="Q707" s="251"/>
      <c r="R707" s="251"/>
      <c r="S707" s="251"/>
      <c r="T707" s="251"/>
      <c r="U707" s="251"/>
      <c r="V707" s="251"/>
      <c r="W707" s="251"/>
      <c r="X707" s="251"/>
      <c r="Y707" s="251"/>
      <c r="Z707" s="251"/>
      <c r="AA707" s="251"/>
      <c r="AB707" s="251"/>
      <c r="AC707" s="251"/>
      <c r="AD707" s="251"/>
      <c r="AE707" s="251"/>
      <c r="AF707" s="251"/>
      <c r="AG707" s="251"/>
      <c r="AH707" s="251"/>
      <c r="AI707" s="251"/>
      <c r="AJ707" s="251"/>
      <c r="AK707" s="251"/>
      <c r="AL707" s="251"/>
      <c r="AM707" s="251"/>
      <c r="AN707" s="251"/>
      <c r="AO707" s="251"/>
      <c r="AP707" s="251"/>
      <c r="AQ707" s="251"/>
      <c r="AR707" s="251"/>
      <c r="AS707" s="251"/>
    </row>
    <row r="708" spans="1:45" s="44" customFormat="1" x14ac:dyDescent="0.2">
      <c r="A708" s="71"/>
      <c r="B708" s="71"/>
      <c r="C708" s="71"/>
      <c r="D708" s="251"/>
      <c r="E708" s="251"/>
      <c r="F708" s="251"/>
      <c r="G708" s="251"/>
      <c r="H708" s="251"/>
      <c r="I708" s="251"/>
      <c r="J708" s="251"/>
      <c r="K708" s="251"/>
      <c r="L708" s="251"/>
      <c r="M708" s="251"/>
      <c r="N708" s="251"/>
      <c r="O708" s="251"/>
      <c r="P708" s="251"/>
      <c r="Q708" s="251"/>
      <c r="R708" s="251"/>
      <c r="S708" s="251"/>
      <c r="T708" s="251"/>
      <c r="U708" s="251"/>
      <c r="V708" s="251"/>
      <c r="W708" s="251"/>
      <c r="X708" s="251"/>
      <c r="Y708" s="251"/>
      <c r="Z708" s="251"/>
      <c r="AA708" s="251"/>
      <c r="AB708" s="251"/>
      <c r="AC708" s="251"/>
      <c r="AD708" s="251"/>
      <c r="AE708" s="251"/>
      <c r="AF708" s="251"/>
      <c r="AG708" s="251"/>
      <c r="AH708" s="251"/>
      <c r="AI708" s="251"/>
      <c r="AJ708" s="251"/>
      <c r="AK708" s="251"/>
      <c r="AL708" s="251"/>
      <c r="AM708" s="251"/>
      <c r="AN708" s="251"/>
      <c r="AO708" s="251"/>
      <c r="AP708" s="251"/>
      <c r="AQ708" s="251"/>
      <c r="AR708" s="251"/>
      <c r="AS708" s="251"/>
    </row>
    <row r="709" spans="1:45" s="44" customFormat="1" x14ac:dyDescent="0.2">
      <c r="A709" s="71"/>
      <c r="B709" s="71"/>
      <c r="C709" s="71"/>
      <c r="D709" s="251"/>
      <c r="E709" s="251"/>
      <c r="F709" s="251"/>
      <c r="G709" s="251"/>
      <c r="H709" s="251"/>
      <c r="I709" s="251"/>
      <c r="J709" s="251"/>
      <c r="K709" s="251"/>
      <c r="L709" s="251"/>
      <c r="M709" s="251"/>
      <c r="N709" s="251"/>
      <c r="O709" s="251"/>
      <c r="P709" s="251"/>
      <c r="Q709" s="251"/>
      <c r="R709" s="251"/>
      <c r="S709" s="251"/>
      <c r="T709" s="251"/>
      <c r="U709" s="251"/>
      <c r="V709" s="251"/>
      <c r="W709" s="251"/>
      <c r="X709" s="251"/>
      <c r="Y709" s="251"/>
      <c r="Z709" s="251"/>
      <c r="AA709" s="251"/>
      <c r="AB709" s="251"/>
      <c r="AC709" s="251"/>
      <c r="AD709" s="251"/>
      <c r="AE709" s="251"/>
      <c r="AF709" s="251"/>
      <c r="AG709" s="251"/>
      <c r="AH709" s="251"/>
      <c r="AI709" s="251"/>
      <c r="AJ709" s="251"/>
      <c r="AK709" s="251"/>
      <c r="AL709" s="251"/>
      <c r="AM709" s="251"/>
      <c r="AN709" s="251"/>
      <c r="AO709" s="251"/>
      <c r="AP709" s="251"/>
      <c r="AQ709" s="251"/>
      <c r="AR709" s="251"/>
      <c r="AS709" s="251"/>
    </row>
    <row r="710" spans="1:45" s="44" customFormat="1" x14ac:dyDescent="0.2">
      <c r="A710" s="71"/>
      <c r="B710" s="71"/>
      <c r="C710" s="71"/>
      <c r="D710" s="251"/>
      <c r="E710" s="251"/>
      <c r="F710" s="251"/>
      <c r="G710" s="251"/>
      <c r="H710" s="251"/>
      <c r="I710" s="251"/>
      <c r="J710" s="251"/>
      <c r="K710" s="251"/>
      <c r="L710" s="251"/>
      <c r="M710" s="251"/>
      <c r="N710" s="251"/>
      <c r="O710" s="251"/>
      <c r="P710" s="251"/>
      <c r="Q710" s="251"/>
      <c r="R710" s="251"/>
      <c r="S710" s="251"/>
      <c r="T710" s="251"/>
      <c r="U710" s="251"/>
      <c r="V710" s="251"/>
      <c r="W710" s="251"/>
      <c r="X710" s="251"/>
      <c r="Y710" s="251"/>
      <c r="Z710" s="251"/>
      <c r="AA710" s="251"/>
      <c r="AB710" s="251"/>
      <c r="AC710" s="251"/>
      <c r="AD710" s="251"/>
      <c r="AE710" s="251"/>
      <c r="AF710" s="251"/>
      <c r="AG710" s="251"/>
      <c r="AH710" s="251"/>
      <c r="AI710" s="251"/>
      <c r="AJ710" s="251"/>
      <c r="AK710" s="251"/>
      <c r="AL710" s="251"/>
      <c r="AM710" s="251"/>
      <c r="AN710" s="251"/>
      <c r="AO710" s="251"/>
      <c r="AP710" s="251"/>
      <c r="AQ710" s="251"/>
      <c r="AR710" s="251"/>
      <c r="AS710" s="251"/>
    </row>
    <row r="711" spans="1:45" s="44" customFormat="1" x14ac:dyDescent="0.2">
      <c r="A711" s="71"/>
      <c r="B711" s="71"/>
      <c r="C711" s="71"/>
      <c r="D711" s="251"/>
      <c r="E711" s="251"/>
      <c r="F711" s="251"/>
      <c r="G711" s="251"/>
      <c r="H711" s="251"/>
      <c r="I711" s="251"/>
      <c r="J711" s="251"/>
      <c r="K711" s="251"/>
      <c r="L711" s="251"/>
      <c r="M711" s="251"/>
      <c r="N711" s="251"/>
      <c r="O711" s="251"/>
      <c r="P711" s="251"/>
      <c r="Q711" s="251"/>
      <c r="R711" s="251"/>
      <c r="S711" s="251"/>
      <c r="T711" s="251"/>
      <c r="U711" s="251"/>
      <c r="V711" s="251"/>
      <c r="W711" s="251"/>
      <c r="X711" s="251"/>
      <c r="Y711" s="251"/>
      <c r="Z711" s="251"/>
      <c r="AA711" s="251"/>
      <c r="AB711" s="251"/>
      <c r="AC711" s="251"/>
      <c r="AD711" s="251"/>
      <c r="AE711" s="251"/>
      <c r="AF711" s="251"/>
      <c r="AG711" s="251"/>
      <c r="AH711" s="251"/>
      <c r="AI711" s="251"/>
      <c r="AJ711" s="251"/>
      <c r="AK711" s="251"/>
      <c r="AL711" s="251"/>
      <c r="AM711" s="251"/>
      <c r="AN711" s="251"/>
      <c r="AO711" s="251"/>
      <c r="AP711" s="251"/>
      <c r="AQ711" s="251"/>
      <c r="AR711" s="251"/>
      <c r="AS711" s="251"/>
    </row>
    <row r="712" spans="1:45" s="44" customFormat="1" x14ac:dyDescent="0.2">
      <c r="A712" s="71"/>
      <c r="B712" s="71"/>
      <c r="C712" s="71"/>
      <c r="D712" s="251"/>
      <c r="E712" s="251"/>
      <c r="F712" s="251"/>
      <c r="G712" s="251"/>
      <c r="H712" s="251"/>
      <c r="I712" s="251"/>
      <c r="J712" s="251"/>
      <c r="K712" s="251"/>
      <c r="L712" s="251"/>
      <c r="M712" s="251"/>
      <c r="N712" s="251"/>
      <c r="O712" s="251"/>
      <c r="P712" s="251"/>
      <c r="Q712" s="251"/>
      <c r="R712" s="251"/>
      <c r="S712" s="251"/>
      <c r="T712" s="251"/>
      <c r="U712" s="251"/>
      <c r="V712" s="251"/>
      <c r="W712" s="251"/>
      <c r="X712" s="251"/>
      <c r="Y712" s="251"/>
      <c r="Z712" s="251"/>
      <c r="AA712" s="251"/>
      <c r="AB712" s="251"/>
      <c r="AC712" s="251"/>
      <c r="AD712" s="251"/>
      <c r="AE712" s="251"/>
      <c r="AF712" s="251"/>
      <c r="AG712" s="251"/>
      <c r="AH712" s="251"/>
      <c r="AI712" s="251"/>
      <c r="AJ712" s="251"/>
      <c r="AK712" s="251"/>
      <c r="AL712" s="251"/>
      <c r="AM712" s="251"/>
      <c r="AN712" s="251"/>
      <c r="AO712" s="251"/>
      <c r="AP712" s="251"/>
      <c r="AQ712" s="251"/>
      <c r="AR712" s="251"/>
      <c r="AS712" s="251"/>
    </row>
    <row r="713" spans="1:45" s="44" customFormat="1" x14ac:dyDescent="0.2">
      <c r="A713" s="71"/>
      <c r="B713" s="71"/>
      <c r="C713" s="71"/>
      <c r="D713" s="251"/>
      <c r="E713" s="251"/>
      <c r="F713" s="251"/>
      <c r="G713" s="251"/>
      <c r="H713" s="251"/>
      <c r="I713" s="251"/>
      <c r="J713" s="251"/>
      <c r="K713" s="251"/>
      <c r="L713" s="251"/>
      <c r="M713" s="251"/>
      <c r="N713" s="251"/>
      <c r="O713" s="251"/>
      <c r="P713" s="251"/>
      <c r="Q713" s="251"/>
      <c r="R713" s="251"/>
      <c r="S713" s="251"/>
      <c r="T713" s="251"/>
      <c r="U713" s="251"/>
      <c r="V713" s="251"/>
      <c r="W713" s="251"/>
      <c r="X713" s="251"/>
      <c r="Y713" s="251"/>
      <c r="Z713" s="251"/>
      <c r="AA713" s="251"/>
      <c r="AB713" s="251"/>
      <c r="AC713" s="251"/>
      <c r="AD713" s="251"/>
      <c r="AE713" s="251"/>
      <c r="AF713" s="251"/>
      <c r="AG713" s="251"/>
      <c r="AH713" s="251"/>
      <c r="AI713" s="251"/>
      <c r="AJ713" s="251"/>
      <c r="AK713" s="251"/>
      <c r="AL713" s="251"/>
      <c r="AM713" s="251"/>
      <c r="AN713" s="251"/>
      <c r="AO713" s="251"/>
      <c r="AP713" s="251"/>
      <c r="AQ713" s="251"/>
      <c r="AR713" s="251"/>
      <c r="AS713" s="251"/>
    </row>
    <row r="714" spans="1:45" s="44" customFormat="1" x14ac:dyDescent="0.2">
      <c r="A714" s="71"/>
      <c r="B714" s="71"/>
      <c r="C714" s="71"/>
      <c r="D714" s="251"/>
      <c r="E714" s="251"/>
      <c r="F714" s="251"/>
      <c r="G714" s="251"/>
      <c r="H714" s="251"/>
      <c r="I714" s="251"/>
      <c r="J714" s="251"/>
      <c r="K714" s="251"/>
      <c r="L714" s="251"/>
      <c r="M714" s="251"/>
      <c r="N714" s="251"/>
      <c r="O714" s="251"/>
      <c r="P714" s="251"/>
      <c r="Q714" s="251"/>
      <c r="R714" s="251"/>
      <c r="S714" s="251"/>
      <c r="T714" s="251"/>
      <c r="U714" s="251"/>
      <c r="V714" s="251"/>
      <c r="W714" s="251"/>
      <c r="X714" s="251"/>
      <c r="Y714" s="251"/>
      <c r="Z714" s="251"/>
      <c r="AA714" s="251"/>
      <c r="AB714" s="251"/>
      <c r="AC714" s="251"/>
      <c r="AD714" s="251"/>
      <c r="AE714" s="251"/>
      <c r="AF714" s="251"/>
      <c r="AG714" s="251"/>
      <c r="AH714" s="251"/>
      <c r="AI714" s="251"/>
      <c r="AJ714" s="251"/>
      <c r="AK714" s="251"/>
      <c r="AL714" s="251"/>
      <c r="AM714" s="251"/>
      <c r="AN714" s="251"/>
      <c r="AO714" s="251"/>
      <c r="AP714" s="251"/>
      <c r="AQ714" s="251"/>
      <c r="AR714" s="251"/>
      <c r="AS714" s="251"/>
    </row>
    <row r="715" spans="1:45" s="44" customFormat="1" x14ac:dyDescent="0.2">
      <c r="A715" s="71"/>
      <c r="B715" s="71"/>
      <c r="C715" s="71"/>
      <c r="D715" s="251"/>
      <c r="E715" s="251"/>
      <c r="F715" s="251"/>
      <c r="G715" s="251"/>
      <c r="H715" s="251"/>
      <c r="I715" s="251"/>
      <c r="J715" s="251"/>
      <c r="K715" s="251"/>
      <c r="L715" s="251"/>
      <c r="M715" s="251"/>
      <c r="N715" s="251"/>
      <c r="O715" s="251"/>
      <c r="P715" s="251"/>
      <c r="Q715" s="251"/>
      <c r="R715" s="251"/>
      <c r="S715" s="251"/>
      <c r="T715" s="251"/>
      <c r="U715" s="251"/>
      <c r="V715" s="251"/>
      <c r="W715" s="251"/>
      <c r="X715" s="251"/>
      <c r="Y715" s="251"/>
      <c r="Z715" s="251"/>
      <c r="AA715" s="251"/>
      <c r="AB715" s="251"/>
      <c r="AC715" s="251"/>
      <c r="AD715" s="251"/>
      <c r="AE715" s="251"/>
      <c r="AF715" s="251"/>
      <c r="AG715" s="251"/>
      <c r="AH715" s="251"/>
      <c r="AI715" s="251"/>
      <c r="AJ715" s="251"/>
      <c r="AK715" s="251"/>
      <c r="AL715" s="251"/>
      <c r="AM715" s="251"/>
      <c r="AN715" s="251"/>
      <c r="AO715" s="251"/>
      <c r="AP715" s="251"/>
      <c r="AQ715" s="251"/>
      <c r="AR715" s="251"/>
      <c r="AS715" s="251"/>
    </row>
    <row r="716" spans="1:45" s="44" customFormat="1" x14ac:dyDescent="0.2">
      <c r="A716" s="71"/>
      <c r="B716" s="71"/>
      <c r="C716" s="71"/>
      <c r="D716" s="251"/>
      <c r="E716" s="251"/>
      <c r="F716" s="251"/>
      <c r="G716" s="251"/>
      <c r="H716" s="251"/>
      <c r="I716" s="251"/>
      <c r="J716" s="251"/>
      <c r="K716" s="251"/>
      <c r="L716" s="251"/>
      <c r="M716" s="251"/>
      <c r="N716" s="251"/>
      <c r="O716" s="251"/>
      <c r="P716" s="251"/>
      <c r="Q716" s="251"/>
      <c r="R716" s="251"/>
      <c r="S716" s="251"/>
      <c r="T716" s="251"/>
      <c r="U716" s="251"/>
      <c r="V716" s="251"/>
      <c r="W716" s="251"/>
      <c r="X716" s="251"/>
      <c r="Y716" s="251"/>
      <c r="Z716" s="251"/>
      <c r="AA716" s="251"/>
      <c r="AB716" s="251"/>
      <c r="AC716" s="251"/>
      <c r="AD716" s="251"/>
      <c r="AE716" s="251"/>
      <c r="AF716" s="251"/>
      <c r="AG716" s="251"/>
      <c r="AH716" s="251"/>
      <c r="AI716" s="251"/>
      <c r="AJ716" s="251"/>
      <c r="AK716" s="251"/>
      <c r="AL716" s="251"/>
      <c r="AM716" s="251"/>
      <c r="AN716" s="251"/>
      <c r="AO716" s="251"/>
      <c r="AP716" s="251"/>
      <c r="AQ716" s="251"/>
      <c r="AR716" s="251"/>
      <c r="AS716" s="251"/>
    </row>
    <row r="717" spans="1:45" s="44" customFormat="1" x14ac:dyDescent="0.2">
      <c r="A717" s="71"/>
      <c r="B717" s="71"/>
      <c r="C717" s="71"/>
      <c r="D717" s="251"/>
      <c r="E717" s="251"/>
      <c r="F717" s="251"/>
      <c r="G717" s="251"/>
      <c r="H717" s="251"/>
      <c r="I717" s="251"/>
      <c r="J717" s="251"/>
      <c r="K717" s="251"/>
      <c r="L717" s="251"/>
      <c r="M717" s="251"/>
      <c r="N717" s="251"/>
      <c r="O717" s="251"/>
      <c r="P717" s="251"/>
      <c r="Q717" s="251"/>
      <c r="R717" s="251"/>
      <c r="S717" s="251"/>
      <c r="T717" s="251"/>
      <c r="U717" s="251"/>
      <c r="V717" s="251"/>
      <c r="W717" s="251"/>
      <c r="X717" s="251"/>
      <c r="Y717" s="251"/>
      <c r="Z717" s="251"/>
      <c r="AA717" s="251"/>
      <c r="AB717" s="251"/>
      <c r="AC717" s="251"/>
      <c r="AD717" s="251"/>
      <c r="AE717" s="251"/>
      <c r="AF717" s="251"/>
      <c r="AG717" s="251"/>
      <c r="AH717" s="251"/>
      <c r="AI717" s="251"/>
      <c r="AJ717" s="251"/>
      <c r="AK717" s="251"/>
      <c r="AL717" s="251"/>
      <c r="AM717" s="251"/>
      <c r="AN717" s="251"/>
      <c r="AO717" s="251"/>
      <c r="AP717" s="251"/>
      <c r="AQ717" s="251"/>
      <c r="AR717" s="251"/>
      <c r="AS717" s="251"/>
    </row>
    <row r="718" spans="1:45" s="44" customFormat="1" x14ac:dyDescent="0.2">
      <c r="A718" s="71"/>
      <c r="B718" s="71"/>
      <c r="C718" s="7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c r="AC718" s="251"/>
      <c r="AD718" s="251"/>
      <c r="AE718" s="251"/>
      <c r="AF718" s="251"/>
      <c r="AG718" s="251"/>
      <c r="AH718" s="251"/>
      <c r="AI718" s="251"/>
      <c r="AJ718" s="251"/>
      <c r="AK718" s="251"/>
      <c r="AL718" s="251"/>
      <c r="AM718" s="251"/>
      <c r="AN718" s="251"/>
      <c r="AO718" s="251"/>
      <c r="AP718" s="251"/>
      <c r="AQ718" s="251"/>
      <c r="AR718" s="251"/>
      <c r="AS718" s="251"/>
    </row>
    <row r="719" spans="1:45" s="44" customFormat="1" x14ac:dyDescent="0.2">
      <c r="A719" s="71"/>
      <c r="B719" s="71"/>
      <c r="C719" s="71"/>
      <c r="D719" s="251"/>
      <c r="E719" s="251"/>
      <c r="F719" s="251"/>
      <c r="G719" s="251"/>
      <c r="H719" s="251"/>
      <c r="I719" s="251"/>
      <c r="J719" s="251"/>
      <c r="K719" s="251"/>
      <c r="L719" s="251"/>
      <c r="M719" s="251"/>
      <c r="N719" s="251"/>
      <c r="O719" s="251"/>
      <c r="P719" s="251"/>
      <c r="Q719" s="251"/>
      <c r="R719" s="251"/>
      <c r="S719" s="251"/>
      <c r="T719" s="251"/>
      <c r="U719" s="251"/>
      <c r="V719" s="251"/>
      <c r="W719" s="251"/>
      <c r="X719" s="251"/>
      <c r="Y719" s="251"/>
      <c r="Z719" s="251"/>
      <c r="AA719" s="251"/>
      <c r="AB719" s="251"/>
      <c r="AC719" s="251"/>
      <c r="AD719" s="251"/>
      <c r="AE719" s="251"/>
      <c r="AF719" s="251"/>
      <c r="AG719" s="251"/>
      <c r="AH719" s="251"/>
      <c r="AI719" s="251"/>
      <c r="AJ719" s="251"/>
      <c r="AK719" s="251"/>
      <c r="AL719" s="251"/>
      <c r="AM719" s="251"/>
      <c r="AN719" s="251"/>
      <c r="AO719" s="251"/>
      <c r="AP719" s="251"/>
      <c r="AQ719" s="251"/>
      <c r="AR719" s="251"/>
      <c r="AS719" s="251"/>
    </row>
    <row r="720" spans="1:45" s="44" customFormat="1" x14ac:dyDescent="0.2">
      <c r="A720" s="71"/>
      <c r="B720" s="71"/>
      <c r="C720" s="71"/>
      <c r="D720" s="251"/>
      <c r="E720" s="251"/>
      <c r="F720" s="251"/>
      <c r="G720" s="251"/>
      <c r="H720" s="251"/>
      <c r="I720" s="251"/>
      <c r="J720" s="251"/>
      <c r="K720" s="251"/>
      <c r="L720" s="251"/>
      <c r="M720" s="251"/>
      <c r="N720" s="251"/>
      <c r="O720" s="251"/>
      <c r="P720" s="251"/>
      <c r="Q720" s="251"/>
      <c r="R720" s="251"/>
      <c r="S720" s="251"/>
      <c r="T720" s="251"/>
      <c r="U720" s="251"/>
      <c r="V720" s="251"/>
      <c r="W720" s="251"/>
      <c r="X720" s="251"/>
      <c r="Y720" s="251"/>
      <c r="Z720" s="251"/>
      <c r="AA720" s="251"/>
      <c r="AB720" s="251"/>
      <c r="AC720" s="251"/>
      <c r="AD720" s="251"/>
      <c r="AE720" s="251"/>
      <c r="AF720" s="251"/>
      <c r="AG720" s="251"/>
      <c r="AH720" s="251"/>
      <c r="AI720" s="251"/>
      <c r="AJ720" s="251"/>
      <c r="AK720" s="251"/>
      <c r="AL720" s="251"/>
      <c r="AM720" s="251"/>
      <c r="AN720" s="251"/>
      <c r="AO720" s="251"/>
      <c r="AP720" s="251"/>
      <c r="AQ720" s="251"/>
      <c r="AR720" s="251"/>
      <c r="AS720" s="251"/>
    </row>
    <row r="721" spans="1:45" s="44" customFormat="1" x14ac:dyDescent="0.2">
      <c r="A721" s="71"/>
      <c r="B721" s="71"/>
      <c r="C721" s="71"/>
      <c r="D721" s="251"/>
      <c r="E721" s="251"/>
      <c r="F721" s="251"/>
      <c r="G721" s="251"/>
      <c r="H721" s="251"/>
      <c r="I721" s="251"/>
      <c r="J721" s="251"/>
      <c r="K721" s="251"/>
      <c r="L721" s="251"/>
      <c r="M721" s="251"/>
      <c r="N721" s="251"/>
      <c r="O721" s="251"/>
      <c r="P721" s="251"/>
      <c r="Q721" s="251"/>
      <c r="R721" s="251"/>
      <c r="S721" s="251"/>
      <c r="T721" s="251"/>
      <c r="U721" s="251"/>
      <c r="V721" s="251"/>
      <c r="W721" s="251"/>
      <c r="X721" s="251"/>
      <c r="Y721" s="251"/>
      <c r="Z721" s="251"/>
      <c r="AA721" s="251"/>
      <c r="AB721" s="251"/>
      <c r="AC721" s="251"/>
      <c r="AD721" s="251"/>
      <c r="AE721" s="251"/>
      <c r="AF721" s="251"/>
      <c r="AG721" s="251"/>
      <c r="AH721" s="251"/>
      <c r="AI721" s="251"/>
      <c r="AJ721" s="251"/>
      <c r="AK721" s="251"/>
      <c r="AL721" s="251"/>
      <c r="AM721" s="251"/>
      <c r="AN721" s="251"/>
      <c r="AO721" s="251"/>
      <c r="AP721" s="251"/>
      <c r="AQ721" s="251"/>
      <c r="AR721" s="251"/>
      <c r="AS721" s="251"/>
    </row>
    <row r="722" spans="1:45" s="44" customFormat="1" x14ac:dyDescent="0.2">
      <c r="A722" s="71"/>
      <c r="B722" s="71"/>
      <c r="C722" s="71"/>
      <c r="D722" s="251"/>
      <c r="E722" s="251"/>
      <c r="F722" s="251"/>
      <c r="G722" s="251"/>
      <c r="H722" s="251"/>
      <c r="I722" s="251"/>
      <c r="J722" s="251"/>
      <c r="K722" s="251"/>
      <c r="L722" s="251"/>
      <c r="M722" s="251"/>
      <c r="N722" s="251"/>
      <c r="O722" s="251"/>
      <c r="P722" s="251"/>
      <c r="Q722" s="251"/>
      <c r="R722" s="251"/>
      <c r="S722" s="251"/>
      <c r="T722" s="251"/>
      <c r="U722" s="251"/>
      <c r="V722" s="251"/>
      <c r="W722" s="251"/>
      <c r="X722" s="251"/>
      <c r="Y722" s="251"/>
      <c r="Z722" s="251"/>
      <c r="AA722" s="251"/>
      <c r="AB722" s="251"/>
      <c r="AC722" s="251"/>
      <c r="AD722" s="251"/>
      <c r="AE722" s="251"/>
      <c r="AF722" s="251"/>
      <c r="AG722" s="251"/>
      <c r="AH722" s="251"/>
      <c r="AI722" s="251"/>
      <c r="AJ722" s="251"/>
      <c r="AK722" s="251"/>
      <c r="AL722" s="251"/>
      <c r="AM722" s="251"/>
      <c r="AN722" s="251"/>
      <c r="AO722" s="251"/>
      <c r="AP722" s="251"/>
      <c r="AQ722" s="251"/>
      <c r="AR722" s="251"/>
      <c r="AS722" s="251"/>
    </row>
    <row r="723" spans="1:45" s="44" customFormat="1" x14ac:dyDescent="0.2">
      <c r="A723" s="71"/>
      <c r="B723" s="71"/>
      <c r="C723" s="71"/>
      <c r="D723" s="251"/>
      <c r="E723" s="251"/>
      <c r="F723" s="251"/>
      <c r="G723" s="251"/>
      <c r="H723" s="251"/>
      <c r="I723" s="251"/>
      <c r="J723" s="251"/>
      <c r="K723" s="251"/>
      <c r="L723" s="251"/>
      <c r="M723" s="251"/>
      <c r="N723" s="251"/>
      <c r="O723" s="251"/>
      <c r="P723" s="251"/>
      <c r="Q723" s="251"/>
      <c r="R723" s="251"/>
      <c r="S723" s="251"/>
      <c r="T723" s="251"/>
      <c r="U723" s="251"/>
      <c r="V723" s="251"/>
      <c r="W723" s="251"/>
      <c r="X723" s="251"/>
      <c r="Y723" s="251"/>
      <c r="Z723" s="251"/>
      <c r="AA723" s="251"/>
      <c r="AB723" s="251"/>
      <c r="AC723" s="251"/>
      <c r="AD723" s="251"/>
      <c r="AE723" s="251"/>
      <c r="AF723" s="251"/>
      <c r="AG723" s="251"/>
      <c r="AH723" s="251"/>
      <c r="AI723" s="251"/>
      <c r="AJ723" s="251"/>
      <c r="AK723" s="251"/>
      <c r="AL723" s="251"/>
      <c r="AM723" s="251"/>
      <c r="AN723" s="251"/>
      <c r="AO723" s="251"/>
      <c r="AP723" s="251"/>
      <c r="AQ723" s="251"/>
      <c r="AR723" s="251"/>
      <c r="AS723" s="251"/>
    </row>
    <row r="724" spans="1:45" s="44" customFormat="1" x14ac:dyDescent="0.2">
      <c r="A724" s="71"/>
      <c r="B724" s="71"/>
      <c r="C724" s="71"/>
      <c r="D724" s="251"/>
      <c r="E724" s="251"/>
      <c r="F724" s="251"/>
      <c r="G724" s="251"/>
      <c r="H724" s="251"/>
      <c r="I724" s="251"/>
      <c r="J724" s="251"/>
      <c r="K724" s="251"/>
      <c r="L724" s="251"/>
      <c r="M724" s="251"/>
      <c r="N724" s="251"/>
      <c r="O724" s="251"/>
      <c r="P724" s="251"/>
      <c r="Q724" s="251"/>
      <c r="R724" s="251"/>
      <c r="S724" s="251"/>
      <c r="T724" s="251"/>
      <c r="U724" s="251"/>
      <c r="V724" s="251"/>
      <c r="W724" s="251"/>
      <c r="X724" s="251"/>
      <c r="Y724" s="251"/>
      <c r="Z724" s="251"/>
      <c r="AA724" s="251"/>
      <c r="AB724" s="251"/>
      <c r="AC724" s="251"/>
      <c r="AD724" s="251"/>
      <c r="AE724" s="251"/>
      <c r="AF724" s="251"/>
      <c r="AG724" s="251"/>
      <c r="AH724" s="251"/>
      <c r="AI724" s="251"/>
      <c r="AJ724" s="251"/>
      <c r="AK724" s="251"/>
      <c r="AL724" s="251"/>
      <c r="AM724" s="251"/>
      <c r="AN724" s="251"/>
      <c r="AO724" s="251"/>
      <c r="AP724" s="251"/>
      <c r="AQ724" s="251"/>
      <c r="AR724" s="251"/>
      <c r="AS724" s="251"/>
    </row>
    <row r="725" spans="1:45" s="44" customFormat="1" x14ac:dyDescent="0.2">
      <c r="A725" s="71"/>
      <c r="B725" s="71"/>
      <c r="C725" s="71"/>
      <c r="D725" s="251"/>
      <c r="E725" s="251"/>
      <c r="F725" s="251"/>
      <c r="G725" s="251"/>
      <c r="H725" s="251"/>
      <c r="I725" s="251"/>
      <c r="J725" s="251"/>
      <c r="K725" s="251"/>
      <c r="L725" s="251"/>
      <c r="M725" s="251"/>
      <c r="N725" s="251"/>
      <c r="O725" s="251"/>
      <c r="P725" s="251"/>
      <c r="Q725" s="251"/>
      <c r="R725" s="251"/>
      <c r="S725" s="251"/>
      <c r="T725" s="251"/>
      <c r="U725" s="251"/>
      <c r="V725" s="251"/>
      <c r="W725" s="251"/>
      <c r="X725" s="251"/>
      <c r="Y725" s="251"/>
      <c r="Z725" s="251"/>
      <c r="AA725" s="251"/>
      <c r="AB725" s="251"/>
      <c r="AC725" s="251"/>
      <c r="AD725" s="251"/>
      <c r="AE725" s="251"/>
      <c r="AF725" s="251"/>
      <c r="AG725" s="251"/>
      <c r="AH725" s="251"/>
      <c r="AI725" s="251"/>
      <c r="AJ725" s="251"/>
      <c r="AK725" s="251"/>
      <c r="AL725" s="251"/>
      <c r="AM725" s="251"/>
      <c r="AN725" s="251"/>
      <c r="AO725" s="251"/>
      <c r="AP725" s="251"/>
      <c r="AQ725" s="251"/>
      <c r="AR725" s="251"/>
      <c r="AS725" s="251"/>
    </row>
    <row r="726" spans="1:45" s="44" customFormat="1" x14ac:dyDescent="0.2">
      <c r="A726" s="71"/>
      <c r="B726" s="71"/>
      <c r="C726" s="71"/>
      <c r="D726" s="251"/>
      <c r="E726" s="251"/>
      <c r="F726" s="251"/>
      <c r="G726" s="251"/>
      <c r="H726" s="251"/>
      <c r="I726" s="251"/>
      <c r="J726" s="251"/>
      <c r="K726" s="251"/>
      <c r="L726" s="251"/>
      <c r="M726" s="251"/>
      <c r="N726" s="251"/>
      <c r="O726" s="251"/>
      <c r="P726" s="251"/>
      <c r="Q726" s="251"/>
      <c r="R726" s="251"/>
      <c r="S726" s="251"/>
      <c r="T726" s="251"/>
      <c r="U726" s="251"/>
      <c r="V726" s="251"/>
      <c r="W726" s="251"/>
      <c r="X726" s="251"/>
      <c r="Y726" s="251"/>
      <c r="Z726" s="251"/>
      <c r="AA726" s="251"/>
      <c r="AB726" s="251"/>
      <c r="AC726" s="251"/>
      <c r="AD726" s="251"/>
      <c r="AE726" s="251"/>
      <c r="AF726" s="251"/>
      <c r="AG726" s="251"/>
      <c r="AH726" s="251"/>
      <c r="AI726" s="251"/>
      <c r="AJ726" s="251"/>
      <c r="AK726" s="251"/>
      <c r="AL726" s="251"/>
      <c r="AM726" s="251"/>
      <c r="AN726" s="251"/>
      <c r="AO726" s="251"/>
      <c r="AP726" s="251"/>
      <c r="AQ726" s="251"/>
      <c r="AR726" s="251"/>
      <c r="AS726" s="251"/>
    </row>
    <row r="727" spans="1:45" s="44" customFormat="1" x14ac:dyDescent="0.2">
      <c r="A727" s="71"/>
      <c r="B727" s="71"/>
      <c r="C727" s="71"/>
      <c r="D727" s="251"/>
      <c r="E727" s="251"/>
      <c r="F727" s="251"/>
      <c r="G727" s="251"/>
      <c r="H727" s="251"/>
      <c r="I727" s="251"/>
      <c r="J727" s="251"/>
      <c r="K727" s="251"/>
      <c r="L727" s="251"/>
      <c r="M727" s="251"/>
      <c r="N727" s="251"/>
      <c r="O727" s="251"/>
      <c r="P727" s="251"/>
      <c r="Q727" s="251"/>
      <c r="R727" s="251"/>
      <c r="S727" s="251"/>
      <c r="T727" s="251"/>
      <c r="U727" s="251"/>
      <c r="V727" s="251"/>
      <c r="W727" s="251"/>
      <c r="X727" s="251"/>
      <c r="Y727" s="251"/>
      <c r="Z727" s="251"/>
      <c r="AA727" s="251"/>
      <c r="AB727" s="251"/>
      <c r="AC727" s="251"/>
      <c r="AD727" s="251"/>
      <c r="AE727" s="251"/>
      <c r="AF727" s="251"/>
      <c r="AG727" s="251"/>
      <c r="AH727" s="251"/>
      <c r="AI727" s="251"/>
      <c r="AJ727" s="251"/>
      <c r="AK727" s="251"/>
      <c r="AL727" s="251"/>
      <c r="AM727" s="251"/>
      <c r="AN727" s="251"/>
      <c r="AO727" s="251"/>
      <c r="AP727" s="251"/>
      <c r="AQ727" s="251"/>
      <c r="AR727" s="251"/>
      <c r="AS727" s="251"/>
    </row>
    <row r="728" spans="1:45" s="44" customFormat="1" x14ac:dyDescent="0.2">
      <c r="A728" s="71"/>
      <c r="B728" s="71"/>
      <c r="C728" s="71"/>
      <c r="D728" s="251"/>
      <c r="E728" s="251"/>
      <c r="F728" s="251"/>
      <c r="G728" s="251"/>
      <c r="H728" s="251"/>
      <c r="I728" s="251"/>
      <c r="J728" s="251"/>
      <c r="K728" s="251"/>
      <c r="L728" s="251"/>
      <c r="M728" s="251"/>
      <c r="N728" s="251"/>
      <c r="O728" s="251"/>
      <c r="P728" s="251"/>
      <c r="Q728" s="251"/>
      <c r="R728" s="251"/>
      <c r="S728" s="251"/>
      <c r="T728" s="251"/>
      <c r="U728" s="251"/>
      <c r="V728" s="251"/>
      <c r="W728" s="251"/>
      <c r="X728" s="251"/>
      <c r="Y728" s="251"/>
      <c r="Z728" s="251"/>
      <c r="AA728" s="251"/>
      <c r="AB728" s="251"/>
      <c r="AC728" s="251"/>
      <c r="AD728" s="251"/>
      <c r="AE728" s="251"/>
      <c r="AF728" s="251"/>
      <c r="AG728" s="251"/>
      <c r="AH728" s="251"/>
      <c r="AI728" s="251"/>
      <c r="AJ728" s="251"/>
      <c r="AK728" s="251"/>
      <c r="AL728" s="251"/>
      <c r="AM728" s="251"/>
      <c r="AN728" s="251"/>
      <c r="AO728" s="251"/>
      <c r="AP728" s="251"/>
      <c r="AQ728" s="251"/>
      <c r="AR728" s="251"/>
      <c r="AS728" s="251"/>
    </row>
    <row r="729" spans="1:45" s="44" customFormat="1" x14ac:dyDescent="0.2">
      <c r="A729" s="71"/>
      <c r="B729" s="71"/>
      <c r="C729" s="71"/>
      <c r="D729" s="251"/>
      <c r="E729" s="251"/>
      <c r="F729" s="251"/>
      <c r="G729" s="251"/>
      <c r="H729" s="251"/>
      <c r="I729" s="251"/>
      <c r="J729" s="251"/>
      <c r="K729" s="251"/>
      <c r="L729" s="251"/>
      <c r="M729" s="251"/>
      <c r="N729" s="251"/>
      <c r="O729" s="251"/>
      <c r="P729" s="251"/>
      <c r="Q729" s="251"/>
      <c r="R729" s="251"/>
      <c r="S729" s="251"/>
      <c r="T729" s="251"/>
      <c r="U729" s="251"/>
      <c r="V729" s="251"/>
      <c r="W729" s="251"/>
      <c r="X729" s="251"/>
      <c r="Y729" s="251"/>
      <c r="Z729" s="251"/>
      <c r="AA729" s="251"/>
      <c r="AB729" s="251"/>
      <c r="AC729" s="251"/>
      <c r="AD729" s="251"/>
      <c r="AE729" s="251"/>
      <c r="AF729" s="251"/>
      <c r="AG729" s="251"/>
      <c r="AH729" s="251"/>
      <c r="AI729" s="251"/>
      <c r="AJ729" s="251"/>
      <c r="AK729" s="251"/>
      <c r="AL729" s="251"/>
      <c r="AM729" s="251"/>
      <c r="AN729" s="251"/>
      <c r="AO729" s="251"/>
      <c r="AP729" s="251"/>
      <c r="AQ729" s="251"/>
      <c r="AR729" s="251"/>
      <c r="AS729" s="251"/>
    </row>
    <row r="730" spans="1:45" s="44" customFormat="1" x14ac:dyDescent="0.2">
      <c r="A730" s="71"/>
      <c r="B730" s="71"/>
      <c r="C730" s="71"/>
      <c r="D730" s="251"/>
      <c r="E730" s="251"/>
      <c r="F730" s="251"/>
      <c r="G730" s="251"/>
      <c r="H730" s="251"/>
      <c r="I730" s="251"/>
      <c r="J730" s="251"/>
      <c r="K730" s="251"/>
      <c r="L730" s="251"/>
      <c r="M730" s="251"/>
      <c r="N730" s="251"/>
      <c r="O730" s="251"/>
      <c r="P730" s="251"/>
      <c r="Q730" s="251"/>
      <c r="R730" s="251"/>
      <c r="S730" s="251"/>
      <c r="T730" s="251"/>
      <c r="U730" s="251"/>
      <c r="V730" s="251"/>
      <c r="W730" s="251"/>
      <c r="X730" s="251"/>
      <c r="Y730" s="251"/>
      <c r="Z730" s="251"/>
      <c r="AA730" s="251"/>
      <c r="AB730" s="251"/>
      <c r="AC730" s="251"/>
      <c r="AD730" s="251"/>
      <c r="AE730" s="251"/>
      <c r="AF730" s="251"/>
      <c r="AG730" s="251"/>
      <c r="AH730" s="251"/>
      <c r="AI730" s="251"/>
      <c r="AJ730" s="251"/>
      <c r="AK730" s="251"/>
      <c r="AL730" s="251"/>
      <c r="AM730" s="251"/>
      <c r="AN730" s="251"/>
      <c r="AO730" s="251"/>
      <c r="AP730" s="251"/>
      <c r="AQ730" s="251"/>
      <c r="AR730" s="251"/>
      <c r="AS730" s="251"/>
    </row>
    <row r="731" spans="1:45" s="44" customFormat="1" x14ac:dyDescent="0.2">
      <c r="A731" s="71"/>
      <c r="B731" s="71"/>
      <c r="C731" s="71"/>
      <c r="D731" s="251"/>
      <c r="E731" s="251"/>
      <c r="F731" s="251"/>
      <c r="G731" s="251"/>
      <c r="H731" s="251"/>
      <c r="I731" s="251"/>
      <c r="J731" s="251"/>
      <c r="K731" s="251"/>
      <c r="L731" s="251"/>
      <c r="M731" s="251"/>
      <c r="N731" s="251"/>
      <c r="O731" s="251"/>
      <c r="P731" s="251"/>
      <c r="Q731" s="251"/>
      <c r="R731" s="251"/>
      <c r="S731" s="251"/>
      <c r="T731" s="251"/>
      <c r="U731" s="251"/>
      <c r="V731" s="251"/>
      <c r="W731" s="251"/>
      <c r="X731" s="251"/>
      <c r="Y731" s="251"/>
      <c r="Z731" s="251"/>
      <c r="AA731" s="251"/>
      <c r="AB731" s="251"/>
      <c r="AC731" s="251"/>
      <c r="AD731" s="251"/>
      <c r="AE731" s="251"/>
      <c r="AF731" s="251"/>
      <c r="AG731" s="251"/>
      <c r="AH731" s="251"/>
      <c r="AI731" s="251"/>
      <c r="AJ731" s="251"/>
      <c r="AK731" s="251"/>
      <c r="AL731" s="251"/>
      <c r="AM731" s="251"/>
      <c r="AN731" s="251"/>
      <c r="AO731" s="251"/>
      <c r="AP731" s="251"/>
      <c r="AQ731" s="251"/>
      <c r="AR731" s="251"/>
      <c r="AS731" s="251"/>
    </row>
    <row r="732" spans="1:45" s="44" customFormat="1" x14ac:dyDescent="0.2">
      <c r="A732" s="71"/>
      <c r="B732" s="71"/>
      <c r="C732" s="71"/>
      <c r="D732" s="251"/>
      <c r="E732" s="251"/>
      <c r="F732" s="251"/>
      <c r="G732" s="251"/>
      <c r="H732" s="251"/>
      <c r="I732" s="251"/>
      <c r="J732" s="251"/>
      <c r="K732" s="251"/>
      <c r="L732" s="251"/>
      <c r="M732" s="251"/>
      <c r="N732" s="251"/>
      <c r="O732" s="251"/>
      <c r="P732" s="251"/>
      <c r="Q732" s="251"/>
      <c r="R732" s="251"/>
      <c r="S732" s="251"/>
      <c r="T732" s="251"/>
      <c r="U732" s="251"/>
      <c r="V732" s="251"/>
      <c r="W732" s="251"/>
      <c r="X732" s="251"/>
      <c r="Y732" s="251"/>
      <c r="Z732" s="251"/>
      <c r="AA732" s="251"/>
      <c r="AB732" s="251"/>
      <c r="AC732" s="251"/>
      <c r="AD732" s="251"/>
      <c r="AE732" s="251"/>
      <c r="AF732" s="251"/>
      <c r="AG732" s="251"/>
      <c r="AH732" s="251"/>
      <c r="AI732" s="251"/>
      <c r="AJ732" s="251"/>
      <c r="AK732" s="251"/>
      <c r="AL732" s="251"/>
      <c r="AM732" s="251"/>
      <c r="AN732" s="251"/>
      <c r="AO732" s="251"/>
      <c r="AP732" s="251"/>
      <c r="AQ732" s="251"/>
      <c r="AR732" s="251"/>
      <c r="AS732" s="251"/>
    </row>
    <row r="733" spans="1:45" s="44" customFormat="1" x14ac:dyDescent="0.2">
      <c r="A733" s="71"/>
      <c r="B733" s="71"/>
      <c r="C733" s="71"/>
      <c r="D733" s="251"/>
      <c r="E733" s="251"/>
      <c r="F733" s="251"/>
      <c r="G733" s="251"/>
      <c r="H733" s="251"/>
      <c r="I733" s="251"/>
      <c r="J733" s="251"/>
      <c r="K733" s="251"/>
      <c r="L733" s="251"/>
      <c r="M733" s="251"/>
      <c r="N733" s="251"/>
      <c r="O733" s="251"/>
      <c r="P733" s="251"/>
      <c r="Q733" s="251"/>
      <c r="R733" s="251"/>
      <c r="S733" s="251"/>
      <c r="T733" s="251"/>
      <c r="U733" s="251"/>
      <c r="V733" s="251"/>
      <c r="W733" s="251"/>
      <c r="X733" s="251"/>
      <c r="Y733" s="251"/>
      <c r="Z733" s="251"/>
      <c r="AA733" s="251"/>
      <c r="AB733" s="251"/>
      <c r="AC733" s="251"/>
      <c r="AD733" s="251"/>
      <c r="AE733" s="251"/>
      <c r="AF733" s="251"/>
      <c r="AG733" s="251"/>
      <c r="AH733" s="251"/>
      <c r="AI733" s="251"/>
      <c r="AJ733" s="251"/>
      <c r="AK733" s="251"/>
      <c r="AL733" s="251"/>
      <c r="AM733" s="251"/>
      <c r="AN733" s="251"/>
      <c r="AO733" s="251"/>
      <c r="AP733" s="251"/>
      <c r="AQ733" s="251"/>
      <c r="AR733" s="251"/>
      <c r="AS733" s="251"/>
    </row>
    <row r="734" spans="1:45" s="44" customFormat="1" x14ac:dyDescent="0.2">
      <c r="A734" s="71"/>
      <c r="B734" s="71"/>
      <c r="C734" s="71"/>
      <c r="D734" s="251"/>
      <c r="E734" s="251"/>
      <c r="F734" s="251"/>
      <c r="G734" s="251"/>
      <c r="H734" s="251"/>
      <c r="I734" s="251"/>
      <c r="J734" s="251"/>
      <c r="K734" s="251"/>
      <c r="L734" s="251"/>
      <c r="M734" s="251"/>
      <c r="N734" s="251"/>
      <c r="O734" s="251"/>
      <c r="P734" s="251"/>
      <c r="Q734" s="251"/>
      <c r="R734" s="251"/>
      <c r="S734" s="251"/>
      <c r="T734" s="251"/>
      <c r="U734" s="251"/>
      <c r="V734" s="251"/>
      <c r="W734" s="251"/>
      <c r="X734" s="251"/>
      <c r="Y734" s="251"/>
      <c r="Z734" s="251"/>
      <c r="AA734" s="251"/>
      <c r="AB734" s="251"/>
      <c r="AC734" s="251"/>
      <c r="AD734" s="251"/>
      <c r="AE734" s="251"/>
      <c r="AF734" s="251"/>
      <c r="AG734" s="251"/>
      <c r="AH734" s="251"/>
      <c r="AI734" s="251"/>
      <c r="AJ734" s="251"/>
      <c r="AK734" s="251"/>
      <c r="AL734" s="251"/>
      <c r="AM734" s="251"/>
      <c r="AN734" s="251"/>
      <c r="AO734" s="251"/>
      <c r="AP734" s="251"/>
      <c r="AQ734" s="251"/>
      <c r="AR734" s="251"/>
      <c r="AS734" s="251"/>
    </row>
    <row r="735" spans="1:45" s="44" customFormat="1" x14ac:dyDescent="0.2">
      <c r="A735" s="71"/>
      <c r="B735" s="71"/>
      <c r="C735" s="71"/>
      <c r="D735" s="251"/>
      <c r="E735" s="251"/>
      <c r="F735" s="251"/>
      <c r="G735" s="251"/>
      <c r="H735" s="251"/>
      <c r="I735" s="251"/>
      <c r="J735" s="251"/>
      <c r="K735" s="251"/>
      <c r="L735" s="251"/>
      <c r="M735" s="251"/>
      <c r="N735" s="251"/>
      <c r="O735" s="251"/>
      <c r="P735" s="251"/>
      <c r="Q735" s="251"/>
      <c r="R735" s="251"/>
      <c r="S735" s="251"/>
      <c r="T735" s="251"/>
      <c r="U735" s="251"/>
      <c r="V735" s="251"/>
      <c r="W735" s="251"/>
      <c r="X735" s="251"/>
      <c r="Y735" s="251"/>
      <c r="Z735" s="251"/>
      <c r="AA735" s="251"/>
      <c r="AB735" s="251"/>
      <c r="AC735" s="251"/>
      <c r="AD735" s="251"/>
      <c r="AE735" s="251"/>
      <c r="AF735" s="251"/>
      <c r="AG735" s="251"/>
      <c r="AH735" s="251"/>
      <c r="AI735" s="251"/>
      <c r="AJ735" s="251"/>
      <c r="AK735" s="251"/>
      <c r="AL735" s="251"/>
      <c r="AM735" s="251"/>
      <c r="AN735" s="251"/>
      <c r="AO735" s="251"/>
      <c r="AP735" s="251"/>
      <c r="AQ735" s="251"/>
      <c r="AR735" s="251"/>
      <c r="AS735" s="251"/>
    </row>
    <row r="736" spans="1:45" s="44" customFormat="1" x14ac:dyDescent="0.2">
      <c r="A736" s="71"/>
      <c r="B736" s="71"/>
      <c r="C736" s="71"/>
      <c r="D736" s="251"/>
      <c r="E736" s="251"/>
      <c r="F736" s="251"/>
      <c r="G736" s="251"/>
      <c r="H736" s="251"/>
      <c r="I736" s="251"/>
      <c r="J736" s="251"/>
      <c r="K736" s="251"/>
      <c r="L736" s="251"/>
      <c r="M736" s="251"/>
      <c r="N736" s="251"/>
      <c r="O736" s="251"/>
      <c r="P736" s="251"/>
      <c r="Q736" s="251"/>
      <c r="R736" s="251"/>
      <c r="S736" s="251"/>
      <c r="T736" s="251"/>
      <c r="U736" s="251"/>
      <c r="V736" s="251"/>
      <c r="W736" s="251"/>
      <c r="X736" s="251"/>
      <c r="Y736" s="251"/>
      <c r="Z736" s="251"/>
      <c r="AA736" s="251"/>
      <c r="AB736" s="251"/>
      <c r="AC736" s="251"/>
      <c r="AD736" s="251"/>
      <c r="AE736" s="251"/>
      <c r="AF736" s="251"/>
      <c r="AG736" s="251"/>
      <c r="AH736" s="251"/>
      <c r="AI736" s="251"/>
      <c r="AJ736" s="251"/>
      <c r="AK736" s="251"/>
      <c r="AL736" s="251"/>
      <c r="AM736" s="251"/>
      <c r="AN736" s="251"/>
      <c r="AO736" s="251"/>
      <c r="AP736" s="251"/>
      <c r="AQ736" s="251"/>
      <c r="AR736" s="251"/>
      <c r="AS736" s="251"/>
    </row>
    <row r="737" spans="1:45" s="44" customFormat="1" x14ac:dyDescent="0.2">
      <c r="A737" s="71"/>
      <c r="B737" s="71"/>
      <c r="C737" s="71"/>
      <c r="D737" s="251"/>
      <c r="E737" s="251"/>
      <c r="F737" s="251"/>
      <c r="G737" s="251"/>
      <c r="H737" s="251"/>
      <c r="I737" s="251"/>
      <c r="J737" s="251"/>
      <c r="K737" s="251"/>
      <c r="L737" s="251"/>
      <c r="M737" s="251"/>
      <c r="N737" s="251"/>
      <c r="O737" s="251"/>
      <c r="P737" s="251"/>
      <c r="Q737" s="251"/>
      <c r="R737" s="251"/>
      <c r="S737" s="251"/>
      <c r="T737" s="251"/>
      <c r="U737" s="251"/>
      <c r="V737" s="251"/>
      <c r="W737" s="251"/>
      <c r="X737" s="251"/>
      <c r="Y737" s="251"/>
      <c r="Z737" s="251"/>
      <c r="AA737" s="251"/>
      <c r="AB737" s="251"/>
      <c r="AC737" s="251"/>
      <c r="AD737" s="251"/>
      <c r="AE737" s="251"/>
      <c r="AF737" s="251"/>
      <c r="AG737" s="251"/>
      <c r="AH737" s="251"/>
      <c r="AI737" s="251"/>
      <c r="AJ737" s="251"/>
      <c r="AK737" s="251"/>
      <c r="AL737" s="251"/>
      <c r="AM737" s="251"/>
      <c r="AN737" s="251"/>
      <c r="AO737" s="251"/>
      <c r="AP737" s="251"/>
      <c r="AQ737" s="251"/>
      <c r="AR737" s="251"/>
      <c r="AS737" s="251"/>
    </row>
    <row r="738" spans="1:45" s="44" customFormat="1" x14ac:dyDescent="0.2">
      <c r="A738" s="71"/>
      <c r="B738" s="71"/>
      <c r="C738" s="71"/>
      <c r="D738" s="251"/>
      <c r="E738" s="251"/>
      <c r="F738" s="251"/>
      <c r="G738" s="251"/>
      <c r="H738" s="251"/>
      <c r="I738" s="251"/>
      <c r="J738" s="251"/>
      <c r="K738" s="251"/>
      <c r="L738" s="251"/>
      <c r="M738" s="251"/>
      <c r="N738" s="251"/>
      <c r="O738" s="251"/>
      <c r="P738" s="251"/>
      <c r="Q738" s="251"/>
      <c r="R738" s="251"/>
      <c r="S738" s="251"/>
      <c r="T738" s="251"/>
      <c r="U738" s="251"/>
      <c r="V738" s="251"/>
      <c r="W738" s="251"/>
      <c r="X738" s="251"/>
      <c r="Y738" s="251"/>
      <c r="Z738" s="251"/>
      <c r="AA738" s="251"/>
      <c r="AB738" s="251"/>
      <c r="AC738" s="251"/>
      <c r="AD738" s="251"/>
      <c r="AE738" s="251"/>
      <c r="AF738" s="251"/>
      <c r="AG738" s="251"/>
      <c r="AH738" s="251"/>
      <c r="AI738" s="251"/>
      <c r="AJ738" s="251"/>
      <c r="AK738" s="251"/>
      <c r="AL738" s="251"/>
      <c r="AM738" s="251"/>
      <c r="AN738" s="251"/>
      <c r="AO738" s="251"/>
      <c r="AP738" s="251"/>
      <c r="AQ738" s="251"/>
      <c r="AR738" s="251"/>
      <c r="AS738" s="251"/>
    </row>
    <row r="739" spans="1:45" s="44" customFormat="1" x14ac:dyDescent="0.2">
      <c r="A739" s="71"/>
      <c r="B739" s="71"/>
      <c r="C739" s="71"/>
      <c r="D739" s="251"/>
      <c r="E739" s="251"/>
      <c r="F739" s="251"/>
      <c r="G739" s="251"/>
      <c r="H739" s="251"/>
      <c r="I739" s="251"/>
      <c r="J739" s="251"/>
      <c r="K739" s="251"/>
      <c r="L739" s="251"/>
      <c r="M739" s="251"/>
      <c r="N739" s="251"/>
      <c r="O739" s="251"/>
      <c r="P739" s="251"/>
      <c r="Q739" s="251"/>
      <c r="R739" s="251"/>
      <c r="S739" s="251"/>
      <c r="T739" s="251"/>
      <c r="U739" s="251"/>
      <c r="V739" s="251"/>
      <c r="W739" s="251"/>
      <c r="X739" s="251"/>
      <c r="Y739" s="251"/>
      <c r="Z739" s="251"/>
      <c r="AA739" s="251"/>
      <c r="AB739" s="251"/>
      <c r="AC739" s="251"/>
      <c r="AD739" s="251"/>
      <c r="AE739" s="251"/>
      <c r="AF739" s="251"/>
      <c r="AG739" s="251"/>
      <c r="AH739" s="251"/>
      <c r="AI739" s="251"/>
      <c r="AJ739" s="251"/>
      <c r="AK739" s="251"/>
      <c r="AL739" s="251"/>
      <c r="AM739" s="251"/>
      <c r="AN739" s="251"/>
      <c r="AO739" s="251"/>
      <c r="AP739" s="251"/>
      <c r="AQ739" s="251"/>
      <c r="AR739" s="251"/>
      <c r="AS739" s="251"/>
    </row>
    <row r="740" spans="1:45" s="44" customFormat="1" x14ac:dyDescent="0.2">
      <c r="A740" s="71"/>
      <c r="B740" s="71"/>
      <c r="C740" s="71"/>
      <c r="D740" s="251"/>
      <c r="E740" s="251"/>
      <c r="F740" s="251"/>
      <c r="G740" s="251"/>
      <c r="H740" s="251"/>
      <c r="I740" s="251"/>
      <c r="J740" s="251"/>
      <c r="K740" s="251"/>
      <c r="L740" s="251"/>
      <c r="M740" s="251"/>
      <c r="N740" s="251"/>
      <c r="O740" s="251"/>
      <c r="P740" s="251"/>
      <c r="Q740" s="251"/>
      <c r="R740" s="251"/>
      <c r="S740" s="251"/>
      <c r="T740" s="251"/>
      <c r="U740" s="251"/>
      <c r="V740" s="251"/>
      <c r="W740" s="251"/>
      <c r="X740" s="251"/>
      <c r="Y740" s="251"/>
      <c r="Z740" s="251"/>
      <c r="AA740" s="251"/>
      <c r="AB740" s="251"/>
      <c r="AC740" s="251"/>
      <c r="AD740" s="251"/>
      <c r="AE740" s="251"/>
      <c r="AF740" s="251"/>
      <c r="AG740" s="251"/>
      <c r="AH740" s="251"/>
      <c r="AI740" s="251"/>
      <c r="AJ740" s="251"/>
      <c r="AK740" s="251"/>
      <c r="AL740" s="251"/>
      <c r="AM740" s="251"/>
      <c r="AN740" s="251"/>
      <c r="AO740" s="251"/>
      <c r="AP740" s="251"/>
      <c r="AQ740" s="251"/>
      <c r="AR740" s="251"/>
      <c r="AS740" s="251"/>
    </row>
    <row r="741" spans="1:45" s="44" customFormat="1" x14ac:dyDescent="0.2">
      <c r="A741" s="71"/>
      <c r="B741" s="71"/>
      <c r="C741" s="71"/>
      <c r="D741" s="251"/>
      <c r="E741" s="251"/>
      <c r="F741" s="251"/>
      <c r="G741" s="251"/>
      <c r="H741" s="251"/>
      <c r="I741" s="251"/>
      <c r="J741" s="251"/>
      <c r="K741" s="251"/>
      <c r="L741" s="251"/>
      <c r="M741" s="251"/>
      <c r="N741" s="251"/>
      <c r="O741" s="251"/>
      <c r="P741" s="251"/>
      <c r="Q741" s="251"/>
      <c r="R741" s="251"/>
      <c r="S741" s="251"/>
      <c r="T741" s="251"/>
      <c r="U741" s="251"/>
      <c r="V741" s="251"/>
      <c r="W741" s="251"/>
      <c r="X741" s="251"/>
      <c r="Y741" s="251"/>
      <c r="Z741" s="251"/>
      <c r="AA741" s="251"/>
      <c r="AB741" s="251"/>
      <c r="AC741" s="251"/>
      <c r="AD741" s="251"/>
      <c r="AE741" s="251"/>
      <c r="AF741" s="251"/>
      <c r="AG741" s="251"/>
      <c r="AH741" s="251"/>
      <c r="AI741" s="251"/>
      <c r="AJ741" s="251"/>
      <c r="AK741" s="251"/>
      <c r="AL741" s="251"/>
      <c r="AM741" s="251"/>
      <c r="AN741" s="251"/>
      <c r="AO741" s="251"/>
      <c r="AP741" s="251"/>
      <c r="AQ741" s="251"/>
      <c r="AR741" s="251"/>
      <c r="AS741" s="251"/>
    </row>
    <row r="742" spans="1:45" s="44" customFormat="1" x14ac:dyDescent="0.2">
      <c r="A742" s="71"/>
      <c r="B742" s="71"/>
      <c r="C742" s="71"/>
      <c r="D742" s="251"/>
      <c r="E742" s="251"/>
      <c r="F742" s="251"/>
      <c r="G742" s="251"/>
      <c r="H742" s="251"/>
      <c r="I742" s="251"/>
      <c r="J742" s="251"/>
      <c r="K742" s="251"/>
      <c r="L742" s="251"/>
      <c r="M742" s="251"/>
      <c r="N742" s="251"/>
      <c r="O742" s="251"/>
      <c r="P742" s="251"/>
      <c r="Q742" s="251"/>
      <c r="R742" s="251"/>
      <c r="S742" s="251"/>
      <c r="T742" s="251"/>
      <c r="U742" s="251"/>
      <c r="V742" s="251"/>
      <c r="W742" s="251"/>
      <c r="X742" s="251"/>
      <c r="Y742" s="251"/>
      <c r="Z742" s="251"/>
      <c r="AA742" s="251"/>
      <c r="AB742" s="251"/>
      <c r="AC742" s="251"/>
      <c r="AD742" s="251"/>
      <c r="AE742" s="251"/>
      <c r="AF742" s="251"/>
      <c r="AG742" s="251"/>
      <c r="AH742" s="251"/>
      <c r="AI742" s="251"/>
      <c r="AJ742" s="251"/>
      <c r="AK742" s="251"/>
      <c r="AL742" s="251"/>
      <c r="AM742" s="251"/>
      <c r="AN742" s="251"/>
      <c r="AO742" s="251"/>
      <c r="AP742" s="251"/>
      <c r="AQ742" s="251"/>
      <c r="AR742" s="251"/>
      <c r="AS742" s="251"/>
    </row>
    <row r="743" spans="1:45" s="44" customFormat="1" x14ac:dyDescent="0.2">
      <c r="A743" s="71"/>
      <c r="B743" s="71"/>
      <c r="C743" s="71"/>
      <c r="D743" s="251"/>
      <c r="E743" s="251"/>
      <c r="F743" s="251"/>
      <c r="G743" s="251"/>
      <c r="H743" s="251"/>
      <c r="I743" s="251"/>
      <c r="J743" s="251"/>
      <c r="K743" s="251"/>
      <c r="L743" s="251"/>
      <c r="M743" s="251"/>
      <c r="N743" s="251"/>
      <c r="O743" s="251"/>
      <c r="P743" s="251"/>
      <c r="Q743" s="251"/>
      <c r="R743" s="251"/>
      <c r="S743" s="251"/>
      <c r="T743" s="251"/>
      <c r="U743" s="251"/>
      <c r="V743" s="251"/>
      <c r="W743" s="251"/>
      <c r="X743" s="251"/>
      <c r="Y743" s="251"/>
      <c r="Z743" s="251"/>
      <c r="AA743" s="251"/>
      <c r="AB743" s="251"/>
      <c r="AC743" s="251"/>
      <c r="AD743" s="251"/>
      <c r="AE743" s="251"/>
      <c r="AF743" s="251"/>
      <c r="AG743" s="251"/>
      <c r="AH743" s="251"/>
      <c r="AI743" s="251"/>
      <c r="AJ743" s="251"/>
      <c r="AK743" s="251"/>
      <c r="AL743" s="251"/>
      <c r="AM743" s="251"/>
      <c r="AN743" s="251"/>
      <c r="AO743" s="251"/>
      <c r="AP743" s="251"/>
      <c r="AQ743" s="251"/>
      <c r="AR743" s="251"/>
      <c r="AS743" s="251"/>
    </row>
    <row r="744" spans="1:45" s="44" customFormat="1" x14ac:dyDescent="0.2">
      <c r="A744" s="71"/>
      <c r="B744" s="71"/>
      <c r="C744" s="7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c r="AC744" s="251"/>
      <c r="AD744" s="251"/>
      <c r="AE744" s="251"/>
      <c r="AF744" s="251"/>
      <c r="AG744" s="251"/>
      <c r="AH744" s="251"/>
      <c r="AI744" s="251"/>
      <c r="AJ744" s="251"/>
      <c r="AK744" s="251"/>
      <c r="AL744" s="251"/>
      <c r="AM744" s="251"/>
      <c r="AN744" s="251"/>
      <c r="AO744" s="251"/>
      <c r="AP744" s="251"/>
      <c r="AQ744" s="251"/>
      <c r="AR744" s="251"/>
      <c r="AS744" s="251"/>
    </row>
    <row r="745" spans="1:45" s="44" customFormat="1" x14ac:dyDescent="0.2">
      <c r="A745" s="71"/>
      <c r="B745" s="71"/>
      <c r="C745" s="71"/>
      <c r="D745" s="251"/>
      <c r="E745" s="251"/>
      <c r="F745" s="251"/>
      <c r="G745" s="251"/>
      <c r="H745" s="251"/>
      <c r="I745" s="251"/>
      <c r="J745" s="251"/>
      <c r="K745" s="251"/>
      <c r="L745" s="251"/>
      <c r="M745" s="251"/>
      <c r="N745" s="251"/>
      <c r="O745" s="251"/>
      <c r="P745" s="251"/>
      <c r="Q745" s="251"/>
      <c r="R745" s="251"/>
      <c r="S745" s="251"/>
      <c r="T745" s="251"/>
      <c r="U745" s="251"/>
      <c r="V745" s="251"/>
      <c r="W745" s="251"/>
      <c r="X745" s="251"/>
      <c r="Y745" s="251"/>
      <c r="Z745" s="251"/>
      <c r="AA745" s="251"/>
      <c r="AB745" s="251"/>
      <c r="AC745" s="251"/>
      <c r="AD745" s="251"/>
      <c r="AE745" s="251"/>
      <c r="AF745" s="251"/>
      <c r="AG745" s="251"/>
      <c r="AH745" s="251"/>
      <c r="AI745" s="251"/>
      <c r="AJ745" s="251"/>
      <c r="AK745" s="251"/>
      <c r="AL745" s="251"/>
      <c r="AM745" s="251"/>
      <c r="AN745" s="251"/>
      <c r="AO745" s="251"/>
      <c r="AP745" s="251"/>
      <c r="AQ745" s="251"/>
      <c r="AR745" s="251"/>
      <c r="AS745" s="251"/>
    </row>
    <row r="746" spans="1:45" s="44" customFormat="1" x14ac:dyDescent="0.2">
      <c r="A746" s="71"/>
      <c r="B746" s="71"/>
      <c r="C746" s="71"/>
      <c r="D746" s="251"/>
      <c r="E746" s="251"/>
      <c r="F746" s="251"/>
      <c r="G746" s="251"/>
      <c r="H746" s="251"/>
      <c r="I746" s="251"/>
      <c r="J746" s="251"/>
      <c r="K746" s="251"/>
      <c r="L746" s="251"/>
      <c r="M746" s="251"/>
      <c r="N746" s="251"/>
      <c r="O746" s="251"/>
      <c r="P746" s="251"/>
      <c r="Q746" s="251"/>
      <c r="R746" s="251"/>
      <c r="S746" s="251"/>
      <c r="T746" s="251"/>
      <c r="U746" s="251"/>
      <c r="V746" s="251"/>
      <c r="W746" s="251"/>
      <c r="X746" s="251"/>
      <c r="Y746" s="251"/>
      <c r="Z746" s="251"/>
      <c r="AA746" s="251"/>
      <c r="AB746" s="251"/>
      <c r="AC746" s="251"/>
      <c r="AD746" s="251"/>
      <c r="AE746" s="251"/>
      <c r="AF746" s="251"/>
      <c r="AG746" s="251"/>
      <c r="AH746" s="251"/>
      <c r="AI746" s="251"/>
      <c r="AJ746" s="251"/>
      <c r="AK746" s="251"/>
      <c r="AL746" s="251"/>
      <c r="AM746" s="251"/>
      <c r="AN746" s="251"/>
      <c r="AO746" s="251"/>
      <c r="AP746" s="251"/>
      <c r="AQ746" s="251"/>
      <c r="AR746" s="251"/>
      <c r="AS746" s="251"/>
    </row>
    <row r="747" spans="1:45" s="44" customFormat="1" x14ac:dyDescent="0.2">
      <c r="A747" s="71"/>
      <c r="B747" s="71"/>
      <c r="C747" s="71"/>
      <c r="D747" s="251"/>
      <c r="E747" s="251"/>
      <c r="F747" s="251"/>
      <c r="G747" s="251"/>
      <c r="H747" s="251"/>
      <c r="I747" s="251"/>
      <c r="J747" s="251"/>
      <c r="K747" s="251"/>
      <c r="L747" s="251"/>
      <c r="M747" s="251"/>
      <c r="N747" s="251"/>
      <c r="O747" s="251"/>
      <c r="P747" s="251"/>
      <c r="Q747" s="251"/>
      <c r="R747" s="251"/>
      <c r="S747" s="251"/>
      <c r="T747" s="251"/>
      <c r="U747" s="251"/>
      <c r="V747" s="251"/>
      <c r="W747" s="251"/>
      <c r="X747" s="251"/>
      <c r="Y747" s="251"/>
      <c r="Z747" s="251"/>
      <c r="AA747" s="251"/>
      <c r="AB747" s="251"/>
      <c r="AC747" s="251"/>
      <c r="AD747" s="251"/>
      <c r="AE747" s="251"/>
      <c r="AF747" s="251"/>
      <c r="AG747" s="251"/>
      <c r="AH747" s="251"/>
      <c r="AI747" s="251"/>
      <c r="AJ747" s="251"/>
      <c r="AK747" s="251"/>
      <c r="AL747" s="251"/>
      <c r="AM747" s="251"/>
      <c r="AN747" s="251"/>
      <c r="AO747" s="251"/>
      <c r="AP747" s="251"/>
      <c r="AQ747" s="251"/>
      <c r="AR747" s="251"/>
      <c r="AS747" s="251"/>
    </row>
    <row r="748" spans="1:45" s="44" customFormat="1" x14ac:dyDescent="0.2">
      <c r="A748" s="71"/>
      <c r="B748" s="71"/>
      <c r="C748" s="71"/>
      <c r="D748" s="251"/>
      <c r="E748" s="251"/>
      <c r="F748" s="251"/>
      <c r="G748" s="251"/>
      <c r="H748" s="251"/>
      <c r="I748" s="251"/>
      <c r="J748" s="251"/>
      <c r="K748" s="251"/>
      <c r="L748" s="251"/>
      <c r="M748" s="251"/>
      <c r="N748" s="251"/>
      <c r="O748" s="251"/>
      <c r="P748" s="251"/>
      <c r="Q748" s="251"/>
      <c r="R748" s="251"/>
      <c r="S748" s="251"/>
      <c r="T748" s="251"/>
      <c r="U748" s="251"/>
      <c r="V748" s="251"/>
      <c r="W748" s="251"/>
      <c r="X748" s="251"/>
      <c r="Y748" s="251"/>
      <c r="Z748" s="251"/>
      <c r="AA748" s="251"/>
      <c r="AB748" s="251"/>
      <c r="AC748" s="251"/>
      <c r="AD748" s="251"/>
      <c r="AE748" s="251"/>
      <c r="AF748" s="251"/>
      <c r="AG748" s="251"/>
      <c r="AH748" s="251"/>
      <c r="AI748" s="251"/>
      <c r="AJ748" s="251"/>
      <c r="AK748" s="251"/>
      <c r="AL748" s="251"/>
      <c r="AM748" s="251"/>
      <c r="AN748" s="251"/>
      <c r="AO748" s="251"/>
      <c r="AP748" s="251"/>
      <c r="AQ748" s="251"/>
      <c r="AR748" s="251"/>
      <c r="AS748" s="251"/>
    </row>
    <row r="749" spans="1:45" s="44" customFormat="1" x14ac:dyDescent="0.2">
      <c r="A749" s="71"/>
      <c r="B749" s="71"/>
      <c r="C749" s="71"/>
      <c r="D749" s="251"/>
      <c r="E749" s="251"/>
      <c r="F749" s="251"/>
      <c r="G749" s="251"/>
      <c r="H749" s="251"/>
      <c r="I749" s="251"/>
      <c r="J749" s="251"/>
      <c r="K749" s="251"/>
      <c r="L749" s="251"/>
      <c r="M749" s="251"/>
      <c r="N749" s="251"/>
      <c r="O749" s="251"/>
      <c r="P749" s="251"/>
      <c r="Q749" s="251"/>
      <c r="R749" s="251"/>
      <c r="S749" s="251"/>
      <c r="T749" s="251"/>
      <c r="U749" s="251"/>
      <c r="V749" s="251"/>
      <c r="W749" s="251"/>
      <c r="X749" s="251"/>
      <c r="Y749" s="251"/>
      <c r="Z749" s="251"/>
      <c r="AA749" s="251"/>
      <c r="AB749" s="251"/>
      <c r="AC749" s="251"/>
      <c r="AD749" s="251"/>
      <c r="AE749" s="251"/>
      <c r="AF749" s="251"/>
      <c r="AG749" s="251"/>
      <c r="AH749" s="251"/>
      <c r="AI749" s="251"/>
      <c r="AJ749" s="251"/>
      <c r="AK749" s="251"/>
      <c r="AL749" s="251"/>
      <c r="AM749" s="251"/>
      <c r="AN749" s="251"/>
      <c r="AO749" s="251"/>
      <c r="AP749" s="251"/>
      <c r="AQ749" s="251"/>
      <c r="AR749" s="251"/>
      <c r="AS749" s="251"/>
    </row>
    <row r="750" spans="1:45" s="44" customFormat="1" x14ac:dyDescent="0.2">
      <c r="A750" s="71"/>
      <c r="B750" s="71"/>
      <c r="C750" s="71"/>
      <c r="D750" s="251"/>
      <c r="E750" s="251"/>
      <c r="F750" s="251"/>
      <c r="G750" s="251"/>
      <c r="H750" s="251"/>
      <c r="I750" s="251"/>
      <c r="J750" s="251"/>
      <c r="K750" s="251"/>
      <c r="L750" s="251"/>
      <c r="M750" s="251"/>
      <c r="N750" s="251"/>
      <c r="O750" s="251"/>
      <c r="P750" s="251"/>
      <c r="Q750" s="251"/>
      <c r="R750" s="251"/>
      <c r="S750" s="251"/>
      <c r="T750" s="251"/>
      <c r="U750" s="251"/>
      <c r="V750" s="251"/>
      <c r="W750" s="251"/>
      <c r="X750" s="251"/>
      <c r="Y750" s="251"/>
      <c r="Z750" s="251"/>
      <c r="AA750" s="251"/>
      <c r="AB750" s="251"/>
      <c r="AC750" s="251"/>
      <c r="AD750" s="251"/>
      <c r="AE750" s="251"/>
      <c r="AF750" s="251"/>
      <c r="AG750" s="251"/>
      <c r="AH750" s="251"/>
      <c r="AI750" s="251"/>
      <c r="AJ750" s="251"/>
      <c r="AK750" s="251"/>
      <c r="AL750" s="251"/>
      <c r="AM750" s="251"/>
      <c r="AN750" s="251"/>
      <c r="AO750" s="251"/>
      <c r="AP750" s="251"/>
      <c r="AQ750" s="251"/>
      <c r="AR750" s="251"/>
      <c r="AS750" s="251"/>
    </row>
    <row r="751" spans="1:45" s="44" customFormat="1" x14ac:dyDescent="0.2">
      <c r="A751" s="71"/>
      <c r="B751" s="71"/>
      <c r="C751" s="71"/>
      <c r="D751" s="251"/>
      <c r="E751" s="251"/>
      <c r="F751" s="251"/>
      <c r="G751" s="251"/>
      <c r="H751" s="251"/>
      <c r="I751" s="251"/>
      <c r="J751" s="251"/>
      <c r="K751" s="251"/>
      <c r="L751" s="251"/>
      <c r="M751" s="251"/>
      <c r="N751" s="251"/>
      <c r="O751" s="251"/>
      <c r="P751" s="251"/>
      <c r="Q751" s="251"/>
      <c r="R751" s="251"/>
      <c r="S751" s="251"/>
      <c r="T751" s="251"/>
      <c r="U751" s="251"/>
      <c r="V751" s="251"/>
      <c r="W751" s="251"/>
      <c r="X751" s="251"/>
      <c r="Y751" s="251"/>
      <c r="Z751" s="251"/>
      <c r="AA751" s="251"/>
      <c r="AB751" s="251"/>
      <c r="AC751" s="251"/>
      <c r="AD751" s="251"/>
      <c r="AE751" s="251"/>
      <c r="AF751" s="251"/>
      <c r="AG751" s="251"/>
      <c r="AH751" s="251"/>
      <c r="AI751" s="251"/>
      <c r="AJ751" s="251"/>
      <c r="AK751" s="251"/>
      <c r="AL751" s="251"/>
      <c r="AM751" s="251"/>
      <c r="AN751" s="251"/>
      <c r="AO751" s="251"/>
      <c r="AP751" s="251"/>
      <c r="AQ751" s="251"/>
      <c r="AR751" s="251"/>
      <c r="AS751" s="251"/>
    </row>
    <row r="752" spans="1:45" s="44" customFormat="1" x14ac:dyDescent="0.2">
      <c r="A752" s="71"/>
      <c r="B752" s="71"/>
      <c r="C752" s="71"/>
      <c r="D752" s="251"/>
      <c r="E752" s="251"/>
      <c r="F752" s="251"/>
      <c r="G752" s="251"/>
      <c r="H752" s="251"/>
      <c r="I752" s="251"/>
      <c r="J752" s="251"/>
      <c r="K752" s="251"/>
      <c r="L752" s="251"/>
      <c r="M752" s="251"/>
      <c r="N752" s="251"/>
      <c r="O752" s="251"/>
      <c r="P752" s="251"/>
      <c r="Q752" s="251"/>
      <c r="R752" s="251"/>
      <c r="S752" s="251"/>
      <c r="T752" s="251"/>
      <c r="U752" s="251"/>
      <c r="V752" s="251"/>
      <c r="W752" s="251"/>
      <c r="X752" s="251"/>
      <c r="Y752" s="251"/>
      <c r="Z752" s="251"/>
      <c r="AA752" s="251"/>
      <c r="AB752" s="251"/>
      <c r="AC752" s="251"/>
      <c r="AD752" s="251"/>
      <c r="AE752" s="251"/>
      <c r="AF752" s="251"/>
      <c r="AG752" s="251"/>
      <c r="AH752" s="251"/>
      <c r="AI752" s="251"/>
      <c r="AJ752" s="251"/>
      <c r="AK752" s="251"/>
      <c r="AL752" s="251"/>
      <c r="AM752" s="251"/>
      <c r="AN752" s="251"/>
      <c r="AO752" s="251"/>
      <c r="AP752" s="251"/>
      <c r="AQ752" s="251"/>
      <c r="AR752" s="251"/>
      <c r="AS752" s="251"/>
    </row>
    <row r="753" spans="1:45" s="44" customFormat="1" x14ac:dyDescent="0.2">
      <c r="A753" s="71"/>
      <c r="B753" s="71"/>
      <c r="C753" s="71"/>
      <c r="D753" s="251"/>
      <c r="E753" s="251"/>
      <c r="F753" s="251"/>
      <c r="G753" s="251"/>
      <c r="H753" s="251"/>
      <c r="I753" s="251"/>
      <c r="J753" s="251"/>
      <c r="K753" s="251"/>
      <c r="L753" s="251"/>
      <c r="M753" s="251"/>
      <c r="N753" s="251"/>
      <c r="O753" s="251"/>
      <c r="P753" s="251"/>
      <c r="Q753" s="251"/>
      <c r="R753" s="251"/>
      <c r="S753" s="251"/>
      <c r="T753" s="251"/>
      <c r="U753" s="251"/>
      <c r="V753" s="251"/>
      <c r="W753" s="251"/>
      <c r="X753" s="251"/>
      <c r="Y753" s="251"/>
      <c r="Z753" s="251"/>
      <c r="AA753" s="251"/>
      <c r="AB753" s="251"/>
      <c r="AC753" s="251"/>
      <c r="AD753" s="251"/>
      <c r="AE753" s="251"/>
      <c r="AF753" s="251"/>
      <c r="AG753" s="251"/>
      <c r="AH753" s="251"/>
      <c r="AI753" s="251"/>
      <c r="AJ753" s="251"/>
      <c r="AK753" s="251"/>
      <c r="AL753" s="251"/>
      <c r="AM753" s="251"/>
      <c r="AN753" s="251"/>
      <c r="AO753" s="251"/>
      <c r="AP753" s="251"/>
      <c r="AQ753" s="251"/>
      <c r="AR753" s="251"/>
      <c r="AS753" s="251"/>
    </row>
    <row r="754" spans="1:45" s="44" customFormat="1" x14ac:dyDescent="0.2">
      <c r="A754" s="71"/>
      <c r="B754" s="71"/>
      <c r="C754" s="71"/>
      <c r="D754" s="251"/>
      <c r="E754" s="251"/>
      <c r="F754" s="251"/>
      <c r="G754" s="251"/>
      <c r="H754" s="251"/>
      <c r="I754" s="251"/>
      <c r="J754" s="251"/>
      <c r="K754" s="251"/>
      <c r="L754" s="251"/>
      <c r="M754" s="251"/>
      <c r="N754" s="251"/>
      <c r="O754" s="251"/>
      <c r="P754" s="251"/>
      <c r="Q754" s="251"/>
      <c r="R754" s="251"/>
      <c r="S754" s="251"/>
      <c r="T754" s="251"/>
      <c r="U754" s="251"/>
      <c r="V754" s="251"/>
      <c r="W754" s="251"/>
      <c r="X754" s="251"/>
      <c r="Y754" s="251"/>
      <c r="Z754" s="251"/>
      <c r="AA754" s="251"/>
      <c r="AB754" s="251"/>
      <c r="AC754" s="251"/>
      <c r="AD754" s="251"/>
      <c r="AE754" s="251"/>
      <c r="AF754" s="251"/>
      <c r="AG754" s="251"/>
      <c r="AH754" s="251"/>
      <c r="AI754" s="251"/>
      <c r="AJ754" s="251"/>
      <c r="AK754" s="251"/>
      <c r="AL754" s="251"/>
      <c r="AM754" s="251"/>
      <c r="AN754" s="251"/>
      <c r="AO754" s="251"/>
      <c r="AP754" s="251"/>
      <c r="AQ754" s="251"/>
      <c r="AR754" s="251"/>
      <c r="AS754" s="251"/>
    </row>
    <row r="755" spans="1:45" s="44" customFormat="1" x14ac:dyDescent="0.2">
      <c r="A755" s="71"/>
      <c r="B755" s="71"/>
      <c r="C755" s="71"/>
      <c r="D755" s="251"/>
      <c r="E755" s="251"/>
      <c r="F755" s="251"/>
      <c r="G755" s="251"/>
      <c r="H755" s="251"/>
      <c r="I755" s="251"/>
      <c r="J755" s="251"/>
      <c r="K755" s="251"/>
      <c r="L755" s="251"/>
      <c r="M755" s="251"/>
      <c r="N755" s="251"/>
      <c r="O755" s="251"/>
      <c r="P755" s="251"/>
      <c r="Q755" s="251"/>
      <c r="R755" s="251"/>
      <c r="S755" s="251"/>
      <c r="T755" s="251"/>
      <c r="U755" s="251"/>
      <c r="V755" s="251"/>
      <c r="W755" s="251"/>
      <c r="X755" s="251"/>
      <c r="Y755" s="251"/>
      <c r="Z755" s="251"/>
      <c r="AA755" s="251"/>
      <c r="AB755" s="251"/>
      <c r="AC755" s="251"/>
      <c r="AD755" s="251"/>
      <c r="AE755" s="251"/>
      <c r="AF755" s="251"/>
      <c r="AG755" s="251"/>
      <c r="AH755" s="251"/>
      <c r="AI755" s="251"/>
      <c r="AJ755" s="251"/>
      <c r="AK755" s="251"/>
      <c r="AL755" s="251"/>
      <c r="AM755" s="251"/>
      <c r="AN755" s="251"/>
      <c r="AO755" s="251"/>
      <c r="AP755" s="251"/>
      <c r="AQ755" s="251"/>
      <c r="AR755" s="251"/>
      <c r="AS755" s="251"/>
    </row>
    <row r="756" spans="1:45" s="44" customFormat="1" x14ac:dyDescent="0.2">
      <c r="A756" s="71"/>
      <c r="B756" s="71"/>
      <c r="C756" s="71"/>
      <c r="D756" s="251"/>
      <c r="E756" s="251"/>
      <c r="F756" s="251"/>
      <c r="G756" s="251"/>
      <c r="H756" s="251"/>
      <c r="I756" s="251"/>
      <c r="J756" s="251"/>
      <c r="K756" s="251"/>
      <c r="L756" s="251"/>
      <c r="M756" s="251"/>
      <c r="N756" s="251"/>
      <c r="O756" s="251"/>
      <c r="P756" s="251"/>
      <c r="Q756" s="251"/>
      <c r="R756" s="251"/>
      <c r="S756" s="251"/>
      <c r="T756" s="251"/>
      <c r="U756" s="251"/>
      <c r="V756" s="251"/>
      <c r="W756" s="251"/>
      <c r="X756" s="251"/>
      <c r="Y756" s="251"/>
      <c r="Z756" s="251"/>
      <c r="AA756" s="251"/>
      <c r="AB756" s="251"/>
      <c r="AC756" s="251"/>
      <c r="AD756" s="251"/>
      <c r="AE756" s="251"/>
      <c r="AF756" s="251"/>
      <c r="AG756" s="251"/>
      <c r="AH756" s="251"/>
      <c r="AI756" s="251"/>
      <c r="AJ756" s="251"/>
      <c r="AK756" s="251"/>
      <c r="AL756" s="251"/>
      <c r="AM756" s="251"/>
      <c r="AN756" s="251"/>
      <c r="AO756" s="251"/>
      <c r="AP756" s="251"/>
      <c r="AQ756" s="251"/>
      <c r="AR756" s="251"/>
      <c r="AS756" s="251"/>
    </row>
    <row r="757" spans="1:45" s="44" customFormat="1" x14ac:dyDescent="0.2">
      <c r="A757" s="71"/>
      <c r="B757" s="71"/>
      <c r="C757" s="71"/>
      <c r="D757" s="251"/>
      <c r="E757" s="251"/>
      <c r="F757" s="251"/>
      <c r="G757" s="251"/>
      <c r="H757" s="251"/>
      <c r="I757" s="251"/>
      <c r="J757" s="251"/>
      <c r="K757" s="251"/>
      <c r="L757" s="251"/>
      <c r="M757" s="251"/>
      <c r="N757" s="251"/>
      <c r="O757" s="251"/>
      <c r="P757" s="251"/>
      <c r="Q757" s="251"/>
      <c r="R757" s="251"/>
      <c r="S757" s="251"/>
      <c r="T757" s="251"/>
      <c r="U757" s="251"/>
      <c r="V757" s="251"/>
      <c r="W757" s="251"/>
      <c r="X757" s="251"/>
      <c r="Y757" s="251"/>
      <c r="Z757" s="251"/>
      <c r="AA757" s="251"/>
      <c r="AB757" s="251"/>
      <c r="AC757" s="251"/>
      <c r="AD757" s="251"/>
      <c r="AE757" s="251"/>
      <c r="AF757" s="251"/>
      <c r="AG757" s="251"/>
      <c r="AH757" s="251"/>
      <c r="AI757" s="251"/>
      <c r="AJ757" s="251"/>
      <c r="AK757" s="251"/>
      <c r="AL757" s="251"/>
      <c r="AM757" s="251"/>
      <c r="AN757" s="251"/>
      <c r="AO757" s="251"/>
      <c r="AP757" s="251"/>
      <c r="AQ757" s="251"/>
      <c r="AR757" s="251"/>
      <c r="AS757" s="251"/>
    </row>
    <row r="758" spans="1:45" s="44" customFormat="1" x14ac:dyDescent="0.2">
      <c r="A758" s="71"/>
      <c r="B758" s="71"/>
      <c r="C758" s="71"/>
      <c r="D758" s="251"/>
      <c r="E758" s="251"/>
      <c r="F758" s="251"/>
      <c r="G758" s="251"/>
      <c r="H758" s="251"/>
      <c r="I758" s="251"/>
      <c r="J758" s="251"/>
      <c r="K758" s="251"/>
      <c r="L758" s="251"/>
      <c r="M758" s="251"/>
      <c r="N758" s="251"/>
      <c r="O758" s="251"/>
      <c r="P758" s="251"/>
      <c r="Q758" s="251"/>
      <c r="R758" s="251"/>
      <c r="S758" s="251"/>
      <c r="T758" s="251"/>
      <c r="U758" s="251"/>
      <c r="V758" s="251"/>
      <c r="W758" s="251"/>
      <c r="X758" s="251"/>
      <c r="Y758" s="251"/>
      <c r="Z758" s="251"/>
      <c r="AA758" s="251"/>
      <c r="AB758" s="251"/>
      <c r="AC758" s="251"/>
      <c r="AD758" s="251"/>
      <c r="AE758" s="251"/>
      <c r="AF758" s="251"/>
      <c r="AG758" s="251"/>
      <c r="AH758" s="251"/>
      <c r="AI758" s="251"/>
      <c r="AJ758" s="251"/>
      <c r="AK758" s="251"/>
      <c r="AL758" s="251"/>
      <c r="AM758" s="251"/>
      <c r="AN758" s="251"/>
      <c r="AO758" s="251"/>
      <c r="AP758" s="251"/>
      <c r="AQ758" s="251"/>
      <c r="AR758" s="251"/>
      <c r="AS758" s="251"/>
    </row>
    <row r="759" spans="1:45" s="44" customFormat="1" x14ac:dyDescent="0.2">
      <c r="A759" s="71"/>
      <c r="B759" s="71"/>
      <c r="C759" s="71"/>
      <c r="D759" s="251"/>
      <c r="E759" s="251"/>
      <c r="F759" s="251"/>
      <c r="G759" s="251"/>
      <c r="H759" s="251"/>
      <c r="I759" s="251"/>
      <c r="J759" s="251"/>
      <c r="K759" s="251"/>
      <c r="L759" s="251"/>
      <c r="M759" s="251"/>
      <c r="N759" s="251"/>
      <c r="O759" s="251"/>
      <c r="P759" s="251"/>
      <c r="Q759" s="251"/>
      <c r="R759" s="251"/>
      <c r="S759" s="251"/>
      <c r="T759" s="251"/>
      <c r="U759" s="251"/>
      <c r="V759" s="251"/>
      <c r="W759" s="251"/>
      <c r="X759" s="251"/>
      <c r="Y759" s="251"/>
      <c r="Z759" s="251"/>
      <c r="AA759" s="251"/>
      <c r="AB759" s="251"/>
      <c r="AC759" s="251"/>
      <c r="AD759" s="251"/>
      <c r="AE759" s="251"/>
      <c r="AF759" s="251"/>
      <c r="AG759" s="251"/>
      <c r="AH759" s="251"/>
      <c r="AI759" s="251"/>
      <c r="AJ759" s="251"/>
      <c r="AK759" s="251"/>
      <c r="AL759" s="251"/>
      <c r="AM759" s="251"/>
      <c r="AN759" s="251"/>
      <c r="AO759" s="251"/>
      <c r="AP759" s="251"/>
      <c r="AQ759" s="251"/>
      <c r="AR759" s="251"/>
      <c r="AS759" s="251"/>
    </row>
    <row r="760" spans="1:45" s="44" customFormat="1" x14ac:dyDescent="0.2">
      <c r="A760" s="71"/>
      <c r="B760" s="71"/>
      <c r="C760" s="71"/>
      <c r="D760" s="251"/>
      <c r="E760" s="251"/>
      <c r="F760" s="251"/>
      <c r="G760" s="251"/>
      <c r="H760" s="251"/>
      <c r="I760" s="251"/>
      <c r="J760" s="251"/>
      <c r="K760" s="251"/>
      <c r="L760" s="251"/>
      <c r="M760" s="251"/>
      <c r="N760" s="251"/>
      <c r="O760" s="251"/>
      <c r="P760" s="251"/>
      <c r="Q760" s="251"/>
      <c r="R760" s="251"/>
      <c r="S760" s="251"/>
      <c r="T760" s="251"/>
      <c r="U760" s="251"/>
      <c r="V760" s="251"/>
      <c r="W760" s="251"/>
      <c r="X760" s="251"/>
      <c r="Y760" s="251"/>
      <c r="Z760" s="251"/>
      <c r="AA760" s="251"/>
      <c r="AB760" s="251"/>
      <c r="AC760" s="251"/>
      <c r="AD760" s="251"/>
      <c r="AE760" s="251"/>
      <c r="AF760" s="251"/>
      <c r="AG760" s="251"/>
      <c r="AH760" s="251"/>
      <c r="AI760" s="251"/>
      <c r="AJ760" s="251"/>
      <c r="AK760" s="251"/>
      <c r="AL760" s="251"/>
      <c r="AM760" s="251"/>
      <c r="AN760" s="251"/>
      <c r="AO760" s="251"/>
      <c r="AP760" s="251"/>
      <c r="AQ760" s="251"/>
      <c r="AR760" s="251"/>
      <c r="AS760" s="251"/>
    </row>
    <row r="761" spans="1:45" s="44" customFormat="1" x14ac:dyDescent="0.2">
      <c r="A761" s="71"/>
      <c r="B761" s="71"/>
      <c r="C761" s="71"/>
      <c r="D761" s="251"/>
      <c r="E761" s="251"/>
      <c r="F761" s="251"/>
      <c r="G761" s="251"/>
      <c r="H761" s="251"/>
      <c r="I761" s="251"/>
      <c r="J761" s="251"/>
      <c r="K761" s="251"/>
      <c r="L761" s="251"/>
      <c r="M761" s="251"/>
      <c r="N761" s="251"/>
      <c r="O761" s="251"/>
      <c r="P761" s="251"/>
      <c r="Q761" s="251"/>
      <c r="R761" s="251"/>
      <c r="S761" s="251"/>
      <c r="T761" s="251"/>
      <c r="U761" s="251"/>
      <c r="V761" s="251"/>
      <c r="W761" s="251"/>
      <c r="X761" s="251"/>
      <c r="Y761" s="251"/>
      <c r="Z761" s="251"/>
      <c r="AA761" s="251"/>
      <c r="AB761" s="251"/>
      <c r="AC761" s="251"/>
      <c r="AD761" s="251"/>
      <c r="AE761" s="251"/>
      <c r="AF761" s="251"/>
      <c r="AG761" s="251"/>
      <c r="AH761" s="251"/>
      <c r="AI761" s="251"/>
      <c r="AJ761" s="251"/>
      <c r="AK761" s="251"/>
      <c r="AL761" s="251"/>
      <c r="AM761" s="251"/>
      <c r="AN761" s="251"/>
      <c r="AO761" s="251"/>
      <c r="AP761" s="251"/>
      <c r="AQ761" s="251"/>
      <c r="AR761" s="251"/>
      <c r="AS761" s="251"/>
    </row>
    <row r="762" spans="1:45" s="44" customFormat="1" x14ac:dyDescent="0.2">
      <c r="A762" s="71"/>
      <c r="B762" s="71"/>
      <c r="C762" s="71"/>
      <c r="D762" s="251"/>
      <c r="E762" s="251"/>
      <c r="F762" s="251"/>
      <c r="G762" s="251"/>
      <c r="H762" s="251"/>
      <c r="I762" s="251"/>
      <c r="J762" s="251"/>
      <c r="K762" s="251"/>
      <c r="L762" s="251"/>
      <c r="M762" s="251"/>
      <c r="N762" s="251"/>
      <c r="O762" s="251"/>
      <c r="P762" s="251"/>
      <c r="Q762" s="251"/>
      <c r="R762" s="251"/>
      <c r="S762" s="251"/>
      <c r="T762" s="251"/>
      <c r="U762" s="251"/>
      <c r="V762" s="251"/>
      <c r="W762" s="251"/>
      <c r="X762" s="251"/>
      <c r="Y762" s="251"/>
      <c r="Z762" s="251"/>
      <c r="AA762" s="251"/>
      <c r="AB762" s="251"/>
      <c r="AC762" s="251"/>
      <c r="AD762" s="251"/>
      <c r="AE762" s="251"/>
      <c r="AF762" s="251"/>
      <c r="AG762" s="251"/>
      <c r="AH762" s="251"/>
      <c r="AI762" s="251"/>
      <c r="AJ762" s="251"/>
      <c r="AK762" s="251"/>
      <c r="AL762" s="251"/>
      <c r="AM762" s="251"/>
      <c r="AN762" s="251"/>
      <c r="AO762" s="251"/>
      <c r="AP762" s="251"/>
      <c r="AQ762" s="251"/>
      <c r="AR762" s="251"/>
      <c r="AS762" s="251"/>
    </row>
    <row r="763" spans="1:45" s="44" customFormat="1" x14ac:dyDescent="0.2">
      <c r="A763" s="71"/>
      <c r="B763" s="71"/>
      <c r="C763" s="71"/>
      <c r="D763" s="251"/>
      <c r="E763" s="251"/>
      <c r="F763" s="251"/>
      <c r="G763" s="251"/>
      <c r="H763" s="251"/>
      <c r="I763" s="251"/>
      <c r="J763" s="251"/>
      <c r="K763" s="251"/>
      <c r="L763" s="251"/>
      <c r="M763" s="251"/>
      <c r="N763" s="251"/>
      <c r="O763" s="251"/>
      <c r="P763" s="251"/>
      <c r="Q763" s="251"/>
      <c r="R763" s="251"/>
      <c r="S763" s="251"/>
      <c r="T763" s="251"/>
      <c r="U763" s="251"/>
      <c r="V763" s="251"/>
      <c r="W763" s="251"/>
      <c r="X763" s="251"/>
      <c r="Y763" s="251"/>
      <c r="Z763" s="251"/>
      <c r="AA763" s="251"/>
      <c r="AB763" s="251"/>
      <c r="AC763" s="251"/>
      <c r="AD763" s="251"/>
      <c r="AE763" s="251"/>
      <c r="AF763" s="251"/>
      <c r="AG763" s="251"/>
      <c r="AH763" s="251"/>
      <c r="AI763" s="251"/>
      <c r="AJ763" s="251"/>
      <c r="AK763" s="251"/>
      <c r="AL763" s="251"/>
      <c r="AM763" s="251"/>
      <c r="AN763" s="251"/>
      <c r="AO763" s="251"/>
      <c r="AP763" s="251"/>
      <c r="AQ763" s="251"/>
      <c r="AR763" s="251"/>
      <c r="AS763" s="251"/>
    </row>
    <row r="764" spans="1:45" s="44" customFormat="1" x14ac:dyDescent="0.2">
      <c r="A764" s="71"/>
      <c r="B764" s="71"/>
      <c r="C764" s="71"/>
      <c r="D764" s="251"/>
      <c r="E764" s="251"/>
      <c r="F764" s="251"/>
      <c r="G764" s="251"/>
      <c r="H764" s="251"/>
      <c r="I764" s="251"/>
      <c r="J764" s="251"/>
      <c r="K764" s="251"/>
      <c r="L764" s="251"/>
      <c r="M764" s="251"/>
      <c r="N764" s="251"/>
      <c r="O764" s="251"/>
      <c r="P764" s="251"/>
      <c r="Q764" s="251"/>
      <c r="R764" s="251"/>
      <c r="S764" s="251"/>
      <c r="T764" s="251"/>
      <c r="U764" s="251"/>
      <c r="V764" s="251"/>
      <c r="W764" s="251"/>
      <c r="X764" s="251"/>
      <c r="Y764" s="251"/>
      <c r="Z764" s="251"/>
      <c r="AA764" s="251"/>
      <c r="AB764" s="251"/>
      <c r="AC764" s="251"/>
      <c r="AD764" s="251"/>
      <c r="AE764" s="251"/>
      <c r="AF764" s="251"/>
      <c r="AG764" s="251"/>
      <c r="AH764" s="251"/>
      <c r="AI764" s="251"/>
      <c r="AJ764" s="251"/>
      <c r="AK764" s="251"/>
      <c r="AL764" s="251"/>
      <c r="AM764" s="251"/>
      <c r="AN764" s="251"/>
      <c r="AO764" s="251"/>
      <c r="AP764" s="251"/>
      <c r="AQ764" s="251"/>
      <c r="AR764" s="251"/>
      <c r="AS764" s="251"/>
    </row>
    <row r="765" spans="1:45" s="44" customFormat="1" x14ac:dyDescent="0.2">
      <c r="A765" s="71"/>
      <c r="B765" s="71"/>
      <c r="C765" s="71"/>
      <c r="D765" s="251"/>
      <c r="E765" s="251"/>
      <c r="F765" s="251"/>
      <c r="G765" s="251"/>
      <c r="H765" s="251"/>
      <c r="I765" s="251"/>
      <c r="J765" s="251"/>
      <c r="K765" s="251"/>
      <c r="L765" s="251"/>
      <c r="M765" s="251"/>
      <c r="N765" s="251"/>
      <c r="O765" s="251"/>
      <c r="P765" s="251"/>
      <c r="Q765" s="251"/>
      <c r="R765" s="251"/>
      <c r="S765" s="251"/>
      <c r="T765" s="251"/>
      <c r="U765" s="251"/>
      <c r="V765" s="251"/>
      <c r="W765" s="251"/>
      <c r="X765" s="251"/>
      <c r="Y765" s="251"/>
      <c r="Z765" s="251"/>
      <c r="AA765" s="251"/>
      <c r="AB765" s="251"/>
      <c r="AC765" s="251"/>
      <c r="AD765" s="251"/>
      <c r="AE765" s="251"/>
      <c r="AF765" s="251"/>
      <c r="AG765" s="251"/>
      <c r="AH765" s="251"/>
      <c r="AI765" s="251"/>
      <c r="AJ765" s="251"/>
      <c r="AK765" s="251"/>
      <c r="AL765" s="251"/>
      <c r="AM765" s="251"/>
      <c r="AN765" s="251"/>
      <c r="AO765" s="251"/>
      <c r="AP765" s="251"/>
      <c r="AQ765" s="251"/>
      <c r="AR765" s="251"/>
      <c r="AS765" s="251"/>
    </row>
    <row r="766" spans="1:45" s="44" customFormat="1" x14ac:dyDescent="0.2">
      <c r="A766" s="71"/>
      <c r="B766" s="71"/>
      <c r="C766" s="71"/>
      <c r="D766" s="251"/>
      <c r="E766" s="251"/>
      <c r="F766" s="251"/>
      <c r="G766" s="251"/>
      <c r="H766" s="251"/>
      <c r="I766" s="251"/>
      <c r="J766" s="251"/>
      <c r="K766" s="251"/>
      <c r="L766" s="251"/>
      <c r="M766" s="251"/>
      <c r="N766" s="251"/>
      <c r="O766" s="251"/>
      <c r="P766" s="251"/>
      <c r="Q766" s="251"/>
      <c r="R766" s="251"/>
      <c r="S766" s="251"/>
      <c r="T766" s="251"/>
      <c r="U766" s="251"/>
      <c r="V766" s="251"/>
      <c r="W766" s="251"/>
      <c r="X766" s="251"/>
      <c r="Y766" s="251"/>
      <c r="Z766" s="251"/>
      <c r="AA766" s="251"/>
      <c r="AB766" s="251"/>
      <c r="AC766" s="251"/>
      <c r="AD766" s="251"/>
      <c r="AE766" s="251"/>
      <c r="AF766" s="251"/>
      <c r="AG766" s="251"/>
      <c r="AH766" s="251"/>
      <c r="AI766" s="251"/>
      <c r="AJ766" s="251"/>
      <c r="AK766" s="251"/>
      <c r="AL766" s="251"/>
      <c r="AM766" s="251"/>
      <c r="AN766" s="251"/>
      <c r="AO766" s="251"/>
      <c r="AP766" s="251"/>
      <c r="AQ766" s="251"/>
      <c r="AR766" s="251"/>
      <c r="AS766" s="251"/>
    </row>
    <row r="767" spans="1:45" s="44" customFormat="1" x14ac:dyDescent="0.2">
      <c r="A767" s="71"/>
      <c r="B767" s="71"/>
      <c r="C767" s="71"/>
      <c r="D767" s="251"/>
      <c r="E767" s="251"/>
      <c r="F767" s="251"/>
      <c r="G767" s="251"/>
      <c r="H767" s="251"/>
      <c r="I767" s="251"/>
      <c r="J767" s="251"/>
      <c r="K767" s="251"/>
      <c r="L767" s="251"/>
      <c r="M767" s="251"/>
      <c r="N767" s="251"/>
      <c r="O767" s="251"/>
      <c r="P767" s="251"/>
      <c r="Q767" s="251"/>
      <c r="R767" s="251"/>
      <c r="S767" s="251"/>
      <c r="T767" s="251"/>
      <c r="U767" s="251"/>
      <c r="V767" s="251"/>
      <c r="W767" s="251"/>
      <c r="X767" s="251"/>
      <c r="Y767" s="251"/>
      <c r="Z767" s="251"/>
      <c r="AA767" s="251"/>
      <c r="AB767" s="251"/>
      <c r="AC767" s="251"/>
      <c r="AD767" s="251"/>
      <c r="AE767" s="251"/>
      <c r="AF767" s="251"/>
      <c r="AG767" s="251"/>
      <c r="AH767" s="251"/>
      <c r="AI767" s="251"/>
      <c r="AJ767" s="251"/>
      <c r="AK767" s="251"/>
      <c r="AL767" s="251"/>
      <c r="AM767" s="251"/>
      <c r="AN767" s="251"/>
      <c r="AO767" s="251"/>
      <c r="AP767" s="251"/>
      <c r="AQ767" s="251"/>
      <c r="AR767" s="251"/>
      <c r="AS767" s="251"/>
    </row>
    <row r="768" spans="1:45" s="44" customFormat="1" x14ac:dyDescent="0.2">
      <c r="A768" s="71"/>
      <c r="B768" s="71"/>
      <c r="C768" s="7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c r="AA768" s="251"/>
      <c r="AB768" s="251"/>
      <c r="AC768" s="251"/>
      <c r="AD768" s="251"/>
      <c r="AE768" s="251"/>
      <c r="AF768" s="251"/>
      <c r="AG768" s="251"/>
      <c r="AH768" s="251"/>
      <c r="AI768" s="251"/>
      <c r="AJ768" s="251"/>
      <c r="AK768" s="251"/>
      <c r="AL768" s="251"/>
      <c r="AM768" s="251"/>
      <c r="AN768" s="251"/>
      <c r="AO768" s="251"/>
      <c r="AP768" s="251"/>
      <c r="AQ768" s="251"/>
      <c r="AR768" s="251"/>
      <c r="AS768" s="251"/>
    </row>
    <row r="769" spans="1:45" s="44" customFormat="1" x14ac:dyDescent="0.2">
      <c r="A769" s="71"/>
      <c r="B769" s="71"/>
      <c r="C769" s="7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1"/>
      <c r="Z769" s="251"/>
      <c r="AA769" s="251"/>
      <c r="AB769" s="251"/>
      <c r="AC769" s="251"/>
      <c r="AD769" s="251"/>
      <c r="AE769" s="251"/>
      <c r="AF769" s="251"/>
      <c r="AG769" s="251"/>
      <c r="AH769" s="251"/>
      <c r="AI769" s="251"/>
      <c r="AJ769" s="251"/>
      <c r="AK769" s="251"/>
      <c r="AL769" s="251"/>
      <c r="AM769" s="251"/>
      <c r="AN769" s="251"/>
      <c r="AO769" s="251"/>
      <c r="AP769" s="251"/>
      <c r="AQ769" s="251"/>
      <c r="AR769" s="251"/>
      <c r="AS769" s="251"/>
    </row>
    <row r="770" spans="1:45" s="44" customFormat="1" x14ac:dyDescent="0.2">
      <c r="A770" s="71"/>
      <c r="B770" s="71"/>
      <c r="C770" s="71"/>
      <c r="D770" s="251"/>
      <c r="E770" s="251"/>
      <c r="F770" s="251"/>
      <c r="G770" s="251"/>
      <c r="H770" s="251"/>
      <c r="I770" s="251"/>
      <c r="J770" s="251"/>
      <c r="K770" s="251"/>
      <c r="L770" s="251"/>
      <c r="M770" s="251"/>
      <c r="N770" s="251"/>
      <c r="O770" s="251"/>
      <c r="P770" s="251"/>
      <c r="Q770" s="251"/>
      <c r="R770" s="251"/>
      <c r="S770" s="251"/>
      <c r="T770" s="251"/>
      <c r="U770" s="251"/>
      <c r="V770" s="251"/>
      <c r="W770" s="251"/>
      <c r="X770" s="251"/>
      <c r="Y770" s="251"/>
      <c r="Z770" s="251"/>
      <c r="AA770" s="251"/>
      <c r="AB770" s="251"/>
      <c r="AC770" s="251"/>
      <c r="AD770" s="251"/>
      <c r="AE770" s="251"/>
      <c r="AF770" s="251"/>
      <c r="AG770" s="251"/>
      <c r="AH770" s="251"/>
      <c r="AI770" s="251"/>
      <c r="AJ770" s="251"/>
      <c r="AK770" s="251"/>
      <c r="AL770" s="251"/>
      <c r="AM770" s="251"/>
      <c r="AN770" s="251"/>
      <c r="AO770" s="251"/>
      <c r="AP770" s="251"/>
      <c r="AQ770" s="251"/>
      <c r="AR770" s="251"/>
      <c r="AS770" s="251"/>
    </row>
    <row r="771" spans="1:45" s="44" customFormat="1" x14ac:dyDescent="0.2">
      <c r="A771" s="71"/>
      <c r="B771" s="71"/>
      <c r="C771" s="71"/>
      <c r="D771" s="251"/>
      <c r="E771" s="251"/>
      <c r="F771" s="251"/>
      <c r="G771" s="251"/>
      <c r="H771" s="251"/>
      <c r="I771" s="251"/>
      <c r="J771" s="251"/>
      <c r="K771" s="251"/>
      <c r="L771" s="251"/>
      <c r="M771" s="251"/>
      <c r="N771" s="251"/>
      <c r="O771" s="251"/>
      <c r="P771" s="251"/>
      <c r="Q771" s="251"/>
      <c r="R771" s="251"/>
      <c r="S771" s="251"/>
      <c r="T771" s="251"/>
      <c r="U771" s="251"/>
      <c r="V771" s="251"/>
      <c r="W771" s="251"/>
      <c r="X771" s="251"/>
      <c r="Y771" s="251"/>
      <c r="Z771" s="251"/>
      <c r="AA771" s="251"/>
      <c r="AB771" s="251"/>
      <c r="AC771" s="251"/>
      <c r="AD771" s="251"/>
      <c r="AE771" s="251"/>
      <c r="AF771" s="251"/>
      <c r="AG771" s="251"/>
      <c r="AH771" s="251"/>
      <c r="AI771" s="251"/>
      <c r="AJ771" s="251"/>
      <c r="AK771" s="251"/>
      <c r="AL771" s="251"/>
      <c r="AM771" s="251"/>
      <c r="AN771" s="251"/>
      <c r="AO771" s="251"/>
      <c r="AP771" s="251"/>
      <c r="AQ771" s="251"/>
      <c r="AR771" s="251"/>
      <c r="AS771" s="251"/>
    </row>
    <row r="772" spans="1:45" s="44" customFormat="1" x14ac:dyDescent="0.2">
      <c r="A772" s="71"/>
      <c r="B772" s="71"/>
      <c r="C772" s="71"/>
      <c r="D772" s="251"/>
      <c r="E772" s="251"/>
      <c r="F772" s="251"/>
      <c r="G772" s="251"/>
      <c r="H772" s="251"/>
      <c r="I772" s="251"/>
      <c r="J772" s="251"/>
      <c r="K772" s="251"/>
      <c r="L772" s="251"/>
      <c r="M772" s="251"/>
      <c r="N772" s="251"/>
      <c r="O772" s="251"/>
      <c r="P772" s="251"/>
      <c r="Q772" s="251"/>
      <c r="R772" s="251"/>
      <c r="S772" s="251"/>
      <c r="T772" s="251"/>
      <c r="U772" s="251"/>
      <c r="V772" s="251"/>
      <c r="W772" s="251"/>
      <c r="X772" s="251"/>
      <c r="Y772" s="251"/>
      <c r="Z772" s="251"/>
      <c r="AA772" s="251"/>
      <c r="AB772" s="251"/>
      <c r="AC772" s="251"/>
      <c r="AD772" s="251"/>
      <c r="AE772" s="251"/>
      <c r="AF772" s="251"/>
      <c r="AG772" s="251"/>
      <c r="AH772" s="251"/>
      <c r="AI772" s="251"/>
      <c r="AJ772" s="251"/>
      <c r="AK772" s="251"/>
      <c r="AL772" s="251"/>
      <c r="AM772" s="251"/>
      <c r="AN772" s="251"/>
      <c r="AO772" s="251"/>
      <c r="AP772" s="251"/>
      <c r="AQ772" s="251"/>
      <c r="AR772" s="251"/>
      <c r="AS772" s="251"/>
    </row>
    <row r="773" spans="1:45" s="44" customFormat="1" x14ac:dyDescent="0.2">
      <c r="A773" s="71"/>
      <c r="B773" s="71"/>
      <c r="C773" s="71"/>
      <c r="D773" s="251"/>
      <c r="E773" s="251"/>
      <c r="F773" s="251"/>
      <c r="G773" s="251"/>
      <c r="H773" s="251"/>
      <c r="I773" s="251"/>
      <c r="J773" s="251"/>
      <c r="K773" s="251"/>
      <c r="L773" s="251"/>
      <c r="M773" s="251"/>
      <c r="N773" s="251"/>
      <c r="O773" s="251"/>
      <c r="P773" s="251"/>
      <c r="Q773" s="251"/>
      <c r="R773" s="251"/>
      <c r="S773" s="251"/>
      <c r="T773" s="251"/>
      <c r="U773" s="251"/>
      <c r="V773" s="251"/>
      <c r="W773" s="251"/>
      <c r="X773" s="251"/>
      <c r="Y773" s="251"/>
      <c r="Z773" s="251"/>
      <c r="AA773" s="251"/>
      <c r="AB773" s="251"/>
      <c r="AC773" s="251"/>
      <c r="AD773" s="251"/>
      <c r="AE773" s="251"/>
      <c r="AF773" s="251"/>
      <c r="AG773" s="251"/>
      <c r="AH773" s="251"/>
      <c r="AI773" s="251"/>
      <c r="AJ773" s="251"/>
      <c r="AK773" s="251"/>
      <c r="AL773" s="251"/>
      <c r="AM773" s="251"/>
      <c r="AN773" s="251"/>
      <c r="AO773" s="251"/>
      <c r="AP773" s="251"/>
      <c r="AQ773" s="251"/>
      <c r="AR773" s="251"/>
      <c r="AS773" s="251"/>
    </row>
    <row r="774" spans="1:45" s="44" customFormat="1" x14ac:dyDescent="0.2">
      <c r="A774" s="71"/>
      <c r="B774" s="71"/>
      <c r="C774" s="71"/>
      <c r="D774" s="251"/>
      <c r="E774" s="251"/>
      <c r="F774" s="251"/>
      <c r="G774" s="251"/>
      <c r="H774" s="251"/>
      <c r="I774" s="251"/>
      <c r="J774" s="251"/>
      <c r="K774" s="251"/>
      <c r="L774" s="251"/>
      <c r="M774" s="251"/>
      <c r="N774" s="251"/>
      <c r="O774" s="251"/>
      <c r="P774" s="251"/>
      <c r="Q774" s="251"/>
      <c r="R774" s="251"/>
      <c r="S774" s="251"/>
      <c r="T774" s="251"/>
      <c r="U774" s="251"/>
      <c r="V774" s="251"/>
      <c r="W774" s="251"/>
      <c r="X774" s="251"/>
      <c r="Y774" s="251"/>
      <c r="Z774" s="251"/>
      <c r="AA774" s="251"/>
      <c r="AB774" s="251"/>
      <c r="AC774" s="251"/>
      <c r="AD774" s="251"/>
      <c r="AE774" s="251"/>
      <c r="AF774" s="251"/>
      <c r="AG774" s="251"/>
      <c r="AH774" s="251"/>
      <c r="AI774" s="251"/>
      <c r="AJ774" s="251"/>
      <c r="AK774" s="251"/>
      <c r="AL774" s="251"/>
      <c r="AM774" s="251"/>
      <c r="AN774" s="251"/>
      <c r="AO774" s="251"/>
      <c r="AP774" s="251"/>
      <c r="AQ774" s="251"/>
      <c r="AR774" s="251"/>
      <c r="AS774" s="251"/>
    </row>
    <row r="775" spans="1:45" s="44" customFormat="1" x14ac:dyDescent="0.2">
      <c r="A775" s="71"/>
      <c r="B775" s="71"/>
      <c r="C775" s="71"/>
      <c r="D775" s="251"/>
      <c r="E775" s="251"/>
      <c r="F775" s="251"/>
      <c r="G775" s="251"/>
      <c r="H775" s="251"/>
      <c r="I775" s="251"/>
      <c r="J775" s="251"/>
      <c r="K775" s="251"/>
      <c r="L775" s="251"/>
      <c r="M775" s="251"/>
      <c r="N775" s="251"/>
      <c r="O775" s="251"/>
      <c r="P775" s="251"/>
      <c r="Q775" s="251"/>
      <c r="R775" s="251"/>
      <c r="S775" s="251"/>
      <c r="T775" s="251"/>
      <c r="U775" s="251"/>
      <c r="V775" s="251"/>
      <c r="W775" s="251"/>
      <c r="X775" s="251"/>
      <c r="Y775" s="251"/>
      <c r="Z775" s="251"/>
      <c r="AA775" s="251"/>
      <c r="AB775" s="251"/>
      <c r="AC775" s="251"/>
      <c r="AD775" s="251"/>
      <c r="AE775" s="251"/>
      <c r="AF775" s="251"/>
      <c r="AG775" s="251"/>
      <c r="AH775" s="251"/>
      <c r="AI775" s="251"/>
      <c r="AJ775" s="251"/>
      <c r="AK775" s="251"/>
      <c r="AL775" s="251"/>
      <c r="AM775" s="251"/>
      <c r="AN775" s="251"/>
      <c r="AO775" s="251"/>
      <c r="AP775" s="251"/>
      <c r="AQ775" s="251"/>
      <c r="AR775" s="251"/>
      <c r="AS775" s="251"/>
    </row>
    <row r="776" spans="1:45" s="44" customFormat="1" x14ac:dyDescent="0.2">
      <c r="A776" s="71"/>
      <c r="B776" s="71"/>
      <c r="C776" s="71"/>
      <c r="D776" s="251"/>
      <c r="E776" s="251"/>
      <c r="F776" s="251"/>
      <c r="G776" s="251"/>
      <c r="H776" s="251"/>
      <c r="I776" s="251"/>
      <c r="J776" s="251"/>
      <c r="K776" s="251"/>
      <c r="L776" s="251"/>
      <c r="M776" s="251"/>
      <c r="N776" s="251"/>
      <c r="O776" s="251"/>
      <c r="P776" s="251"/>
      <c r="Q776" s="251"/>
      <c r="R776" s="251"/>
      <c r="S776" s="251"/>
      <c r="T776" s="251"/>
      <c r="U776" s="251"/>
      <c r="V776" s="251"/>
      <c r="W776" s="251"/>
      <c r="X776" s="251"/>
      <c r="Y776" s="251"/>
      <c r="Z776" s="251"/>
      <c r="AA776" s="251"/>
      <c r="AB776" s="251"/>
      <c r="AC776" s="251"/>
      <c r="AD776" s="251"/>
      <c r="AE776" s="251"/>
      <c r="AF776" s="251"/>
      <c r="AG776" s="251"/>
      <c r="AH776" s="251"/>
      <c r="AI776" s="251"/>
      <c r="AJ776" s="251"/>
      <c r="AK776" s="251"/>
      <c r="AL776" s="251"/>
      <c r="AM776" s="251"/>
      <c r="AN776" s="251"/>
      <c r="AO776" s="251"/>
      <c r="AP776" s="251"/>
      <c r="AQ776" s="251"/>
      <c r="AR776" s="251"/>
      <c r="AS776" s="251"/>
    </row>
    <row r="777" spans="1:45" s="44" customFormat="1" x14ac:dyDescent="0.2">
      <c r="A777" s="71"/>
      <c r="B777" s="71"/>
      <c r="C777" s="71"/>
      <c r="D777" s="251"/>
      <c r="E777" s="251"/>
      <c r="F777" s="251"/>
      <c r="G777" s="251"/>
      <c r="H777" s="251"/>
      <c r="I777" s="251"/>
      <c r="J777" s="251"/>
      <c r="K777" s="251"/>
      <c r="L777" s="251"/>
      <c r="M777" s="251"/>
      <c r="N777" s="251"/>
      <c r="O777" s="251"/>
      <c r="P777" s="251"/>
      <c r="Q777" s="251"/>
      <c r="R777" s="251"/>
      <c r="S777" s="251"/>
      <c r="T777" s="251"/>
      <c r="U777" s="251"/>
      <c r="V777" s="251"/>
      <c r="W777" s="251"/>
      <c r="X777" s="251"/>
      <c r="Y777" s="251"/>
      <c r="Z777" s="251"/>
      <c r="AA777" s="251"/>
      <c r="AB777" s="251"/>
      <c r="AC777" s="251"/>
      <c r="AD777" s="251"/>
      <c r="AE777" s="251"/>
      <c r="AF777" s="251"/>
      <c r="AG777" s="251"/>
      <c r="AH777" s="251"/>
      <c r="AI777" s="251"/>
      <c r="AJ777" s="251"/>
      <c r="AK777" s="251"/>
      <c r="AL777" s="251"/>
      <c r="AM777" s="251"/>
      <c r="AN777" s="251"/>
      <c r="AO777" s="251"/>
      <c r="AP777" s="251"/>
      <c r="AQ777" s="251"/>
      <c r="AR777" s="251"/>
      <c r="AS777" s="251"/>
    </row>
    <row r="778" spans="1:45" s="44" customFormat="1" x14ac:dyDescent="0.2">
      <c r="A778" s="71"/>
      <c r="B778" s="71"/>
      <c r="C778" s="71"/>
      <c r="D778" s="251"/>
      <c r="E778" s="251"/>
      <c r="F778" s="251"/>
      <c r="G778" s="251"/>
      <c r="H778" s="251"/>
      <c r="I778" s="251"/>
      <c r="J778" s="251"/>
      <c r="K778" s="251"/>
      <c r="L778" s="251"/>
      <c r="M778" s="251"/>
      <c r="N778" s="251"/>
      <c r="O778" s="251"/>
      <c r="P778" s="251"/>
      <c r="Q778" s="251"/>
      <c r="R778" s="251"/>
      <c r="S778" s="251"/>
      <c r="T778" s="251"/>
      <c r="U778" s="251"/>
      <c r="V778" s="251"/>
      <c r="W778" s="251"/>
      <c r="X778" s="251"/>
      <c r="Y778" s="251"/>
      <c r="Z778" s="251"/>
      <c r="AA778" s="251"/>
      <c r="AB778" s="251"/>
      <c r="AC778" s="251"/>
      <c r="AD778" s="251"/>
      <c r="AE778" s="251"/>
      <c r="AF778" s="251"/>
      <c r="AG778" s="251"/>
      <c r="AH778" s="251"/>
      <c r="AI778" s="251"/>
      <c r="AJ778" s="251"/>
      <c r="AK778" s="251"/>
      <c r="AL778" s="251"/>
      <c r="AM778" s="251"/>
      <c r="AN778" s="251"/>
      <c r="AO778" s="251"/>
      <c r="AP778" s="251"/>
      <c r="AQ778" s="251"/>
      <c r="AR778" s="251"/>
      <c r="AS778" s="251"/>
    </row>
    <row r="779" spans="1:45" s="44" customFormat="1" x14ac:dyDescent="0.2">
      <c r="A779" s="71"/>
      <c r="B779" s="71"/>
      <c r="C779" s="71"/>
      <c r="D779" s="251"/>
      <c r="E779" s="251"/>
      <c r="F779" s="251"/>
      <c r="G779" s="251"/>
      <c r="H779" s="251"/>
      <c r="I779" s="251"/>
      <c r="J779" s="251"/>
      <c r="K779" s="251"/>
      <c r="L779" s="251"/>
      <c r="M779" s="251"/>
      <c r="N779" s="251"/>
      <c r="O779" s="251"/>
      <c r="P779" s="251"/>
      <c r="Q779" s="251"/>
      <c r="R779" s="251"/>
      <c r="S779" s="251"/>
      <c r="T779" s="251"/>
      <c r="U779" s="251"/>
      <c r="V779" s="251"/>
      <c r="W779" s="251"/>
      <c r="X779" s="251"/>
      <c r="Y779" s="251"/>
      <c r="Z779" s="251"/>
      <c r="AA779" s="251"/>
      <c r="AB779" s="251"/>
      <c r="AC779" s="251"/>
      <c r="AD779" s="251"/>
      <c r="AE779" s="251"/>
      <c r="AF779" s="251"/>
      <c r="AG779" s="251"/>
      <c r="AH779" s="251"/>
      <c r="AI779" s="251"/>
      <c r="AJ779" s="251"/>
      <c r="AK779" s="251"/>
      <c r="AL779" s="251"/>
      <c r="AM779" s="251"/>
      <c r="AN779" s="251"/>
      <c r="AO779" s="251"/>
      <c r="AP779" s="251"/>
      <c r="AQ779" s="251"/>
      <c r="AR779" s="251"/>
      <c r="AS779" s="251"/>
    </row>
    <row r="780" spans="1:45" s="44" customFormat="1" x14ac:dyDescent="0.2">
      <c r="A780" s="71"/>
      <c r="B780" s="71"/>
      <c r="C780" s="71"/>
      <c r="D780" s="251"/>
      <c r="E780" s="251"/>
      <c r="F780" s="251"/>
      <c r="G780" s="251"/>
      <c r="H780" s="251"/>
      <c r="I780" s="251"/>
      <c r="J780" s="251"/>
      <c r="K780" s="251"/>
      <c r="L780" s="251"/>
      <c r="M780" s="251"/>
      <c r="N780" s="251"/>
      <c r="O780" s="251"/>
      <c r="P780" s="251"/>
      <c r="Q780" s="251"/>
      <c r="R780" s="251"/>
      <c r="S780" s="251"/>
      <c r="T780" s="251"/>
      <c r="U780" s="251"/>
      <c r="V780" s="251"/>
      <c r="W780" s="251"/>
      <c r="X780" s="251"/>
      <c r="Y780" s="251"/>
      <c r="Z780" s="251"/>
      <c r="AA780" s="251"/>
      <c r="AB780" s="251"/>
      <c r="AC780" s="251"/>
      <c r="AD780" s="251"/>
      <c r="AE780" s="251"/>
      <c r="AF780" s="251"/>
      <c r="AG780" s="251"/>
      <c r="AH780" s="251"/>
      <c r="AI780" s="251"/>
      <c r="AJ780" s="251"/>
      <c r="AK780" s="251"/>
      <c r="AL780" s="251"/>
      <c r="AM780" s="251"/>
      <c r="AN780" s="251"/>
      <c r="AO780" s="251"/>
      <c r="AP780" s="251"/>
      <c r="AQ780" s="251"/>
      <c r="AR780" s="251"/>
      <c r="AS780" s="251"/>
    </row>
    <row r="781" spans="1:45" s="44" customFormat="1" x14ac:dyDescent="0.2">
      <c r="A781" s="71"/>
      <c r="B781" s="71"/>
      <c r="C781" s="71"/>
      <c r="D781" s="251"/>
      <c r="E781" s="251"/>
      <c r="F781" s="251"/>
      <c r="G781" s="251"/>
      <c r="H781" s="251"/>
      <c r="I781" s="251"/>
      <c r="J781" s="251"/>
      <c r="K781" s="251"/>
      <c r="L781" s="251"/>
      <c r="M781" s="251"/>
      <c r="N781" s="251"/>
      <c r="O781" s="251"/>
      <c r="P781" s="251"/>
      <c r="Q781" s="251"/>
      <c r="R781" s="251"/>
      <c r="S781" s="251"/>
      <c r="T781" s="251"/>
      <c r="U781" s="251"/>
      <c r="V781" s="251"/>
      <c r="W781" s="251"/>
      <c r="X781" s="251"/>
      <c r="Y781" s="251"/>
      <c r="Z781" s="251"/>
      <c r="AA781" s="251"/>
      <c r="AB781" s="251"/>
      <c r="AC781" s="251"/>
      <c r="AD781" s="251"/>
      <c r="AE781" s="251"/>
      <c r="AF781" s="251"/>
      <c r="AG781" s="251"/>
      <c r="AH781" s="251"/>
      <c r="AI781" s="251"/>
      <c r="AJ781" s="251"/>
      <c r="AK781" s="251"/>
      <c r="AL781" s="251"/>
      <c r="AM781" s="251"/>
      <c r="AN781" s="251"/>
      <c r="AO781" s="251"/>
      <c r="AP781" s="251"/>
      <c r="AQ781" s="251"/>
      <c r="AR781" s="251"/>
      <c r="AS781" s="251"/>
    </row>
    <row r="782" spans="1:45" s="44" customFormat="1" x14ac:dyDescent="0.2">
      <c r="A782" s="71"/>
      <c r="B782" s="71"/>
      <c r="C782" s="71"/>
      <c r="D782" s="251"/>
      <c r="E782" s="251"/>
      <c r="F782" s="251"/>
      <c r="G782" s="251"/>
      <c r="H782" s="251"/>
      <c r="I782" s="251"/>
      <c r="J782" s="251"/>
      <c r="K782" s="251"/>
      <c r="L782" s="251"/>
      <c r="M782" s="251"/>
      <c r="N782" s="251"/>
      <c r="O782" s="251"/>
      <c r="P782" s="251"/>
      <c r="Q782" s="251"/>
      <c r="R782" s="251"/>
      <c r="S782" s="251"/>
      <c r="T782" s="251"/>
      <c r="U782" s="251"/>
      <c r="V782" s="251"/>
      <c r="W782" s="251"/>
      <c r="X782" s="251"/>
      <c r="Y782" s="251"/>
      <c r="Z782" s="251"/>
      <c r="AA782" s="251"/>
      <c r="AB782" s="251"/>
      <c r="AC782" s="251"/>
      <c r="AD782" s="251"/>
      <c r="AE782" s="251"/>
      <c r="AF782" s="251"/>
      <c r="AG782" s="251"/>
      <c r="AH782" s="251"/>
      <c r="AI782" s="251"/>
      <c r="AJ782" s="251"/>
      <c r="AK782" s="251"/>
      <c r="AL782" s="251"/>
      <c r="AM782" s="251"/>
      <c r="AN782" s="251"/>
      <c r="AO782" s="251"/>
      <c r="AP782" s="251"/>
      <c r="AQ782" s="251"/>
      <c r="AR782" s="251"/>
      <c r="AS782" s="251"/>
    </row>
    <row r="783" spans="1:45" s="44" customFormat="1" x14ac:dyDescent="0.2">
      <c r="A783" s="71"/>
      <c r="B783" s="71"/>
      <c r="C783" s="71"/>
      <c r="D783" s="251"/>
      <c r="E783" s="251"/>
      <c r="F783" s="251"/>
      <c r="G783" s="251"/>
      <c r="H783" s="251"/>
      <c r="I783" s="251"/>
      <c r="J783" s="251"/>
      <c r="K783" s="251"/>
      <c r="L783" s="251"/>
      <c r="M783" s="251"/>
      <c r="N783" s="251"/>
      <c r="O783" s="251"/>
      <c r="P783" s="251"/>
      <c r="Q783" s="251"/>
      <c r="R783" s="251"/>
      <c r="S783" s="251"/>
      <c r="T783" s="251"/>
      <c r="U783" s="251"/>
      <c r="V783" s="251"/>
      <c r="W783" s="251"/>
      <c r="X783" s="251"/>
      <c r="Y783" s="251"/>
      <c r="Z783" s="251"/>
      <c r="AA783" s="251"/>
      <c r="AB783" s="251"/>
      <c r="AC783" s="251"/>
      <c r="AD783" s="251"/>
      <c r="AE783" s="251"/>
      <c r="AF783" s="251"/>
      <c r="AG783" s="251"/>
      <c r="AH783" s="251"/>
      <c r="AI783" s="251"/>
      <c r="AJ783" s="251"/>
      <c r="AK783" s="251"/>
      <c r="AL783" s="251"/>
      <c r="AM783" s="251"/>
      <c r="AN783" s="251"/>
      <c r="AO783" s="251"/>
      <c r="AP783" s="251"/>
      <c r="AQ783" s="251"/>
      <c r="AR783" s="251"/>
      <c r="AS783" s="251"/>
    </row>
    <row r="784" spans="1:45" s="44" customFormat="1" x14ac:dyDescent="0.2">
      <c r="A784" s="71"/>
      <c r="B784" s="71"/>
      <c r="C784" s="71"/>
      <c r="D784" s="251"/>
      <c r="E784" s="251"/>
      <c r="F784" s="251"/>
      <c r="G784" s="251"/>
      <c r="H784" s="251"/>
      <c r="I784" s="251"/>
      <c r="J784" s="251"/>
      <c r="K784" s="251"/>
      <c r="L784" s="251"/>
      <c r="M784" s="251"/>
      <c r="N784" s="251"/>
      <c r="O784" s="251"/>
      <c r="P784" s="251"/>
      <c r="Q784" s="251"/>
      <c r="R784" s="251"/>
      <c r="S784" s="251"/>
      <c r="T784" s="251"/>
      <c r="U784" s="251"/>
      <c r="V784" s="251"/>
      <c r="W784" s="251"/>
      <c r="X784" s="251"/>
      <c r="Y784" s="251"/>
      <c r="Z784" s="251"/>
      <c r="AA784" s="251"/>
      <c r="AB784" s="251"/>
      <c r="AC784" s="251"/>
      <c r="AD784" s="251"/>
      <c r="AE784" s="251"/>
      <c r="AF784" s="251"/>
      <c r="AG784" s="251"/>
      <c r="AH784" s="251"/>
      <c r="AI784" s="251"/>
      <c r="AJ784" s="251"/>
      <c r="AK784" s="251"/>
      <c r="AL784" s="251"/>
      <c r="AM784" s="251"/>
      <c r="AN784" s="251"/>
      <c r="AO784" s="251"/>
      <c r="AP784" s="251"/>
      <c r="AQ784" s="251"/>
      <c r="AR784" s="251"/>
      <c r="AS784" s="251"/>
    </row>
    <row r="785" spans="1:45" s="44" customFormat="1" x14ac:dyDescent="0.2">
      <c r="A785" s="71"/>
      <c r="B785" s="71"/>
      <c r="C785" s="71"/>
      <c r="D785" s="251"/>
      <c r="E785" s="251"/>
      <c r="F785" s="251"/>
      <c r="G785" s="251"/>
      <c r="H785" s="251"/>
      <c r="I785" s="251"/>
      <c r="J785" s="251"/>
      <c r="K785" s="251"/>
      <c r="L785" s="251"/>
      <c r="M785" s="251"/>
      <c r="N785" s="251"/>
      <c r="O785" s="251"/>
      <c r="P785" s="251"/>
      <c r="Q785" s="251"/>
      <c r="R785" s="251"/>
      <c r="S785" s="251"/>
      <c r="T785" s="251"/>
      <c r="U785" s="251"/>
      <c r="V785" s="251"/>
      <c r="W785" s="251"/>
      <c r="X785" s="251"/>
      <c r="Y785" s="251"/>
      <c r="Z785" s="251"/>
      <c r="AA785" s="251"/>
      <c r="AB785" s="251"/>
      <c r="AC785" s="251"/>
      <c r="AD785" s="251"/>
      <c r="AE785" s="251"/>
      <c r="AF785" s="251"/>
      <c r="AG785" s="251"/>
      <c r="AH785" s="251"/>
      <c r="AI785" s="251"/>
      <c r="AJ785" s="251"/>
      <c r="AK785" s="251"/>
      <c r="AL785" s="251"/>
      <c r="AM785" s="251"/>
      <c r="AN785" s="251"/>
      <c r="AO785" s="251"/>
      <c r="AP785" s="251"/>
      <c r="AQ785" s="251"/>
      <c r="AR785" s="251"/>
      <c r="AS785" s="251"/>
    </row>
    <row r="786" spans="1:45" s="44" customFormat="1" x14ac:dyDescent="0.2">
      <c r="A786" s="71"/>
      <c r="B786" s="71"/>
      <c r="C786" s="71"/>
      <c r="D786" s="251"/>
      <c r="E786" s="251"/>
      <c r="F786" s="251"/>
      <c r="G786" s="251"/>
      <c r="H786" s="251"/>
      <c r="I786" s="251"/>
      <c r="J786" s="251"/>
      <c r="K786" s="251"/>
      <c r="L786" s="251"/>
      <c r="M786" s="251"/>
      <c r="N786" s="251"/>
      <c r="O786" s="251"/>
      <c r="P786" s="251"/>
      <c r="Q786" s="251"/>
      <c r="R786" s="251"/>
      <c r="S786" s="251"/>
      <c r="T786" s="251"/>
      <c r="U786" s="251"/>
      <c r="V786" s="251"/>
      <c r="W786" s="251"/>
      <c r="X786" s="251"/>
      <c r="Y786" s="251"/>
      <c r="Z786" s="251"/>
      <c r="AA786" s="251"/>
      <c r="AB786" s="251"/>
      <c r="AC786" s="251"/>
      <c r="AD786" s="251"/>
      <c r="AE786" s="251"/>
      <c r="AF786" s="251"/>
      <c r="AG786" s="251"/>
      <c r="AH786" s="251"/>
      <c r="AI786" s="251"/>
      <c r="AJ786" s="251"/>
      <c r="AK786" s="251"/>
      <c r="AL786" s="251"/>
      <c r="AM786" s="251"/>
      <c r="AN786" s="251"/>
      <c r="AO786" s="251"/>
      <c r="AP786" s="251"/>
      <c r="AQ786" s="251"/>
      <c r="AR786" s="251"/>
      <c r="AS786" s="251"/>
    </row>
    <row r="787" spans="1:45" s="44" customFormat="1" x14ac:dyDescent="0.2">
      <c r="A787" s="71"/>
      <c r="B787" s="71"/>
      <c r="C787" s="71"/>
      <c r="D787" s="251"/>
      <c r="E787" s="251"/>
      <c r="F787" s="251"/>
      <c r="G787" s="251"/>
      <c r="H787" s="251"/>
      <c r="I787" s="251"/>
      <c r="J787" s="251"/>
      <c r="K787" s="251"/>
      <c r="L787" s="251"/>
      <c r="M787" s="251"/>
      <c r="N787" s="251"/>
      <c r="O787" s="251"/>
      <c r="P787" s="251"/>
      <c r="Q787" s="251"/>
      <c r="R787" s="251"/>
      <c r="S787" s="251"/>
      <c r="T787" s="251"/>
      <c r="U787" s="251"/>
      <c r="V787" s="251"/>
      <c r="W787" s="251"/>
      <c r="X787" s="251"/>
      <c r="Y787" s="251"/>
      <c r="Z787" s="251"/>
      <c r="AA787" s="251"/>
      <c r="AB787" s="251"/>
      <c r="AC787" s="251"/>
      <c r="AD787" s="251"/>
      <c r="AE787" s="251"/>
      <c r="AF787" s="251"/>
      <c r="AG787" s="251"/>
      <c r="AH787" s="251"/>
      <c r="AI787" s="251"/>
      <c r="AJ787" s="251"/>
      <c r="AK787" s="251"/>
      <c r="AL787" s="251"/>
      <c r="AM787" s="251"/>
      <c r="AN787" s="251"/>
      <c r="AO787" s="251"/>
      <c r="AP787" s="251"/>
      <c r="AQ787" s="251"/>
      <c r="AR787" s="251"/>
      <c r="AS787" s="251"/>
    </row>
    <row r="788" spans="1:45" s="44" customFormat="1" x14ac:dyDescent="0.2">
      <c r="A788" s="71"/>
      <c r="B788" s="71"/>
      <c r="C788" s="71"/>
      <c r="D788" s="251"/>
      <c r="E788" s="251"/>
      <c r="F788" s="251"/>
      <c r="G788" s="251"/>
      <c r="H788" s="251"/>
      <c r="I788" s="251"/>
      <c r="J788" s="251"/>
      <c r="K788" s="251"/>
      <c r="L788" s="251"/>
      <c r="M788" s="251"/>
      <c r="N788" s="251"/>
      <c r="O788" s="251"/>
      <c r="P788" s="251"/>
      <c r="Q788" s="251"/>
      <c r="R788" s="251"/>
      <c r="S788" s="251"/>
      <c r="T788" s="251"/>
      <c r="U788" s="251"/>
      <c r="V788" s="251"/>
      <c r="W788" s="251"/>
      <c r="X788" s="251"/>
      <c r="Y788" s="251"/>
      <c r="Z788" s="251"/>
      <c r="AA788" s="251"/>
      <c r="AB788" s="251"/>
      <c r="AC788" s="251"/>
      <c r="AD788" s="251"/>
      <c r="AE788" s="251"/>
      <c r="AF788" s="251"/>
      <c r="AG788" s="251"/>
      <c r="AH788" s="251"/>
      <c r="AI788" s="251"/>
      <c r="AJ788" s="251"/>
      <c r="AK788" s="251"/>
      <c r="AL788" s="251"/>
      <c r="AM788" s="251"/>
      <c r="AN788" s="251"/>
      <c r="AO788" s="251"/>
      <c r="AP788" s="251"/>
      <c r="AQ788" s="251"/>
      <c r="AR788" s="251"/>
      <c r="AS788" s="251"/>
    </row>
    <row r="789" spans="1:45" s="44" customFormat="1" x14ac:dyDescent="0.2">
      <c r="A789" s="71"/>
      <c r="B789" s="71"/>
      <c r="C789" s="71"/>
      <c r="D789" s="251"/>
      <c r="E789" s="251"/>
      <c r="F789" s="251"/>
      <c r="G789" s="251"/>
      <c r="H789" s="251"/>
      <c r="I789" s="251"/>
      <c r="J789" s="251"/>
      <c r="K789" s="251"/>
      <c r="L789" s="251"/>
      <c r="M789" s="251"/>
      <c r="N789" s="251"/>
      <c r="O789" s="251"/>
      <c r="P789" s="251"/>
      <c r="Q789" s="251"/>
      <c r="R789" s="251"/>
      <c r="S789" s="251"/>
      <c r="T789" s="251"/>
      <c r="U789" s="251"/>
      <c r="V789" s="251"/>
      <c r="W789" s="251"/>
      <c r="X789" s="251"/>
      <c r="Y789" s="251"/>
      <c r="Z789" s="251"/>
      <c r="AA789" s="251"/>
      <c r="AB789" s="251"/>
      <c r="AC789" s="251"/>
      <c r="AD789" s="251"/>
      <c r="AE789" s="251"/>
      <c r="AF789" s="251"/>
      <c r="AG789" s="251"/>
      <c r="AH789" s="251"/>
      <c r="AI789" s="251"/>
      <c r="AJ789" s="251"/>
      <c r="AK789" s="251"/>
      <c r="AL789" s="251"/>
      <c r="AM789" s="251"/>
      <c r="AN789" s="251"/>
      <c r="AO789" s="251"/>
      <c r="AP789" s="251"/>
      <c r="AQ789" s="251"/>
      <c r="AR789" s="251"/>
      <c r="AS789" s="251"/>
    </row>
    <row r="790" spans="1:45" s="44" customFormat="1" x14ac:dyDescent="0.2">
      <c r="A790" s="71"/>
      <c r="B790" s="71"/>
      <c r="C790" s="71"/>
      <c r="D790" s="251"/>
      <c r="E790" s="251"/>
      <c r="F790" s="251"/>
      <c r="G790" s="251"/>
      <c r="H790" s="251"/>
      <c r="I790" s="251"/>
      <c r="J790" s="251"/>
      <c r="K790" s="251"/>
      <c r="L790" s="251"/>
      <c r="M790" s="251"/>
      <c r="N790" s="251"/>
      <c r="O790" s="251"/>
      <c r="P790" s="251"/>
      <c r="Q790" s="251"/>
      <c r="R790" s="251"/>
      <c r="S790" s="251"/>
      <c r="T790" s="251"/>
      <c r="U790" s="251"/>
      <c r="V790" s="251"/>
      <c r="W790" s="251"/>
      <c r="X790" s="251"/>
      <c r="Y790" s="251"/>
      <c r="Z790" s="251"/>
      <c r="AA790" s="251"/>
      <c r="AB790" s="251"/>
      <c r="AC790" s="251"/>
      <c r="AD790" s="251"/>
      <c r="AE790" s="251"/>
      <c r="AF790" s="251"/>
      <c r="AG790" s="251"/>
      <c r="AH790" s="251"/>
      <c r="AI790" s="251"/>
      <c r="AJ790" s="251"/>
      <c r="AK790" s="251"/>
      <c r="AL790" s="251"/>
      <c r="AM790" s="251"/>
      <c r="AN790" s="251"/>
      <c r="AO790" s="251"/>
      <c r="AP790" s="251"/>
      <c r="AQ790" s="251"/>
      <c r="AR790" s="251"/>
      <c r="AS790" s="251"/>
    </row>
    <row r="791" spans="1:45" s="44" customFormat="1" x14ac:dyDescent="0.2">
      <c r="A791" s="71"/>
      <c r="B791" s="71"/>
      <c r="C791" s="71"/>
      <c r="D791" s="251"/>
      <c r="E791" s="251"/>
      <c r="F791" s="251"/>
      <c r="G791" s="251"/>
      <c r="H791" s="251"/>
      <c r="I791" s="251"/>
      <c r="J791" s="251"/>
      <c r="K791" s="251"/>
      <c r="L791" s="251"/>
      <c r="M791" s="251"/>
      <c r="N791" s="251"/>
      <c r="O791" s="251"/>
      <c r="P791" s="251"/>
      <c r="Q791" s="251"/>
      <c r="R791" s="251"/>
      <c r="S791" s="251"/>
      <c r="T791" s="251"/>
      <c r="U791" s="251"/>
      <c r="V791" s="251"/>
      <c r="W791" s="251"/>
      <c r="X791" s="251"/>
      <c r="Y791" s="251"/>
      <c r="Z791" s="251"/>
      <c r="AA791" s="251"/>
      <c r="AB791" s="251"/>
      <c r="AC791" s="251"/>
      <c r="AD791" s="251"/>
      <c r="AE791" s="251"/>
      <c r="AF791" s="251"/>
      <c r="AG791" s="251"/>
      <c r="AH791" s="251"/>
      <c r="AI791" s="251"/>
      <c r="AJ791" s="251"/>
      <c r="AK791" s="251"/>
      <c r="AL791" s="251"/>
      <c r="AM791" s="251"/>
      <c r="AN791" s="251"/>
      <c r="AO791" s="251"/>
      <c r="AP791" s="251"/>
      <c r="AQ791" s="251"/>
      <c r="AR791" s="251"/>
      <c r="AS791" s="251"/>
    </row>
    <row r="792" spans="1:45" s="44" customFormat="1" x14ac:dyDescent="0.2">
      <c r="A792" s="71"/>
      <c r="B792" s="71"/>
      <c r="C792" s="71"/>
      <c r="D792" s="251"/>
      <c r="E792" s="251"/>
      <c r="F792" s="251"/>
      <c r="G792" s="251"/>
      <c r="H792" s="251"/>
      <c r="I792" s="251"/>
      <c r="J792" s="251"/>
      <c r="K792" s="251"/>
      <c r="L792" s="251"/>
      <c r="M792" s="251"/>
      <c r="N792" s="251"/>
      <c r="O792" s="251"/>
      <c r="P792" s="251"/>
      <c r="Q792" s="251"/>
      <c r="R792" s="251"/>
      <c r="S792" s="251"/>
      <c r="T792" s="251"/>
      <c r="U792" s="251"/>
      <c r="V792" s="251"/>
      <c r="W792" s="251"/>
      <c r="X792" s="251"/>
      <c r="Y792" s="251"/>
      <c r="Z792" s="251"/>
      <c r="AA792" s="251"/>
      <c r="AB792" s="251"/>
      <c r="AC792" s="251"/>
      <c r="AD792" s="251"/>
      <c r="AE792" s="251"/>
      <c r="AF792" s="251"/>
      <c r="AG792" s="251"/>
      <c r="AH792" s="251"/>
      <c r="AI792" s="251"/>
      <c r="AJ792" s="251"/>
      <c r="AK792" s="251"/>
      <c r="AL792" s="251"/>
      <c r="AM792" s="251"/>
      <c r="AN792" s="251"/>
      <c r="AO792" s="251"/>
      <c r="AP792" s="251"/>
      <c r="AQ792" s="251"/>
      <c r="AR792" s="251"/>
      <c r="AS792" s="251"/>
    </row>
    <row r="793" spans="1:45" s="44" customFormat="1" x14ac:dyDescent="0.2">
      <c r="A793" s="71"/>
      <c r="B793" s="71"/>
      <c r="C793" s="71"/>
      <c r="D793" s="251"/>
      <c r="E793" s="251"/>
      <c r="F793" s="251"/>
      <c r="G793" s="251"/>
      <c r="H793" s="251"/>
      <c r="I793" s="251"/>
      <c r="J793" s="251"/>
      <c r="K793" s="251"/>
      <c r="L793" s="251"/>
      <c r="M793" s="251"/>
      <c r="N793" s="251"/>
      <c r="O793" s="251"/>
      <c r="P793" s="251"/>
      <c r="Q793" s="251"/>
      <c r="R793" s="251"/>
      <c r="S793" s="251"/>
      <c r="T793" s="251"/>
      <c r="U793" s="251"/>
      <c r="V793" s="251"/>
      <c r="W793" s="251"/>
      <c r="X793" s="251"/>
      <c r="Y793" s="251"/>
      <c r="Z793" s="251"/>
      <c r="AA793" s="251"/>
      <c r="AB793" s="251"/>
      <c r="AC793" s="251"/>
      <c r="AD793" s="251"/>
      <c r="AE793" s="251"/>
      <c r="AF793" s="251"/>
      <c r="AG793" s="251"/>
      <c r="AH793" s="251"/>
      <c r="AI793" s="251"/>
      <c r="AJ793" s="251"/>
      <c r="AK793" s="251"/>
      <c r="AL793" s="251"/>
      <c r="AM793" s="251"/>
      <c r="AN793" s="251"/>
      <c r="AO793" s="251"/>
      <c r="AP793" s="251"/>
      <c r="AQ793" s="251"/>
      <c r="AR793" s="251"/>
      <c r="AS793" s="251"/>
    </row>
    <row r="794" spans="1:45" s="44" customFormat="1" x14ac:dyDescent="0.2">
      <c r="A794" s="71"/>
      <c r="B794" s="71"/>
      <c r="C794" s="71"/>
      <c r="D794" s="251"/>
      <c r="E794" s="251"/>
      <c r="F794" s="251"/>
      <c r="G794" s="251"/>
      <c r="H794" s="251"/>
      <c r="I794" s="251"/>
      <c r="J794" s="251"/>
      <c r="K794" s="251"/>
      <c r="L794" s="251"/>
      <c r="M794" s="251"/>
      <c r="N794" s="251"/>
      <c r="O794" s="251"/>
      <c r="P794" s="251"/>
      <c r="Q794" s="251"/>
      <c r="R794" s="251"/>
      <c r="S794" s="251"/>
      <c r="T794" s="251"/>
      <c r="U794" s="251"/>
      <c r="V794" s="251"/>
      <c r="W794" s="251"/>
      <c r="X794" s="251"/>
      <c r="Y794" s="251"/>
      <c r="Z794" s="251"/>
      <c r="AA794" s="251"/>
      <c r="AB794" s="251"/>
      <c r="AC794" s="251"/>
      <c r="AD794" s="251"/>
      <c r="AE794" s="251"/>
      <c r="AF794" s="251"/>
      <c r="AG794" s="251"/>
      <c r="AH794" s="251"/>
      <c r="AI794" s="251"/>
      <c r="AJ794" s="251"/>
      <c r="AK794" s="251"/>
      <c r="AL794" s="251"/>
      <c r="AM794" s="251"/>
      <c r="AN794" s="251"/>
      <c r="AO794" s="251"/>
      <c r="AP794" s="251"/>
      <c r="AQ794" s="251"/>
      <c r="AR794" s="251"/>
      <c r="AS794" s="251"/>
    </row>
    <row r="795" spans="1:45" s="44" customFormat="1" x14ac:dyDescent="0.2">
      <c r="A795" s="71"/>
      <c r="B795" s="71"/>
      <c r="C795" s="71"/>
      <c r="D795" s="251"/>
      <c r="E795" s="251"/>
      <c r="F795" s="251"/>
      <c r="G795" s="251"/>
      <c r="H795" s="251"/>
      <c r="I795" s="251"/>
      <c r="J795" s="251"/>
      <c r="K795" s="251"/>
      <c r="L795" s="251"/>
      <c r="M795" s="251"/>
      <c r="N795" s="251"/>
      <c r="O795" s="251"/>
      <c r="P795" s="251"/>
      <c r="Q795" s="251"/>
      <c r="R795" s="251"/>
      <c r="S795" s="251"/>
      <c r="T795" s="251"/>
      <c r="U795" s="251"/>
      <c r="V795" s="251"/>
      <c r="W795" s="251"/>
      <c r="X795" s="251"/>
      <c r="Y795" s="251"/>
      <c r="Z795" s="251"/>
      <c r="AA795" s="251"/>
      <c r="AB795" s="251"/>
      <c r="AC795" s="251"/>
      <c r="AD795" s="251"/>
      <c r="AE795" s="251"/>
      <c r="AF795" s="251"/>
      <c r="AG795" s="251"/>
      <c r="AH795" s="251"/>
      <c r="AI795" s="251"/>
      <c r="AJ795" s="251"/>
      <c r="AK795" s="251"/>
      <c r="AL795" s="251"/>
      <c r="AM795" s="251"/>
      <c r="AN795" s="251"/>
      <c r="AO795" s="251"/>
      <c r="AP795" s="251"/>
      <c r="AQ795" s="251"/>
      <c r="AR795" s="251"/>
      <c r="AS795" s="251"/>
    </row>
    <row r="796" spans="1:45" s="44" customFormat="1" x14ac:dyDescent="0.2">
      <c r="A796" s="71"/>
      <c r="B796" s="71"/>
      <c r="C796" s="71"/>
      <c r="D796" s="251"/>
      <c r="E796" s="251"/>
      <c r="F796" s="251"/>
      <c r="G796" s="251"/>
      <c r="H796" s="251"/>
      <c r="I796" s="251"/>
      <c r="J796" s="251"/>
      <c r="K796" s="251"/>
      <c r="L796" s="251"/>
      <c r="M796" s="251"/>
      <c r="N796" s="251"/>
      <c r="O796" s="251"/>
      <c r="P796" s="251"/>
      <c r="Q796" s="251"/>
      <c r="R796" s="251"/>
      <c r="S796" s="251"/>
      <c r="T796" s="251"/>
      <c r="U796" s="251"/>
      <c r="V796" s="251"/>
      <c r="W796" s="251"/>
      <c r="X796" s="251"/>
      <c r="Y796" s="251"/>
      <c r="Z796" s="251"/>
      <c r="AA796" s="251"/>
      <c r="AB796" s="251"/>
      <c r="AC796" s="251"/>
      <c r="AD796" s="251"/>
      <c r="AE796" s="251"/>
      <c r="AF796" s="251"/>
      <c r="AG796" s="251"/>
      <c r="AH796" s="251"/>
      <c r="AI796" s="251"/>
      <c r="AJ796" s="251"/>
      <c r="AK796" s="251"/>
      <c r="AL796" s="251"/>
      <c r="AM796" s="251"/>
      <c r="AN796" s="251"/>
      <c r="AO796" s="251"/>
      <c r="AP796" s="251"/>
      <c r="AQ796" s="251"/>
      <c r="AR796" s="251"/>
      <c r="AS796" s="251"/>
    </row>
    <row r="797" spans="1:45" s="44" customFormat="1" x14ac:dyDescent="0.2">
      <c r="A797" s="71"/>
      <c r="B797" s="71"/>
      <c r="C797" s="71"/>
      <c r="D797" s="251"/>
      <c r="E797" s="251"/>
      <c r="F797" s="251"/>
      <c r="G797" s="251"/>
      <c r="H797" s="251"/>
      <c r="I797" s="251"/>
      <c r="J797" s="251"/>
      <c r="K797" s="251"/>
      <c r="L797" s="251"/>
      <c r="M797" s="251"/>
      <c r="N797" s="251"/>
      <c r="O797" s="251"/>
      <c r="P797" s="251"/>
      <c r="Q797" s="251"/>
      <c r="R797" s="251"/>
      <c r="S797" s="251"/>
      <c r="T797" s="251"/>
      <c r="U797" s="251"/>
      <c r="V797" s="251"/>
      <c r="W797" s="251"/>
      <c r="X797" s="251"/>
      <c r="Y797" s="251"/>
      <c r="Z797" s="251"/>
      <c r="AA797" s="251"/>
      <c r="AB797" s="251"/>
      <c r="AC797" s="251"/>
      <c r="AD797" s="251"/>
      <c r="AE797" s="251"/>
      <c r="AF797" s="251"/>
      <c r="AG797" s="251"/>
      <c r="AH797" s="251"/>
      <c r="AI797" s="251"/>
      <c r="AJ797" s="251"/>
      <c r="AK797" s="251"/>
      <c r="AL797" s="251"/>
      <c r="AM797" s="251"/>
      <c r="AN797" s="251"/>
      <c r="AO797" s="251"/>
      <c r="AP797" s="251"/>
      <c r="AQ797" s="251"/>
      <c r="AR797" s="251"/>
      <c r="AS797" s="251"/>
    </row>
    <row r="798" spans="1:45" s="44" customFormat="1" x14ac:dyDescent="0.2">
      <c r="A798" s="71"/>
      <c r="B798" s="71"/>
      <c r="C798" s="71"/>
      <c r="D798" s="251"/>
      <c r="E798" s="251"/>
      <c r="F798" s="251"/>
      <c r="G798" s="251"/>
      <c r="H798" s="251"/>
      <c r="I798" s="251"/>
      <c r="J798" s="251"/>
      <c r="K798" s="251"/>
      <c r="L798" s="251"/>
      <c r="M798" s="251"/>
      <c r="N798" s="251"/>
      <c r="O798" s="251"/>
      <c r="P798" s="251"/>
      <c r="Q798" s="251"/>
      <c r="R798" s="251"/>
      <c r="S798" s="251"/>
      <c r="T798" s="251"/>
      <c r="U798" s="251"/>
      <c r="V798" s="251"/>
      <c r="W798" s="251"/>
      <c r="X798" s="251"/>
      <c r="Y798" s="251"/>
      <c r="Z798" s="251"/>
      <c r="AA798" s="251"/>
      <c r="AB798" s="251"/>
      <c r="AC798" s="251"/>
      <c r="AD798" s="251"/>
      <c r="AE798" s="251"/>
      <c r="AF798" s="251"/>
      <c r="AG798" s="251"/>
      <c r="AH798" s="251"/>
      <c r="AI798" s="251"/>
      <c r="AJ798" s="251"/>
      <c r="AK798" s="251"/>
      <c r="AL798" s="251"/>
      <c r="AM798" s="251"/>
      <c r="AN798" s="251"/>
      <c r="AO798" s="251"/>
      <c r="AP798" s="251"/>
      <c r="AQ798" s="251"/>
      <c r="AR798" s="251"/>
      <c r="AS798" s="251"/>
    </row>
    <row r="799" spans="1:45" s="44" customFormat="1" x14ac:dyDescent="0.2">
      <c r="A799" s="71"/>
      <c r="B799" s="71"/>
      <c r="C799" s="71"/>
      <c r="D799" s="251"/>
      <c r="E799" s="251"/>
      <c r="F799" s="251"/>
      <c r="G799" s="251"/>
      <c r="H799" s="251"/>
      <c r="I799" s="251"/>
      <c r="J799" s="251"/>
      <c r="K799" s="251"/>
      <c r="L799" s="251"/>
      <c r="M799" s="251"/>
      <c r="N799" s="251"/>
      <c r="O799" s="251"/>
      <c r="P799" s="251"/>
      <c r="Q799" s="251"/>
      <c r="R799" s="251"/>
      <c r="S799" s="251"/>
      <c r="T799" s="251"/>
      <c r="U799" s="251"/>
      <c r="V799" s="251"/>
      <c r="W799" s="251"/>
      <c r="X799" s="251"/>
      <c r="Y799" s="251"/>
      <c r="Z799" s="251"/>
      <c r="AA799" s="251"/>
      <c r="AB799" s="251"/>
      <c r="AC799" s="251"/>
      <c r="AD799" s="251"/>
      <c r="AE799" s="251"/>
      <c r="AF799" s="251"/>
      <c r="AG799" s="251"/>
      <c r="AH799" s="251"/>
      <c r="AI799" s="251"/>
      <c r="AJ799" s="251"/>
      <c r="AK799" s="251"/>
      <c r="AL799" s="251"/>
      <c r="AM799" s="251"/>
      <c r="AN799" s="251"/>
      <c r="AO799" s="251"/>
      <c r="AP799" s="251"/>
      <c r="AQ799" s="251"/>
      <c r="AR799" s="251"/>
      <c r="AS799" s="251"/>
    </row>
    <row r="800" spans="1:45" s="44" customFormat="1" x14ac:dyDescent="0.2">
      <c r="A800" s="71"/>
      <c r="B800" s="71"/>
      <c r="C800" s="71"/>
      <c r="D800" s="251"/>
      <c r="E800" s="251"/>
      <c r="F800" s="251"/>
      <c r="G800" s="251"/>
      <c r="H800" s="251"/>
      <c r="I800" s="251"/>
      <c r="J800" s="251"/>
      <c r="K800" s="251"/>
      <c r="L800" s="251"/>
      <c r="M800" s="251"/>
      <c r="N800" s="251"/>
      <c r="O800" s="251"/>
      <c r="P800" s="251"/>
      <c r="Q800" s="251"/>
      <c r="R800" s="251"/>
      <c r="S800" s="251"/>
      <c r="T800" s="251"/>
      <c r="U800" s="251"/>
      <c r="V800" s="251"/>
      <c r="W800" s="251"/>
      <c r="X800" s="251"/>
      <c r="Y800" s="251"/>
      <c r="Z800" s="251"/>
      <c r="AA800" s="251"/>
      <c r="AB800" s="251"/>
      <c r="AC800" s="251"/>
      <c r="AD800" s="251"/>
      <c r="AE800" s="251"/>
      <c r="AF800" s="251"/>
      <c r="AG800" s="251"/>
      <c r="AH800" s="251"/>
      <c r="AI800" s="251"/>
      <c r="AJ800" s="251"/>
      <c r="AK800" s="251"/>
      <c r="AL800" s="251"/>
      <c r="AM800" s="251"/>
      <c r="AN800" s="251"/>
      <c r="AO800" s="251"/>
      <c r="AP800" s="251"/>
      <c r="AQ800" s="251"/>
      <c r="AR800" s="251"/>
      <c r="AS800" s="251"/>
    </row>
    <row r="801" spans="1:45" s="44" customFormat="1" x14ac:dyDescent="0.2">
      <c r="A801" s="71"/>
      <c r="B801" s="71"/>
      <c r="C801" s="71"/>
      <c r="D801" s="251"/>
      <c r="E801" s="251"/>
      <c r="F801" s="251"/>
      <c r="G801" s="251"/>
      <c r="H801" s="251"/>
      <c r="I801" s="251"/>
      <c r="J801" s="251"/>
      <c r="K801" s="251"/>
      <c r="L801" s="251"/>
      <c r="M801" s="251"/>
      <c r="N801" s="251"/>
      <c r="O801" s="251"/>
      <c r="P801" s="251"/>
      <c r="Q801" s="251"/>
      <c r="R801" s="251"/>
      <c r="S801" s="251"/>
      <c r="T801" s="251"/>
      <c r="U801" s="251"/>
      <c r="V801" s="251"/>
      <c r="W801" s="251"/>
      <c r="X801" s="251"/>
      <c r="Y801" s="251"/>
      <c r="Z801" s="251"/>
      <c r="AA801" s="251"/>
      <c r="AB801" s="251"/>
      <c r="AC801" s="251"/>
      <c r="AD801" s="251"/>
      <c r="AE801" s="251"/>
      <c r="AF801" s="251"/>
      <c r="AG801" s="251"/>
      <c r="AH801" s="251"/>
      <c r="AI801" s="251"/>
      <c r="AJ801" s="251"/>
      <c r="AK801" s="251"/>
      <c r="AL801" s="251"/>
      <c r="AM801" s="251"/>
      <c r="AN801" s="251"/>
      <c r="AO801" s="251"/>
      <c r="AP801" s="251"/>
      <c r="AQ801" s="251"/>
      <c r="AR801" s="251"/>
      <c r="AS801" s="251"/>
    </row>
    <row r="802" spans="1:45" s="44" customFormat="1" x14ac:dyDescent="0.2">
      <c r="A802" s="71"/>
      <c r="B802" s="71"/>
      <c r="C802" s="71"/>
      <c r="D802" s="251"/>
      <c r="E802" s="251"/>
      <c r="F802" s="251"/>
      <c r="G802" s="251"/>
      <c r="H802" s="251"/>
      <c r="I802" s="251"/>
      <c r="J802" s="251"/>
      <c r="K802" s="251"/>
      <c r="L802" s="251"/>
      <c r="M802" s="251"/>
      <c r="N802" s="251"/>
      <c r="O802" s="251"/>
      <c r="P802" s="251"/>
      <c r="Q802" s="251"/>
      <c r="R802" s="251"/>
      <c r="S802" s="251"/>
      <c r="T802" s="251"/>
      <c r="U802" s="251"/>
      <c r="V802" s="251"/>
      <c r="W802" s="251"/>
      <c r="X802" s="251"/>
      <c r="Y802" s="251"/>
      <c r="Z802" s="251"/>
      <c r="AA802" s="251"/>
      <c r="AB802" s="251"/>
      <c r="AC802" s="251"/>
      <c r="AD802" s="251"/>
      <c r="AE802" s="251"/>
      <c r="AF802" s="251"/>
      <c r="AG802" s="251"/>
      <c r="AH802" s="251"/>
      <c r="AI802" s="251"/>
      <c r="AJ802" s="251"/>
      <c r="AK802" s="251"/>
      <c r="AL802" s="251"/>
      <c r="AM802" s="251"/>
      <c r="AN802" s="251"/>
      <c r="AO802" s="251"/>
      <c r="AP802" s="251"/>
      <c r="AQ802" s="251"/>
      <c r="AR802" s="251"/>
      <c r="AS802" s="251"/>
    </row>
    <row r="803" spans="1:45" s="44" customFormat="1" x14ac:dyDescent="0.2">
      <c r="A803" s="71"/>
      <c r="B803" s="71"/>
      <c r="C803" s="71"/>
      <c r="D803" s="251"/>
      <c r="E803" s="251"/>
      <c r="F803" s="251"/>
      <c r="G803" s="251"/>
      <c r="H803" s="251"/>
      <c r="I803" s="251"/>
      <c r="J803" s="251"/>
      <c r="K803" s="251"/>
      <c r="L803" s="251"/>
      <c r="M803" s="251"/>
      <c r="N803" s="251"/>
      <c r="O803" s="251"/>
      <c r="P803" s="251"/>
      <c r="Q803" s="251"/>
      <c r="R803" s="251"/>
      <c r="S803" s="251"/>
      <c r="T803" s="251"/>
      <c r="U803" s="251"/>
      <c r="V803" s="251"/>
      <c r="W803" s="251"/>
      <c r="X803" s="251"/>
      <c r="Y803" s="251"/>
      <c r="Z803" s="251"/>
      <c r="AA803" s="251"/>
      <c r="AB803" s="251"/>
      <c r="AC803" s="251"/>
      <c r="AD803" s="251"/>
      <c r="AE803" s="251"/>
      <c r="AF803" s="251"/>
      <c r="AG803" s="251"/>
      <c r="AH803" s="251"/>
      <c r="AI803" s="251"/>
      <c r="AJ803" s="251"/>
      <c r="AK803" s="251"/>
      <c r="AL803" s="251"/>
      <c r="AM803" s="251"/>
      <c r="AN803" s="251"/>
      <c r="AO803" s="251"/>
      <c r="AP803" s="251"/>
      <c r="AQ803" s="251"/>
      <c r="AR803" s="251"/>
      <c r="AS803" s="251"/>
    </row>
    <row r="804" spans="1:45" s="44" customFormat="1" x14ac:dyDescent="0.2">
      <c r="A804" s="71"/>
      <c r="B804" s="71"/>
      <c r="C804" s="71"/>
      <c r="D804" s="251"/>
      <c r="E804" s="251"/>
      <c r="F804" s="251"/>
      <c r="G804" s="251"/>
      <c r="H804" s="251"/>
      <c r="I804" s="251"/>
      <c r="J804" s="251"/>
      <c r="K804" s="251"/>
      <c r="L804" s="251"/>
      <c r="M804" s="251"/>
      <c r="N804" s="251"/>
      <c r="O804" s="251"/>
      <c r="P804" s="251"/>
      <c r="Q804" s="251"/>
      <c r="R804" s="251"/>
      <c r="S804" s="251"/>
      <c r="T804" s="251"/>
      <c r="U804" s="251"/>
      <c r="V804" s="251"/>
      <c r="W804" s="251"/>
      <c r="X804" s="251"/>
      <c r="Y804" s="251"/>
      <c r="Z804" s="251"/>
      <c r="AA804" s="251"/>
      <c r="AB804" s="251"/>
      <c r="AC804" s="251"/>
      <c r="AD804" s="251"/>
      <c r="AE804" s="251"/>
      <c r="AF804" s="251"/>
      <c r="AG804" s="251"/>
      <c r="AH804" s="251"/>
      <c r="AI804" s="251"/>
      <c r="AJ804" s="251"/>
      <c r="AK804" s="251"/>
      <c r="AL804" s="251"/>
      <c r="AM804" s="251"/>
      <c r="AN804" s="251"/>
      <c r="AO804" s="251"/>
      <c r="AP804" s="251"/>
      <c r="AQ804" s="251"/>
      <c r="AR804" s="251"/>
      <c r="AS804" s="251"/>
    </row>
    <row r="805" spans="1:45" s="44" customFormat="1" x14ac:dyDescent="0.2">
      <c r="A805" s="71"/>
      <c r="B805" s="71"/>
      <c r="C805" s="71"/>
      <c r="D805" s="251"/>
      <c r="E805" s="251"/>
      <c r="F805" s="251"/>
      <c r="G805" s="251"/>
      <c r="H805" s="251"/>
      <c r="I805" s="251"/>
      <c r="J805" s="251"/>
      <c r="K805" s="251"/>
      <c r="L805" s="251"/>
      <c r="M805" s="251"/>
      <c r="N805" s="251"/>
      <c r="O805" s="251"/>
      <c r="P805" s="251"/>
      <c r="Q805" s="251"/>
      <c r="R805" s="251"/>
      <c r="S805" s="251"/>
      <c r="T805" s="251"/>
      <c r="U805" s="251"/>
      <c r="V805" s="251"/>
      <c r="W805" s="251"/>
      <c r="X805" s="251"/>
      <c r="Y805" s="251"/>
      <c r="Z805" s="251"/>
      <c r="AA805" s="251"/>
      <c r="AB805" s="251"/>
      <c r="AC805" s="251"/>
      <c r="AD805" s="251"/>
      <c r="AE805" s="251"/>
      <c r="AF805" s="251"/>
      <c r="AG805" s="251"/>
      <c r="AH805" s="251"/>
      <c r="AI805" s="251"/>
      <c r="AJ805" s="251"/>
      <c r="AK805" s="251"/>
      <c r="AL805" s="251"/>
      <c r="AM805" s="251"/>
      <c r="AN805" s="251"/>
      <c r="AO805" s="251"/>
      <c r="AP805" s="251"/>
      <c r="AQ805" s="251"/>
      <c r="AR805" s="251"/>
      <c r="AS805" s="251"/>
    </row>
    <row r="806" spans="1:45" s="44" customFormat="1" x14ac:dyDescent="0.2">
      <c r="A806" s="71"/>
      <c r="B806" s="71"/>
      <c r="C806" s="71"/>
      <c r="D806" s="251"/>
      <c r="E806" s="251"/>
      <c r="F806" s="251"/>
      <c r="G806" s="251"/>
      <c r="H806" s="251"/>
      <c r="I806" s="251"/>
      <c r="J806" s="251"/>
      <c r="K806" s="251"/>
      <c r="L806" s="251"/>
      <c r="M806" s="251"/>
      <c r="N806" s="251"/>
      <c r="O806" s="251"/>
      <c r="P806" s="251"/>
      <c r="Q806" s="251"/>
      <c r="R806" s="251"/>
      <c r="S806" s="251"/>
      <c r="T806" s="251"/>
      <c r="U806" s="251"/>
      <c r="V806" s="251"/>
      <c r="W806" s="251"/>
      <c r="X806" s="251"/>
      <c r="Y806" s="251"/>
      <c r="Z806" s="251"/>
      <c r="AA806" s="251"/>
      <c r="AB806" s="251"/>
      <c r="AC806" s="251"/>
      <c r="AD806" s="251"/>
      <c r="AE806" s="251"/>
      <c r="AF806" s="251"/>
      <c r="AG806" s="251"/>
      <c r="AH806" s="251"/>
      <c r="AI806" s="251"/>
      <c r="AJ806" s="251"/>
      <c r="AK806" s="251"/>
      <c r="AL806" s="251"/>
      <c r="AM806" s="251"/>
      <c r="AN806" s="251"/>
      <c r="AO806" s="251"/>
      <c r="AP806" s="251"/>
      <c r="AQ806" s="251"/>
      <c r="AR806" s="251"/>
      <c r="AS806" s="251"/>
    </row>
    <row r="807" spans="1:45" s="44" customFormat="1" x14ac:dyDescent="0.2">
      <c r="A807" s="71"/>
      <c r="B807" s="71"/>
      <c r="C807" s="71"/>
      <c r="D807" s="251"/>
      <c r="E807" s="251"/>
      <c r="F807" s="251"/>
      <c r="G807" s="251"/>
      <c r="H807" s="251"/>
      <c r="I807" s="251"/>
      <c r="J807" s="251"/>
      <c r="K807" s="251"/>
      <c r="L807" s="251"/>
      <c r="M807" s="251"/>
      <c r="N807" s="251"/>
      <c r="O807" s="251"/>
      <c r="P807" s="251"/>
      <c r="Q807" s="251"/>
      <c r="R807" s="251"/>
      <c r="S807" s="251"/>
      <c r="T807" s="251"/>
      <c r="U807" s="251"/>
      <c r="V807" s="251"/>
      <c r="W807" s="251"/>
      <c r="X807" s="251"/>
      <c r="Y807" s="251"/>
      <c r="Z807" s="251"/>
      <c r="AA807" s="251"/>
      <c r="AB807" s="251"/>
      <c r="AC807" s="251"/>
      <c r="AD807" s="251"/>
      <c r="AE807" s="251"/>
      <c r="AF807" s="251"/>
      <c r="AG807" s="251"/>
      <c r="AH807" s="251"/>
      <c r="AI807" s="251"/>
      <c r="AJ807" s="251"/>
      <c r="AK807" s="251"/>
      <c r="AL807" s="251"/>
      <c r="AM807" s="251"/>
      <c r="AN807" s="251"/>
      <c r="AO807" s="251"/>
      <c r="AP807" s="251"/>
      <c r="AQ807" s="251"/>
      <c r="AR807" s="251"/>
      <c r="AS807" s="251"/>
    </row>
    <row r="808" spans="1:45" s="44" customFormat="1" x14ac:dyDescent="0.2">
      <c r="A808" s="71"/>
      <c r="B808" s="71"/>
      <c r="C808" s="71"/>
      <c r="D808" s="251"/>
      <c r="E808" s="251"/>
      <c r="F808" s="251"/>
      <c r="G808" s="251"/>
      <c r="H808" s="251"/>
      <c r="I808" s="251"/>
      <c r="J808" s="251"/>
      <c r="K808" s="251"/>
      <c r="L808" s="251"/>
      <c r="M808" s="251"/>
      <c r="N808" s="251"/>
      <c r="O808" s="251"/>
      <c r="P808" s="251"/>
      <c r="Q808" s="251"/>
      <c r="R808" s="251"/>
      <c r="S808" s="251"/>
      <c r="T808" s="251"/>
      <c r="U808" s="251"/>
      <c r="V808" s="251"/>
      <c r="W808" s="251"/>
      <c r="X808" s="251"/>
      <c r="Y808" s="251"/>
      <c r="Z808" s="251"/>
      <c r="AA808" s="251"/>
      <c r="AB808" s="251"/>
      <c r="AC808" s="251"/>
      <c r="AD808" s="251"/>
      <c r="AE808" s="251"/>
      <c r="AF808" s="251"/>
      <c r="AG808" s="251"/>
      <c r="AH808" s="251"/>
      <c r="AI808" s="251"/>
      <c r="AJ808" s="251"/>
      <c r="AK808" s="251"/>
      <c r="AL808" s="251"/>
      <c r="AM808" s="251"/>
      <c r="AN808" s="251"/>
      <c r="AO808" s="251"/>
      <c r="AP808" s="251"/>
      <c r="AQ808" s="251"/>
      <c r="AR808" s="251"/>
      <c r="AS808" s="251"/>
    </row>
    <row r="809" spans="1:45" s="44" customFormat="1" x14ac:dyDescent="0.2">
      <c r="A809" s="71"/>
      <c r="B809" s="71"/>
      <c r="C809" s="71"/>
      <c r="D809" s="251"/>
      <c r="E809" s="251"/>
      <c r="F809" s="251"/>
      <c r="G809" s="251"/>
      <c r="H809" s="251"/>
      <c r="I809" s="251"/>
      <c r="J809" s="251"/>
      <c r="K809" s="251"/>
      <c r="L809" s="251"/>
      <c r="M809" s="251"/>
      <c r="N809" s="251"/>
      <c r="O809" s="251"/>
      <c r="P809" s="251"/>
      <c r="Q809" s="251"/>
      <c r="R809" s="251"/>
      <c r="S809" s="251"/>
      <c r="T809" s="251"/>
      <c r="U809" s="251"/>
      <c r="V809" s="251"/>
      <c r="W809" s="251"/>
      <c r="X809" s="251"/>
      <c r="Y809" s="251"/>
      <c r="Z809" s="251"/>
      <c r="AA809" s="251"/>
      <c r="AB809" s="251"/>
      <c r="AC809" s="251"/>
      <c r="AD809" s="251"/>
      <c r="AE809" s="251"/>
      <c r="AF809" s="251"/>
      <c r="AG809" s="251"/>
      <c r="AH809" s="251"/>
      <c r="AI809" s="251"/>
      <c r="AJ809" s="251"/>
      <c r="AK809" s="251"/>
      <c r="AL809" s="251"/>
      <c r="AM809" s="251"/>
      <c r="AN809" s="251"/>
      <c r="AO809" s="251"/>
      <c r="AP809" s="251"/>
      <c r="AQ809" s="251"/>
      <c r="AR809" s="251"/>
      <c r="AS809" s="251"/>
    </row>
    <row r="810" spans="1:45" s="44" customFormat="1" x14ac:dyDescent="0.2">
      <c r="A810" s="71"/>
      <c r="B810" s="71"/>
      <c r="C810" s="71"/>
      <c r="D810" s="251"/>
      <c r="E810" s="251"/>
      <c r="F810" s="251"/>
      <c r="G810" s="251"/>
      <c r="H810" s="251"/>
      <c r="I810" s="251"/>
      <c r="J810" s="251"/>
      <c r="K810" s="251"/>
      <c r="L810" s="251"/>
      <c r="M810" s="251"/>
      <c r="N810" s="251"/>
      <c r="O810" s="251"/>
      <c r="P810" s="251"/>
      <c r="Q810" s="251"/>
      <c r="R810" s="251"/>
      <c r="S810" s="251"/>
      <c r="T810" s="251"/>
      <c r="U810" s="251"/>
      <c r="V810" s="251"/>
      <c r="W810" s="251"/>
      <c r="X810" s="251"/>
      <c r="Y810" s="251"/>
      <c r="Z810" s="251"/>
      <c r="AA810" s="251"/>
      <c r="AB810" s="251"/>
      <c r="AC810" s="251"/>
      <c r="AD810" s="251"/>
      <c r="AE810" s="251"/>
      <c r="AF810" s="251"/>
      <c r="AG810" s="251"/>
      <c r="AH810" s="251"/>
      <c r="AI810" s="251"/>
      <c r="AJ810" s="251"/>
      <c r="AK810" s="251"/>
      <c r="AL810" s="251"/>
      <c r="AM810" s="251"/>
      <c r="AN810" s="251"/>
      <c r="AO810" s="251"/>
      <c r="AP810" s="251"/>
      <c r="AQ810" s="251"/>
      <c r="AR810" s="251"/>
      <c r="AS810" s="251"/>
    </row>
    <row r="811" spans="1:45" s="44" customFormat="1" x14ac:dyDescent="0.2">
      <c r="A811" s="71"/>
      <c r="B811" s="71"/>
      <c r="C811" s="71"/>
      <c r="D811" s="251"/>
      <c r="E811" s="251"/>
      <c r="F811" s="251"/>
      <c r="G811" s="251"/>
      <c r="H811" s="251"/>
      <c r="I811" s="251"/>
      <c r="J811" s="251"/>
      <c r="K811" s="251"/>
      <c r="L811" s="251"/>
      <c r="M811" s="251"/>
      <c r="N811" s="251"/>
      <c r="O811" s="251"/>
      <c r="P811" s="251"/>
      <c r="Q811" s="251"/>
      <c r="R811" s="251"/>
      <c r="S811" s="251"/>
      <c r="T811" s="251"/>
      <c r="U811" s="251"/>
      <c r="V811" s="251"/>
      <c r="W811" s="251"/>
      <c r="X811" s="251"/>
      <c r="Y811" s="251"/>
      <c r="Z811" s="251"/>
      <c r="AA811" s="251"/>
      <c r="AB811" s="251"/>
      <c r="AC811" s="251"/>
      <c r="AD811" s="251"/>
      <c r="AE811" s="251"/>
      <c r="AF811" s="251"/>
      <c r="AG811" s="251"/>
      <c r="AH811" s="251"/>
      <c r="AI811" s="251"/>
      <c r="AJ811" s="251"/>
      <c r="AK811" s="251"/>
      <c r="AL811" s="251"/>
      <c r="AM811" s="251"/>
      <c r="AN811" s="251"/>
      <c r="AO811" s="251"/>
      <c r="AP811" s="251"/>
      <c r="AQ811" s="251"/>
      <c r="AR811" s="251"/>
      <c r="AS811" s="251"/>
    </row>
    <row r="812" spans="1:45" s="44" customFormat="1" x14ac:dyDescent="0.2">
      <c r="A812" s="71"/>
      <c r="B812" s="71"/>
      <c r="C812" s="71"/>
      <c r="D812" s="251"/>
      <c r="E812" s="251"/>
      <c r="F812" s="251"/>
      <c r="G812" s="251"/>
      <c r="H812" s="251"/>
      <c r="I812" s="251"/>
      <c r="J812" s="251"/>
      <c r="K812" s="251"/>
      <c r="L812" s="251"/>
      <c r="M812" s="251"/>
      <c r="N812" s="251"/>
      <c r="O812" s="251"/>
      <c r="P812" s="251"/>
      <c r="Q812" s="251"/>
      <c r="R812" s="251"/>
      <c r="S812" s="251"/>
      <c r="T812" s="251"/>
      <c r="U812" s="251"/>
      <c r="V812" s="251"/>
      <c r="W812" s="251"/>
      <c r="X812" s="251"/>
      <c r="Y812" s="251"/>
      <c r="Z812" s="251"/>
      <c r="AA812" s="251"/>
      <c r="AB812" s="251"/>
      <c r="AC812" s="251"/>
      <c r="AD812" s="251"/>
      <c r="AE812" s="251"/>
      <c r="AF812" s="251"/>
      <c r="AG812" s="251"/>
      <c r="AH812" s="251"/>
      <c r="AI812" s="251"/>
      <c r="AJ812" s="251"/>
      <c r="AK812" s="251"/>
      <c r="AL812" s="251"/>
      <c r="AM812" s="251"/>
      <c r="AN812" s="251"/>
      <c r="AO812" s="251"/>
      <c r="AP812" s="251"/>
      <c r="AQ812" s="251"/>
      <c r="AR812" s="251"/>
      <c r="AS812" s="251"/>
    </row>
    <row r="813" spans="1:45" s="44" customFormat="1" x14ac:dyDescent="0.2">
      <c r="A813" s="71"/>
      <c r="B813" s="71"/>
      <c r="C813" s="71"/>
      <c r="D813" s="251"/>
      <c r="E813" s="251"/>
      <c r="F813" s="251"/>
      <c r="G813" s="251"/>
      <c r="H813" s="251"/>
      <c r="I813" s="251"/>
      <c r="J813" s="251"/>
      <c r="K813" s="251"/>
      <c r="L813" s="251"/>
      <c r="M813" s="251"/>
      <c r="N813" s="251"/>
      <c r="O813" s="251"/>
      <c r="P813" s="251"/>
      <c r="Q813" s="251"/>
      <c r="R813" s="251"/>
      <c r="S813" s="251"/>
      <c r="T813" s="251"/>
      <c r="U813" s="251"/>
      <c r="V813" s="251"/>
      <c r="W813" s="251"/>
      <c r="X813" s="251"/>
      <c r="Y813" s="251"/>
      <c r="Z813" s="251"/>
      <c r="AA813" s="251"/>
      <c r="AB813" s="251"/>
      <c r="AC813" s="251"/>
      <c r="AD813" s="251"/>
      <c r="AE813" s="251"/>
      <c r="AF813" s="251"/>
      <c r="AG813" s="251"/>
      <c r="AH813" s="251"/>
      <c r="AI813" s="251"/>
      <c r="AJ813" s="251"/>
      <c r="AK813" s="251"/>
      <c r="AL813" s="251"/>
      <c r="AM813" s="251"/>
      <c r="AN813" s="251"/>
      <c r="AO813" s="251"/>
      <c r="AP813" s="251"/>
      <c r="AQ813" s="251"/>
      <c r="AR813" s="251"/>
      <c r="AS813" s="251"/>
    </row>
    <row r="814" spans="1:45" s="44" customFormat="1" x14ac:dyDescent="0.2">
      <c r="A814" s="71"/>
      <c r="B814" s="71"/>
      <c r="C814" s="71"/>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K814" s="251"/>
      <c r="AL814" s="251"/>
      <c r="AM814" s="251"/>
      <c r="AN814" s="251"/>
      <c r="AO814" s="251"/>
      <c r="AP814" s="251"/>
      <c r="AQ814" s="251"/>
      <c r="AR814" s="251"/>
      <c r="AS814" s="251"/>
    </row>
    <row r="815" spans="1:45" s="44" customFormat="1" x14ac:dyDescent="0.2">
      <c r="A815" s="71"/>
      <c r="B815" s="71"/>
      <c r="C815" s="71"/>
      <c r="D815" s="251"/>
      <c r="E815" s="251"/>
      <c r="F815" s="251"/>
      <c r="G815" s="251"/>
      <c r="H815" s="251"/>
      <c r="I815" s="251"/>
      <c r="J815" s="251"/>
      <c r="K815" s="251"/>
      <c r="L815" s="251"/>
      <c r="M815" s="251"/>
      <c r="N815" s="251"/>
      <c r="O815" s="251"/>
      <c r="P815" s="251"/>
      <c r="Q815" s="251"/>
      <c r="R815" s="251"/>
      <c r="S815" s="251"/>
      <c r="T815" s="251"/>
      <c r="U815" s="251"/>
      <c r="V815" s="251"/>
      <c r="W815" s="251"/>
      <c r="X815" s="251"/>
      <c r="Y815" s="251"/>
      <c r="Z815" s="251"/>
      <c r="AA815" s="251"/>
      <c r="AB815" s="251"/>
      <c r="AC815" s="251"/>
      <c r="AD815" s="251"/>
      <c r="AE815" s="251"/>
      <c r="AF815" s="251"/>
      <c r="AG815" s="251"/>
      <c r="AH815" s="251"/>
      <c r="AI815" s="251"/>
      <c r="AJ815" s="251"/>
      <c r="AK815" s="251"/>
      <c r="AL815" s="251"/>
      <c r="AM815" s="251"/>
      <c r="AN815" s="251"/>
      <c r="AO815" s="251"/>
      <c r="AP815" s="251"/>
      <c r="AQ815" s="251"/>
      <c r="AR815" s="251"/>
      <c r="AS815" s="251"/>
    </row>
    <row r="816" spans="1:45" s="44" customFormat="1" x14ac:dyDescent="0.2">
      <c r="A816" s="71"/>
      <c r="B816" s="71"/>
      <c r="C816" s="71"/>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K816" s="251"/>
      <c r="AL816" s="251"/>
      <c r="AM816" s="251"/>
      <c r="AN816" s="251"/>
      <c r="AO816" s="251"/>
      <c r="AP816" s="251"/>
      <c r="AQ816" s="251"/>
      <c r="AR816" s="251"/>
      <c r="AS816" s="251"/>
    </row>
    <row r="817" spans="1:45" s="44" customFormat="1" x14ac:dyDescent="0.2">
      <c r="A817" s="71"/>
      <c r="B817" s="71"/>
      <c r="C817" s="71"/>
      <c r="D817" s="251"/>
      <c r="E817" s="251"/>
      <c r="F817" s="251"/>
      <c r="G817" s="251"/>
      <c r="H817" s="251"/>
      <c r="I817" s="251"/>
      <c r="J817" s="251"/>
      <c r="K817" s="251"/>
      <c r="L817" s="251"/>
      <c r="M817" s="251"/>
      <c r="N817" s="251"/>
      <c r="O817" s="251"/>
      <c r="P817" s="251"/>
      <c r="Q817" s="251"/>
      <c r="R817" s="251"/>
      <c r="S817" s="251"/>
      <c r="T817" s="251"/>
      <c r="U817" s="251"/>
      <c r="V817" s="251"/>
      <c r="W817" s="251"/>
      <c r="X817" s="251"/>
      <c r="Y817" s="251"/>
      <c r="Z817" s="251"/>
      <c r="AA817" s="251"/>
      <c r="AB817" s="251"/>
      <c r="AC817" s="251"/>
      <c r="AD817" s="251"/>
      <c r="AE817" s="251"/>
      <c r="AF817" s="251"/>
      <c r="AG817" s="251"/>
      <c r="AH817" s="251"/>
      <c r="AI817" s="251"/>
      <c r="AJ817" s="251"/>
      <c r="AK817" s="251"/>
      <c r="AL817" s="251"/>
      <c r="AM817" s="251"/>
      <c r="AN817" s="251"/>
      <c r="AO817" s="251"/>
      <c r="AP817" s="251"/>
      <c r="AQ817" s="251"/>
      <c r="AR817" s="251"/>
      <c r="AS817" s="251"/>
    </row>
    <row r="818" spans="1:45" s="44" customFormat="1" x14ac:dyDescent="0.2">
      <c r="A818" s="71"/>
      <c r="B818" s="71"/>
      <c r="C818" s="71"/>
      <c r="D818" s="251"/>
      <c r="E818" s="251"/>
      <c r="F818" s="251"/>
      <c r="G818" s="251"/>
      <c r="H818" s="251"/>
      <c r="I818" s="251"/>
      <c r="J818" s="251"/>
      <c r="K818" s="251"/>
      <c r="L818" s="251"/>
      <c r="M818" s="251"/>
      <c r="N818" s="251"/>
      <c r="O818" s="251"/>
      <c r="P818" s="251"/>
      <c r="Q818" s="251"/>
      <c r="R818" s="251"/>
      <c r="S818" s="251"/>
      <c r="T818" s="251"/>
      <c r="U818" s="251"/>
      <c r="V818" s="251"/>
      <c r="W818" s="251"/>
      <c r="X818" s="251"/>
      <c r="Y818" s="251"/>
      <c r="Z818" s="251"/>
      <c r="AA818" s="251"/>
      <c r="AB818" s="251"/>
      <c r="AC818" s="251"/>
      <c r="AD818" s="251"/>
      <c r="AE818" s="251"/>
      <c r="AF818" s="251"/>
      <c r="AG818" s="251"/>
      <c r="AH818" s="251"/>
      <c r="AI818" s="251"/>
      <c r="AJ818" s="251"/>
      <c r="AK818" s="251"/>
      <c r="AL818" s="251"/>
      <c r="AM818" s="251"/>
      <c r="AN818" s="251"/>
      <c r="AO818" s="251"/>
      <c r="AP818" s="251"/>
      <c r="AQ818" s="251"/>
      <c r="AR818" s="251"/>
      <c r="AS818" s="251"/>
    </row>
    <row r="819" spans="1:45" s="44" customFormat="1" x14ac:dyDescent="0.2">
      <c r="A819" s="71"/>
      <c r="B819" s="71"/>
      <c r="C819" s="71"/>
      <c r="D819" s="251"/>
      <c r="E819" s="251"/>
      <c r="F819" s="251"/>
      <c r="G819" s="251"/>
      <c r="H819" s="251"/>
      <c r="I819" s="251"/>
      <c r="J819" s="251"/>
      <c r="K819" s="251"/>
      <c r="L819" s="251"/>
      <c r="M819" s="251"/>
      <c r="N819" s="251"/>
      <c r="O819" s="251"/>
      <c r="P819" s="251"/>
      <c r="Q819" s="251"/>
      <c r="R819" s="251"/>
      <c r="S819" s="251"/>
      <c r="T819" s="251"/>
      <c r="U819" s="251"/>
      <c r="V819" s="251"/>
      <c r="W819" s="251"/>
      <c r="X819" s="251"/>
      <c r="Y819" s="251"/>
      <c r="Z819" s="251"/>
      <c r="AA819" s="251"/>
      <c r="AB819" s="251"/>
      <c r="AC819" s="251"/>
      <c r="AD819" s="251"/>
      <c r="AE819" s="251"/>
      <c r="AF819" s="251"/>
      <c r="AG819" s="251"/>
      <c r="AH819" s="251"/>
      <c r="AI819" s="251"/>
      <c r="AJ819" s="251"/>
      <c r="AK819" s="251"/>
      <c r="AL819" s="251"/>
      <c r="AM819" s="251"/>
      <c r="AN819" s="251"/>
      <c r="AO819" s="251"/>
      <c r="AP819" s="251"/>
      <c r="AQ819" s="251"/>
      <c r="AR819" s="251"/>
      <c r="AS819" s="251"/>
    </row>
    <row r="820" spans="1:45" s="44" customFormat="1" x14ac:dyDescent="0.2">
      <c r="A820" s="71"/>
      <c r="B820" s="71"/>
      <c r="C820" s="71"/>
      <c r="D820" s="251"/>
      <c r="E820" s="251"/>
      <c r="F820" s="251"/>
      <c r="G820" s="251"/>
      <c r="H820" s="251"/>
      <c r="I820" s="251"/>
      <c r="J820" s="251"/>
      <c r="K820" s="251"/>
      <c r="L820" s="251"/>
      <c r="M820" s="251"/>
      <c r="N820" s="251"/>
      <c r="O820" s="251"/>
      <c r="P820" s="251"/>
      <c r="Q820" s="251"/>
      <c r="R820" s="251"/>
      <c r="S820" s="251"/>
      <c r="T820" s="251"/>
      <c r="U820" s="251"/>
      <c r="V820" s="251"/>
      <c r="W820" s="251"/>
      <c r="X820" s="251"/>
      <c r="Y820" s="251"/>
      <c r="Z820" s="251"/>
      <c r="AA820" s="251"/>
      <c r="AB820" s="251"/>
      <c r="AC820" s="251"/>
      <c r="AD820" s="251"/>
      <c r="AE820" s="251"/>
      <c r="AF820" s="251"/>
      <c r="AG820" s="251"/>
      <c r="AH820" s="251"/>
      <c r="AI820" s="251"/>
      <c r="AJ820" s="251"/>
      <c r="AK820" s="251"/>
      <c r="AL820" s="251"/>
      <c r="AM820" s="251"/>
      <c r="AN820" s="251"/>
      <c r="AO820" s="251"/>
      <c r="AP820" s="251"/>
      <c r="AQ820" s="251"/>
      <c r="AR820" s="251"/>
      <c r="AS820" s="251"/>
    </row>
    <row r="821" spans="1:45" s="44" customFormat="1" x14ac:dyDescent="0.2">
      <c r="A821" s="71"/>
      <c r="B821" s="71"/>
      <c r="C821" s="71"/>
      <c r="D821" s="251"/>
      <c r="E821" s="251"/>
      <c r="F821" s="251"/>
      <c r="G821" s="251"/>
      <c r="H821" s="251"/>
      <c r="I821" s="251"/>
      <c r="J821" s="251"/>
      <c r="K821" s="251"/>
      <c r="L821" s="251"/>
      <c r="M821" s="251"/>
      <c r="N821" s="251"/>
      <c r="O821" s="251"/>
      <c r="P821" s="251"/>
      <c r="Q821" s="251"/>
      <c r="R821" s="251"/>
      <c r="S821" s="251"/>
      <c r="T821" s="251"/>
      <c r="U821" s="251"/>
      <c r="V821" s="251"/>
      <c r="W821" s="251"/>
      <c r="X821" s="251"/>
      <c r="Y821" s="251"/>
      <c r="Z821" s="251"/>
      <c r="AA821" s="251"/>
      <c r="AB821" s="251"/>
      <c r="AC821" s="251"/>
      <c r="AD821" s="251"/>
      <c r="AE821" s="251"/>
      <c r="AF821" s="251"/>
      <c r="AG821" s="251"/>
      <c r="AH821" s="251"/>
      <c r="AI821" s="251"/>
      <c r="AJ821" s="251"/>
      <c r="AK821" s="251"/>
      <c r="AL821" s="251"/>
      <c r="AM821" s="251"/>
      <c r="AN821" s="251"/>
      <c r="AO821" s="251"/>
      <c r="AP821" s="251"/>
      <c r="AQ821" s="251"/>
      <c r="AR821" s="251"/>
      <c r="AS821" s="251"/>
    </row>
    <row r="822" spans="1:45" s="44" customFormat="1" x14ac:dyDescent="0.2">
      <c r="A822" s="71"/>
      <c r="B822" s="71"/>
      <c r="C822" s="71"/>
      <c r="D822" s="251"/>
      <c r="E822" s="251"/>
      <c r="F822" s="251"/>
      <c r="G822" s="251"/>
      <c r="H822" s="251"/>
      <c r="I822" s="251"/>
      <c r="J822" s="251"/>
      <c r="K822" s="251"/>
      <c r="L822" s="251"/>
      <c r="M822" s="251"/>
      <c r="N822" s="251"/>
      <c r="O822" s="251"/>
      <c r="P822" s="251"/>
      <c r="Q822" s="251"/>
      <c r="R822" s="251"/>
      <c r="S822" s="251"/>
      <c r="T822" s="251"/>
      <c r="U822" s="251"/>
      <c r="V822" s="251"/>
      <c r="W822" s="251"/>
      <c r="X822" s="251"/>
      <c r="Y822" s="251"/>
      <c r="Z822" s="251"/>
      <c r="AA822" s="251"/>
      <c r="AB822" s="251"/>
      <c r="AC822" s="251"/>
      <c r="AD822" s="251"/>
      <c r="AE822" s="251"/>
      <c r="AF822" s="251"/>
      <c r="AG822" s="251"/>
      <c r="AH822" s="251"/>
      <c r="AI822" s="251"/>
      <c r="AJ822" s="251"/>
      <c r="AK822" s="251"/>
      <c r="AL822" s="251"/>
      <c r="AM822" s="251"/>
      <c r="AN822" s="251"/>
      <c r="AO822" s="251"/>
      <c r="AP822" s="251"/>
      <c r="AQ822" s="251"/>
      <c r="AR822" s="251"/>
      <c r="AS822" s="251"/>
    </row>
    <row r="823" spans="1:45" s="44" customFormat="1" x14ac:dyDescent="0.2">
      <c r="A823" s="71"/>
      <c r="B823" s="71"/>
      <c r="C823" s="71"/>
      <c r="D823" s="251"/>
      <c r="E823" s="251"/>
      <c r="F823" s="251"/>
      <c r="G823" s="251"/>
      <c r="H823" s="251"/>
      <c r="I823" s="251"/>
      <c r="J823" s="251"/>
      <c r="K823" s="251"/>
      <c r="L823" s="251"/>
      <c r="M823" s="251"/>
      <c r="N823" s="251"/>
      <c r="O823" s="251"/>
      <c r="P823" s="251"/>
      <c r="Q823" s="251"/>
      <c r="R823" s="251"/>
      <c r="S823" s="251"/>
      <c r="T823" s="251"/>
      <c r="U823" s="251"/>
      <c r="V823" s="251"/>
      <c r="W823" s="251"/>
      <c r="X823" s="251"/>
      <c r="Y823" s="251"/>
      <c r="Z823" s="251"/>
      <c r="AA823" s="251"/>
      <c r="AB823" s="251"/>
      <c r="AC823" s="251"/>
      <c r="AD823" s="251"/>
      <c r="AE823" s="251"/>
      <c r="AF823" s="251"/>
      <c r="AG823" s="251"/>
      <c r="AH823" s="251"/>
      <c r="AI823" s="251"/>
      <c r="AJ823" s="251"/>
      <c r="AK823" s="251"/>
      <c r="AL823" s="251"/>
      <c r="AM823" s="251"/>
      <c r="AN823" s="251"/>
      <c r="AO823" s="251"/>
      <c r="AP823" s="251"/>
      <c r="AQ823" s="251"/>
      <c r="AR823" s="251"/>
      <c r="AS823" s="251"/>
    </row>
    <row r="824" spans="1:45" s="44" customFormat="1" x14ac:dyDescent="0.2">
      <c r="A824" s="71"/>
      <c r="B824" s="71"/>
      <c r="C824" s="71"/>
      <c r="D824" s="251"/>
      <c r="E824" s="251"/>
      <c r="F824" s="251"/>
      <c r="G824" s="251"/>
      <c r="H824" s="251"/>
      <c r="I824" s="251"/>
      <c r="J824" s="251"/>
      <c r="K824" s="251"/>
      <c r="L824" s="251"/>
      <c r="M824" s="251"/>
      <c r="N824" s="251"/>
      <c r="O824" s="251"/>
      <c r="P824" s="251"/>
      <c r="Q824" s="251"/>
      <c r="R824" s="251"/>
      <c r="S824" s="251"/>
      <c r="T824" s="251"/>
      <c r="U824" s="251"/>
      <c r="V824" s="251"/>
      <c r="W824" s="251"/>
      <c r="X824" s="251"/>
      <c r="Y824" s="251"/>
      <c r="Z824" s="251"/>
      <c r="AA824" s="251"/>
      <c r="AB824" s="251"/>
      <c r="AC824" s="251"/>
      <c r="AD824" s="251"/>
      <c r="AE824" s="251"/>
      <c r="AF824" s="251"/>
      <c r="AG824" s="251"/>
      <c r="AH824" s="251"/>
      <c r="AI824" s="251"/>
      <c r="AJ824" s="251"/>
      <c r="AK824" s="251"/>
      <c r="AL824" s="251"/>
      <c r="AM824" s="251"/>
      <c r="AN824" s="251"/>
      <c r="AO824" s="251"/>
      <c r="AP824" s="251"/>
      <c r="AQ824" s="251"/>
      <c r="AR824" s="251"/>
      <c r="AS824" s="251"/>
    </row>
    <row r="825" spans="1:45" s="44" customFormat="1" x14ac:dyDescent="0.2">
      <c r="A825" s="71"/>
      <c r="B825" s="71"/>
      <c r="C825" s="71"/>
      <c r="D825" s="251"/>
      <c r="E825" s="251"/>
      <c r="F825" s="251"/>
      <c r="G825" s="251"/>
      <c r="H825" s="251"/>
      <c r="I825" s="251"/>
      <c r="J825" s="251"/>
      <c r="K825" s="251"/>
      <c r="L825" s="251"/>
      <c r="M825" s="251"/>
      <c r="N825" s="251"/>
      <c r="O825" s="251"/>
      <c r="P825" s="251"/>
      <c r="Q825" s="251"/>
      <c r="R825" s="251"/>
      <c r="S825" s="251"/>
      <c r="T825" s="251"/>
      <c r="U825" s="251"/>
      <c r="V825" s="251"/>
      <c r="W825" s="251"/>
      <c r="X825" s="251"/>
      <c r="Y825" s="251"/>
      <c r="Z825" s="251"/>
      <c r="AA825" s="251"/>
      <c r="AB825" s="251"/>
      <c r="AC825" s="251"/>
      <c r="AD825" s="251"/>
      <c r="AE825" s="251"/>
      <c r="AF825" s="251"/>
      <c r="AG825" s="251"/>
      <c r="AH825" s="251"/>
      <c r="AI825" s="251"/>
      <c r="AJ825" s="251"/>
      <c r="AK825" s="251"/>
      <c r="AL825" s="251"/>
      <c r="AM825" s="251"/>
      <c r="AN825" s="251"/>
      <c r="AO825" s="251"/>
      <c r="AP825" s="251"/>
      <c r="AQ825" s="251"/>
      <c r="AR825" s="251"/>
      <c r="AS825" s="251"/>
    </row>
    <row r="826" spans="1:45" s="44" customFormat="1" x14ac:dyDescent="0.2">
      <c r="A826" s="71"/>
      <c r="B826" s="71"/>
      <c r="C826" s="71"/>
      <c r="D826" s="251"/>
      <c r="E826" s="251"/>
      <c r="F826" s="251"/>
      <c r="G826" s="251"/>
      <c r="H826" s="251"/>
      <c r="I826" s="251"/>
      <c r="J826" s="251"/>
      <c r="K826" s="251"/>
      <c r="L826" s="251"/>
      <c r="M826" s="251"/>
      <c r="N826" s="251"/>
      <c r="O826" s="251"/>
      <c r="P826" s="251"/>
      <c r="Q826" s="251"/>
      <c r="R826" s="251"/>
      <c r="S826" s="251"/>
      <c r="T826" s="251"/>
      <c r="U826" s="251"/>
      <c r="V826" s="251"/>
      <c r="W826" s="251"/>
      <c r="X826" s="251"/>
      <c r="Y826" s="251"/>
      <c r="Z826" s="251"/>
      <c r="AA826" s="251"/>
      <c r="AB826" s="251"/>
      <c r="AC826" s="251"/>
      <c r="AD826" s="251"/>
      <c r="AE826" s="251"/>
      <c r="AF826" s="251"/>
      <c r="AG826" s="251"/>
      <c r="AH826" s="251"/>
      <c r="AI826" s="251"/>
      <c r="AJ826" s="251"/>
      <c r="AK826" s="251"/>
      <c r="AL826" s="251"/>
      <c r="AM826" s="251"/>
      <c r="AN826" s="251"/>
      <c r="AO826" s="251"/>
      <c r="AP826" s="251"/>
      <c r="AQ826" s="251"/>
      <c r="AR826" s="251"/>
      <c r="AS826" s="251"/>
    </row>
    <row r="827" spans="1:45" s="44" customFormat="1" x14ac:dyDescent="0.2">
      <c r="A827" s="71"/>
      <c r="B827" s="71"/>
      <c r="C827" s="71"/>
      <c r="D827" s="251"/>
      <c r="E827" s="251"/>
      <c r="F827" s="251"/>
      <c r="G827" s="251"/>
      <c r="H827" s="251"/>
      <c r="I827" s="251"/>
      <c r="J827" s="251"/>
      <c r="K827" s="251"/>
      <c r="L827" s="251"/>
      <c r="M827" s="251"/>
      <c r="N827" s="251"/>
      <c r="O827" s="251"/>
      <c r="P827" s="251"/>
      <c r="Q827" s="251"/>
      <c r="R827" s="251"/>
      <c r="S827" s="251"/>
      <c r="T827" s="251"/>
      <c r="U827" s="251"/>
      <c r="V827" s="251"/>
      <c r="W827" s="251"/>
      <c r="X827" s="251"/>
      <c r="Y827" s="251"/>
      <c r="Z827" s="251"/>
      <c r="AA827" s="251"/>
      <c r="AB827" s="251"/>
      <c r="AC827" s="251"/>
      <c r="AD827" s="251"/>
      <c r="AE827" s="251"/>
      <c r="AF827" s="251"/>
      <c r="AG827" s="251"/>
      <c r="AH827" s="251"/>
      <c r="AI827" s="251"/>
      <c r="AJ827" s="251"/>
      <c r="AK827" s="251"/>
      <c r="AL827" s="251"/>
      <c r="AM827" s="251"/>
      <c r="AN827" s="251"/>
      <c r="AO827" s="251"/>
      <c r="AP827" s="251"/>
      <c r="AQ827" s="251"/>
      <c r="AR827" s="251"/>
      <c r="AS827" s="251"/>
    </row>
    <row r="828" spans="1:45" s="44" customFormat="1" x14ac:dyDescent="0.2">
      <c r="A828" s="71"/>
      <c r="B828" s="71"/>
      <c r="C828" s="71"/>
      <c r="D828" s="251"/>
      <c r="E828" s="251"/>
      <c r="F828" s="251"/>
      <c r="G828" s="251"/>
      <c r="H828" s="251"/>
      <c r="I828" s="251"/>
      <c r="J828" s="251"/>
      <c r="K828" s="251"/>
      <c r="L828" s="251"/>
      <c r="M828" s="251"/>
      <c r="N828" s="251"/>
      <c r="O828" s="251"/>
      <c r="P828" s="251"/>
      <c r="Q828" s="251"/>
      <c r="R828" s="251"/>
      <c r="S828" s="251"/>
      <c r="T828" s="251"/>
      <c r="U828" s="251"/>
      <c r="V828" s="251"/>
      <c r="W828" s="251"/>
      <c r="X828" s="251"/>
      <c r="Y828" s="251"/>
      <c r="Z828" s="251"/>
      <c r="AA828" s="251"/>
      <c r="AB828" s="251"/>
      <c r="AC828" s="251"/>
      <c r="AD828" s="251"/>
      <c r="AE828" s="251"/>
      <c r="AF828" s="251"/>
      <c r="AG828" s="251"/>
      <c r="AH828" s="251"/>
      <c r="AI828" s="251"/>
      <c r="AJ828" s="251"/>
      <c r="AK828" s="251"/>
      <c r="AL828" s="251"/>
      <c r="AM828" s="251"/>
      <c r="AN828" s="251"/>
      <c r="AO828" s="251"/>
      <c r="AP828" s="251"/>
      <c r="AQ828" s="251"/>
      <c r="AR828" s="251"/>
      <c r="AS828" s="251"/>
    </row>
    <row r="829" spans="1:45" s="44" customFormat="1" x14ac:dyDescent="0.2">
      <c r="A829" s="71"/>
      <c r="B829" s="71"/>
      <c r="C829" s="71"/>
      <c r="D829" s="251"/>
      <c r="E829" s="251"/>
      <c r="F829" s="251"/>
      <c r="G829" s="251"/>
      <c r="H829" s="251"/>
      <c r="I829" s="251"/>
      <c r="J829" s="251"/>
      <c r="K829" s="251"/>
      <c r="L829" s="251"/>
      <c r="M829" s="251"/>
      <c r="N829" s="251"/>
      <c r="O829" s="251"/>
      <c r="P829" s="251"/>
      <c r="Q829" s="251"/>
      <c r="R829" s="251"/>
      <c r="S829" s="251"/>
      <c r="T829" s="251"/>
      <c r="U829" s="251"/>
      <c r="V829" s="251"/>
      <c r="W829" s="251"/>
      <c r="X829" s="251"/>
      <c r="Y829" s="251"/>
      <c r="Z829" s="251"/>
      <c r="AA829" s="251"/>
      <c r="AB829" s="251"/>
      <c r="AC829" s="251"/>
      <c r="AD829" s="251"/>
      <c r="AE829" s="251"/>
      <c r="AF829" s="251"/>
      <c r="AG829" s="251"/>
      <c r="AH829" s="251"/>
      <c r="AI829" s="251"/>
      <c r="AJ829" s="251"/>
      <c r="AK829" s="251"/>
      <c r="AL829" s="251"/>
      <c r="AM829" s="251"/>
      <c r="AN829" s="251"/>
      <c r="AO829" s="251"/>
      <c r="AP829" s="251"/>
      <c r="AQ829" s="251"/>
      <c r="AR829" s="251"/>
      <c r="AS829" s="251"/>
    </row>
    <row r="830" spans="1:45" s="44" customFormat="1" x14ac:dyDescent="0.2">
      <c r="A830" s="71"/>
      <c r="B830" s="71"/>
      <c r="C830" s="71"/>
      <c r="D830" s="251"/>
      <c r="E830" s="251"/>
      <c r="F830" s="251"/>
      <c r="G830" s="251"/>
      <c r="H830" s="251"/>
      <c r="I830" s="251"/>
      <c r="J830" s="251"/>
      <c r="K830" s="251"/>
      <c r="L830" s="251"/>
      <c r="M830" s="251"/>
      <c r="N830" s="251"/>
      <c r="O830" s="251"/>
      <c r="P830" s="251"/>
      <c r="Q830" s="251"/>
      <c r="R830" s="251"/>
      <c r="S830" s="251"/>
      <c r="T830" s="251"/>
      <c r="U830" s="251"/>
      <c r="V830" s="251"/>
      <c r="W830" s="251"/>
      <c r="X830" s="251"/>
      <c r="Y830" s="251"/>
      <c r="Z830" s="251"/>
      <c r="AA830" s="251"/>
      <c r="AB830" s="251"/>
      <c r="AC830" s="251"/>
      <c r="AD830" s="251"/>
      <c r="AE830" s="251"/>
      <c r="AF830" s="251"/>
      <c r="AG830" s="251"/>
      <c r="AH830" s="251"/>
      <c r="AI830" s="251"/>
      <c r="AJ830" s="251"/>
      <c r="AK830" s="251"/>
      <c r="AL830" s="251"/>
      <c r="AM830" s="251"/>
      <c r="AN830" s="251"/>
      <c r="AO830" s="251"/>
      <c r="AP830" s="251"/>
      <c r="AQ830" s="251"/>
      <c r="AR830" s="251"/>
      <c r="AS830" s="251"/>
    </row>
    <row r="831" spans="1:45" s="44" customFormat="1" x14ac:dyDescent="0.2">
      <c r="A831" s="71"/>
      <c r="B831" s="71"/>
      <c r="C831" s="71"/>
      <c r="D831" s="251"/>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c r="AA831" s="251"/>
      <c r="AB831" s="251"/>
      <c r="AC831" s="251"/>
      <c r="AD831" s="251"/>
      <c r="AE831" s="251"/>
      <c r="AF831" s="251"/>
      <c r="AG831" s="251"/>
      <c r="AH831" s="251"/>
      <c r="AI831" s="251"/>
      <c r="AJ831" s="251"/>
      <c r="AK831" s="251"/>
      <c r="AL831" s="251"/>
      <c r="AM831" s="251"/>
      <c r="AN831" s="251"/>
      <c r="AO831" s="251"/>
      <c r="AP831" s="251"/>
      <c r="AQ831" s="251"/>
      <c r="AR831" s="251"/>
      <c r="AS831" s="251"/>
    </row>
    <row r="832" spans="1:45" s="44" customFormat="1" x14ac:dyDescent="0.2">
      <c r="A832" s="71"/>
      <c r="B832" s="71"/>
      <c r="C832" s="71"/>
      <c r="D832" s="251"/>
      <c r="E832" s="251"/>
      <c r="F832" s="251"/>
      <c r="G832" s="251"/>
      <c r="H832" s="251"/>
      <c r="I832" s="251"/>
      <c r="J832" s="251"/>
      <c r="K832" s="251"/>
      <c r="L832" s="251"/>
      <c r="M832" s="251"/>
      <c r="N832" s="251"/>
      <c r="O832" s="251"/>
      <c r="P832" s="251"/>
      <c r="Q832" s="251"/>
      <c r="R832" s="251"/>
      <c r="S832" s="251"/>
      <c r="T832" s="251"/>
      <c r="U832" s="251"/>
      <c r="V832" s="251"/>
      <c r="W832" s="251"/>
      <c r="X832" s="251"/>
      <c r="Y832" s="251"/>
      <c r="Z832" s="251"/>
      <c r="AA832" s="251"/>
      <c r="AB832" s="251"/>
      <c r="AC832" s="251"/>
      <c r="AD832" s="251"/>
      <c r="AE832" s="251"/>
      <c r="AF832" s="251"/>
      <c r="AG832" s="251"/>
      <c r="AH832" s="251"/>
      <c r="AI832" s="251"/>
      <c r="AJ832" s="251"/>
      <c r="AK832" s="251"/>
      <c r="AL832" s="251"/>
      <c r="AM832" s="251"/>
      <c r="AN832" s="251"/>
      <c r="AO832" s="251"/>
      <c r="AP832" s="251"/>
      <c r="AQ832" s="251"/>
      <c r="AR832" s="251"/>
      <c r="AS832" s="251"/>
    </row>
    <row r="833" spans="1:45" s="44" customFormat="1" x14ac:dyDescent="0.2">
      <c r="A833" s="71"/>
      <c r="B833" s="71"/>
      <c r="C833" s="71"/>
      <c r="D833" s="251"/>
      <c r="E833" s="251"/>
      <c r="F833" s="251"/>
      <c r="G833" s="251"/>
      <c r="H833" s="251"/>
      <c r="I833" s="251"/>
      <c r="J833" s="251"/>
      <c r="K833" s="251"/>
      <c r="L833" s="251"/>
      <c r="M833" s="251"/>
      <c r="N833" s="251"/>
      <c r="O833" s="251"/>
      <c r="P833" s="251"/>
      <c r="Q833" s="251"/>
      <c r="R833" s="251"/>
      <c r="S833" s="251"/>
      <c r="T833" s="251"/>
      <c r="U833" s="251"/>
      <c r="V833" s="251"/>
      <c r="W833" s="251"/>
      <c r="X833" s="251"/>
      <c r="Y833" s="251"/>
      <c r="Z833" s="251"/>
      <c r="AA833" s="251"/>
      <c r="AB833" s="251"/>
      <c r="AC833" s="251"/>
      <c r="AD833" s="251"/>
      <c r="AE833" s="251"/>
      <c r="AF833" s="251"/>
      <c r="AG833" s="251"/>
      <c r="AH833" s="251"/>
      <c r="AI833" s="251"/>
      <c r="AJ833" s="251"/>
      <c r="AK833" s="251"/>
      <c r="AL833" s="251"/>
      <c r="AM833" s="251"/>
      <c r="AN833" s="251"/>
      <c r="AO833" s="251"/>
      <c r="AP833" s="251"/>
      <c r="AQ833" s="251"/>
      <c r="AR833" s="251"/>
      <c r="AS833" s="251"/>
    </row>
    <row r="834" spans="1:45" s="44" customFormat="1" x14ac:dyDescent="0.2">
      <c r="A834" s="71"/>
      <c r="B834" s="71"/>
      <c r="C834" s="71"/>
      <c r="D834" s="251"/>
      <c r="E834" s="251"/>
      <c r="F834" s="251"/>
      <c r="G834" s="251"/>
      <c r="H834" s="251"/>
      <c r="I834" s="251"/>
      <c r="J834" s="251"/>
      <c r="K834" s="251"/>
      <c r="L834" s="251"/>
      <c r="M834" s="251"/>
      <c r="N834" s="251"/>
      <c r="O834" s="251"/>
      <c r="P834" s="251"/>
      <c r="Q834" s="251"/>
      <c r="R834" s="251"/>
      <c r="S834" s="251"/>
      <c r="T834" s="251"/>
      <c r="U834" s="251"/>
      <c r="V834" s="251"/>
      <c r="W834" s="251"/>
      <c r="X834" s="251"/>
      <c r="Y834" s="251"/>
      <c r="Z834" s="251"/>
      <c r="AA834" s="251"/>
      <c r="AB834" s="251"/>
      <c r="AC834" s="251"/>
      <c r="AD834" s="251"/>
      <c r="AE834" s="251"/>
      <c r="AF834" s="251"/>
      <c r="AG834" s="251"/>
      <c r="AH834" s="251"/>
      <c r="AI834" s="251"/>
      <c r="AJ834" s="251"/>
      <c r="AK834" s="251"/>
      <c r="AL834" s="251"/>
      <c r="AM834" s="251"/>
      <c r="AN834" s="251"/>
      <c r="AO834" s="251"/>
      <c r="AP834" s="251"/>
      <c r="AQ834" s="251"/>
      <c r="AR834" s="251"/>
      <c r="AS834" s="251"/>
    </row>
    <row r="835" spans="1:45" s="44" customFormat="1" x14ac:dyDescent="0.2">
      <c r="A835" s="71"/>
      <c r="B835" s="71"/>
      <c r="C835" s="71"/>
      <c r="D835" s="251"/>
      <c r="E835" s="251"/>
      <c r="F835" s="251"/>
      <c r="G835" s="251"/>
      <c r="H835" s="251"/>
      <c r="I835" s="251"/>
      <c r="J835" s="251"/>
      <c r="K835" s="251"/>
      <c r="L835" s="251"/>
      <c r="M835" s="251"/>
      <c r="N835" s="251"/>
      <c r="O835" s="251"/>
      <c r="P835" s="251"/>
      <c r="Q835" s="251"/>
      <c r="R835" s="251"/>
      <c r="S835" s="251"/>
      <c r="T835" s="251"/>
      <c r="U835" s="251"/>
      <c r="V835" s="251"/>
      <c r="W835" s="251"/>
      <c r="X835" s="251"/>
      <c r="Y835" s="251"/>
      <c r="Z835" s="251"/>
      <c r="AA835" s="251"/>
      <c r="AB835" s="251"/>
      <c r="AC835" s="251"/>
      <c r="AD835" s="251"/>
      <c r="AE835" s="251"/>
      <c r="AF835" s="251"/>
      <c r="AG835" s="251"/>
      <c r="AH835" s="251"/>
      <c r="AI835" s="251"/>
      <c r="AJ835" s="251"/>
      <c r="AK835" s="251"/>
      <c r="AL835" s="251"/>
      <c r="AM835" s="251"/>
      <c r="AN835" s="251"/>
      <c r="AO835" s="251"/>
      <c r="AP835" s="251"/>
      <c r="AQ835" s="251"/>
      <c r="AR835" s="251"/>
      <c r="AS835" s="251"/>
    </row>
    <row r="836" spans="1:45" s="44" customFormat="1" x14ac:dyDescent="0.2">
      <c r="A836" s="71"/>
      <c r="B836" s="71"/>
      <c r="C836" s="71"/>
      <c r="D836" s="251"/>
      <c r="E836" s="251"/>
      <c r="F836" s="251"/>
      <c r="G836" s="251"/>
      <c r="H836" s="251"/>
      <c r="I836" s="251"/>
      <c r="J836" s="251"/>
      <c r="K836" s="251"/>
      <c r="L836" s="251"/>
      <c r="M836" s="251"/>
      <c r="N836" s="251"/>
      <c r="O836" s="251"/>
      <c r="P836" s="251"/>
      <c r="Q836" s="251"/>
      <c r="R836" s="251"/>
      <c r="S836" s="251"/>
      <c r="T836" s="251"/>
      <c r="U836" s="251"/>
      <c r="V836" s="251"/>
      <c r="W836" s="251"/>
      <c r="X836" s="251"/>
      <c r="Y836" s="251"/>
      <c r="Z836" s="251"/>
      <c r="AA836" s="251"/>
      <c r="AB836" s="251"/>
      <c r="AC836" s="251"/>
      <c r="AD836" s="251"/>
      <c r="AE836" s="251"/>
      <c r="AF836" s="251"/>
      <c r="AG836" s="251"/>
      <c r="AH836" s="251"/>
      <c r="AI836" s="251"/>
      <c r="AJ836" s="251"/>
      <c r="AK836" s="251"/>
      <c r="AL836" s="251"/>
      <c r="AM836" s="251"/>
      <c r="AN836" s="251"/>
      <c r="AO836" s="251"/>
      <c r="AP836" s="251"/>
      <c r="AQ836" s="251"/>
      <c r="AR836" s="251"/>
      <c r="AS836" s="251"/>
    </row>
    <row r="837" spans="1:45" s="44" customFormat="1" x14ac:dyDescent="0.2">
      <c r="A837" s="71"/>
      <c r="B837" s="71"/>
      <c r="C837" s="71"/>
      <c r="D837" s="251"/>
      <c r="E837" s="251"/>
      <c r="F837" s="251"/>
      <c r="G837" s="251"/>
      <c r="H837" s="251"/>
      <c r="I837" s="251"/>
      <c r="J837" s="251"/>
      <c r="K837" s="251"/>
      <c r="L837" s="251"/>
      <c r="M837" s="251"/>
      <c r="N837" s="251"/>
      <c r="O837" s="251"/>
      <c r="P837" s="251"/>
      <c r="Q837" s="251"/>
      <c r="R837" s="251"/>
      <c r="S837" s="251"/>
      <c r="T837" s="251"/>
      <c r="U837" s="251"/>
      <c r="V837" s="251"/>
      <c r="W837" s="251"/>
      <c r="X837" s="251"/>
      <c r="Y837" s="251"/>
      <c r="Z837" s="251"/>
      <c r="AA837" s="251"/>
      <c r="AB837" s="251"/>
      <c r="AC837" s="251"/>
      <c r="AD837" s="251"/>
      <c r="AE837" s="251"/>
      <c r="AF837" s="251"/>
      <c r="AG837" s="251"/>
      <c r="AH837" s="251"/>
      <c r="AI837" s="251"/>
      <c r="AJ837" s="251"/>
      <c r="AK837" s="251"/>
      <c r="AL837" s="251"/>
      <c r="AM837" s="251"/>
      <c r="AN837" s="251"/>
      <c r="AO837" s="251"/>
      <c r="AP837" s="251"/>
      <c r="AQ837" s="251"/>
      <c r="AR837" s="251"/>
      <c r="AS837" s="251"/>
    </row>
    <row r="838" spans="1:45" s="44" customFormat="1" x14ac:dyDescent="0.2">
      <c r="A838" s="71"/>
      <c r="B838" s="71"/>
      <c r="C838" s="71"/>
      <c r="D838" s="251"/>
      <c r="E838" s="251"/>
      <c r="F838" s="251"/>
      <c r="G838" s="251"/>
      <c r="H838" s="251"/>
      <c r="I838" s="251"/>
      <c r="J838" s="251"/>
      <c r="K838" s="251"/>
      <c r="L838" s="251"/>
      <c r="M838" s="251"/>
      <c r="N838" s="251"/>
      <c r="O838" s="251"/>
      <c r="P838" s="251"/>
      <c r="Q838" s="251"/>
      <c r="R838" s="251"/>
      <c r="S838" s="251"/>
      <c r="T838" s="251"/>
      <c r="U838" s="251"/>
      <c r="V838" s="251"/>
      <c r="W838" s="251"/>
      <c r="X838" s="251"/>
      <c r="Y838" s="251"/>
      <c r="Z838" s="251"/>
      <c r="AA838" s="251"/>
      <c r="AB838" s="251"/>
      <c r="AC838" s="251"/>
      <c r="AD838" s="251"/>
      <c r="AE838" s="251"/>
      <c r="AF838" s="251"/>
      <c r="AG838" s="251"/>
      <c r="AH838" s="251"/>
      <c r="AI838" s="251"/>
      <c r="AJ838" s="251"/>
      <c r="AK838" s="251"/>
      <c r="AL838" s="251"/>
      <c r="AM838" s="251"/>
      <c r="AN838" s="251"/>
      <c r="AO838" s="251"/>
      <c r="AP838" s="251"/>
      <c r="AQ838" s="251"/>
      <c r="AR838" s="251"/>
      <c r="AS838" s="251"/>
    </row>
    <row r="839" spans="1:45" s="44" customFormat="1" x14ac:dyDescent="0.2">
      <c r="A839" s="71"/>
      <c r="B839" s="71"/>
      <c r="C839" s="71"/>
      <c r="D839" s="251"/>
      <c r="E839" s="251"/>
      <c r="F839" s="251"/>
      <c r="G839" s="251"/>
      <c r="H839" s="251"/>
      <c r="I839" s="251"/>
      <c r="J839" s="251"/>
      <c r="K839" s="251"/>
      <c r="L839" s="251"/>
      <c r="M839" s="251"/>
      <c r="N839" s="251"/>
      <c r="O839" s="251"/>
      <c r="P839" s="251"/>
      <c r="Q839" s="251"/>
      <c r="R839" s="251"/>
      <c r="S839" s="251"/>
      <c r="T839" s="251"/>
      <c r="U839" s="251"/>
      <c r="V839" s="251"/>
      <c r="W839" s="251"/>
      <c r="X839" s="251"/>
      <c r="Y839" s="251"/>
      <c r="Z839" s="251"/>
      <c r="AA839" s="251"/>
      <c r="AB839" s="251"/>
      <c r="AC839" s="251"/>
      <c r="AD839" s="251"/>
      <c r="AE839" s="251"/>
      <c r="AF839" s="251"/>
      <c r="AG839" s="251"/>
      <c r="AH839" s="251"/>
      <c r="AI839" s="251"/>
      <c r="AJ839" s="251"/>
      <c r="AK839" s="251"/>
      <c r="AL839" s="251"/>
      <c r="AM839" s="251"/>
      <c r="AN839" s="251"/>
      <c r="AO839" s="251"/>
      <c r="AP839" s="251"/>
      <c r="AQ839" s="251"/>
      <c r="AR839" s="251"/>
      <c r="AS839" s="251"/>
    </row>
    <row r="840" spans="1:45" s="44" customFormat="1" x14ac:dyDescent="0.2">
      <c r="A840" s="71"/>
      <c r="B840" s="71"/>
      <c r="C840" s="71"/>
      <c r="D840" s="251"/>
      <c r="E840" s="251"/>
      <c r="F840" s="251"/>
      <c r="G840" s="251"/>
      <c r="H840" s="251"/>
      <c r="I840" s="251"/>
      <c r="J840" s="251"/>
      <c r="K840" s="251"/>
      <c r="L840" s="251"/>
      <c r="M840" s="251"/>
      <c r="N840" s="251"/>
      <c r="O840" s="251"/>
      <c r="P840" s="251"/>
      <c r="Q840" s="251"/>
      <c r="R840" s="251"/>
      <c r="S840" s="251"/>
      <c r="T840" s="251"/>
      <c r="U840" s="251"/>
      <c r="V840" s="251"/>
      <c r="W840" s="251"/>
      <c r="X840" s="251"/>
      <c r="Y840" s="251"/>
      <c r="Z840" s="251"/>
      <c r="AA840" s="251"/>
      <c r="AB840" s="251"/>
      <c r="AC840" s="251"/>
      <c r="AD840" s="251"/>
      <c r="AE840" s="251"/>
      <c r="AF840" s="251"/>
      <c r="AG840" s="251"/>
      <c r="AH840" s="251"/>
      <c r="AI840" s="251"/>
      <c r="AJ840" s="251"/>
      <c r="AK840" s="251"/>
      <c r="AL840" s="251"/>
      <c r="AM840" s="251"/>
      <c r="AN840" s="251"/>
      <c r="AO840" s="251"/>
      <c r="AP840" s="251"/>
      <c r="AQ840" s="251"/>
      <c r="AR840" s="251"/>
      <c r="AS840" s="251"/>
    </row>
    <row r="841" spans="1:45" s="44" customFormat="1" x14ac:dyDescent="0.2">
      <c r="A841" s="71"/>
      <c r="B841" s="71"/>
      <c r="C841" s="7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c r="AC841" s="251"/>
      <c r="AD841" s="251"/>
      <c r="AE841" s="251"/>
      <c r="AF841" s="251"/>
      <c r="AG841" s="251"/>
      <c r="AH841" s="251"/>
      <c r="AI841" s="251"/>
      <c r="AJ841" s="251"/>
      <c r="AK841" s="251"/>
      <c r="AL841" s="251"/>
      <c r="AM841" s="251"/>
      <c r="AN841" s="251"/>
      <c r="AO841" s="251"/>
      <c r="AP841" s="251"/>
      <c r="AQ841" s="251"/>
      <c r="AR841" s="251"/>
      <c r="AS841" s="251"/>
    </row>
    <row r="842" spans="1:45" s="44" customFormat="1" x14ac:dyDescent="0.2">
      <c r="A842" s="71"/>
      <c r="B842" s="71"/>
      <c r="C842" s="71"/>
      <c r="D842" s="251"/>
      <c r="E842" s="251"/>
      <c r="F842" s="251"/>
      <c r="G842" s="251"/>
      <c r="H842" s="251"/>
      <c r="I842" s="251"/>
      <c r="J842" s="251"/>
      <c r="K842" s="251"/>
      <c r="L842" s="251"/>
      <c r="M842" s="251"/>
      <c r="N842" s="251"/>
      <c r="O842" s="251"/>
      <c r="P842" s="251"/>
      <c r="Q842" s="251"/>
      <c r="R842" s="251"/>
      <c r="S842" s="251"/>
      <c r="T842" s="251"/>
      <c r="U842" s="251"/>
      <c r="V842" s="251"/>
      <c r="W842" s="251"/>
      <c r="X842" s="251"/>
      <c r="Y842" s="251"/>
      <c r="Z842" s="251"/>
      <c r="AA842" s="251"/>
      <c r="AB842" s="251"/>
      <c r="AC842" s="251"/>
      <c r="AD842" s="251"/>
      <c r="AE842" s="251"/>
      <c r="AF842" s="251"/>
      <c r="AG842" s="251"/>
      <c r="AH842" s="251"/>
      <c r="AI842" s="251"/>
      <c r="AJ842" s="251"/>
      <c r="AK842" s="251"/>
      <c r="AL842" s="251"/>
      <c r="AM842" s="251"/>
      <c r="AN842" s="251"/>
      <c r="AO842" s="251"/>
      <c r="AP842" s="251"/>
      <c r="AQ842" s="251"/>
      <c r="AR842" s="251"/>
      <c r="AS842" s="251"/>
    </row>
    <row r="843" spans="1:45" s="44" customFormat="1" x14ac:dyDescent="0.2">
      <c r="A843" s="71"/>
      <c r="B843" s="71"/>
      <c r="C843" s="71"/>
      <c r="D843" s="251"/>
      <c r="E843" s="251"/>
      <c r="F843" s="251"/>
      <c r="G843" s="251"/>
      <c r="H843" s="251"/>
      <c r="I843" s="251"/>
      <c r="J843" s="251"/>
      <c r="K843" s="251"/>
      <c r="L843" s="251"/>
      <c r="M843" s="251"/>
      <c r="N843" s="251"/>
      <c r="O843" s="251"/>
      <c r="P843" s="251"/>
      <c r="Q843" s="251"/>
      <c r="R843" s="251"/>
      <c r="S843" s="251"/>
      <c r="T843" s="251"/>
      <c r="U843" s="251"/>
      <c r="V843" s="251"/>
      <c r="W843" s="251"/>
      <c r="X843" s="251"/>
      <c r="Y843" s="251"/>
      <c r="Z843" s="251"/>
      <c r="AA843" s="251"/>
      <c r="AB843" s="251"/>
      <c r="AC843" s="251"/>
      <c r="AD843" s="251"/>
      <c r="AE843" s="251"/>
      <c r="AF843" s="251"/>
      <c r="AG843" s="251"/>
      <c r="AH843" s="251"/>
      <c r="AI843" s="251"/>
      <c r="AJ843" s="251"/>
      <c r="AK843" s="251"/>
      <c r="AL843" s="251"/>
      <c r="AM843" s="251"/>
      <c r="AN843" s="251"/>
      <c r="AO843" s="251"/>
      <c r="AP843" s="251"/>
      <c r="AQ843" s="251"/>
      <c r="AR843" s="251"/>
      <c r="AS843" s="251"/>
    </row>
    <row r="844" spans="1:45" s="44" customFormat="1" x14ac:dyDescent="0.2">
      <c r="A844" s="71"/>
      <c r="B844" s="71"/>
      <c r="C844" s="71"/>
      <c r="D844" s="251"/>
      <c r="E844" s="251"/>
      <c r="F844" s="251"/>
      <c r="G844" s="251"/>
      <c r="H844" s="251"/>
      <c r="I844" s="251"/>
      <c r="J844" s="251"/>
      <c r="K844" s="251"/>
      <c r="L844" s="251"/>
      <c r="M844" s="251"/>
      <c r="N844" s="251"/>
      <c r="O844" s="251"/>
      <c r="P844" s="251"/>
      <c r="Q844" s="251"/>
      <c r="R844" s="251"/>
      <c r="S844" s="251"/>
      <c r="T844" s="251"/>
      <c r="U844" s="251"/>
      <c r="V844" s="251"/>
      <c r="W844" s="251"/>
      <c r="X844" s="251"/>
      <c r="Y844" s="251"/>
      <c r="Z844" s="251"/>
      <c r="AA844" s="251"/>
      <c r="AB844" s="251"/>
      <c r="AC844" s="251"/>
      <c r="AD844" s="251"/>
      <c r="AE844" s="251"/>
      <c r="AF844" s="251"/>
      <c r="AG844" s="251"/>
      <c r="AH844" s="251"/>
      <c r="AI844" s="251"/>
      <c r="AJ844" s="251"/>
      <c r="AK844" s="251"/>
      <c r="AL844" s="251"/>
      <c r="AM844" s="251"/>
      <c r="AN844" s="251"/>
      <c r="AO844" s="251"/>
      <c r="AP844" s="251"/>
      <c r="AQ844" s="251"/>
      <c r="AR844" s="251"/>
      <c r="AS844" s="251"/>
    </row>
    <row r="845" spans="1:45" s="44" customFormat="1" x14ac:dyDescent="0.2">
      <c r="A845" s="71"/>
      <c r="B845" s="71"/>
      <c r="C845" s="71"/>
      <c r="D845" s="251"/>
      <c r="E845" s="251"/>
      <c r="F845" s="251"/>
      <c r="G845" s="251"/>
      <c r="H845" s="251"/>
      <c r="I845" s="251"/>
      <c r="J845" s="251"/>
      <c r="K845" s="251"/>
      <c r="L845" s="251"/>
      <c r="M845" s="251"/>
      <c r="N845" s="251"/>
      <c r="O845" s="251"/>
      <c r="P845" s="251"/>
      <c r="Q845" s="251"/>
      <c r="R845" s="251"/>
      <c r="S845" s="251"/>
      <c r="T845" s="251"/>
      <c r="U845" s="251"/>
      <c r="V845" s="251"/>
      <c r="W845" s="251"/>
      <c r="X845" s="251"/>
      <c r="Y845" s="251"/>
      <c r="Z845" s="251"/>
      <c r="AA845" s="251"/>
      <c r="AB845" s="251"/>
      <c r="AC845" s="251"/>
      <c r="AD845" s="251"/>
      <c r="AE845" s="251"/>
      <c r="AF845" s="251"/>
      <c r="AG845" s="251"/>
      <c r="AH845" s="251"/>
      <c r="AI845" s="251"/>
      <c r="AJ845" s="251"/>
      <c r="AK845" s="251"/>
      <c r="AL845" s="251"/>
      <c r="AM845" s="251"/>
      <c r="AN845" s="251"/>
      <c r="AO845" s="251"/>
      <c r="AP845" s="251"/>
      <c r="AQ845" s="251"/>
      <c r="AR845" s="251"/>
      <c r="AS845" s="251"/>
    </row>
    <row r="846" spans="1:45" s="44" customFormat="1" x14ac:dyDescent="0.2">
      <c r="A846" s="71"/>
      <c r="B846" s="71"/>
      <c r="C846" s="71"/>
      <c r="D846" s="251"/>
      <c r="E846" s="251"/>
      <c r="F846" s="251"/>
      <c r="G846" s="251"/>
      <c r="H846" s="251"/>
      <c r="I846" s="251"/>
      <c r="J846" s="251"/>
      <c r="K846" s="251"/>
      <c r="L846" s="251"/>
      <c r="M846" s="251"/>
      <c r="N846" s="251"/>
      <c r="O846" s="251"/>
      <c r="P846" s="251"/>
      <c r="Q846" s="251"/>
      <c r="R846" s="251"/>
      <c r="S846" s="251"/>
      <c r="T846" s="251"/>
      <c r="U846" s="251"/>
      <c r="V846" s="251"/>
      <c r="W846" s="251"/>
      <c r="X846" s="251"/>
      <c r="Y846" s="251"/>
      <c r="Z846" s="251"/>
      <c r="AA846" s="251"/>
      <c r="AB846" s="251"/>
      <c r="AC846" s="251"/>
      <c r="AD846" s="251"/>
      <c r="AE846" s="251"/>
      <c r="AF846" s="251"/>
      <c r="AG846" s="251"/>
      <c r="AH846" s="251"/>
      <c r="AI846" s="251"/>
      <c r="AJ846" s="251"/>
      <c r="AK846" s="251"/>
      <c r="AL846" s="251"/>
      <c r="AM846" s="251"/>
      <c r="AN846" s="251"/>
      <c r="AO846" s="251"/>
      <c r="AP846" s="251"/>
      <c r="AQ846" s="251"/>
      <c r="AR846" s="251"/>
      <c r="AS846" s="251"/>
    </row>
    <row r="847" spans="1:45" s="44" customFormat="1" x14ac:dyDescent="0.2">
      <c r="A847" s="71"/>
      <c r="B847" s="71"/>
      <c r="C847" s="71"/>
      <c r="D847" s="251"/>
      <c r="E847" s="251"/>
      <c r="F847" s="251"/>
      <c r="G847" s="251"/>
      <c r="H847" s="251"/>
      <c r="I847" s="251"/>
      <c r="J847" s="251"/>
      <c r="K847" s="251"/>
      <c r="L847" s="251"/>
      <c r="M847" s="251"/>
      <c r="N847" s="251"/>
      <c r="O847" s="251"/>
      <c r="P847" s="251"/>
      <c r="Q847" s="251"/>
      <c r="R847" s="251"/>
      <c r="S847" s="251"/>
      <c r="T847" s="251"/>
      <c r="U847" s="251"/>
      <c r="V847" s="251"/>
      <c r="W847" s="251"/>
      <c r="X847" s="251"/>
      <c r="Y847" s="251"/>
      <c r="Z847" s="251"/>
      <c r="AA847" s="251"/>
      <c r="AB847" s="251"/>
      <c r="AC847" s="251"/>
      <c r="AD847" s="251"/>
      <c r="AE847" s="251"/>
      <c r="AF847" s="251"/>
      <c r="AG847" s="251"/>
      <c r="AH847" s="251"/>
      <c r="AI847" s="251"/>
      <c r="AJ847" s="251"/>
      <c r="AK847" s="251"/>
      <c r="AL847" s="251"/>
      <c r="AM847" s="251"/>
      <c r="AN847" s="251"/>
      <c r="AO847" s="251"/>
      <c r="AP847" s="251"/>
      <c r="AQ847" s="251"/>
      <c r="AR847" s="251"/>
      <c r="AS847" s="251"/>
    </row>
    <row r="848" spans="1:45" s="44" customFormat="1" x14ac:dyDescent="0.2">
      <c r="A848" s="71"/>
      <c r="B848" s="71"/>
      <c r="C848" s="71"/>
      <c r="D848" s="251"/>
      <c r="E848" s="251"/>
      <c r="F848" s="251"/>
      <c r="G848" s="251"/>
      <c r="H848" s="251"/>
      <c r="I848" s="251"/>
      <c r="J848" s="251"/>
      <c r="K848" s="251"/>
      <c r="L848" s="251"/>
      <c r="M848" s="251"/>
      <c r="N848" s="251"/>
      <c r="O848" s="251"/>
      <c r="P848" s="251"/>
      <c r="Q848" s="251"/>
      <c r="R848" s="251"/>
      <c r="S848" s="251"/>
      <c r="T848" s="251"/>
      <c r="U848" s="251"/>
      <c r="V848" s="251"/>
      <c r="W848" s="251"/>
      <c r="X848" s="251"/>
      <c r="Y848" s="251"/>
      <c r="Z848" s="251"/>
      <c r="AA848" s="251"/>
      <c r="AB848" s="251"/>
      <c r="AC848" s="251"/>
      <c r="AD848" s="251"/>
      <c r="AE848" s="251"/>
      <c r="AF848" s="251"/>
      <c r="AG848" s="251"/>
      <c r="AH848" s="251"/>
      <c r="AI848" s="251"/>
      <c r="AJ848" s="251"/>
      <c r="AK848" s="251"/>
      <c r="AL848" s="251"/>
      <c r="AM848" s="251"/>
      <c r="AN848" s="251"/>
      <c r="AO848" s="251"/>
      <c r="AP848" s="251"/>
      <c r="AQ848" s="251"/>
      <c r="AR848" s="251"/>
      <c r="AS848" s="251"/>
    </row>
    <row r="849" spans="1:45" s="44" customFormat="1" x14ac:dyDescent="0.2">
      <c r="A849" s="71"/>
      <c r="B849" s="71"/>
      <c r="C849" s="71"/>
      <c r="D849" s="251"/>
      <c r="E849" s="251"/>
      <c r="F849" s="251"/>
      <c r="G849" s="251"/>
      <c r="H849" s="251"/>
      <c r="I849" s="251"/>
      <c r="J849" s="251"/>
      <c r="K849" s="251"/>
      <c r="L849" s="251"/>
      <c r="M849" s="251"/>
      <c r="N849" s="251"/>
      <c r="O849" s="251"/>
      <c r="P849" s="251"/>
      <c r="Q849" s="251"/>
      <c r="R849" s="251"/>
      <c r="S849" s="251"/>
      <c r="T849" s="251"/>
      <c r="U849" s="251"/>
      <c r="V849" s="251"/>
      <c r="W849" s="251"/>
      <c r="X849" s="251"/>
      <c r="Y849" s="251"/>
      <c r="Z849" s="251"/>
      <c r="AA849" s="251"/>
      <c r="AB849" s="251"/>
      <c r="AC849" s="251"/>
      <c r="AD849" s="251"/>
      <c r="AE849" s="251"/>
      <c r="AF849" s="251"/>
      <c r="AG849" s="251"/>
      <c r="AH849" s="251"/>
      <c r="AI849" s="251"/>
      <c r="AJ849" s="251"/>
      <c r="AK849" s="251"/>
      <c r="AL849" s="251"/>
      <c r="AM849" s="251"/>
      <c r="AN849" s="251"/>
      <c r="AO849" s="251"/>
      <c r="AP849" s="251"/>
      <c r="AQ849" s="251"/>
      <c r="AR849" s="251"/>
      <c r="AS849" s="251"/>
    </row>
    <row r="850" spans="1:45" s="44" customFormat="1" x14ac:dyDescent="0.2">
      <c r="A850" s="71"/>
      <c r="B850" s="71"/>
      <c r="C850" s="71"/>
      <c r="D850" s="251"/>
      <c r="E850" s="251"/>
      <c r="F850" s="251"/>
      <c r="G850" s="251"/>
      <c r="H850" s="251"/>
      <c r="I850" s="251"/>
      <c r="J850" s="251"/>
      <c r="K850" s="251"/>
      <c r="L850" s="251"/>
      <c r="M850" s="251"/>
      <c r="N850" s="251"/>
      <c r="O850" s="251"/>
      <c r="P850" s="251"/>
      <c r="Q850" s="251"/>
      <c r="R850" s="251"/>
      <c r="S850" s="251"/>
      <c r="T850" s="251"/>
      <c r="U850" s="251"/>
      <c r="V850" s="251"/>
      <c r="W850" s="251"/>
      <c r="X850" s="251"/>
      <c r="Y850" s="251"/>
      <c r="Z850" s="251"/>
      <c r="AA850" s="251"/>
      <c r="AB850" s="251"/>
      <c r="AC850" s="251"/>
      <c r="AD850" s="251"/>
      <c r="AE850" s="251"/>
      <c r="AF850" s="251"/>
      <c r="AG850" s="251"/>
      <c r="AH850" s="251"/>
      <c r="AI850" s="251"/>
      <c r="AJ850" s="251"/>
      <c r="AK850" s="251"/>
      <c r="AL850" s="251"/>
      <c r="AM850" s="251"/>
      <c r="AN850" s="251"/>
      <c r="AO850" s="251"/>
      <c r="AP850" s="251"/>
      <c r="AQ850" s="251"/>
      <c r="AR850" s="251"/>
      <c r="AS850" s="251"/>
    </row>
    <row r="851" spans="1:45" s="44" customFormat="1" x14ac:dyDescent="0.2">
      <c r="A851" s="71"/>
      <c r="B851" s="71"/>
      <c r="C851" s="71"/>
      <c r="D851" s="251"/>
      <c r="E851" s="251"/>
      <c r="F851" s="251"/>
      <c r="G851" s="251"/>
      <c r="H851" s="251"/>
      <c r="I851" s="251"/>
      <c r="J851" s="251"/>
      <c r="K851" s="251"/>
      <c r="L851" s="251"/>
      <c r="M851" s="251"/>
      <c r="N851" s="251"/>
      <c r="O851" s="251"/>
      <c r="P851" s="251"/>
      <c r="Q851" s="251"/>
      <c r="R851" s="251"/>
      <c r="S851" s="251"/>
      <c r="T851" s="251"/>
      <c r="U851" s="251"/>
      <c r="V851" s="251"/>
      <c r="W851" s="251"/>
      <c r="X851" s="251"/>
      <c r="Y851" s="251"/>
      <c r="Z851" s="251"/>
      <c r="AA851" s="251"/>
      <c r="AB851" s="251"/>
      <c r="AC851" s="251"/>
      <c r="AD851" s="251"/>
      <c r="AE851" s="251"/>
      <c r="AF851" s="251"/>
      <c r="AG851" s="251"/>
      <c r="AH851" s="251"/>
      <c r="AI851" s="251"/>
      <c r="AJ851" s="251"/>
      <c r="AK851" s="251"/>
      <c r="AL851" s="251"/>
      <c r="AM851" s="251"/>
      <c r="AN851" s="251"/>
      <c r="AO851" s="251"/>
      <c r="AP851" s="251"/>
      <c r="AQ851" s="251"/>
      <c r="AR851" s="251"/>
      <c r="AS851" s="251"/>
    </row>
    <row r="852" spans="1:45" s="44" customFormat="1" x14ac:dyDescent="0.2">
      <c r="A852" s="71"/>
      <c r="B852" s="71"/>
      <c r="C852" s="71"/>
      <c r="D852" s="251"/>
      <c r="E852" s="251"/>
      <c r="F852" s="251"/>
      <c r="G852" s="251"/>
      <c r="H852" s="251"/>
      <c r="I852" s="251"/>
      <c r="J852" s="251"/>
      <c r="K852" s="251"/>
      <c r="L852" s="251"/>
      <c r="M852" s="251"/>
      <c r="N852" s="251"/>
      <c r="O852" s="251"/>
      <c r="P852" s="251"/>
      <c r="Q852" s="251"/>
      <c r="R852" s="251"/>
      <c r="S852" s="251"/>
      <c r="T852" s="251"/>
      <c r="U852" s="251"/>
      <c r="V852" s="251"/>
      <c r="W852" s="251"/>
      <c r="X852" s="251"/>
      <c r="Y852" s="251"/>
      <c r="Z852" s="251"/>
      <c r="AA852" s="251"/>
      <c r="AB852" s="251"/>
      <c r="AC852" s="251"/>
      <c r="AD852" s="251"/>
      <c r="AE852" s="251"/>
      <c r="AF852" s="251"/>
      <c r="AG852" s="251"/>
      <c r="AH852" s="251"/>
      <c r="AI852" s="251"/>
      <c r="AJ852" s="251"/>
      <c r="AK852" s="251"/>
      <c r="AL852" s="251"/>
      <c r="AM852" s="251"/>
      <c r="AN852" s="251"/>
      <c r="AO852" s="251"/>
      <c r="AP852" s="251"/>
      <c r="AQ852" s="251"/>
      <c r="AR852" s="251"/>
      <c r="AS852" s="251"/>
    </row>
    <row r="853" spans="1:45" s="44" customFormat="1" x14ac:dyDescent="0.2">
      <c r="A853" s="71"/>
      <c r="B853" s="71"/>
      <c r="C853" s="71"/>
      <c r="D853" s="251"/>
      <c r="E853" s="251"/>
      <c r="F853" s="251"/>
      <c r="G853" s="251"/>
      <c r="H853" s="251"/>
      <c r="I853" s="251"/>
      <c r="J853" s="251"/>
      <c r="K853" s="251"/>
      <c r="L853" s="251"/>
      <c r="M853" s="251"/>
      <c r="N853" s="251"/>
      <c r="O853" s="251"/>
      <c r="P853" s="251"/>
      <c r="Q853" s="251"/>
      <c r="R853" s="251"/>
      <c r="S853" s="251"/>
      <c r="T853" s="251"/>
      <c r="U853" s="251"/>
      <c r="V853" s="251"/>
      <c r="W853" s="251"/>
      <c r="X853" s="251"/>
      <c r="Y853" s="251"/>
      <c r="Z853" s="251"/>
      <c r="AA853" s="251"/>
      <c r="AB853" s="251"/>
      <c r="AC853" s="251"/>
      <c r="AD853" s="251"/>
      <c r="AE853" s="251"/>
      <c r="AF853" s="251"/>
      <c r="AG853" s="251"/>
      <c r="AH853" s="251"/>
      <c r="AI853" s="251"/>
      <c r="AJ853" s="251"/>
      <c r="AK853" s="251"/>
      <c r="AL853" s="251"/>
      <c r="AM853" s="251"/>
      <c r="AN853" s="251"/>
      <c r="AO853" s="251"/>
      <c r="AP853" s="251"/>
      <c r="AQ853" s="251"/>
      <c r="AR853" s="251"/>
      <c r="AS853" s="251"/>
    </row>
    <row r="854" spans="1:45" s="44" customFormat="1" x14ac:dyDescent="0.2">
      <c r="A854" s="71"/>
      <c r="B854" s="71"/>
      <c r="C854" s="71"/>
      <c r="D854" s="251"/>
      <c r="E854" s="251"/>
      <c r="F854" s="251"/>
      <c r="G854" s="251"/>
      <c r="H854" s="251"/>
      <c r="I854" s="251"/>
      <c r="J854" s="251"/>
      <c r="K854" s="251"/>
      <c r="L854" s="251"/>
      <c r="M854" s="251"/>
      <c r="N854" s="251"/>
      <c r="O854" s="251"/>
      <c r="P854" s="251"/>
      <c r="Q854" s="251"/>
      <c r="R854" s="251"/>
      <c r="S854" s="251"/>
      <c r="T854" s="251"/>
      <c r="U854" s="251"/>
      <c r="V854" s="251"/>
      <c r="W854" s="251"/>
      <c r="X854" s="251"/>
      <c r="Y854" s="251"/>
      <c r="Z854" s="251"/>
      <c r="AA854" s="251"/>
      <c r="AB854" s="251"/>
      <c r="AC854" s="251"/>
      <c r="AD854" s="251"/>
      <c r="AE854" s="251"/>
      <c r="AF854" s="251"/>
      <c r="AG854" s="251"/>
      <c r="AH854" s="251"/>
      <c r="AI854" s="251"/>
      <c r="AJ854" s="251"/>
      <c r="AK854" s="251"/>
      <c r="AL854" s="251"/>
      <c r="AM854" s="251"/>
      <c r="AN854" s="251"/>
      <c r="AO854" s="251"/>
      <c r="AP854" s="251"/>
      <c r="AQ854" s="251"/>
      <c r="AR854" s="251"/>
      <c r="AS854" s="251"/>
    </row>
    <row r="855" spans="1:45" s="44" customFormat="1" x14ac:dyDescent="0.2">
      <c r="A855" s="71"/>
      <c r="B855" s="71"/>
      <c r="C855" s="71"/>
      <c r="D855" s="251"/>
      <c r="E855" s="251"/>
      <c r="F855" s="251"/>
      <c r="G855" s="251"/>
      <c r="H855" s="251"/>
      <c r="I855" s="251"/>
      <c r="J855" s="251"/>
      <c r="K855" s="251"/>
      <c r="L855" s="251"/>
      <c r="M855" s="251"/>
      <c r="N855" s="251"/>
      <c r="O855" s="251"/>
      <c r="P855" s="251"/>
      <c r="Q855" s="251"/>
      <c r="R855" s="251"/>
      <c r="S855" s="251"/>
      <c r="T855" s="251"/>
      <c r="U855" s="251"/>
      <c r="V855" s="251"/>
      <c r="W855" s="251"/>
      <c r="X855" s="251"/>
      <c r="Y855" s="251"/>
      <c r="Z855" s="251"/>
      <c r="AA855" s="251"/>
      <c r="AB855" s="251"/>
      <c r="AC855" s="251"/>
      <c r="AD855" s="251"/>
      <c r="AE855" s="251"/>
      <c r="AF855" s="251"/>
      <c r="AG855" s="251"/>
      <c r="AH855" s="251"/>
      <c r="AI855" s="251"/>
      <c r="AJ855" s="251"/>
      <c r="AK855" s="251"/>
      <c r="AL855" s="251"/>
      <c r="AM855" s="251"/>
      <c r="AN855" s="251"/>
      <c r="AO855" s="251"/>
      <c r="AP855" s="251"/>
      <c r="AQ855" s="251"/>
      <c r="AR855" s="251"/>
      <c r="AS855" s="251"/>
    </row>
    <row r="856" spans="1:45" s="44" customFormat="1" x14ac:dyDescent="0.2">
      <c r="A856" s="71"/>
      <c r="B856" s="71"/>
      <c r="C856" s="71"/>
      <c r="D856" s="251"/>
      <c r="E856" s="251"/>
      <c r="F856" s="251"/>
      <c r="G856" s="251"/>
      <c r="H856" s="251"/>
      <c r="I856" s="251"/>
      <c r="J856" s="251"/>
      <c r="K856" s="251"/>
      <c r="L856" s="251"/>
      <c r="M856" s="251"/>
      <c r="N856" s="251"/>
      <c r="O856" s="251"/>
      <c r="P856" s="251"/>
      <c r="Q856" s="251"/>
      <c r="R856" s="251"/>
      <c r="S856" s="251"/>
      <c r="T856" s="251"/>
      <c r="U856" s="251"/>
      <c r="V856" s="251"/>
      <c r="W856" s="251"/>
      <c r="X856" s="251"/>
      <c r="Y856" s="251"/>
      <c r="Z856" s="251"/>
      <c r="AA856" s="251"/>
      <c r="AB856" s="251"/>
      <c r="AC856" s="251"/>
      <c r="AD856" s="251"/>
      <c r="AE856" s="251"/>
      <c r="AF856" s="251"/>
      <c r="AG856" s="251"/>
      <c r="AH856" s="251"/>
      <c r="AI856" s="251"/>
      <c r="AJ856" s="251"/>
      <c r="AK856" s="251"/>
      <c r="AL856" s="251"/>
      <c r="AM856" s="251"/>
      <c r="AN856" s="251"/>
      <c r="AO856" s="251"/>
      <c r="AP856" s="251"/>
      <c r="AQ856" s="251"/>
      <c r="AR856" s="251"/>
      <c r="AS856" s="251"/>
    </row>
    <row r="857" spans="1:45" s="44" customFormat="1" x14ac:dyDescent="0.2">
      <c r="A857" s="71"/>
      <c r="B857" s="71"/>
      <c r="C857" s="71"/>
      <c r="D857" s="251"/>
      <c r="E857" s="251"/>
      <c r="F857" s="251"/>
      <c r="G857" s="251"/>
      <c r="H857" s="251"/>
      <c r="I857" s="251"/>
      <c r="J857" s="251"/>
      <c r="K857" s="251"/>
      <c r="L857" s="251"/>
      <c r="M857" s="251"/>
      <c r="N857" s="251"/>
      <c r="O857" s="251"/>
      <c r="P857" s="251"/>
      <c r="Q857" s="251"/>
      <c r="R857" s="251"/>
      <c r="S857" s="251"/>
      <c r="T857" s="251"/>
      <c r="U857" s="251"/>
      <c r="V857" s="251"/>
      <c r="W857" s="251"/>
      <c r="X857" s="251"/>
      <c r="Y857" s="251"/>
      <c r="Z857" s="251"/>
      <c r="AA857" s="251"/>
      <c r="AB857" s="251"/>
      <c r="AC857" s="251"/>
      <c r="AD857" s="251"/>
      <c r="AE857" s="251"/>
      <c r="AF857" s="251"/>
      <c r="AG857" s="251"/>
      <c r="AH857" s="251"/>
      <c r="AI857" s="251"/>
      <c r="AJ857" s="251"/>
      <c r="AK857" s="251"/>
      <c r="AL857" s="251"/>
      <c r="AM857" s="251"/>
      <c r="AN857" s="251"/>
      <c r="AO857" s="251"/>
      <c r="AP857" s="251"/>
      <c r="AQ857" s="251"/>
      <c r="AR857" s="251"/>
      <c r="AS857" s="251"/>
    </row>
    <row r="858" spans="1:45" s="44" customFormat="1" x14ac:dyDescent="0.2">
      <c r="A858" s="71"/>
      <c r="B858" s="71"/>
      <c r="C858" s="71"/>
      <c r="D858" s="251"/>
      <c r="E858" s="251"/>
      <c r="F858" s="251"/>
      <c r="G858" s="251"/>
      <c r="H858" s="251"/>
      <c r="I858" s="251"/>
      <c r="J858" s="251"/>
      <c r="K858" s="251"/>
      <c r="L858" s="251"/>
      <c r="M858" s="251"/>
      <c r="N858" s="251"/>
      <c r="O858" s="251"/>
      <c r="P858" s="251"/>
      <c r="Q858" s="251"/>
      <c r="R858" s="251"/>
      <c r="S858" s="251"/>
      <c r="T858" s="251"/>
      <c r="U858" s="251"/>
      <c r="V858" s="251"/>
      <c r="W858" s="251"/>
      <c r="X858" s="251"/>
      <c r="Y858" s="251"/>
      <c r="Z858" s="251"/>
      <c r="AA858" s="251"/>
      <c r="AB858" s="251"/>
      <c r="AC858" s="251"/>
      <c r="AD858" s="251"/>
      <c r="AE858" s="251"/>
      <c r="AF858" s="251"/>
      <c r="AG858" s="251"/>
      <c r="AH858" s="251"/>
      <c r="AI858" s="251"/>
      <c r="AJ858" s="251"/>
      <c r="AK858" s="251"/>
      <c r="AL858" s="251"/>
      <c r="AM858" s="251"/>
      <c r="AN858" s="251"/>
      <c r="AO858" s="251"/>
      <c r="AP858" s="251"/>
      <c r="AQ858" s="251"/>
      <c r="AR858" s="251"/>
      <c r="AS858" s="251"/>
    </row>
    <row r="859" spans="1:45" s="44" customFormat="1" x14ac:dyDescent="0.2">
      <c r="A859" s="71"/>
      <c r="B859" s="71"/>
      <c r="C859" s="71"/>
      <c r="D859" s="251"/>
      <c r="E859" s="251"/>
      <c r="F859" s="251"/>
      <c r="G859" s="251"/>
      <c r="H859" s="251"/>
      <c r="I859" s="251"/>
      <c r="J859" s="251"/>
      <c r="K859" s="251"/>
      <c r="L859" s="251"/>
      <c r="M859" s="251"/>
      <c r="N859" s="251"/>
      <c r="O859" s="251"/>
      <c r="P859" s="251"/>
      <c r="Q859" s="251"/>
      <c r="R859" s="251"/>
      <c r="S859" s="251"/>
      <c r="T859" s="251"/>
      <c r="U859" s="251"/>
      <c r="V859" s="251"/>
      <c r="W859" s="251"/>
      <c r="X859" s="251"/>
      <c r="Y859" s="251"/>
      <c r="Z859" s="251"/>
      <c r="AA859" s="251"/>
      <c r="AB859" s="251"/>
      <c r="AC859" s="251"/>
      <c r="AD859" s="251"/>
      <c r="AE859" s="251"/>
      <c r="AF859" s="251"/>
      <c r="AG859" s="251"/>
      <c r="AH859" s="251"/>
      <c r="AI859" s="251"/>
      <c r="AJ859" s="251"/>
      <c r="AK859" s="251"/>
      <c r="AL859" s="251"/>
      <c r="AM859" s="251"/>
      <c r="AN859" s="251"/>
      <c r="AO859" s="251"/>
      <c r="AP859" s="251"/>
      <c r="AQ859" s="251"/>
      <c r="AR859" s="251"/>
      <c r="AS859" s="251"/>
    </row>
    <row r="860" spans="1:45" s="44" customFormat="1" x14ac:dyDescent="0.2">
      <c r="A860" s="71"/>
      <c r="B860" s="71"/>
      <c r="C860" s="71"/>
      <c r="D860" s="251"/>
      <c r="E860" s="251"/>
      <c r="F860" s="251"/>
      <c r="G860" s="251"/>
      <c r="H860" s="251"/>
      <c r="I860" s="251"/>
      <c r="J860" s="251"/>
      <c r="K860" s="251"/>
      <c r="L860" s="251"/>
      <c r="M860" s="251"/>
      <c r="N860" s="251"/>
      <c r="O860" s="251"/>
      <c r="P860" s="251"/>
      <c r="Q860" s="251"/>
      <c r="R860" s="251"/>
      <c r="S860" s="251"/>
      <c r="T860" s="251"/>
      <c r="U860" s="251"/>
      <c r="V860" s="251"/>
      <c r="W860" s="251"/>
      <c r="X860" s="251"/>
      <c r="Y860" s="251"/>
      <c r="Z860" s="251"/>
      <c r="AA860" s="251"/>
      <c r="AB860" s="251"/>
      <c r="AC860" s="251"/>
      <c r="AD860" s="251"/>
      <c r="AE860" s="251"/>
      <c r="AF860" s="251"/>
      <c r="AG860" s="251"/>
      <c r="AH860" s="251"/>
      <c r="AI860" s="251"/>
      <c r="AJ860" s="251"/>
      <c r="AK860" s="251"/>
      <c r="AL860" s="251"/>
      <c r="AM860" s="251"/>
      <c r="AN860" s="251"/>
      <c r="AO860" s="251"/>
      <c r="AP860" s="251"/>
      <c r="AQ860" s="251"/>
      <c r="AR860" s="251"/>
      <c r="AS860" s="251"/>
    </row>
    <row r="861" spans="1:45" s="44" customFormat="1" x14ac:dyDescent="0.2">
      <c r="A861" s="71"/>
      <c r="B861" s="71"/>
      <c r="C861" s="71"/>
      <c r="D861" s="251"/>
      <c r="E861" s="251"/>
      <c r="F861" s="251"/>
      <c r="G861" s="251"/>
      <c r="H861" s="251"/>
      <c r="I861" s="251"/>
      <c r="J861" s="251"/>
      <c r="K861" s="251"/>
      <c r="L861" s="251"/>
      <c r="M861" s="251"/>
      <c r="N861" s="251"/>
      <c r="O861" s="251"/>
      <c r="P861" s="251"/>
      <c r="Q861" s="251"/>
      <c r="R861" s="251"/>
      <c r="S861" s="251"/>
      <c r="T861" s="251"/>
      <c r="U861" s="251"/>
      <c r="V861" s="251"/>
      <c r="W861" s="251"/>
      <c r="X861" s="251"/>
      <c r="Y861" s="251"/>
      <c r="Z861" s="251"/>
      <c r="AA861" s="251"/>
      <c r="AB861" s="251"/>
      <c r="AC861" s="251"/>
      <c r="AD861" s="251"/>
      <c r="AE861" s="251"/>
      <c r="AF861" s="251"/>
      <c r="AG861" s="251"/>
      <c r="AH861" s="251"/>
      <c r="AI861" s="251"/>
      <c r="AJ861" s="251"/>
      <c r="AK861" s="251"/>
      <c r="AL861" s="251"/>
      <c r="AM861" s="251"/>
      <c r="AN861" s="251"/>
      <c r="AO861" s="251"/>
      <c r="AP861" s="251"/>
      <c r="AQ861" s="251"/>
      <c r="AR861" s="251"/>
      <c r="AS861" s="251"/>
    </row>
    <row r="862" spans="1:45" s="44" customFormat="1" x14ac:dyDescent="0.2">
      <c r="A862" s="71"/>
      <c r="B862" s="71"/>
      <c r="C862" s="71"/>
      <c r="D862" s="251"/>
      <c r="E862" s="251"/>
      <c r="F862" s="251"/>
      <c r="G862" s="251"/>
      <c r="H862" s="251"/>
      <c r="I862" s="251"/>
      <c r="J862" s="251"/>
      <c r="K862" s="251"/>
      <c r="L862" s="251"/>
      <c r="M862" s="251"/>
      <c r="N862" s="251"/>
      <c r="O862" s="251"/>
      <c r="P862" s="251"/>
      <c r="Q862" s="251"/>
      <c r="R862" s="251"/>
      <c r="S862" s="251"/>
      <c r="T862" s="251"/>
      <c r="U862" s="251"/>
      <c r="V862" s="251"/>
      <c r="W862" s="251"/>
      <c r="X862" s="251"/>
      <c r="Y862" s="251"/>
      <c r="Z862" s="251"/>
      <c r="AA862" s="251"/>
      <c r="AB862" s="251"/>
      <c r="AC862" s="251"/>
      <c r="AD862" s="251"/>
      <c r="AE862" s="251"/>
      <c r="AF862" s="251"/>
      <c r="AG862" s="251"/>
      <c r="AH862" s="251"/>
      <c r="AI862" s="251"/>
      <c r="AJ862" s="251"/>
      <c r="AK862" s="251"/>
      <c r="AL862" s="251"/>
      <c r="AM862" s="251"/>
      <c r="AN862" s="251"/>
      <c r="AO862" s="251"/>
      <c r="AP862" s="251"/>
      <c r="AQ862" s="251"/>
      <c r="AR862" s="251"/>
      <c r="AS862" s="251"/>
    </row>
    <row r="863" spans="1:45" s="44" customFormat="1" x14ac:dyDescent="0.2">
      <c r="A863" s="71"/>
      <c r="B863" s="71"/>
      <c r="C863" s="71"/>
      <c r="D863" s="251"/>
      <c r="E863" s="251"/>
      <c r="F863" s="251"/>
      <c r="G863" s="251"/>
      <c r="H863" s="251"/>
      <c r="I863" s="251"/>
      <c r="J863" s="251"/>
      <c r="K863" s="251"/>
      <c r="L863" s="251"/>
      <c r="M863" s="251"/>
      <c r="N863" s="251"/>
      <c r="O863" s="251"/>
      <c r="P863" s="251"/>
      <c r="Q863" s="251"/>
      <c r="R863" s="251"/>
      <c r="S863" s="251"/>
      <c r="T863" s="251"/>
      <c r="U863" s="251"/>
      <c r="V863" s="251"/>
      <c r="W863" s="251"/>
      <c r="X863" s="251"/>
      <c r="Y863" s="251"/>
      <c r="Z863" s="251"/>
      <c r="AA863" s="251"/>
      <c r="AB863" s="251"/>
      <c r="AC863" s="251"/>
      <c r="AD863" s="251"/>
      <c r="AE863" s="251"/>
      <c r="AF863" s="251"/>
      <c r="AG863" s="251"/>
      <c r="AH863" s="251"/>
      <c r="AI863" s="251"/>
      <c r="AJ863" s="251"/>
      <c r="AK863" s="251"/>
      <c r="AL863" s="251"/>
      <c r="AM863" s="251"/>
      <c r="AN863" s="251"/>
      <c r="AO863" s="251"/>
      <c r="AP863" s="251"/>
      <c r="AQ863" s="251"/>
      <c r="AR863" s="251"/>
      <c r="AS863" s="251"/>
    </row>
    <row r="864" spans="1:45" s="44" customFormat="1" x14ac:dyDescent="0.2">
      <c r="A864" s="71"/>
      <c r="B864" s="71"/>
      <c r="C864" s="71"/>
      <c r="D864" s="251"/>
      <c r="E864" s="251"/>
      <c r="F864" s="251"/>
      <c r="G864" s="251"/>
      <c r="H864" s="251"/>
      <c r="I864" s="251"/>
      <c r="J864" s="251"/>
      <c r="K864" s="251"/>
      <c r="L864" s="251"/>
      <c r="M864" s="251"/>
      <c r="N864" s="251"/>
      <c r="O864" s="251"/>
      <c r="P864" s="251"/>
      <c r="Q864" s="251"/>
      <c r="R864" s="251"/>
      <c r="S864" s="251"/>
      <c r="T864" s="251"/>
      <c r="U864" s="251"/>
      <c r="V864" s="251"/>
      <c r="W864" s="251"/>
      <c r="X864" s="251"/>
      <c r="Y864" s="251"/>
      <c r="Z864" s="251"/>
      <c r="AA864" s="251"/>
      <c r="AB864" s="251"/>
      <c r="AC864" s="251"/>
      <c r="AD864" s="251"/>
      <c r="AE864" s="251"/>
      <c r="AF864" s="251"/>
      <c r="AG864" s="251"/>
      <c r="AH864" s="251"/>
      <c r="AI864" s="251"/>
      <c r="AJ864" s="251"/>
      <c r="AK864" s="251"/>
      <c r="AL864" s="251"/>
      <c r="AM864" s="251"/>
      <c r="AN864" s="251"/>
      <c r="AO864" s="251"/>
      <c r="AP864" s="251"/>
      <c r="AQ864" s="251"/>
      <c r="AR864" s="251"/>
      <c r="AS864" s="251"/>
    </row>
    <row r="865" spans="1:45" s="44" customFormat="1" x14ac:dyDescent="0.2">
      <c r="A865" s="71"/>
      <c r="B865" s="71"/>
      <c r="C865" s="71"/>
      <c r="D865" s="251"/>
      <c r="E865" s="251"/>
      <c r="F865" s="251"/>
      <c r="G865" s="251"/>
      <c r="H865" s="251"/>
      <c r="I865" s="251"/>
      <c r="J865" s="251"/>
      <c r="K865" s="251"/>
      <c r="L865" s="251"/>
      <c r="M865" s="251"/>
      <c r="N865" s="251"/>
      <c r="O865" s="251"/>
      <c r="P865" s="251"/>
      <c r="Q865" s="251"/>
      <c r="R865" s="251"/>
      <c r="S865" s="251"/>
      <c r="T865" s="251"/>
      <c r="U865" s="251"/>
      <c r="V865" s="251"/>
      <c r="W865" s="251"/>
      <c r="X865" s="251"/>
      <c r="Y865" s="251"/>
      <c r="Z865" s="251"/>
      <c r="AA865" s="251"/>
      <c r="AB865" s="251"/>
      <c r="AC865" s="251"/>
      <c r="AD865" s="251"/>
      <c r="AE865" s="251"/>
      <c r="AF865" s="251"/>
      <c r="AG865" s="251"/>
      <c r="AH865" s="251"/>
      <c r="AI865" s="251"/>
      <c r="AJ865" s="251"/>
      <c r="AK865" s="251"/>
      <c r="AL865" s="251"/>
      <c r="AM865" s="251"/>
      <c r="AN865" s="251"/>
      <c r="AO865" s="251"/>
      <c r="AP865" s="251"/>
      <c r="AQ865" s="251"/>
      <c r="AR865" s="251"/>
      <c r="AS865" s="251"/>
    </row>
    <row r="866" spans="1:45" s="44" customFormat="1" x14ac:dyDescent="0.2">
      <c r="A866" s="71"/>
      <c r="B866" s="71"/>
      <c r="C866" s="71"/>
      <c r="D866" s="251"/>
      <c r="E866" s="251"/>
      <c r="F866" s="251"/>
      <c r="G866" s="251"/>
      <c r="H866" s="251"/>
      <c r="I866" s="251"/>
      <c r="J866" s="251"/>
      <c r="K866" s="251"/>
      <c r="L866" s="251"/>
      <c r="M866" s="251"/>
      <c r="N866" s="251"/>
      <c r="O866" s="251"/>
      <c r="P866" s="251"/>
      <c r="Q866" s="251"/>
      <c r="R866" s="251"/>
      <c r="S866" s="251"/>
      <c r="T866" s="251"/>
      <c r="U866" s="251"/>
      <c r="V866" s="251"/>
      <c r="W866" s="251"/>
      <c r="X866" s="251"/>
      <c r="Y866" s="251"/>
      <c r="Z866" s="251"/>
      <c r="AA866" s="251"/>
      <c r="AB866" s="251"/>
      <c r="AC866" s="251"/>
      <c r="AD866" s="251"/>
      <c r="AE866" s="251"/>
      <c r="AF866" s="251"/>
      <c r="AG866" s="251"/>
      <c r="AH866" s="251"/>
      <c r="AI866" s="251"/>
      <c r="AJ866" s="251"/>
      <c r="AK866" s="251"/>
      <c r="AL866" s="251"/>
      <c r="AM866" s="251"/>
      <c r="AN866" s="251"/>
      <c r="AO866" s="251"/>
      <c r="AP866" s="251"/>
      <c r="AQ866" s="251"/>
      <c r="AR866" s="251"/>
      <c r="AS866" s="251"/>
    </row>
    <row r="867" spans="1:45" s="44" customFormat="1" x14ac:dyDescent="0.2">
      <c r="A867" s="71"/>
      <c r="B867" s="71"/>
      <c r="C867" s="71"/>
      <c r="D867" s="251"/>
      <c r="E867" s="251"/>
      <c r="F867" s="251"/>
      <c r="G867" s="251"/>
      <c r="H867" s="251"/>
      <c r="I867" s="251"/>
      <c r="J867" s="251"/>
      <c r="K867" s="251"/>
      <c r="L867" s="251"/>
      <c r="M867" s="251"/>
      <c r="N867" s="251"/>
      <c r="O867" s="251"/>
      <c r="P867" s="251"/>
      <c r="Q867" s="251"/>
      <c r="R867" s="251"/>
      <c r="S867" s="251"/>
      <c r="T867" s="251"/>
      <c r="U867" s="251"/>
      <c r="V867" s="251"/>
      <c r="W867" s="251"/>
      <c r="X867" s="251"/>
      <c r="Y867" s="251"/>
      <c r="Z867" s="251"/>
      <c r="AA867" s="251"/>
      <c r="AB867" s="251"/>
      <c r="AC867" s="251"/>
      <c r="AD867" s="251"/>
      <c r="AE867" s="251"/>
      <c r="AF867" s="251"/>
      <c r="AG867" s="251"/>
      <c r="AH867" s="251"/>
      <c r="AI867" s="251"/>
      <c r="AJ867" s="251"/>
      <c r="AK867" s="251"/>
      <c r="AL867" s="251"/>
      <c r="AM867" s="251"/>
      <c r="AN867" s="251"/>
      <c r="AO867" s="251"/>
      <c r="AP867" s="251"/>
      <c r="AQ867" s="251"/>
      <c r="AR867" s="251"/>
      <c r="AS867" s="251"/>
    </row>
    <row r="868" spans="1:45" s="44" customFormat="1" x14ac:dyDescent="0.2">
      <c r="A868" s="71"/>
      <c r="B868" s="71"/>
      <c r="C868" s="71"/>
      <c r="D868" s="251"/>
      <c r="E868" s="251"/>
      <c r="F868" s="251"/>
      <c r="G868" s="251"/>
      <c r="H868" s="251"/>
      <c r="I868" s="251"/>
      <c r="J868" s="251"/>
      <c r="K868" s="251"/>
      <c r="L868" s="251"/>
      <c r="M868" s="251"/>
      <c r="N868" s="251"/>
      <c r="O868" s="251"/>
      <c r="P868" s="251"/>
      <c r="Q868" s="251"/>
      <c r="R868" s="251"/>
      <c r="S868" s="251"/>
      <c r="T868" s="251"/>
      <c r="U868" s="251"/>
      <c r="V868" s="251"/>
      <c r="W868" s="251"/>
      <c r="X868" s="251"/>
      <c r="Y868" s="251"/>
      <c r="Z868" s="251"/>
      <c r="AA868" s="251"/>
      <c r="AB868" s="251"/>
      <c r="AC868" s="251"/>
      <c r="AD868" s="251"/>
      <c r="AE868" s="251"/>
      <c r="AF868" s="251"/>
      <c r="AG868" s="251"/>
      <c r="AH868" s="251"/>
      <c r="AI868" s="251"/>
      <c r="AJ868" s="251"/>
      <c r="AK868" s="251"/>
      <c r="AL868" s="251"/>
      <c r="AM868" s="251"/>
      <c r="AN868" s="251"/>
      <c r="AO868" s="251"/>
      <c r="AP868" s="251"/>
      <c r="AQ868" s="251"/>
      <c r="AR868" s="251"/>
      <c r="AS868" s="251"/>
    </row>
    <row r="869" spans="1:45" s="44" customFormat="1" x14ac:dyDescent="0.2">
      <c r="A869" s="71"/>
      <c r="B869" s="71"/>
      <c r="C869" s="71"/>
      <c r="D869" s="251"/>
      <c r="E869" s="251"/>
      <c r="F869" s="251"/>
      <c r="G869" s="251"/>
      <c r="H869" s="251"/>
      <c r="I869" s="251"/>
      <c r="J869" s="251"/>
      <c r="K869" s="251"/>
      <c r="L869" s="251"/>
      <c r="M869" s="251"/>
      <c r="N869" s="251"/>
      <c r="O869" s="251"/>
      <c r="P869" s="251"/>
      <c r="Q869" s="251"/>
      <c r="R869" s="251"/>
      <c r="S869" s="251"/>
      <c r="T869" s="251"/>
      <c r="U869" s="251"/>
      <c r="V869" s="251"/>
      <c r="W869" s="251"/>
      <c r="X869" s="251"/>
      <c r="Y869" s="251"/>
      <c r="Z869" s="251"/>
      <c r="AA869" s="251"/>
      <c r="AB869" s="251"/>
      <c r="AC869" s="251"/>
      <c r="AD869" s="251"/>
      <c r="AE869" s="251"/>
      <c r="AF869" s="251"/>
      <c r="AG869" s="251"/>
      <c r="AH869" s="251"/>
      <c r="AI869" s="251"/>
      <c r="AJ869" s="251"/>
      <c r="AK869" s="251"/>
      <c r="AL869" s="251"/>
      <c r="AM869" s="251"/>
      <c r="AN869" s="251"/>
      <c r="AO869" s="251"/>
      <c r="AP869" s="251"/>
      <c r="AQ869" s="251"/>
      <c r="AR869" s="251"/>
      <c r="AS869" s="251"/>
    </row>
    <row r="870" spans="1:45" s="44" customFormat="1" x14ac:dyDescent="0.2">
      <c r="A870" s="71"/>
      <c r="B870" s="71"/>
      <c r="C870" s="71"/>
      <c r="D870" s="251"/>
      <c r="E870" s="251"/>
      <c r="F870" s="251"/>
      <c r="G870" s="251"/>
      <c r="H870" s="251"/>
      <c r="I870" s="251"/>
      <c r="J870" s="251"/>
      <c r="K870" s="251"/>
      <c r="L870" s="251"/>
      <c r="M870" s="251"/>
      <c r="N870" s="251"/>
      <c r="O870" s="251"/>
      <c r="P870" s="251"/>
      <c r="Q870" s="251"/>
      <c r="R870" s="251"/>
      <c r="S870" s="251"/>
      <c r="T870" s="251"/>
      <c r="U870" s="251"/>
      <c r="V870" s="251"/>
      <c r="W870" s="251"/>
      <c r="X870" s="251"/>
      <c r="Y870" s="251"/>
      <c r="Z870" s="251"/>
      <c r="AA870" s="251"/>
      <c r="AB870" s="251"/>
      <c r="AC870" s="251"/>
      <c r="AD870" s="251"/>
      <c r="AE870" s="251"/>
      <c r="AF870" s="251"/>
      <c r="AG870" s="251"/>
      <c r="AH870" s="251"/>
      <c r="AI870" s="251"/>
      <c r="AJ870" s="251"/>
      <c r="AK870" s="251"/>
      <c r="AL870" s="251"/>
      <c r="AM870" s="251"/>
      <c r="AN870" s="251"/>
      <c r="AO870" s="251"/>
      <c r="AP870" s="251"/>
      <c r="AQ870" s="251"/>
      <c r="AR870" s="251"/>
      <c r="AS870" s="251"/>
    </row>
    <row r="871" spans="1:45" s="44" customFormat="1" x14ac:dyDescent="0.2">
      <c r="A871" s="71"/>
      <c r="B871" s="71"/>
      <c r="C871" s="71"/>
      <c r="D871" s="251"/>
      <c r="E871" s="251"/>
      <c r="F871" s="251"/>
      <c r="G871" s="251"/>
      <c r="H871" s="251"/>
      <c r="I871" s="251"/>
      <c r="J871" s="251"/>
      <c r="K871" s="251"/>
      <c r="L871" s="251"/>
      <c r="M871" s="251"/>
      <c r="N871" s="251"/>
      <c r="O871" s="251"/>
      <c r="P871" s="251"/>
      <c r="Q871" s="251"/>
      <c r="R871" s="251"/>
      <c r="S871" s="251"/>
      <c r="T871" s="251"/>
      <c r="U871" s="251"/>
      <c r="V871" s="251"/>
      <c r="W871" s="251"/>
      <c r="X871" s="251"/>
      <c r="Y871" s="251"/>
      <c r="Z871" s="251"/>
      <c r="AA871" s="251"/>
      <c r="AB871" s="251"/>
      <c r="AC871" s="251"/>
      <c r="AD871" s="251"/>
      <c r="AE871" s="251"/>
      <c r="AF871" s="251"/>
      <c r="AG871" s="251"/>
      <c r="AH871" s="251"/>
      <c r="AI871" s="251"/>
      <c r="AJ871" s="251"/>
      <c r="AK871" s="251"/>
      <c r="AL871" s="251"/>
      <c r="AM871" s="251"/>
      <c r="AN871" s="251"/>
      <c r="AO871" s="251"/>
      <c r="AP871" s="251"/>
      <c r="AQ871" s="251"/>
      <c r="AR871" s="251"/>
      <c r="AS871" s="251"/>
    </row>
    <row r="872" spans="1:45" s="44" customFormat="1" x14ac:dyDescent="0.2">
      <c r="A872" s="71"/>
      <c r="B872" s="71"/>
      <c r="C872" s="7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251"/>
      <c r="AE872" s="251"/>
      <c r="AF872" s="251"/>
      <c r="AG872" s="251"/>
      <c r="AH872" s="251"/>
      <c r="AI872" s="251"/>
      <c r="AJ872" s="251"/>
      <c r="AK872" s="251"/>
      <c r="AL872" s="251"/>
      <c r="AM872" s="251"/>
      <c r="AN872" s="251"/>
      <c r="AO872" s="251"/>
      <c r="AP872" s="251"/>
      <c r="AQ872" s="251"/>
      <c r="AR872" s="251"/>
      <c r="AS872" s="251"/>
    </row>
    <row r="873" spans="1:45" s="44" customFormat="1" x14ac:dyDescent="0.2">
      <c r="A873" s="71"/>
      <c r="B873" s="71"/>
      <c r="C873" s="71"/>
      <c r="D873" s="251"/>
      <c r="E873" s="251"/>
      <c r="F873" s="251"/>
      <c r="G873" s="251"/>
      <c r="H873" s="251"/>
      <c r="I873" s="251"/>
      <c r="J873" s="251"/>
      <c r="K873" s="251"/>
      <c r="L873" s="251"/>
      <c r="M873" s="251"/>
      <c r="N873" s="251"/>
      <c r="O873" s="251"/>
      <c r="P873" s="251"/>
      <c r="Q873" s="251"/>
      <c r="R873" s="251"/>
      <c r="S873" s="251"/>
      <c r="T873" s="251"/>
      <c r="U873" s="251"/>
      <c r="V873" s="251"/>
      <c r="W873" s="251"/>
      <c r="X873" s="251"/>
      <c r="Y873" s="251"/>
      <c r="Z873" s="251"/>
      <c r="AA873" s="251"/>
      <c r="AB873" s="251"/>
      <c r="AC873" s="251"/>
      <c r="AD873" s="251"/>
      <c r="AE873" s="251"/>
      <c r="AF873" s="251"/>
      <c r="AG873" s="251"/>
      <c r="AH873" s="251"/>
      <c r="AI873" s="251"/>
      <c r="AJ873" s="251"/>
      <c r="AK873" s="251"/>
      <c r="AL873" s="251"/>
      <c r="AM873" s="251"/>
      <c r="AN873" s="251"/>
      <c r="AO873" s="251"/>
      <c r="AP873" s="251"/>
      <c r="AQ873" s="251"/>
      <c r="AR873" s="251"/>
      <c r="AS873" s="251"/>
    </row>
    <row r="874" spans="1:45" s="44" customFormat="1" x14ac:dyDescent="0.2">
      <c r="A874" s="71"/>
      <c r="B874" s="71"/>
      <c r="C874" s="71"/>
      <c r="D874" s="251"/>
      <c r="E874" s="251"/>
      <c r="F874" s="251"/>
      <c r="G874" s="251"/>
      <c r="H874" s="251"/>
      <c r="I874" s="251"/>
      <c r="J874" s="251"/>
      <c r="K874" s="251"/>
      <c r="L874" s="251"/>
      <c r="M874" s="251"/>
      <c r="N874" s="251"/>
      <c r="O874" s="251"/>
      <c r="P874" s="251"/>
      <c r="Q874" s="251"/>
      <c r="R874" s="251"/>
      <c r="S874" s="251"/>
      <c r="T874" s="251"/>
      <c r="U874" s="251"/>
      <c r="V874" s="251"/>
      <c r="W874" s="251"/>
      <c r="X874" s="251"/>
      <c r="Y874" s="251"/>
      <c r="Z874" s="251"/>
      <c r="AA874" s="251"/>
      <c r="AB874" s="251"/>
      <c r="AC874" s="251"/>
      <c r="AD874" s="251"/>
      <c r="AE874" s="251"/>
      <c r="AF874" s="251"/>
      <c r="AG874" s="251"/>
      <c r="AH874" s="251"/>
      <c r="AI874" s="251"/>
      <c r="AJ874" s="251"/>
      <c r="AK874" s="251"/>
      <c r="AL874" s="251"/>
      <c r="AM874" s="251"/>
      <c r="AN874" s="251"/>
      <c r="AO874" s="251"/>
      <c r="AP874" s="251"/>
      <c r="AQ874" s="251"/>
      <c r="AR874" s="251"/>
      <c r="AS874" s="251"/>
    </row>
    <row r="875" spans="1:45" s="44" customFormat="1" x14ac:dyDescent="0.2">
      <c r="A875" s="71"/>
      <c r="B875" s="71"/>
      <c r="C875" s="71"/>
      <c r="D875" s="251"/>
      <c r="E875" s="251"/>
      <c r="F875" s="251"/>
      <c r="G875" s="251"/>
      <c r="H875" s="251"/>
      <c r="I875" s="251"/>
      <c r="J875" s="251"/>
      <c r="K875" s="251"/>
      <c r="L875" s="251"/>
      <c r="M875" s="251"/>
      <c r="N875" s="251"/>
      <c r="O875" s="251"/>
      <c r="P875" s="251"/>
      <c r="Q875" s="251"/>
      <c r="R875" s="251"/>
      <c r="S875" s="251"/>
      <c r="T875" s="251"/>
      <c r="U875" s="251"/>
      <c r="V875" s="251"/>
      <c r="W875" s="251"/>
      <c r="X875" s="251"/>
      <c r="Y875" s="251"/>
      <c r="Z875" s="251"/>
      <c r="AA875" s="251"/>
      <c r="AB875" s="251"/>
      <c r="AC875" s="251"/>
      <c r="AD875" s="251"/>
      <c r="AE875" s="251"/>
      <c r="AF875" s="251"/>
      <c r="AG875" s="251"/>
      <c r="AH875" s="251"/>
      <c r="AI875" s="251"/>
      <c r="AJ875" s="251"/>
      <c r="AK875" s="251"/>
      <c r="AL875" s="251"/>
      <c r="AM875" s="251"/>
      <c r="AN875" s="251"/>
      <c r="AO875" s="251"/>
      <c r="AP875" s="251"/>
      <c r="AQ875" s="251"/>
      <c r="AR875" s="251"/>
      <c r="AS875" s="251"/>
    </row>
    <row r="876" spans="1:45" s="44" customFormat="1" x14ac:dyDescent="0.2">
      <c r="A876" s="71"/>
      <c r="B876" s="71"/>
      <c r="C876" s="71"/>
      <c r="D876" s="251"/>
      <c r="E876" s="251"/>
      <c r="F876" s="251"/>
      <c r="G876" s="251"/>
      <c r="H876" s="251"/>
      <c r="I876" s="251"/>
      <c r="J876" s="251"/>
      <c r="K876" s="251"/>
      <c r="L876" s="251"/>
      <c r="M876" s="251"/>
      <c r="N876" s="251"/>
      <c r="O876" s="251"/>
      <c r="P876" s="251"/>
      <c r="Q876" s="251"/>
      <c r="R876" s="251"/>
      <c r="S876" s="251"/>
      <c r="T876" s="251"/>
      <c r="U876" s="251"/>
      <c r="V876" s="251"/>
      <c r="W876" s="251"/>
      <c r="X876" s="251"/>
      <c r="Y876" s="251"/>
      <c r="Z876" s="251"/>
      <c r="AA876" s="251"/>
      <c r="AB876" s="251"/>
      <c r="AC876" s="251"/>
      <c r="AD876" s="251"/>
      <c r="AE876" s="251"/>
      <c r="AF876" s="251"/>
      <c r="AG876" s="251"/>
      <c r="AH876" s="251"/>
      <c r="AI876" s="251"/>
      <c r="AJ876" s="251"/>
      <c r="AK876" s="251"/>
      <c r="AL876" s="251"/>
      <c r="AM876" s="251"/>
      <c r="AN876" s="251"/>
      <c r="AO876" s="251"/>
      <c r="AP876" s="251"/>
      <c r="AQ876" s="251"/>
      <c r="AR876" s="251"/>
      <c r="AS876" s="251"/>
    </row>
    <row r="877" spans="1:45" s="44" customFormat="1" x14ac:dyDescent="0.2">
      <c r="A877" s="71"/>
      <c r="B877" s="71"/>
      <c r="C877" s="71"/>
      <c r="D877" s="251"/>
      <c r="E877" s="251"/>
      <c r="F877" s="251"/>
      <c r="G877" s="251"/>
      <c r="H877" s="251"/>
      <c r="I877" s="251"/>
      <c r="J877" s="251"/>
      <c r="K877" s="251"/>
      <c r="L877" s="251"/>
      <c r="M877" s="251"/>
      <c r="N877" s="251"/>
      <c r="O877" s="251"/>
      <c r="P877" s="251"/>
      <c r="Q877" s="251"/>
      <c r="R877" s="251"/>
      <c r="S877" s="251"/>
      <c r="T877" s="251"/>
      <c r="U877" s="251"/>
      <c r="V877" s="251"/>
      <c r="W877" s="251"/>
      <c r="X877" s="251"/>
      <c r="Y877" s="251"/>
      <c r="Z877" s="251"/>
      <c r="AA877" s="251"/>
      <c r="AB877" s="251"/>
      <c r="AC877" s="251"/>
      <c r="AD877" s="251"/>
      <c r="AE877" s="251"/>
      <c r="AF877" s="251"/>
      <c r="AG877" s="251"/>
      <c r="AH877" s="251"/>
      <c r="AI877" s="251"/>
      <c r="AJ877" s="251"/>
      <c r="AK877" s="251"/>
      <c r="AL877" s="251"/>
      <c r="AM877" s="251"/>
      <c r="AN877" s="251"/>
      <c r="AO877" s="251"/>
      <c r="AP877" s="251"/>
      <c r="AQ877" s="251"/>
      <c r="AR877" s="251"/>
      <c r="AS877" s="251"/>
    </row>
    <row r="878" spans="1:45" s="44" customFormat="1" x14ac:dyDescent="0.2">
      <c r="A878" s="71"/>
      <c r="B878" s="71"/>
      <c r="C878" s="71"/>
      <c r="D878" s="251"/>
      <c r="E878" s="251"/>
      <c r="F878" s="251"/>
      <c r="G878" s="251"/>
      <c r="H878" s="251"/>
      <c r="I878" s="251"/>
      <c r="J878" s="251"/>
      <c r="K878" s="251"/>
      <c r="L878" s="251"/>
      <c r="M878" s="251"/>
      <c r="N878" s="251"/>
      <c r="O878" s="251"/>
      <c r="P878" s="251"/>
      <c r="Q878" s="251"/>
      <c r="R878" s="251"/>
      <c r="S878" s="251"/>
      <c r="T878" s="251"/>
      <c r="U878" s="251"/>
      <c r="V878" s="251"/>
      <c r="W878" s="251"/>
      <c r="X878" s="251"/>
      <c r="Y878" s="251"/>
      <c r="Z878" s="251"/>
      <c r="AA878" s="251"/>
      <c r="AB878" s="251"/>
      <c r="AC878" s="251"/>
      <c r="AD878" s="251"/>
      <c r="AE878" s="251"/>
      <c r="AF878" s="251"/>
      <c r="AG878" s="251"/>
      <c r="AH878" s="251"/>
      <c r="AI878" s="251"/>
      <c r="AJ878" s="251"/>
      <c r="AK878" s="251"/>
      <c r="AL878" s="251"/>
      <c r="AM878" s="251"/>
      <c r="AN878" s="251"/>
      <c r="AO878" s="251"/>
      <c r="AP878" s="251"/>
      <c r="AQ878" s="251"/>
      <c r="AR878" s="251"/>
      <c r="AS878" s="251"/>
    </row>
    <row r="879" spans="1:45" s="44" customFormat="1" x14ac:dyDescent="0.2">
      <c r="A879" s="71"/>
      <c r="B879" s="71"/>
      <c r="C879" s="71"/>
      <c r="D879" s="251"/>
      <c r="E879" s="251"/>
      <c r="F879" s="251"/>
      <c r="G879" s="251"/>
      <c r="H879" s="251"/>
      <c r="I879" s="251"/>
      <c r="J879" s="251"/>
      <c r="K879" s="251"/>
      <c r="L879" s="251"/>
      <c r="M879" s="251"/>
      <c r="N879" s="251"/>
      <c r="O879" s="251"/>
      <c r="P879" s="251"/>
      <c r="Q879" s="251"/>
      <c r="R879" s="251"/>
      <c r="S879" s="251"/>
      <c r="T879" s="251"/>
      <c r="U879" s="251"/>
      <c r="V879" s="251"/>
      <c r="W879" s="251"/>
      <c r="X879" s="251"/>
      <c r="Y879" s="251"/>
      <c r="Z879" s="251"/>
      <c r="AA879" s="251"/>
      <c r="AB879" s="251"/>
      <c r="AC879" s="251"/>
      <c r="AD879" s="251"/>
      <c r="AE879" s="251"/>
      <c r="AF879" s="251"/>
      <c r="AG879" s="251"/>
      <c r="AH879" s="251"/>
      <c r="AI879" s="251"/>
      <c r="AJ879" s="251"/>
      <c r="AK879" s="251"/>
      <c r="AL879" s="251"/>
      <c r="AM879" s="251"/>
      <c r="AN879" s="251"/>
      <c r="AO879" s="251"/>
      <c r="AP879" s="251"/>
      <c r="AQ879" s="251"/>
      <c r="AR879" s="251"/>
      <c r="AS879" s="251"/>
    </row>
    <row r="880" spans="1:45" s="44" customFormat="1" x14ac:dyDescent="0.2">
      <c r="A880" s="71"/>
      <c r="B880" s="71"/>
      <c r="C880" s="71"/>
      <c r="D880" s="251"/>
      <c r="E880" s="251"/>
      <c r="F880" s="251"/>
      <c r="G880" s="251"/>
      <c r="H880" s="251"/>
      <c r="I880" s="251"/>
      <c r="J880" s="251"/>
      <c r="K880" s="251"/>
      <c r="L880" s="251"/>
      <c r="M880" s="251"/>
      <c r="N880" s="251"/>
      <c r="O880" s="251"/>
      <c r="P880" s="251"/>
      <c r="Q880" s="251"/>
      <c r="R880" s="251"/>
      <c r="S880" s="251"/>
      <c r="T880" s="251"/>
      <c r="U880" s="251"/>
      <c r="V880" s="251"/>
      <c r="W880" s="251"/>
      <c r="X880" s="251"/>
      <c r="Y880" s="251"/>
      <c r="Z880" s="251"/>
      <c r="AA880" s="251"/>
      <c r="AB880" s="251"/>
      <c r="AC880" s="251"/>
      <c r="AD880" s="251"/>
      <c r="AE880" s="251"/>
      <c r="AF880" s="251"/>
      <c r="AG880" s="251"/>
      <c r="AH880" s="251"/>
      <c r="AI880" s="251"/>
      <c r="AJ880" s="251"/>
      <c r="AK880" s="251"/>
      <c r="AL880" s="251"/>
      <c r="AM880" s="251"/>
      <c r="AN880" s="251"/>
      <c r="AO880" s="251"/>
      <c r="AP880" s="251"/>
      <c r="AQ880" s="251"/>
      <c r="AR880" s="251"/>
      <c r="AS880" s="251"/>
    </row>
    <row r="881" spans="1:45" s="44" customFormat="1" x14ac:dyDescent="0.2">
      <c r="A881" s="71"/>
      <c r="B881" s="71"/>
      <c r="C881" s="71"/>
      <c r="D881" s="251"/>
      <c r="E881" s="251"/>
      <c r="F881" s="251"/>
      <c r="G881" s="251"/>
      <c r="H881" s="251"/>
      <c r="I881" s="251"/>
      <c r="J881" s="251"/>
      <c r="K881" s="251"/>
      <c r="L881" s="251"/>
      <c r="M881" s="251"/>
      <c r="N881" s="251"/>
      <c r="O881" s="251"/>
      <c r="P881" s="251"/>
      <c r="Q881" s="251"/>
      <c r="R881" s="251"/>
      <c r="S881" s="251"/>
      <c r="T881" s="251"/>
      <c r="U881" s="251"/>
      <c r="V881" s="251"/>
      <c r="W881" s="251"/>
      <c r="X881" s="251"/>
      <c r="Y881" s="251"/>
      <c r="Z881" s="251"/>
      <c r="AA881" s="251"/>
      <c r="AB881" s="251"/>
      <c r="AC881" s="251"/>
      <c r="AD881" s="251"/>
      <c r="AE881" s="251"/>
      <c r="AF881" s="251"/>
      <c r="AG881" s="251"/>
      <c r="AH881" s="251"/>
      <c r="AI881" s="251"/>
      <c r="AJ881" s="251"/>
      <c r="AK881" s="251"/>
      <c r="AL881" s="251"/>
      <c r="AM881" s="251"/>
      <c r="AN881" s="251"/>
      <c r="AO881" s="251"/>
      <c r="AP881" s="251"/>
      <c r="AQ881" s="251"/>
      <c r="AR881" s="251"/>
      <c r="AS881" s="251"/>
    </row>
    <row r="882" spans="1:45" s="44" customFormat="1" x14ac:dyDescent="0.2">
      <c r="A882" s="71"/>
      <c r="B882" s="71"/>
      <c r="C882" s="71"/>
      <c r="D882" s="251"/>
      <c r="E882" s="251"/>
      <c r="F882" s="251"/>
      <c r="G882" s="251"/>
      <c r="H882" s="251"/>
      <c r="I882" s="251"/>
      <c r="J882" s="251"/>
      <c r="K882" s="251"/>
      <c r="L882" s="251"/>
      <c r="M882" s="251"/>
      <c r="N882" s="251"/>
      <c r="O882" s="251"/>
      <c r="P882" s="251"/>
      <c r="Q882" s="251"/>
      <c r="R882" s="251"/>
      <c r="S882" s="251"/>
      <c r="T882" s="251"/>
      <c r="U882" s="251"/>
      <c r="V882" s="251"/>
      <c r="W882" s="251"/>
      <c r="X882" s="251"/>
      <c r="Y882" s="251"/>
      <c r="Z882" s="251"/>
      <c r="AA882" s="251"/>
      <c r="AB882" s="251"/>
      <c r="AC882" s="251"/>
      <c r="AD882" s="251"/>
      <c r="AE882" s="251"/>
      <c r="AF882" s="251"/>
      <c r="AG882" s="251"/>
      <c r="AH882" s="251"/>
      <c r="AI882" s="251"/>
      <c r="AJ882" s="251"/>
      <c r="AK882" s="251"/>
      <c r="AL882" s="251"/>
      <c r="AM882" s="251"/>
      <c r="AN882" s="251"/>
      <c r="AO882" s="251"/>
      <c r="AP882" s="251"/>
      <c r="AQ882" s="251"/>
      <c r="AR882" s="251"/>
      <c r="AS882" s="251"/>
    </row>
    <row r="883" spans="1:45" s="44" customFormat="1" x14ac:dyDescent="0.2">
      <c r="A883" s="71"/>
      <c r="B883" s="71"/>
      <c r="C883" s="71"/>
      <c r="D883" s="251"/>
      <c r="E883" s="251"/>
      <c r="F883" s="251"/>
      <c r="G883" s="251"/>
      <c r="H883" s="251"/>
      <c r="I883" s="251"/>
      <c r="J883" s="251"/>
      <c r="K883" s="251"/>
      <c r="L883" s="251"/>
      <c r="M883" s="251"/>
      <c r="N883" s="251"/>
      <c r="O883" s="251"/>
      <c r="P883" s="251"/>
      <c r="Q883" s="251"/>
      <c r="R883" s="251"/>
      <c r="S883" s="251"/>
      <c r="T883" s="251"/>
      <c r="U883" s="251"/>
      <c r="V883" s="251"/>
      <c r="W883" s="251"/>
      <c r="X883" s="251"/>
      <c r="Y883" s="251"/>
      <c r="Z883" s="251"/>
      <c r="AA883" s="251"/>
      <c r="AB883" s="251"/>
      <c r="AC883" s="251"/>
      <c r="AD883" s="251"/>
      <c r="AE883" s="251"/>
      <c r="AF883" s="251"/>
      <c r="AG883" s="251"/>
      <c r="AH883" s="251"/>
      <c r="AI883" s="251"/>
      <c r="AJ883" s="251"/>
      <c r="AK883" s="251"/>
      <c r="AL883" s="251"/>
      <c r="AM883" s="251"/>
      <c r="AN883" s="251"/>
      <c r="AO883" s="251"/>
      <c r="AP883" s="251"/>
      <c r="AQ883" s="251"/>
      <c r="AR883" s="251"/>
      <c r="AS883" s="251"/>
    </row>
    <row r="884" spans="1:45" s="44" customFormat="1" x14ac:dyDescent="0.2">
      <c r="A884" s="71"/>
      <c r="B884" s="71"/>
      <c r="C884" s="71"/>
      <c r="D884" s="251"/>
      <c r="E884" s="251"/>
      <c r="F884" s="251"/>
      <c r="G884" s="251"/>
      <c r="H884" s="251"/>
      <c r="I884" s="251"/>
      <c r="J884" s="251"/>
      <c r="K884" s="251"/>
      <c r="L884" s="251"/>
      <c r="M884" s="251"/>
      <c r="N884" s="251"/>
      <c r="O884" s="251"/>
      <c r="P884" s="251"/>
      <c r="Q884" s="251"/>
      <c r="R884" s="251"/>
      <c r="S884" s="251"/>
      <c r="T884" s="251"/>
      <c r="U884" s="251"/>
      <c r="V884" s="251"/>
      <c r="W884" s="251"/>
      <c r="X884" s="251"/>
      <c r="Y884" s="251"/>
      <c r="Z884" s="251"/>
      <c r="AA884" s="251"/>
      <c r="AB884" s="251"/>
      <c r="AC884" s="251"/>
      <c r="AD884" s="251"/>
      <c r="AE884" s="251"/>
      <c r="AF884" s="251"/>
      <c r="AG884" s="251"/>
      <c r="AH884" s="251"/>
      <c r="AI884" s="251"/>
      <c r="AJ884" s="251"/>
      <c r="AK884" s="251"/>
      <c r="AL884" s="251"/>
      <c r="AM884" s="251"/>
      <c r="AN884" s="251"/>
      <c r="AO884" s="251"/>
      <c r="AP884" s="251"/>
      <c r="AQ884" s="251"/>
      <c r="AR884" s="251"/>
      <c r="AS884" s="251"/>
    </row>
    <row r="885" spans="1:45" s="44" customFormat="1" x14ac:dyDescent="0.2">
      <c r="A885" s="71"/>
      <c r="B885" s="71"/>
      <c r="C885" s="71"/>
      <c r="D885" s="251"/>
      <c r="E885" s="251"/>
      <c r="F885" s="251"/>
      <c r="G885" s="251"/>
      <c r="H885" s="251"/>
      <c r="I885" s="251"/>
      <c r="J885" s="251"/>
      <c r="K885" s="251"/>
      <c r="L885" s="251"/>
      <c r="M885" s="251"/>
      <c r="N885" s="251"/>
      <c r="O885" s="251"/>
      <c r="P885" s="251"/>
      <c r="Q885" s="251"/>
      <c r="R885" s="251"/>
      <c r="S885" s="251"/>
      <c r="T885" s="251"/>
      <c r="U885" s="251"/>
      <c r="V885" s="251"/>
      <c r="W885" s="251"/>
      <c r="X885" s="251"/>
      <c r="Y885" s="251"/>
      <c r="Z885" s="251"/>
      <c r="AA885" s="251"/>
      <c r="AB885" s="251"/>
      <c r="AC885" s="251"/>
      <c r="AD885" s="251"/>
      <c r="AE885" s="251"/>
      <c r="AF885" s="251"/>
      <c r="AG885" s="251"/>
      <c r="AH885" s="251"/>
      <c r="AI885" s="251"/>
      <c r="AJ885" s="251"/>
      <c r="AK885" s="251"/>
      <c r="AL885" s="251"/>
      <c r="AM885" s="251"/>
      <c r="AN885" s="251"/>
      <c r="AO885" s="251"/>
      <c r="AP885" s="251"/>
      <c r="AQ885" s="251"/>
      <c r="AR885" s="251"/>
      <c r="AS885" s="251"/>
    </row>
    <row r="886" spans="1:45" s="44" customFormat="1" x14ac:dyDescent="0.2">
      <c r="A886" s="71"/>
      <c r="B886" s="71"/>
      <c r="C886" s="71"/>
      <c r="D886" s="251"/>
      <c r="E886" s="251"/>
      <c r="F886" s="251"/>
      <c r="G886" s="251"/>
      <c r="H886" s="251"/>
      <c r="I886" s="251"/>
      <c r="J886" s="251"/>
      <c r="K886" s="251"/>
      <c r="L886" s="251"/>
      <c r="M886" s="251"/>
      <c r="N886" s="251"/>
      <c r="O886" s="251"/>
      <c r="P886" s="251"/>
      <c r="Q886" s="251"/>
      <c r="R886" s="251"/>
      <c r="S886" s="251"/>
      <c r="T886" s="251"/>
      <c r="U886" s="251"/>
      <c r="V886" s="251"/>
      <c r="W886" s="251"/>
      <c r="X886" s="251"/>
      <c r="Y886" s="251"/>
      <c r="Z886" s="251"/>
      <c r="AA886" s="251"/>
      <c r="AB886" s="251"/>
      <c r="AC886" s="251"/>
      <c r="AD886" s="251"/>
      <c r="AE886" s="251"/>
      <c r="AF886" s="251"/>
      <c r="AG886" s="251"/>
      <c r="AH886" s="251"/>
      <c r="AI886" s="251"/>
      <c r="AJ886" s="251"/>
      <c r="AK886" s="251"/>
      <c r="AL886" s="251"/>
      <c r="AM886" s="251"/>
      <c r="AN886" s="251"/>
      <c r="AO886" s="251"/>
      <c r="AP886" s="251"/>
      <c r="AQ886" s="251"/>
      <c r="AR886" s="251"/>
      <c r="AS886" s="251"/>
    </row>
    <row r="887" spans="1:45" s="44" customFormat="1" x14ac:dyDescent="0.2">
      <c r="A887" s="71"/>
      <c r="B887" s="71"/>
      <c r="C887" s="71"/>
      <c r="D887" s="251"/>
      <c r="E887" s="251"/>
      <c r="F887" s="251"/>
      <c r="G887" s="251"/>
      <c r="H887" s="251"/>
      <c r="I887" s="251"/>
      <c r="J887" s="251"/>
      <c r="K887" s="251"/>
      <c r="L887" s="251"/>
      <c r="M887" s="251"/>
      <c r="N887" s="251"/>
      <c r="O887" s="251"/>
      <c r="P887" s="251"/>
      <c r="Q887" s="251"/>
      <c r="R887" s="251"/>
      <c r="S887" s="251"/>
      <c r="T887" s="251"/>
      <c r="U887" s="251"/>
      <c r="V887" s="251"/>
      <c r="W887" s="251"/>
      <c r="X887" s="251"/>
      <c r="Y887" s="251"/>
      <c r="Z887" s="251"/>
      <c r="AA887" s="251"/>
      <c r="AB887" s="251"/>
      <c r="AC887" s="251"/>
      <c r="AD887" s="251"/>
      <c r="AE887" s="251"/>
      <c r="AF887" s="251"/>
      <c r="AG887" s="251"/>
      <c r="AH887" s="251"/>
      <c r="AI887" s="251"/>
      <c r="AJ887" s="251"/>
      <c r="AK887" s="251"/>
      <c r="AL887" s="251"/>
      <c r="AM887" s="251"/>
      <c r="AN887" s="251"/>
      <c r="AO887" s="251"/>
      <c r="AP887" s="251"/>
      <c r="AQ887" s="251"/>
      <c r="AR887" s="251"/>
      <c r="AS887" s="251"/>
    </row>
    <row r="888" spans="1:45" s="44" customFormat="1" x14ac:dyDescent="0.2">
      <c r="A888" s="71"/>
      <c r="B888" s="71"/>
      <c r="C888" s="71"/>
      <c r="D888" s="251"/>
      <c r="E888" s="251"/>
      <c r="F888" s="251"/>
      <c r="G888" s="251"/>
      <c r="H888" s="251"/>
      <c r="I888" s="251"/>
      <c r="J888" s="251"/>
      <c r="K888" s="251"/>
      <c r="L888" s="251"/>
      <c r="M888" s="251"/>
      <c r="N888" s="251"/>
      <c r="O888" s="251"/>
      <c r="P888" s="251"/>
      <c r="Q888" s="251"/>
      <c r="R888" s="251"/>
      <c r="S888" s="251"/>
      <c r="T888" s="251"/>
      <c r="U888" s="251"/>
      <c r="V888" s="251"/>
      <c r="W888" s="251"/>
      <c r="X888" s="251"/>
      <c r="Y888" s="251"/>
      <c r="Z888" s="251"/>
      <c r="AA888" s="251"/>
      <c r="AB888" s="251"/>
      <c r="AC888" s="251"/>
      <c r="AD888" s="251"/>
      <c r="AE888" s="251"/>
      <c r="AF888" s="251"/>
      <c r="AG888" s="251"/>
      <c r="AH888" s="251"/>
      <c r="AI888" s="251"/>
      <c r="AJ888" s="251"/>
      <c r="AK888" s="251"/>
      <c r="AL888" s="251"/>
      <c r="AM888" s="251"/>
      <c r="AN888" s="251"/>
      <c r="AO888" s="251"/>
      <c r="AP888" s="251"/>
      <c r="AQ888" s="251"/>
      <c r="AR888" s="251"/>
      <c r="AS888" s="251"/>
    </row>
    <row r="889" spans="1:45" s="44" customFormat="1" x14ac:dyDescent="0.2">
      <c r="A889" s="71"/>
      <c r="B889" s="71"/>
      <c r="C889" s="71"/>
      <c r="D889" s="251"/>
      <c r="E889" s="251"/>
      <c r="F889" s="251"/>
      <c r="G889" s="251"/>
      <c r="H889" s="251"/>
      <c r="I889" s="251"/>
      <c r="J889" s="251"/>
      <c r="K889" s="251"/>
      <c r="L889" s="251"/>
      <c r="M889" s="251"/>
      <c r="N889" s="251"/>
      <c r="O889" s="251"/>
      <c r="P889" s="251"/>
      <c r="Q889" s="251"/>
      <c r="R889" s="251"/>
      <c r="S889" s="251"/>
      <c r="T889" s="251"/>
      <c r="U889" s="251"/>
      <c r="V889" s="251"/>
      <c r="W889" s="251"/>
      <c r="X889" s="251"/>
      <c r="Y889" s="251"/>
      <c r="Z889" s="251"/>
      <c r="AA889" s="251"/>
      <c r="AB889" s="251"/>
      <c r="AC889" s="251"/>
      <c r="AD889" s="251"/>
      <c r="AE889" s="251"/>
      <c r="AF889" s="251"/>
      <c r="AG889" s="251"/>
      <c r="AH889" s="251"/>
      <c r="AI889" s="251"/>
      <c r="AJ889" s="251"/>
      <c r="AK889" s="251"/>
      <c r="AL889" s="251"/>
      <c r="AM889" s="251"/>
      <c r="AN889" s="251"/>
      <c r="AO889" s="251"/>
      <c r="AP889" s="251"/>
      <c r="AQ889" s="251"/>
      <c r="AR889" s="251"/>
      <c r="AS889" s="251"/>
    </row>
    <row r="890" spans="1:45" s="44" customFormat="1" x14ac:dyDescent="0.2">
      <c r="A890" s="71"/>
      <c r="B890" s="71"/>
      <c r="C890" s="71"/>
      <c r="D890" s="251"/>
      <c r="E890" s="251"/>
      <c r="F890" s="251"/>
      <c r="G890" s="251"/>
      <c r="H890" s="251"/>
      <c r="I890" s="251"/>
      <c r="J890" s="251"/>
      <c r="K890" s="251"/>
      <c r="L890" s="251"/>
      <c r="M890" s="251"/>
      <c r="N890" s="251"/>
      <c r="O890" s="251"/>
      <c r="P890" s="251"/>
      <c r="Q890" s="251"/>
      <c r="R890" s="251"/>
      <c r="S890" s="251"/>
      <c r="T890" s="251"/>
      <c r="U890" s="251"/>
      <c r="V890" s="251"/>
      <c r="W890" s="251"/>
      <c r="X890" s="251"/>
      <c r="Y890" s="251"/>
      <c r="Z890" s="251"/>
      <c r="AA890" s="251"/>
      <c r="AB890" s="251"/>
      <c r="AC890" s="251"/>
      <c r="AD890" s="251"/>
      <c r="AE890" s="251"/>
      <c r="AF890" s="251"/>
      <c r="AG890" s="251"/>
      <c r="AH890" s="251"/>
      <c r="AI890" s="251"/>
      <c r="AJ890" s="251"/>
      <c r="AK890" s="251"/>
      <c r="AL890" s="251"/>
      <c r="AM890" s="251"/>
      <c r="AN890" s="251"/>
      <c r="AO890" s="251"/>
      <c r="AP890" s="251"/>
      <c r="AQ890" s="251"/>
      <c r="AR890" s="251"/>
      <c r="AS890" s="251"/>
    </row>
    <row r="891" spans="1:45" s="44" customFormat="1" x14ac:dyDescent="0.2">
      <c r="A891" s="71"/>
      <c r="B891" s="71"/>
      <c r="C891" s="71"/>
      <c r="D891" s="251"/>
      <c r="E891" s="251"/>
      <c r="F891" s="251"/>
      <c r="G891" s="251"/>
      <c r="H891" s="251"/>
      <c r="I891" s="251"/>
      <c r="J891" s="251"/>
      <c r="K891" s="251"/>
      <c r="L891" s="251"/>
      <c r="M891" s="251"/>
      <c r="N891" s="251"/>
      <c r="O891" s="251"/>
      <c r="P891" s="251"/>
      <c r="Q891" s="251"/>
      <c r="R891" s="251"/>
      <c r="S891" s="251"/>
      <c r="T891" s="251"/>
      <c r="U891" s="251"/>
      <c r="V891" s="251"/>
      <c r="W891" s="251"/>
      <c r="X891" s="251"/>
      <c r="Y891" s="251"/>
      <c r="Z891" s="251"/>
      <c r="AA891" s="251"/>
      <c r="AB891" s="251"/>
      <c r="AC891" s="251"/>
      <c r="AD891" s="251"/>
      <c r="AE891" s="251"/>
      <c r="AF891" s="251"/>
      <c r="AG891" s="251"/>
      <c r="AH891" s="251"/>
      <c r="AI891" s="251"/>
      <c r="AJ891" s="251"/>
      <c r="AK891" s="251"/>
      <c r="AL891" s="251"/>
      <c r="AM891" s="251"/>
      <c r="AN891" s="251"/>
      <c r="AO891" s="251"/>
      <c r="AP891" s="251"/>
      <c r="AQ891" s="251"/>
      <c r="AR891" s="251"/>
      <c r="AS891" s="251"/>
    </row>
    <row r="892" spans="1:45" s="44" customFormat="1" x14ac:dyDescent="0.2">
      <c r="A892" s="71"/>
      <c r="B892" s="71"/>
      <c r="C892" s="71"/>
      <c r="D892" s="251"/>
      <c r="E892" s="251"/>
      <c r="F892" s="251"/>
      <c r="G892" s="251"/>
      <c r="H892" s="251"/>
      <c r="I892" s="251"/>
      <c r="J892" s="251"/>
      <c r="K892" s="251"/>
      <c r="L892" s="251"/>
      <c r="M892" s="251"/>
      <c r="N892" s="251"/>
      <c r="O892" s="251"/>
      <c r="P892" s="251"/>
      <c r="Q892" s="251"/>
      <c r="R892" s="251"/>
      <c r="S892" s="251"/>
      <c r="T892" s="251"/>
      <c r="U892" s="251"/>
      <c r="V892" s="251"/>
      <c r="W892" s="251"/>
      <c r="X892" s="251"/>
      <c r="Y892" s="251"/>
      <c r="Z892" s="251"/>
      <c r="AA892" s="251"/>
      <c r="AB892" s="251"/>
      <c r="AC892" s="251"/>
      <c r="AD892" s="251"/>
      <c r="AE892" s="251"/>
      <c r="AF892" s="251"/>
      <c r="AG892" s="251"/>
      <c r="AH892" s="251"/>
      <c r="AI892" s="251"/>
      <c r="AJ892" s="251"/>
      <c r="AK892" s="251"/>
      <c r="AL892" s="251"/>
      <c r="AM892" s="251"/>
      <c r="AN892" s="251"/>
      <c r="AO892" s="251"/>
      <c r="AP892" s="251"/>
      <c r="AQ892" s="251"/>
      <c r="AR892" s="251"/>
      <c r="AS892" s="251"/>
    </row>
    <row r="893" spans="1:45" s="44" customFormat="1" x14ac:dyDescent="0.2">
      <c r="A893" s="71"/>
      <c r="B893" s="71"/>
      <c r="C893" s="71"/>
      <c r="D893" s="251"/>
      <c r="E893" s="251"/>
      <c r="F893" s="251"/>
      <c r="G893" s="251"/>
      <c r="H893" s="251"/>
      <c r="I893" s="251"/>
      <c r="J893" s="251"/>
      <c r="K893" s="251"/>
      <c r="L893" s="251"/>
      <c r="M893" s="251"/>
      <c r="N893" s="251"/>
      <c r="O893" s="251"/>
      <c r="P893" s="251"/>
      <c r="Q893" s="251"/>
      <c r="R893" s="251"/>
      <c r="S893" s="251"/>
      <c r="T893" s="251"/>
      <c r="U893" s="251"/>
      <c r="V893" s="251"/>
      <c r="W893" s="251"/>
      <c r="X893" s="251"/>
      <c r="Y893" s="251"/>
      <c r="Z893" s="251"/>
      <c r="AA893" s="251"/>
      <c r="AB893" s="251"/>
      <c r="AC893" s="251"/>
      <c r="AD893" s="251"/>
      <c r="AE893" s="251"/>
      <c r="AF893" s="251"/>
      <c r="AG893" s="251"/>
      <c r="AH893" s="251"/>
      <c r="AI893" s="251"/>
      <c r="AJ893" s="251"/>
      <c r="AK893" s="251"/>
      <c r="AL893" s="251"/>
      <c r="AM893" s="251"/>
      <c r="AN893" s="251"/>
      <c r="AO893" s="251"/>
      <c r="AP893" s="251"/>
      <c r="AQ893" s="251"/>
      <c r="AR893" s="251"/>
      <c r="AS893" s="251"/>
    </row>
    <row r="894" spans="1:45" s="44" customFormat="1" x14ac:dyDescent="0.2">
      <c r="A894" s="71"/>
      <c r="B894" s="71"/>
      <c r="C894" s="71"/>
      <c r="D894" s="251"/>
      <c r="E894" s="251"/>
      <c r="F894" s="251"/>
      <c r="G894" s="251"/>
      <c r="H894" s="251"/>
      <c r="I894" s="251"/>
      <c r="J894" s="251"/>
      <c r="K894" s="251"/>
      <c r="L894" s="251"/>
      <c r="M894" s="251"/>
      <c r="N894" s="251"/>
      <c r="O894" s="251"/>
      <c r="P894" s="251"/>
      <c r="Q894" s="251"/>
      <c r="R894" s="251"/>
      <c r="S894" s="251"/>
      <c r="T894" s="251"/>
      <c r="U894" s="251"/>
      <c r="V894" s="251"/>
      <c r="W894" s="251"/>
      <c r="X894" s="251"/>
      <c r="Y894" s="251"/>
      <c r="Z894" s="251"/>
      <c r="AA894" s="251"/>
      <c r="AB894" s="251"/>
      <c r="AC894" s="251"/>
      <c r="AD894" s="251"/>
      <c r="AE894" s="251"/>
      <c r="AF894" s="251"/>
      <c r="AG894" s="251"/>
      <c r="AH894" s="251"/>
      <c r="AI894" s="251"/>
      <c r="AJ894" s="251"/>
      <c r="AK894" s="251"/>
      <c r="AL894" s="251"/>
      <c r="AM894" s="251"/>
      <c r="AN894" s="251"/>
      <c r="AO894" s="251"/>
      <c r="AP894" s="251"/>
      <c r="AQ894" s="251"/>
      <c r="AR894" s="251"/>
      <c r="AS894" s="251"/>
    </row>
    <row r="895" spans="1:45" s="44" customFormat="1" x14ac:dyDescent="0.2">
      <c r="A895" s="71"/>
      <c r="B895" s="71"/>
      <c r="C895" s="71"/>
      <c r="D895" s="251"/>
      <c r="E895" s="251"/>
      <c r="F895" s="251"/>
      <c r="G895" s="251"/>
      <c r="H895" s="251"/>
      <c r="I895" s="251"/>
      <c r="J895" s="251"/>
      <c r="K895" s="251"/>
      <c r="L895" s="251"/>
      <c r="M895" s="251"/>
      <c r="N895" s="251"/>
      <c r="O895" s="251"/>
      <c r="P895" s="251"/>
      <c r="Q895" s="251"/>
      <c r="R895" s="251"/>
      <c r="S895" s="251"/>
      <c r="T895" s="251"/>
      <c r="U895" s="251"/>
      <c r="V895" s="251"/>
      <c r="W895" s="251"/>
      <c r="X895" s="251"/>
      <c r="Y895" s="251"/>
      <c r="Z895" s="251"/>
      <c r="AA895" s="251"/>
      <c r="AB895" s="251"/>
      <c r="AC895" s="251"/>
      <c r="AD895" s="251"/>
      <c r="AE895" s="251"/>
      <c r="AF895" s="251"/>
      <c r="AG895" s="251"/>
      <c r="AH895" s="251"/>
      <c r="AI895" s="251"/>
      <c r="AJ895" s="251"/>
      <c r="AK895" s="251"/>
      <c r="AL895" s="251"/>
      <c r="AM895" s="251"/>
      <c r="AN895" s="251"/>
      <c r="AO895" s="251"/>
      <c r="AP895" s="251"/>
      <c r="AQ895" s="251"/>
      <c r="AR895" s="251"/>
      <c r="AS895" s="251"/>
    </row>
    <row r="896" spans="1:45" s="44" customFormat="1" x14ac:dyDescent="0.2">
      <c r="A896" s="71"/>
      <c r="B896" s="71"/>
      <c r="C896" s="71"/>
      <c r="D896" s="251"/>
      <c r="E896" s="251"/>
      <c r="F896" s="251"/>
      <c r="G896" s="251"/>
      <c r="H896" s="251"/>
      <c r="I896" s="251"/>
      <c r="J896" s="251"/>
      <c r="K896" s="251"/>
      <c r="L896" s="251"/>
      <c r="M896" s="251"/>
      <c r="N896" s="251"/>
      <c r="O896" s="251"/>
      <c r="P896" s="251"/>
      <c r="Q896" s="251"/>
      <c r="R896" s="251"/>
      <c r="S896" s="251"/>
      <c r="T896" s="251"/>
      <c r="U896" s="251"/>
      <c r="V896" s="251"/>
      <c r="W896" s="251"/>
      <c r="X896" s="251"/>
      <c r="Y896" s="251"/>
      <c r="Z896" s="251"/>
      <c r="AA896" s="251"/>
      <c r="AB896" s="251"/>
      <c r="AC896" s="251"/>
      <c r="AD896" s="251"/>
      <c r="AE896" s="251"/>
      <c r="AF896" s="251"/>
      <c r="AG896" s="251"/>
      <c r="AH896" s="251"/>
      <c r="AI896" s="251"/>
      <c r="AJ896" s="251"/>
      <c r="AK896" s="251"/>
      <c r="AL896" s="251"/>
      <c r="AM896" s="251"/>
      <c r="AN896" s="251"/>
      <c r="AO896" s="251"/>
      <c r="AP896" s="251"/>
      <c r="AQ896" s="251"/>
      <c r="AR896" s="251"/>
      <c r="AS896" s="251"/>
    </row>
    <row r="897" spans="1:45" s="44" customFormat="1" x14ac:dyDescent="0.2">
      <c r="A897" s="71"/>
      <c r="B897" s="71"/>
      <c r="C897" s="71"/>
      <c r="D897" s="251"/>
      <c r="E897" s="251"/>
      <c r="F897" s="251"/>
      <c r="G897" s="251"/>
      <c r="H897" s="251"/>
      <c r="I897" s="251"/>
      <c r="J897" s="251"/>
      <c r="K897" s="251"/>
      <c r="L897" s="251"/>
      <c r="M897" s="251"/>
      <c r="N897" s="251"/>
      <c r="O897" s="251"/>
      <c r="P897" s="251"/>
      <c r="Q897" s="251"/>
      <c r="R897" s="251"/>
      <c r="S897" s="251"/>
      <c r="T897" s="251"/>
      <c r="U897" s="251"/>
      <c r="V897" s="251"/>
      <c r="W897" s="251"/>
      <c r="X897" s="251"/>
      <c r="Y897" s="251"/>
      <c r="Z897" s="251"/>
      <c r="AA897" s="251"/>
      <c r="AB897" s="251"/>
      <c r="AC897" s="251"/>
      <c r="AD897" s="251"/>
      <c r="AE897" s="251"/>
      <c r="AF897" s="251"/>
      <c r="AG897" s="251"/>
      <c r="AH897" s="251"/>
      <c r="AI897" s="251"/>
      <c r="AJ897" s="251"/>
      <c r="AK897" s="251"/>
      <c r="AL897" s="251"/>
      <c r="AM897" s="251"/>
      <c r="AN897" s="251"/>
      <c r="AO897" s="251"/>
      <c r="AP897" s="251"/>
      <c r="AQ897" s="251"/>
      <c r="AR897" s="251"/>
      <c r="AS897" s="251"/>
    </row>
    <row r="898" spans="1:45" s="44" customFormat="1" x14ac:dyDescent="0.2">
      <c r="A898" s="71"/>
      <c r="B898" s="71"/>
      <c r="C898" s="71"/>
      <c r="D898" s="251"/>
      <c r="E898" s="251"/>
      <c r="F898" s="251"/>
      <c r="G898" s="251"/>
      <c r="H898" s="251"/>
      <c r="I898" s="251"/>
      <c r="J898" s="251"/>
      <c r="K898" s="251"/>
      <c r="L898" s="251"/>
      <c r="M898" s="251"/>
      <c r="N898" s="251"/>
      <c r="O898" s="251"/>
      <c r="P898" s="251"/>
      <c r="Q898" s="251"/>
      <c r="R898" s="251"/>
      <c r="S898" s="251"/>
      <c r="T898" s="251"/>
      <c r="U898" s="251"/>
      <c r="V898" s="251"/>
      <c r="W898" s="251"/>
      <c r="X898" s="251"/>
      <c r="Y898" s="251"/>
      <c r="Z898" s="251"/>
      <c r="AA898" s="251"/>
      <c r="AB898" s="251"/>
      <c r="AC898" s="251"/>
      <c r="AD898" s="251"/>
      <c r="AE898" s="251"/>
      <c r="AF898" s="251"/>
      <c r="AG898" s="251"/>
      <c r="AH898" s="251"/>
      <c r="AI898" s="251"/>
      <c r="AJ898" s="251"/>
      <c r="AK898" s="251"/>
      <c r="AL898" s="251"/>
      <c r="AM898" s="251"/>
      <c r="AN898" s="251"/>
      <c r="AO898" s="251"/>
      <c r="AP898" s="251"/>
      <c r="AQ898" s="251"/>
      <c r="AR898" s="251"/>
      <c r="AS898" s="251"/>
    </row>
    <row r="899" spans="1:45" s="44" customFormat="1" x14ac:dyDescent="0.2">
      <c r="A899" s="71"/>
      <c r="B899" s="71"/>
      <c r="C899" s="71"/>
      <c r="D899" s="251"/>
      <c r="E899" s="251"/>
      <c r="F899" s="251"/>
      <c r="G899" s="251"/>
      <c r="H899" s="251"/>
      <c r="I899" s="251"/>
      <c r="J899" s="251"/>
      <c r="K899" s="251"/>
      <c r="L899" s="251"/>
      <c r="M899" s="251"/>
      <c r="N899" s="251"/>
      <c r="O899" s="251"/>
      <c r="P899" s="251"/>
      <c r="Q899" s="251"/>
      <c r="R899" s="251"/>
      <c r="S899" s="251"/>
      <c r="T899" s="251"/>
      <c r="U899" s="251"/>
      <c r="V899" s="251"/>
      <c r="W899" s="251"/>
      <c r="X899" s="251"/>
      <c r="Y899" s="251"/>
      <c r="Z899" s="251"/>
      <c r="AA899" s="251"/>
      <c r="AB899" s="251"/>
      <c r="AC899" s="251"/>
      <c r="AD899" s="251"/>
      <c r="AE899" s="251"/>
      <c r="AF899" s="251"/>
      <c r="AG899" s="251"/>
      <c r="AH899" s="251"/>
      <c r="AI899" s="251"/>
      <c r="AJ899" s="251"/>
      <c r="AK899" s="251"/>
      <c r="AL899" s="251"/>
      <c r="AM899" s="251"/>
      <c r="AN899" s="251"/>
      <c r="AO899" s="251"/>
      <c r="AP899" s="251"/>
      <c r="AQ899" s="251"/>
      <c r="AR899" s="251"/>
      <c r="AS899" s="251"/>
    </row>
    <row r="900" spans="1:45" s="44" customFormat="1" x14ac:dyDescent="0.2">
      <c r="A900" s="71"/>
      <c r="B900" s="71"/>
      <c r="C900" s="71"/>
      <c r="D900" s="251"/>
      <c r="E900" s="251"/>
      <c r="F900" s="251"/>
      <c r="G900" s="251"/>
      <c r="H900" s="251"/>
      <c r="I900" s="251"/>
      <c r="J900" s="251"/>
      <c r="K900" s="251"/>
      <c r="L900" s="251"/>
      <c r="M900" s="251"/>
      <c r="N900" s="251"/>
      <c r="O900" s="251"/>
      <c r="P900" s="251"/>
      <c r="Q900" s="251"/>
      <c r="R900" s="251"/>
      <c r="S900" s="251"/>
      <c r="T900" s="251"/>
      <c r="U900" s="251"/>
      <c r="V900" s="251"/>
      <c r="W900" s="251"/>
      <c r="X900" s="251"/>
      <c r="Y900" s="251"/>
      <c r="Z900" s="251"/>
      <c r="AA900" s="251"/>
      <c r="AB900" s="251"/>
      <c r="AC900" s="251"/>
      <c r="AD900" s="251"/>
      <c r="AE900" s="251"/>
      <c r="AF900" s="251"/>
      <c r="AG900" s="251"/>
      <c r="AH900" s="251"/>
      <c r="AI900" s="251"/>
      <c r="AJ900" s="251"/>
      <c r="AK900" s="251"/>
      <c r="AL900" s="251"/>
      <c r="AM900" s="251"/>
      <c r="AN900" s="251"/>
      <c r="AO900" s="251"/>
      <c r="AP900" s="251"/>
      <c r="AQ900" s="251"/>
      <c r="AR900" s="251"/>
      <c r="AS900" s="251"/>
    </row>
    <row r="901" spans="1:45" s="44" customFormat="1" x14ac:dyDescent="0.2">
      <c r="A901" s="71"/>
      <c r="B901" s="71"/>
      <c r="C901" s="71"/>
      <c r="D901" s="251"/>
      <c r="E901" s="251"/>
      <c r="F901" s="251"/>
      <c r="G901" s="251"/>
      <c r="H901" s="251"/>
      <c r="I901" s="251"/>
      <c r="J901" s="251"/>
      <c r="K901" s="251"/>
      <c r="L901" s="251"/>
      <c r="M901" s="251"/>
      <c r="N901" s="251"/>
      <c r="O901" s="251"/>
      <c r="P901" s="251"/>
      <c r="Q901" s="251"/>
      <c r="R901" s="251"/>
      <c r="S901" s="251"/>
      <c r="T901" s="251"/>
      <c r="U901" s="251"/>
      <c r="V901" s="251"/>
      <c r="W901" s="251"/>
      <c r="X901" s="251"/>
      <c r="Y901" s="251"/>
      <c r="Z901" s="251"/>
      <c r="AA901" s="251"/>
      <c r="AB901" s="251"/>
      <c r="AC901" s="251"/>
      <c r="AD901" s="251"/>
      <c r="AE901" s="251"/>
      <c r="AF901" s="251"/>
      <c r="AG901" s="251"/>
      <c r="AH901" s="251"/>
      <c r="AI901" s="251"/>
      <c r="AJ901" s="251"/>
      <c r="AK901" s="251"/>
      <c r="AL901" s="251"/>
      <c r="AM901" s="251"/>
      <c r="AN901" s="251"/>
      <c r="AO901" s="251"/>
      <c r="AP901" s="251"/>
      <c r="AQ901" s="251"/>
      <c r="AR901" s="251"/>
      <c r="AS901" s="251"/>
    </row>
    <row r="902" spans="1:45" s="44" customFormat="1" x14ac:dyDescent="0.2">
      <c r="A902" s="71"/>
      <c r="B902" s="71"/>
      <c r="C902" s="71"/>
      <c r="D902" s="251"/>
      <c r="E902" s="251"/>
      <c r="F902" s="251"/>
      <c r="G902" s="251"/>
      <c r="H902" s="251"/>
      <c r="I902" s="251"/>
      <c r="J902" s="251"/>
      <c r="K902" s="251"/>
      <c r="L902" s="251"/>
      <c r="M902" s="251"/>
      <c r="N902" s="251"/>
      <c r="O902" s="251"/>
      <c r="P902" s="251"/>
      <c r="Q902" s="251"/>
      <c r="R902" s="251"/>
      <c r="S902" s="251"/>
      <c r="T902" s="251"/>
      <c r="U902" s="251"/>
      <c r="V902" s="251"/>
      <c r="W902" s="251"/>
      <c r="X902" s="251"/>
      <c r="Y902" s="251"/>
      <c r="Z902" s="251"/>
      <c r="AA902" s="251"/>
      <c r="AB902" s="251"/>
      <c r="AC902" s="251"/>
      <c r="AD902" s="251"/>
      <c r="AE902" s="251"/>
      <c r="AF902" s="251"/>
      <c r="AG902" s="251"/>
      <c r="AH902" s="251"/>
      <c r="AI902" s="251"/>
      <c r="AJ902" s="251"/>
      <c r="AK902" s="251"/>
      <c r="AL902" s="251"/>
      <c r="AM902" s="251"/>
      <c r="AN902" s="251"/>
      <c r="AO902" s="251"/>
      <c r="AP902" s="251"/>
      <c r="AQ902" s="251"/>
      <c r="AR902" s="251"/>
      <c r="AS902" s="251"/>
    </row>
    <row r="903" spans="1:45" s="44" customFormat="1" x14ac:dyDescent="0.2">
      <c r="A903" s="71"/>
      <c r="B903" s="71"/>
      <c r="C903" s="71"/>
      <c r="D903" s="251"/>
      <c r="E903" s="251"/>
      <c r="F903" s="251"/>
      <c r="G903" s="251"/>
      <c r="H903" s="251"/>
      <c r="I903" s="251"/>
      <c r="J903" s="251"/>
      <c r="K903" s="251"/>
      <c r="L903" s="251"/>
      <c r="M903" s="251"/>
      <c r="N903" s="251"/>
      <c r="O903" s="251"/>
      <c r="P903" s="251"/>
      <c r="Q903" s="251"/>
      <c r="R903" s="251"/>
      <c r="S903" s="251"/>
      <c r="T903" s="251"/>
      <c r="U903" s="251"/>
      <c r="V903" s="251"/>
      <c r="W903" s="251"/>
      <c r="X903" s="251"/>
      <c r="Y903" s="251"/>
      <c r="Z903" s="251"/>
      <c r="AA903" s="251"/>
      <c r="AB903" s="251"/>
      <c r="AC903" s="251"/>
      <c r="AD903" s="251"/>
      <c r="AE903" s="251"/>
      <c r="AF903" s="251"/>
      <c r="AG903" s="251"/>
      <c r="AH903" s="251"/>
      <c r="AI903" s="251"/>
      <c r="AJ903" s="251"/>
      <c r="AK903" s="251"/>
      <c r="AL903" s="251"/>
      <c r="AM903" s="251"/>
      <c r="AN903" s="251"/>
      <c r="AO903" s="251"/>
      <c r="AP903" s="251"/>
      <c r="AQ903" s="251"/>
      <c r="AR903" s="251"/>
      <c r="AS903" s="251"/>
    </row>
    <row r="904" spans="1:45" s="44" customFormat="1" x14ac:dyDescent="0.2">
      <c r="A904" s="71"/>
      <c r="B904" s="71"/>
      <c r="C904" s="71"/>
      <c r="D904" s="251"/>
      <c r="E904" s="251"/>
      <c r="F904" s="251"/>
      <c r="G904" s="251"/>
      <c r="H904" s="251"/>
      <c r="I904" s="251"/>
      <c r="J904" s="251"/>
      <c r="K904" s="251"/>
      <c r="L904" s="251"/>
      <c r="M904" s="251"/>
      <c r="N904" s="251"/>
      <c r="O904" s="251"/>
      <c r="P904" s="251"/>
      <c r="Q904" s="251"/>
      <c r="R904" s="251"/>
      <c r="S904" s="251"/>
      <c r="T904" s="251"/>
      <c r="U904" s="251"/>
      <c r="V904" s="251"/>
      <c r="W904" s="251"/>
      <c r="X904" s="251"/>
      <c r="Y904" s="251"/>
      <c r="Z904" s="251"/>
      <c r="AA904" s="251"/>
      <c r="AB904" s="251"/>
      <c r="AC904" s="251"/>
      <c r="AD904" s="251"/>
      <c r="AE904" s="251"/>
      <c r="AF904" s="251"/>
      <c r="AG904" s="251"/>
      <c r="AH904" s="251"/>
      <c r="AI904" s="251"/>
      <c r="AJ904" s="251"/>
      <c r="AK904" s="251"/>
      <c r="AL904" s="251"/>
      <c r="AM904" s="251"/>
      <c r="AN904" s="251"/>
      <c r="AO904" s="251"/>
      <c r="AP904" s="251"/>
      <c r="AQ904" s="251"/>
      <c r="AR904" s="251"/>
      <c r="AS904" s="251"/>
    </row>
    <row r="905" spans="1:45" s="44" customFormat="1" x14ac:dyDescent="0.2">
      <c r="A905" s="71"/>
      <c r="B905" s="71"/>
      <c r="C905" s="71"/>
      <c r="D905" s="251"/>
      <c r="E905" s="251"/>
      <c r="F905" s="251"/>
      <c r="G905" s="251"/>
      <c r="H905" s="251"/>
      <c r="I905" s="251"/>
      <c r="J905" s="251"/>
      <c r="K905" s="251"/>
      <c r="L905" s="251"/>
      <c r="M905" s="251"/>
      <c r="N905" s="251"/>
      <c r="O905" s="251"/>
      <c r="P905" s="251"/>
      <c r="Q905" s="251"/>
      <c r="R905" s="251"/>
      <c r="S905" s="251"/>
      <c r="T905" s="251"/>
      <c r="U905" s="251"/>
      <c r="V905" s="251"/>
      <c r="W905" s="251"/>
      <c r="X905" s="251"/>
      <c r="Y905" s="251"/>
      <c r="Z905" s="251"/>
      <c r="AA905" s="251"/>
      <c r="AB905" s="251"/>
      <c r="AC905" s="251"/>
      <c r="AD905" s="251"/>
      <c r="AE905" s="251"/>
      <c r="AF905" s="251"/>
      <c r="AG905" s="251"/>
      <c r="AH905" s="251"/>
      <c r="AI905" s="251"/>
      <c r="AJ905" s="251"/>
      <c r="AK905" s="251"/>
      <c r="AL905" s="251"/>
      <c r="AM905" s="251"/>
      <c r="AN905" s="251"/>
      <c r="AO905" s="251"/>
      <c r="AP905" s="251"/>
      <c r="AQ905" s="251"/>
      <c r="AR905" s="251"/>
      <c r="AS905" s="251"/>
    </row>
    <row r="906" spans="1:45" s="44" customFormat="1" x14ac:dyDescent="0.2">
      <c r="A906" s="71"/>
      <c r="B906" s="71"/>
      <c r="C906" s="71"/>
      <c r="D906" s="251"/>
      <c r="E906" s="251"/>
      <c r="F906" s="251"/>
      <c r="G906" s="251"/>
      <c r="H906" s="251"/>
      <c r="I906" s="251"/>
      <c r="J906" s="251"/>
      <c r="K906" s="251"/>
      <c r="L906" s="251"/>
      <c r="M906" s="251"/>
      <c r="N906" s="251"/>
      <c r="O906" s="251"/>
      <c r="P906" s="251"/>
      <c r="Q906" s="251"/>
      <c r="R906" s="251"/>
      <c r="S906" s="251"/>
      <c r="T906" s="251"/>
      <c r="U906" s="251"/>
      <c r="V906" s="251"/>
      <c r="W906" s="251"/>
      <c r="X906" s="251"/>
      <c r="Y906" s="251"/>
      <c r="Z906" s="251"/>
      <c r="AA906" s="251"/>
      <c r="AB906" s="251"/>
      <c r="AC906" s="251"/>
      <c r="AD906" s="251"/>
      <c r="AE906" s="251"/>
      <c r="AF906" s="251"/>
      <c r="AG906" s="251"/>
      <c r="AH906" s="251"/>
      <c r="AI906" s="251"/>
      <c r="AJ906" s="251"/>
      <c r="AK906" s="251"/>
      <c r="AL906" s="251"/>
      <c r="AM906" s="251"/>
      <c r="AN906" s="251"/>
      <c r="AO906" s="251"/>
      <c r="AP906" s="251"/>
      <c r="AQ906" s="251"/>
      <c r="AR906" s="251"/>
      <c r="AS906" s="251"/>
    </row>
    <row r="907" spans="1:45" s="44" customFormat="1" x14ac:dyDescent="0.2">
      <c r="A907" s="71"/>
      <c r="B907" s="71"/>
      <c r="C907" s="71"/>
      <c r="D907" s="251"/>
      <c r="E907" s="251"/>
      <c r="F907" s="251"/>
      <c r="G907" s="251"/>
      <c r="H907" s="251"/>
      <c r="I907" s="251"/>
      <c r="J907" s="251"/>
      <c r="K907" s="251"/>
      <c r="L907" s="251"/>
      <c r="M907" s="251"/>
      <c r="N907" s="251"/>
      <c r="O907" s="251"/>
      <c r="P907" s="251"/>
      <c r="Q907" s="251"/>
      <c r="R907" s="251"/>
      <c r="S907" s="251"/>
      <c r="T907" s="251"/>
      <c r="U907" s="251"/>
      <c r="V907" s="251"/>
      <c r="W907" s="251"/>
      <c r="X907" s="251"/>
      <c r="Y907" s="251"/>
      <c r="Z907" s="251"/>
      <c r="AA907" s="251"/>
      <c r="AB907" s="251"/>
      <c r="AC907" s="251"/>
      <c r="AD907" s="251"/>
      <c r="AE907" s="251"/>
      <c r="AF907" s="251"/>
      <c r="AG907" s="251"/>
      <c r="AH907" s="251"/>
      <c r="AI907" s="251"/>
      <c r="AJ907" s="251"/>
      <c r="AK907" s="251"/>
      <c r="AL907" s="251"/>
      <c r="AM907" s="251"/>
      <c r="AN907" s="251"/>
      <c r="AO907" s="251"/>
      <c r="AP907" s="251"/>
      <c r="AQ907" s="251"/>
      <c r="AR907" s="251"/>
      <c r="AS907" s="251"/>
    </row>
    <row r="908" spans="1:45" s="44" customFormat="1" x14ac:dyDescent="0.2">
      <c r="A908" s="71"/>
      <c r="B908" s="71"/>
      <c r="C908" s="71"/>
      <c r="D908" s="251"/>
      <c r="E908" s="251"/>
      <c r="F908" s="251"/>
      <c r="G908" s="251"/>
      <c r="H908" s="251"/>
      <c r="I908" s="251"/>
      <c r="J908" s="251"/>
      <c r="K908" s="251"/>
      <c r="L908" s="251"/>
      <c r="M908" s="251"/>
      <c r="N908" s="251"/>
      <c r="O908" s="251"/>
      <c r="P908" s="251"/>
      <c r="Q908" s="251"/>
      <c r="R908" s="251"/>
      <c r="S908" s="251"/>
      <c r="T908" s="251"/>
      <c r="U908" s="251"/>
      <c r="V908" s="251"/>
      <c r="W908" s="251"/>
      <c r="X908" s="251"/>
      <c r="Y908" s="251"/>
      <c r="Z908" s="251"/>
      <c r="AA908" s="251"/>
      <c r="AB908" s="251"/>
      <c r="AC908" s="251"/>
      <c r="AD908" s="251"/>
      <c r="AE908" s="251"/>
      <c r="AF908" s="251"/>
      <c r="AG908" s="251"/>
      <c r="AH908" s="251"/>
      <c r="AI908" s="251"/>
      <c r="AJ908" s="251"/>
      <c r="AK908" s="251"/>
      <c r="AL908" s="251"/>
      <c r="AM908" s="251"/>
      <c r="AN908" s="251"/>
      <c r="AO908" s="251"/>
      <c r="AP908" s="251"/>
      <c r="AQ908" s="251"/>
      <c r="AR908" s="251"/>
      <c r="AS908" s="251"/>
    </row>
    <row r="909" spans="1:45" s="44" customFormat="1" x14ac:dyDescent="0.2">
      <c r="A909" s="71"/>
      <c r="B909" s="71"/>
      <c r="C909" s="71"/>
      <c r="D909" s="251"/>
      <c r="E909" s="251"/>
      <c r="F909" s="251"/>
      <c r="G909" s="251"/>
      <c r="H909" s="251"/>
      <c r="I909" s="251"/>
      <c r="J909" s="251"/>
      <c r="K909" s="251"/>
      <c r="L909" s="251"/>
      <c r="M909" s="251"/>
      <c r="N909" s="251"/>
      <c r="O909" s="251"/>
      <c r="P909" s="251"/>
      <c r="Q909" s="251"/>
      <c r="R909" s="251"/>
      <c r="S909" s="251"/>
      <c r="T909" s="251"/>
      <c r="U909" s="251"/>
      <c r="V909" s="251"/>
      <c r="W909" s="251"/>
      <c r="X909" s="251"/>
      <c r="Y909" s="251"/>
      <c r="Z909" s="251"/>
      <c r="AA909" s="251"/>
      <c r="AB909" s="251"/>
      <c r="AC909" s="251"/>
      <c r="AD909" s="251"/>
      <c r="AE909" s="251"/>
      <c r="AF909" s="251"/>
      <c r="AG909" s="251"/>
      <c r="AH909" s="251"/>
      <c r="AI909" s="251"/>
      <c r="AJ909" s="251"/>
      <c r="AK909" s="251"/>
      <c r="AL909" s="251"/>
      <c r="AM909" s="251"/>
      <c r="AN909" s="251"/>
      <c r="AO909" s="251"/>
      <c r="AP909" s="251"/>
      <c r="AQ909" s="251"/>
      <c r="AR909" s="251"/>
      <c r="AS909" s="251"/>
    </row>
    <row r="910" spans="1:45" s="44" customFormat="1" x14ac:dyDescent="0.2">
      <c r="A910" s="71"/>
      <c r="B910" s="71"/>
      <c r="C910" s="71"/>
      <c r="D910" s="251"/>
      <c r="E910" s="251"/>
      <c r="F910" s="251"/>
      <c r="G910" s="251"/>
      <c r="H910" s="251"/>
      <c r="I910" s="251"/>
      <c r="J910" s="251"/>
      <c r="K910" s="251"/>
      <c r="L910" s="251"/>
      <c r="M910" s="251"/>
      <c r="N910" s="251"/>
      <c r="O910" s="251"/>
      <c r="P910" s="251"/>
      <c r="Q910" s="251"/>
      <c r="R910" s="251"/>
      <c r="S910" s="251"/>
      <c r="T910" s="251"/>
      <c r="U910" s="251"/>
      <c r="V910" s="251"/>
      <c r="W910" s="251"/>
      <c r="X910" s="251"/>
      <c r="Y910" s="251"/>
      <c r="Z910" s="251"/>
      <c r="AA910" s="251"/>
      <c r="AB910" s="251"/>
      <c r="AC910" s="251"/>
      <c r="AD910" s="251"/>
      <c r="AE910" s="251"/>
      <c r="AF910" s="251"/>
      <c r="AG910" s="251"/>
      <c r="AH910" s="251"/>
      <c r="AI910" s="251"/>
      <c r="AJ910" s="251"/>
      <c r="AK910" s="251"/>
      <c r="AL910" s="251"/>
      <c r="AM910" s="251"/>
      <c r="AN910" s="251"/>
      <c r="AO910" s="251"/>
      <c r="AP910" s="251"/>
      <c r="AQ910" s="251"/>
      <c r="AR910" s="251"/>
      <c r="AS910" s="251"/>
    </row>
    <row r="911" spans="1:45" s="44" customFormat="1" x14ac:dyDescent="0.2">
      <c r="A911" s="71"/>
      <c r="B911" s="71"/>
      <c r="C911" s="71"/>
      <c r="D911" s="251"/>
      <c r="E911" s="251"/>
      <c r="F911" s="251"/>
      <c r="G911" s="251"/>
      <c r="H911" s="251"/>
      <c r="I911" s="251"/>
      <c r="J911" s="251"/>
      <c r="K911" s="251"/>
      <c r="L911" s="251"/>
      <c r="M911" s="251"/>
      <c r="N911" s="251"/>
      <c r="O911" s="251"/>
      <c r="P911" s="251"/>
      <c r="Q911" s="251"/>
      <c r="R911" s="251"/>
      <c r="S911" s="251"/>
      <c r="T911" s="251"/>
      <c r="U911" s="251"/>
      <c r="V911" s="251"/>
      <c r="W911" s="251"/>
      <c r="X911" s="251"/>
      <c r="Y911" s="251"/>
      <c r="Z911" s="251"/>
      <c r="AA911" s="251"/>
      <c r="AB911" s="251"/>
      <c r="AC911" s="251"/>
      <c r="AD911" s="251"/>
      <c r="AE911" s="251"/>
      <c r="AF911" s="251"/>
      <c r="AG911" s="251"/>
      <c r="AH911" s="251"/>
      <c r="AI911" s="251"/>
      <c r="AJ911" s="251"/>
      <c r="AK911" s="251"/>
      <c r="AL911" s="251"/>
      <c r="AM911" s="251"/>
      <c r="AN911" s="251"/>
      <c r="AO911" s="251"/>
      <c r="AP911" s="251"/>
      <c r="AQ911" s="251"/>
      <c r="AR911" s="251"/>
      <c r="AS911" s="251"/>
    </row>
    <row r="912" spans="1:45" s="44" customFormat="1" x14ac:dyDescent="0.2">
      <c r="A912" s="71"/>
      <c r="B912" s="71"/>
      <c r="C912" s="71"/>
      <c r="D912" s="251"/>
      <c r="E912" s="251"/>
      <c r="F912" s="251"/>
      <c r="G912" s="251"/>
      <c r="H912" s="251"/>
      <c r="I912" s="251"/>
      <c r="J912" s="251"/>
      <c r="K912" s="251"/>
      <c r="L912" s="251"/>
      <c r="M912" s="251"/>
      <c r="N912" s="251"/>
      <c r="O912" s="251"/>
      <c r="P912" s="251"/>
      <c r="Q912" s="251"/>
      <c r="R912" s="251"/>
      <c r="S912" s="251"/>
      <c r="T912" s="251"/>
      <c r="U912" s="251"/>
      <c r="V912" s="251"/>
      <c r="W912" s="251"/>
      <c r="X912" s="251"/>
      <c r="Y912" s="251"/>
      <c r="Z912" s="251"/>
      <c r="AA912" s="251"/>
      <c r="AB912" s="251"/>
      <c r="AC912" s="251"/>
      <c r="AD912" s="251"/>
      <c r="AE912" s="251"/>
      <c r="AF912" s="251"/>
      <c r="AG912" s="251"/>
      <c r="AH912" s="251"/>
      <c r="AI912" s="251"/>
      <c r="AJ912" s="251"/>
      <c r="AK912" s="251"/>
      <c r="AL912" s="251"/>
      <c r="AM912" s="251"/>
      <c r="AN912" s="251"/>
      <c r="AO912" s="251"/>
      <c r="AP912" s="251"/>
      <c r="AQ912" s="251"/>
      <c r="AR912" s="251"/>
      <c r="AS912" s="251"/>
    </row>
    <row r="913" spans="1:45" s="44" customFormat="1" x14ac:dyDescent="0.2">
      <c r="A913" s="71"/>
      <c r="B913" s="71"/>
      <c r="C913" s="71"/>
      <c r="D913" s="251"/>
      <c r="E913" s="251"/>
      <c r="F913" s="251"/>
      <c r="G913" s="251"/>
      <c r="H913" s="251"/>
      <c r="I913" s="251"/>
      <c r="J913" s="251"/>
      <c r="K913" s="251"/>
      <c r="L913" s="251"/>
      <c r="M913" s="251"/>
      <c r="N913" s="251"/>
      <c r="O913" s="251"/>
      <c r="P913" s="251"/>
      <c r="Q913" s="251"/>
      <c r="R913" s="251"/>
      <c r="S913" s="251"/>
      <c r="T913" s="251"/>
      <c r="U913" s="251"/>
      <c r="V913" s="251"/>
      <c r="W913" s="251"/>
      <c r="X913" s="251"/>
      <c r="Y913" s="251"/>
      <c r="Z913" s="251"/>
      <c r="AA913" s="251"/>
      <c r="AB913" s="251"/>
      <c r="AC913" s="251"/>
      <c r="AD913" s="251"/>
      <c r="AE913" s="251"/>
      <c r="AF913" s="251"/>
      <c r="AG913" s="251"/>
      <c r="AH913" s="251"/>
      <c r="AI913" s="251"/>
      <c r="AJ913" s="251"/>
      <c r="AK913" s="251"/>
      <c r="AL913" s="251"/>
      <c r="AM913" s="251"/>
      <c r="AN913" s="251"/>
      <c r="AO913" s="251"/>
      <c r="AP913" s="251"/>
      <c r="AQ913" s="251"/>
      <c r="AR913" s="251"/>
      <c r="AS913" s="251"/>
    </row>
    <row r="914" spans="1:45" s="44" customFormat="1" x14ac:dyDescent="0.2">
      <c r="A914" s="71"/>
      <c r="B914" s="71"/>
      <c r="C914" s="71"/>
      <c r="D914" s="251"/>
      <c r="E914" s="251"/>
      <c r="F914" s="251"/>
      <c r="G914" s="251"/>
      <c r="H914" s="251"/>
      <c r="I914" s="251"/>
      <c r="J914" s="251"/>
      <c r="K914" s="251"/>
      <c r="L914" s="251"/>
      <c r="M914" s="251"/>
      <c r="N914" s="251"/>
      <c r="O914" s="251"/>
      <c r="P914" s="251"/>
      <c r="Q914" s="251"/>
      <c r="R914" s="251"/>
      <c r="S914" s="251"/>
      <c r="T914" s="251"/>
      <c r="U914" s="251"/>
      <c r="V914" s="251"/>
      <c r="W914" s="251"/>
      <c r="X914" s="251"/>
      <c r="Y914" s="251"/>
      <c r="Z914" s="251"/>
      <c r="AA914" s="251"/>
      <c r="AB914" s="251"/>
      <c r="AC914" s="251"/>
      <c r="AD914" s="251"/>
      <c r="AE914" s="251"/>
      <c r="AF914" s="251"/>
      <c r="AG914" s="251"/>
      <c r="AH914" s="251"/>
      <c r="AI914" s="251"/>
      <c r="AJ914" s="251"/>
      <c r="AK914" s="251"/>
      <c r="AL914" s="251"/>
      <c r="AM914" s="251"/>
      <c r="AN914" s="251"/>
      <c r="AO914" s="251"/>
      <c r="AP914" s="251"/>
      <c r="AQ914" s="251"/>
      <c r="AR914" s="251"/>
      <c r="AS914" s="251"/>
    </row>
    <row r="915" spans="1:45" s="44" customFormat="1" x14ac:dyDescent="0.2">
      <c r="A915" s="71"/>
      <c r="B915" s="71"/>
      <c r="C915" s="71"/>
      <c r="D915" s="251"/>
      <c r="E915" s="251"/>
      <c r="F915" s="251"/>
      <c r="G915" s="251"/>
      <c r="H915" s="251"/>
      <c r="I915" s="251"/>
      <c r="J915" s="251"/>
      <c r="K915" s="251"/>
      <c r="L915" s="251"/>
      <c r="M915" s="251"/>
      <c r="N915" s="251"/>
      <c r="O915" s="251"/>
      <c r="P915" s="251"/>
      <c r="Q915" s="251"/>
      <c r="R915" s="251"/>
      <c r="S915" s="251"/>
      <c r="T915" s="251"/>
      <c r="U915" s="251"/>
      <c r="V915" s="251"/>
      <c r="W915" s="251"/>
      <c r="X915" s="251"/>
      <c r="Y915" s="251"/>
      <c r="Z915" s="251"/>
      <c r="AA915" s="251"/>
      <c r="AB915" s="251"/>
      <c r="AC915" s="251"/>
      <c r="AD915" s="251"/>
      <c r="AE915" s="251"/>
      <c r="AF915" s="251"/>
      <c r="AG915" s="251"/>
      <c r="AH915" s="251"/>
      <c r="AI915" s="251"/>
      <c r="AJ915" s="251"/>
      <c r="AK915" s="251"/>
      <c r="AL915" s="251"/>
      <c r="AM915" s="251"/>
      <c r="AN915" s="251"/>
      <c r="AO915" s="251"/>
      <c r="AP915" s="251"/>
      <c r="AQ915" s="251"/>
      <c r="AR915" s="251"/>
      <c r="AS915" s="251"/>
    </row>
    <row r="916" spans="1:45" s="44" customFormat="1" x14ac:dyDescent="0.2">
      <c r="A916" s="71"/>
      <c r="B916" s="71"/>
      <c r="C916" s="71"/>
      <c r="D916" s="251"/>
      <c r="E916" s="251"/>
      <c r="F916" s="251"/>
      <c r="G916" s="251"/>
      <c r="H916" s="251"/>
      <c r="I916" s="251"/>
      <c r="J916" s="251"/>
      <c r="K916" s="251"/>
      <c r="L916" s="251"/>
      <c r="M916" s="251"/>
      <c r="N916" s="251"/>
      <c r="O916" s="251"/>
      <c r="P916" s="251"/>
      <c r="Q916" s="251"/>
      <c r="R916" s="251"/>
      <c r="S916" s="251"/>
      <c r="T916" s="251"/>
      <c r="U916" s="251"/>
      <c r="V916" s="251"/>
      <c r="W916" s="251"/>
      <c r="X916" s="251"/>
      <c r="Y916" s="251"/>
      <c r="Z916" s="251"/>
      <c r="AA916" s="251"/>
      <c r="AB916" s="251"/>
      <c r="AC916" s="251"/>
      <c r="AD916" s="251"/>
      <c r="AE916" s="251"/>
      <c r="AF916" s="251"/>
      <c r="AG916" s="251"/>
      <c r="AH916" s="251"/>
      <c r="AI916" s="251"/>
      <c r="AJ916" s="251"/>
      <c r="AK916" s="251"/>
      <c r="AL916" s="251"/>
      <c r="AM916" s="251"/>
      <c r="AN916" s="251"/>
      <c r="AO916" s="251"/>
      <c r="AP916" s="251"/>
      <c r="AQ916" s="251"/>
      <c r="AR916" s="251"/>
      <c r="AS916" s="251"/>
    </row>
    <row r="917" spans="1:45" s="44" customFormat="1" x14ac:dyDescent="0.2">
      <c r="A917" s="71"/>
      <c r="B917" s="71"/>
      <c r="C917" s="71"/>
      <c r="D917" s="251"/>
      <c r="E917" s="251"/>
      <c r="F917" s="251"/>
      <c r="G917" s="251"/>
      <c r="H917" s="251"/>
      <c r="I917" s="251"/>
      <c r="J917" s="251"/>
      <c r="K917" s="251"/>
      <c r="L917" s="251"/>
      <c r="M917" s="251"/>
      <c r="N917" s="251"/>
      <c r="O917" s="251"/>
      <c r="P917" s="251"/>
      <c r="Q917" s="251"/>
      <c r="R917" s="251"/>
      <c r="S917" s="251"/>
      <c r="T917" s="251"/>
      <c r="U917" s="251"/>
      <c r="V917" s="251"/>
      <c r="W917" s="251"/>
      <c r="X917" s="251"/>
      <c r="Y917" s="251"/>
      <c r="Z917" s="251"/>
      <c r="AA917" s="251"/>
      <c r="AB917" s="251"/>
      <c r="AC917" s="251"/>
      <c r="AD917" s="251"/>
      <c r="AE917" s="251"/>
      <c r="AF917" s="251"/>
      <c r="AG917" s="251"/>
      <c r="AH917" s="251"/>
      <c r="AI917" s="251"/>
      <c r="AJ917" s="251"/>
      <c r="AK917" s="251"/>
      <c r="AL917" s="251"/>
      <c r="AM917" s="251"/>
      <c r="AN917" s="251"/>
      <c r="AO917" s="251"/>
      <c r="AP917" s="251"/>
      <c r="AQ917" s="251"/>
      <c r="AR917" s="251"/>
      <c r="AS917" s="251"/>
    </row>
    <row r="918" spans="1:45" s="44" customFormat="1" x14ac:dyDescent="0.2">
      <c r="A918" s="71"/>
      <c r="B918" s="71"/>
      <c r="C918" s="71"/>
      <c r="D918" s="251"/>
      <c r="E918" s="251"/>
      <c r="F918" s="251"/>
      <c r="G918" s="251"/>
      <c r="H918" s="251"/>
      <c r="I918" s="251"/>
      <c r="J918" s="251"/>
      <c r="K918" s="251"/>
      <c r="L918" s="251"/>
      <c r="M918" s="251"/>
      <c r="N918" s="251"/>
      <c r="O918" s="251"/>
      <c r="P918" s="251"/>
      <c r="Q918" s="251"/>
      <c r="R918" s="251"/>
      <c r="S918" s="251"/>
      <c r="T918" s="251"/>
      <c r="U918" s="251"/>
      <c r="V918" s="251"/>
      <c r="W918" s="251"/>
      <c r="X918" s="251"/>
      <c r="Y918" s="251"/>
      <c r="Z918" s="251"/>
      <c r="AA918" s="251"/>
      <c r="AB918" s="251"/>
      <c r="AC918" s="251"/>
      <c r="AD918" s="251"/>
      <c r="AE918" s="251"/>
      <c r="AF918" s="251"/>
      <c r="AG918" s="251"/>
      <c r="AH918" s="251"/>
      <c r="AI918" s="251"/>
      <c r="AJ918" s="251"/>
      <c r="AK918" s="251"/>
      <c r="AL918" s="251"/>
      <c r="AM918" s="251"/>
      <c r="AN918" s="251"/>
      <c r="AO918" s="251"/>
      <c r="AP918" s="251"/>
      <c r="AQ918" s="251"/>
      <c r="AR918" s="251"/>
      <c r="AS918" s="251"/>
    </row>
    <row r="919" spans="1:45" s="44" customFormat="1" x14ac:dyDescent="0.2">
      <c r="A919" s="71"/>
      <c r="B919" s="71"/>
      <c r="C919" s="71"/>
      <c r="D919" s="251"/>
      <c r="E919" s="251"/>
      <c r="F919" s="251"/>
      <c r="G919" s="251"/>
      <c r="H919" s="251"/>
      <c r="I919" s="251"/>
      <c r="J919" s="251"/>
      <c r="K919" s="251"/>
      <c r="L919" s="251"/>
      <c r="M919" s="251"/>
      <c r="N919" s="251"/>
      <c r="O919" s="251"/>
      <c r="P919" s="251"/>
      <c r="Q919" s="251"/>
      <c r="R919" s="251"/>
      <c r="S919" s="251"/>
      <c r="T919" s="251"/>
      <c r="U919" s="251"/>
      <c r="V919" s="251"/>
      <c r="W919" s="251"/>
      <c r="X919" s="251"/>
      <c r="Y919" s="251"/>
      <c r="Z919" s="251"/>
      <c r="AA919" s="251"/>
      <c r="AB919" s="251"/>
      <c r="AC919" s="251"/>
      <c r="AD919" s="251"/>
      <c r="AE919" s="251"/>
      <c r="AF919" s="251"/>
      <c r="AG919" s="251"/>
      <c r="AH919" s="251"/>
      <c r="AI919" s="251"/>
      <c r="AJ919" s="251"/>
      <c r="AK919" s="251"/>
      <c r="AL919" s="251"/>
      <c r="AM919" s="251"/>
      <c r="AN919" s="251"/>
      <c r="AO919" s="251"/>
      <c r="AP919" s="251"/>
      <c r="AQ919" s="251"/>
      <c r="AR919" s="251"/>
      <c r="AS919" s="251"/>
    </row>
    <row r="920" spans="1:45" s="44" customFormat="1" x14ac:dyDescent="0.2">
      <c r="A920" s="71"/>
      <c r="B920" s="71"/>
      <c r="C920" s="71"/>
      <c r="D920" s="251"/>
      <c r="E920" s="251"/>
      <c r="F920" s="251"/>
      <c r="G920" s="251"/>
      <c r="H920" s="251"/>
      <c r="I920" s="251"/>
      <c r="J920" s="251"/>
      <c r="K920" s="251"/>
      <c r="L920" s="251"/>
      <c r="M920" s="251"/>
      <c r="N920" s="251"/>
      <c r="O920" s="251"/>
      <c r="P920" s="251"/>
      <c r="Q920" s="251"/>
      <c r="R920" s="251"/>
      <c r="S920" s="251"/>
      <c r="T920" s="251"/>
      <c r="U920" s="251"/>
      <c r="V920" s="251"/>
      <c r="W920" s="251"/>
      <c r="X920" s="251"/>
      <c r="Y920" s="251"/>
      <c r="Z920" s="251"/>
      <c r="AA920" s="251"/>
      <c r="AB920" s="251"/>
      <c r="AC920" s="251"/>
      <c r="AD920" s="251"/>
      <c r="AE920" s="251"/>
      <c r="AF920" s="251"/>
      <c r="AG920" s="251"/>
      <c r="AH920" s="251"/>
      <c r="AI920" s="251"/>
      <c r="AJ920" s="251"/>
      <c r="AK920" s="251"/>
      <c r="AL920" s="251"/>
      <c r="AM920" s="251"/>
      <c r="AN920" s="251"/>
      <c r="AO920" s="251"/>
      <c r="AP920" s="251"/>
      <c r="AQ920" s="251"/>
      <c r="AR920" s="251"/>
      <c r="AS920" s="251"/>
    </row>
    <row r="921" spans="1:45" s="44" customFormat="1" x14ac:dyDescent="0.2">
      <c r="A921" s="71"/>
      <c r="B921" s="71"/>
      <c r="C921" s="71"/>
      <c r="D921" s="251"/>
      <c r="E921" s="251"/>
      <c r="F921" s="251"/>
      <c r="G921" s="251"/>
      <c r="H921" s="251"/>
      <c r="I921" s="251"/>
      <c r="J921" s="251"/>
      <c r="K921" s="251"/>
      <c r="L921" s="251"/>
      <c r="M921" s="251"/>
      <c r="N921" s="251"/>
      <c r="O921" s="251"/>
      <c r="P921" s="251"/>
      <c r="Q921" s="251"/>
      <c r="R921" s="251"/>
      <c r="S921" s="251"/>
      <c r="T921" s="251"/>
      <c r="U921" s="251"/>
      <c r="V921" s="251"/>
      <c r="W921" s="251"/>
      <c r="X921" s="251"/>
      <c r="Y921" s="251"/>
      <c r="Z921" s="251"/>
      <c r="AA921" s="251"/>
      <c r="AB921" s="251"/>
      <c r="AC921" s="251"/>
      <c r="AD921" s="251"/>
      <c r="AE921" s="251"/>
      <c r="AF921" s="251"/>
      <c r="AG921" s="251"/>
      <c r="AH921" s="251"/>
      <c r="AI921" s="251"/>
      <c r="AJ921" s="251"/>
      <c r="AK921" s="251"/>
      <c r="AL921" s="251"/>
      <c r="AM921" s="251"/>
      <c r="AN921" s="251"/>
      <c r="AO921" s="251"/>
      <c r="AP921" s="251"/>
      <c r="AQ921" s="251"/>
      <c r="AR921" s="251"/>
      <c r="AS921" s="251"/>
    </row>
    <row r="922" spans="1:45" s="44" customFormat="1" x14ac:dyDescent="0.2">
      <c r="A922" s="71"/>
      <c r="B922" s="71"/>
      <c r="C922" s="71"/>
      <c r="D922" s="251"/>
      <c r="E922" s="251"/>
      <c r="F922" s="251"/>
      <c r="G922" s="251"/>
      <c r="H922" s="251"/>
      <c r="I922" s="251"/>
      <c r="J922" s="251"/>
      <c r="K922" s="251"/>
      <c r="L922" s="251"/>
      <c r="M922" s="251"/>
      <c r="N922" s="251"/>
      <c r="O922" s="251"/>
      <c r="P922" s="251"/>
      <c r="Q922" s="251"/>
      <c r="R922" s="251"/>
      <c r="S922" s="251"/>
      <c r="T922" s="251"/>
      <c r="U922" s="251"/>
      <c r="V922" s="251"/>
      <c r="W922" s="251"/>
      <c r="X922" s="251"/>
      <c r="Y922" s="251"/>
      <c r="Z922" s="251"/>
      <c r="AA922" s="251"/>
      <c r="AB922" s="251"/>
      <c r="AC922" s="251"/>
      <c r="AD922" s="251"/>
      <c r="AE922" s="251"/>
      <c r="AF922" s="251"/>
      <c r="AG922" s="251"/>
      <c r="AH922" s="251"/>
      <c r="AI922" s="251"/>
      <c r="AJ922" s="251"/>
      <c r="AK922" s="251"/>
      <c r="AL922" s="251"/>
      <c r="AM922" s="251"/>
      <c r="AN922" s="251"/>
      <c r="AO922" s="251"/>
      <c r="AP922" s="251"/>
      <c r="AQ922" s="251"/>
      <c r="AR922" s="251"/>
      <c r="AS922" s="251"/>
    </row>
    <row r="923" spans="1:45" s="44" customFormat="1" x14ac:dyDescent="0.2">
      <c r="A923" s="71"/>
      <c r="B923" s="71"/>
      <c r="C923" s="71"/>
      <c r="D923" s="251"/>
      <c r="E923" s="251"/>
      <c r="F923" s="251"/>
      <c r="G923" s="251"/>
      <c r="H923" s="251"/>
      <c r="I923" s="251"/>
      <c r="J923" s="251"/>
      <c r="K923" s="251"/>
      <c r="L923" s="251"/>
      <c r="M923" s="251"/>
      <c r="N923" s="251"/>
      <c r="O923" s="251"/>
      <c r="P923" s="251"/>
      <c r="Q923" s="251"/>
      <c r="R923" s="251"/>
      <c r="S923" s="251"/>
      <c r="T923" s="251"/>
      <c r="U923" s="251"/>
      <c r="V923" s="251"/>
      <c r="W923" s="251"/>
      <c r="X923" s="251"/>
      <c r="Y923" s="251"/>
      <c r="Z923" s="251"/>
      <c r="AA923" s="251"/>
      <c r="AB923" s="251"/>
      <c r="AC923" s="251"/>
      <c r="AD923" s="251"/>
      <c r="AE923" s="251"/>
      <c r="AF923" s="251"/>
      <c r="AG923" s="251"/>
      <c r="AH923" s="251"/>
      <c r="AI923" s="251"/>
      <c r="AJ923" s="251"/>
      <c r="AK923" s="251"/>
      <c r="AL923" s="251"/>
      <c r="AM923" s="251"/>
      <c r="AN923" s="251"/>
      <c r="AO923" s="251"/>
      <c r="AP923" s="251"/>
      <c r="AQ923" s="251"/>
      <c r="AR923" s="251"/>
      <c r="AS923" s="251"/>
    </row>
    <row r="924" spans="1:45" s="44" customFormat="1" x14ac:dyDescent="0.2">
      <c r="A924" s="71"/>
      <c r="B924" s="71"/>
      <c r="C924" s="71"/>
      <c r="D924" s="251"/>
      <c r="E924" s="251"/>
      <c r="F924" s="251"/>
      <c r="G924" s="251"/>
      <c r="H924" s="251"/>
      <c r="I924" s="251"/>
      <c r="J924" s="251"/>
      <c r="K924" s="251"/>
      <c r="L924" s="251"/>
      <c r="M924" s="251"/>
      <c r="N924" s="251"/>
      <c r="O924" s="251"/>
      <c r="P924" s="251"/>
      <c r="Q924" s="251"/>
      <c r="R924" s="251"/>
      <c r="S924" s="251"/>
      <c r="T924" s="251"/>
      <c r="U924" s="251"/>
      <c r="V924" s="251"/>
      <c r="W924" s="251"/>
      <c r="X924" s="251"/>
      <c r="Y924" s="251"/>
      <c r="Z924" s="251"/>
      <c r="AA924" s="251"/>
      <c r="AB924" s="251"/>
      <c r="AC924" s="251"/>
      <c r="AD924" s="251"/>
      <c r="AE924" s="251"/>
      <c r="AF924" s="251"/>
      <c r="AG924" s="251"/>
      <c r="AH924" s="251"/>
      <c r="AI924" s="251"/>
      <c r="AJ924" s="251"/>
      <c r="AK924" s="251"/>
      <c r="AL924" s="251"/>
      <c r="AM924" s="251"/>
      <c r="AN924" s="251"/>
      <c r="AO924" s="251"/>
      <c r="AP924" s="251"/>
      <c r="AQ924" s="251"/>
      <c r="AR924" s="251"/>
      <c r="AS924" s="251"/>
    </row>
    <row r="925" spans="1:45" s="44" customFormat="1" x14ac:dyDescent="0.2">
      <c r="A925" s="71"/>
      <c r="B925" s="71"/>
      <c r="C925" s="71"/>
      <c r="D925" s="251"/>
      <c r="E925" s="251"/>
      <c r="F925" s="251"/>
      <c r="G925" s="251"/>
      <c r="H925" s="251"/>
      <c r="I925" s="251"/>
      <c r="J925" s="251"/>
      <c r="K925" s="251"/>
      <c r="L925" s="251"/>
      <c r="M925" s="251"/>
      <c r="N925" s="251"/>
      <c r="O925" s="251"/>
      <c r="P925" s="251"/>
      <c r="Q925" s="251"/>
      <c r="R925" s="251"/>
      <c r="S925" s="251"/>
      <c r="T925" s="251"/>
      <c r="U925" s="251"/>
      <c r="V925" s="251"/>
      <c r="W925" s="251"/>
      <c r="X925" s="251"/>
      <c r="Y925" s="251"/>
      <c r="Z925" s="251"/>
      <c r="AA925" s="251"/>
      <c r="AB925" s="251"/>
      <c r="AC925" s="251"/>
      <c r="AD925" s="251"/>
      <c r="AE925" s="251"/>
      <c r="AF925" s="251"/>
      <c r="AG925" s="251"/>
      <c r="AH925" s="251"/>
      <c r="AI925" s="251"/>
      <c r="AJ925" s="251"/>
      <c r="AK925" s="251"/>
      <c r="AL925" s="251"/>
      <c r="AM925" s="251"/>
      <c r="AN925" s="251"/>
      <c r="AO925" s="251"/>
      <c r="AP925" s="251"/>
      <c r="AQ925" s="251"/>
      <c r="AR925" s="251"/>
      <c r="AS925" s="251"/>
    </row>
    <row r="926" spans="1:45" s="44" customFormat="1" x14ac:dyDescent="0.2">
      <c r="A926" s="71"/>
      <c r="B926" s="71"/>
      <c r="C926" s="71"/>
      <c r="D926" s="251"/>
      <c r="E926" s="251"/>
      <c r="F926" s="251"/>
      <c r="G926" s="251"/>
      <c r="H926" s="251"/>
      <c r="I926" s="251"/>
      <c r="J926" s="251"/>
      <c r="K926" s="251"/>
      <c r="L926" s="251"/>
      <c r="M926" s="251"/>
      <c r="N926" s="251"/>
      <c r="O926" s="251"/>
      <c r="P926" s="251"/>
      <c r="Q926" s="251"/>
      <c r="R926" s="251"/>
      <c r="S926" s="251"/>
      <c r="T926" s="251"/>
      <c r="U926" s="251"/>
      <c r="V926" s="251"/>
      <c r="W926" s="251"/>
      <c r="X926" s="251"/>
      <c r="Y926" s="251"/>
      <c r="Z926" s="251"/>
      <c r="AA926" s="251"/>
      <c r="AB926" s="251"/>
      <c r="AC926" s="251"/>
      <c r="AD926" s="251"/>
      <c r="AE926" s="251"/>
      <c r="AF926" s="251"/>
      <c r="AG926" s="251"/>
      <c r="AH926" s="251"/>
      <c r="AI926" s="251"/>
      <c r="AJ926" s="251"/>
      <c r="AK926" s="251"/>
      <c r="AL926" s="251"/>
      <c r="AM926" s="251"/>
      <c r="AN926" s="251"/>
      <c r="AO926" s="251"/>
      <c r="AP926" s="251"/>
      <c r="AQ926" s="251"/>
      <c r="AR926" s="251"/>
      <c r="AS926" s="251"/>
    </row>
    <row r="927" spans="1:45" s="44" customFormat="1" x14ac:dyDescent="0.2">
      <c r="A927" s="71"/>
      <c r="B927" s="71"/>
      <c r="C927" s="71"/>
      <c r="D927" s="251"/>
      <c r="E927" s="251"/>
      <c r="F927" s="251"/>
      <c r="G927" s="251"/>
      <c r="H927" s="251"/>
      <c r="I927" s="251"/>
      <c r="J927" s="251"/>
      <c r="K927" s="251"/>
      <c r="L927" s="251"/>
      <c r="M927" s="251"/>
      <c r="N927" s="251"/>
      <c r="O927" s="251"/>
      <c r="P927" s="251"/>
      <c r="Q927" s="251"/>
      <c r="R927" s="251"/>
      <c r="S927" s="251"/>
      <c r="T927" s="251"/>
      <c r="U927" s="251"/>
      <c r="V927" s="251"/>
      <c r="W927" s="251"/>
      <c r="X927" s="251"/>
      <c r="Y927" s="251"/>
      <c r="Z927" s="251"/>
      <c r="AA927" s="251"/>
      <c r="AB927" s="251"/>
      <c r="AC927" s="251"/>
      <c r="AD927" s="251"/>
      <c r="AE927" s="251"/>
      <c r="AF927" s="251"/>
      <c r="AG927" s="251"/>
      <c r="AH927" s="251"/>
      <c r="AI927" s="251"/>
      <c r="AJ927" s="251"/>
      <c r="AK927" s="251"/>
      <c r="AL927" s="251"/>
      <c r="AM927" s="251"/>
      <c r="AN927" s="251"/>
      <c r="AO927" s="251"/>
      <c r="AP927" s="251"/>
      <c r="AQ927" s="251"/>
      <c r="AR927" s="251"/>
      <c r="AS927" s="251"/>
    </row>
    <row r="928" spans="1:45" s="44" customFormat="1" x14ac:dyDescent="0.2">
      <c r="A928" s="71"/>
      <c r="B928" s="71"/>
      <c r="C928" s="71"/>
      <c r="D928" s="251"/>
      <c r="E928" s="251"/>
      <c r="F928" s="251"/>
      <c r="G928" s="251"/>
      <c r="H928" s="251"/>
      <c r="I928" s="251"/>
      <c r="J928" s="251"/>
      <c r="K928" s="251"/>
      <c r="L928" s="251"/>
      <c r="M928" s="251"/>
      <c r="N928" s="251"/>
      <c r="O928" s="251"/>
      <c r="P928" s="251"/>
      <c r="Q928" s="251"/>
      <c r="R928" s="251"/>
      <c r="S928" s="251"/>
      <c r="T928" s="251"/>
      <c r="U928" s="251"/>
      <c r="V928" s="251"/>
      <c r="W928" s="251"/>
      <c r="X928" s="251"/>
      <c r="Y928" s="251"/>
      <c r="Z928" s="251"/>
      <c r="AA928" s="251"/>
      <c r="AB928" s="251"/>
      <c r="AC928" s="251"/>
      <c r="AD928" s="251"/>
      <c r="AE928" s="251"/>
      <c r="AF928" s="251"/>
      <c r="AG928" s="251"/>
      <c r="AH928" s="251"/>
      <c r="AI928" s="251"/>
      <c r="AJ928" s="251"/>
      <c r="AK928" s="251"/>
      <c r="AL928" s="251"/>
      <c r="AM928" s="251"/>
      <c r="AN928" s="251"/>
      <c r="AO928" s="251"/>
      <c r="AP928" s="251"/>
      <c r="AQ928" s="251"/>
      <c r="AR928" s="251"/>
      <c r="AS928" s="251"/>
    </row>
    <row r="929" spans="1:45" s="44" customFormat="1" x14ac:dyDescent="0.2">
      <c r="A929" s="71"/>
      <c r="B929" s="71"/>
      <c r="C929" s="71"/>
      <c r="D929" s="251"/>
      <c r="E929" s="251"/>
      <c r="F929" s="251"/>
      <c r="G929" s="251"/>
      <c r="H929" s="251"/>
      <c r="I929" s="251"/>
      <c r="J929" s="251"/>
      <c r="K929" s="251"/>
      <c r="L929" s="251"/>
      <c r="M929" s="251"/>
      <c r="N929" s="251"/>
      <c r="O929" s="251"/>
      <c r="P929" s="251"/>
      <c r="Q929" s="251"/>
      <c r="R929" s="251"/>
      <c r="S929" s="251"/>
      <c r="T929" s="251"/>
      <c r="U929" s="251"/>
      <c r="V929" s="251"/>
      <c r="W929" s="251"/>
      <c r="X929" s="251"/>
      <c r="Y929" s="251"/>
      <c r="Z929" s="251"/>
      <c r="AA929" s="251"/>
      <c r="AB929" s="251"/>
      <c r="AC929" s="251"/>
      <c r="AD929" s="251"/>
      <c r="AE929" s="251"/>
      <c r="AF929" s="251"/>
      <c r="AG929" s="251"/>
      <c r="AH929" s="251"/>
      <c r="AI929" s="251"/>
      <c r="AJ929" s="251"/>
      <c r="AK929" s="251"/>
      <c r="AL929" s="251"/>
      <c r="AM929" s="251"/>
      <c r="AN929" s="251"/>
      <c r="AO929" s="251"/>
      <c r="AP929" s="251"/>
      <c r="AQ929" s="251"/>
      <c r="AR929" s="251"/>
      <c r="AS929" s="251"/>
    </row>
    <row r="930" spans="1:45" s="44" customFormat="1" x14ac:dyDescent="0.2">
      <c r="A930" s="71"/>
      <c r="B930" s="71"/>
      <c r="C930" s="71"/>
      <c r="D930" s="251"/>
      <c r="E930" s="251"/>
      <c r="F930" s="251"/>
      <c r="G930" s="251"/>
      <c r="H930" s="251"/>
      <c r="I930" s="251"/>
      <c r="J930" s="251"/>
      <c r="K930" s="251"/>
      <c r="L930" s="251"/>
      <c r="M930" s="251"/>
      <c r="N930" s="251"/>
      <c r="O930" s="251"/>
      <c r="P930" s="251"/>
      <c r="Q930" s="251"/>
      <c r="R930" s="251"/>
      <c r="S930" s="251"/>
      <c r="T930" s="251"/>
      <c r="U930" s="251"/>
      <c r="V930" s="251"/>
      <c r="W930" s="251"/>
      <c r="X930" s="251"/>
      <c r="Y930" s="251"/>
      <c r="Z930" s="251"/>
      <c r="AA930" s="251"/>
      <c r="AB930" s="251"/>
      <c r="AC930" s="251"/>
      <c r="AD930" s="251"/>
      <c r="AE930" s="251"/>
      <c r="AF930" s="251"/>
      <c r="AG930" s="251"/>
      <c r="AH930" s="251"/>
      <c r="AI930" s="251"/>
      <c r="AJ930" s="251"/>
      <c r="AK930" s="251"/>
      <c r="AL930" s="251"/>
      <c r="AM930" s="251"/>
      <c r="AN930" s="251"/>
      <c r="AO930" s="251"/>
      <c r="AP930" s="251"/>
      <c r="AQ930" s="251"/>
      <c r="AR930" s="251"/>
      <c r="AS930" s="251"/>
    </row>
    <row r="931" spans="1:45" s="44" customFormat="1" x14ac:dyDescent="0.2">
      <c r="A931" s="71"/>
      <c r="B931" s="71"/>
      <c r="C931" s="71"/>
      <c r="D931" s="251"/>
      <c r="E931" s="251"/>
      <c r="F931" s="251"/>
      <c r="G931" s="251"/>
      <c r="H931" s="251"/>
      <c r="I931" s="251"/>
      <c r="J931" s="251"/>
      <c r="K931" s="251"/>
      <c r="L931" s="251"/>
      <c r="M931" s="251"/>
      <c r="N931" s="251"/>
      <c r="O931" s="251"/>
      <c r="P931" s="251"/>
      <c r="Q931" s="251"/>
      <c r="R931" s="251"/>
      <c r="S931" s="251"/>
      <c r="T931" s="251"/>
      <c r="U931" s="251"/>
      <c r="V931" s="251"/>
      <c r="W931" s="251"/>
      <c r="X931" s="251"/>
      <c r="Y931" s="251"/>
      <c r="Z931" s="251"/>
      <c r="AA931" s="251"/>
      <c r="AB931" s="251"/>
      <c r="AC931" s="251"/>
      <c r="AD931" s="251"/>
      <c r="AE931" s="251"/>
      <c r="AF931" s="251"/>
      <c r="AG931" s="251"/>
      <c r="AH931" s="251"/>
      <c r="AI931" s="251"/>
      <c r="AJ931" s="251"/>
      <c r="AK931" s="251"/>
      <c r="AL931" s="251"/>
      <c r="AM931" s="251"/>
      <c r="AN931" s="251"/>
      <c r="AO931" s="251"/>
      <c r="AP931" s="251"/>
      <c r="AQ931" s="251"/>
      <c r="AR931" s="251"/>
      <c r="AS931" s="251"/>
    </row>
    <row r="932" spans="1:45" s="44" customFormat="1" x14ac:dyDescent="0.2">
      <c r="A932" s="71"/>
      <c r="B932" s="71"/>
      <c r="C932" s="71"/>
      <c r="D932" s="251"/>
      <c r="E932" s="251"/>
      <c r="F932" s="251"/>
      <c r="G932" s="251"/>
      <c r="H932" s="251"/>
      <c r="I932" s="251"/>
      <c r="J932" s="251"/>
      <c r="K932" s="251"/>
      <c r="L932" s="251"/>
      <c r="M932" s="251"/>
      <c r="N932" s="251"/>
      <c r="O932" s="251"/>
      <c r="P932" s="251"/>
      <c r="Q932" s="251"/>
      <c r="R932" s="251"/>
      <c r="S932" s="251"/>
      <c r="T932" s="251"/>
      <c r="U932" s="251"/>
      <c r="V932" s="251"/>
      <c r="W932" s="251"/>
      <c r="X932" s="251"/>
      <c r="Y932" s="251"/>
      <c r="Z932" s="251"/>
      <c r="AA932" s="251"/>
      <c r="AB932" s="251"/>
      <c r="AC932" s="251"/>
      <c r="AD932" s="251"/>
      <c r="AE932" s="251"/>
      <c r="AF932" s="251"/>
      <c r="AG932" s="251"/>
      <c r="AH932" s="251"/>
      <c r="AI932" s="251"/>
      <c r="AJ932" s="251"/>
      <c r="AK932" s="251"/>
      <c r="AL932" s="251"/>
      <c r="AM932" s="251"/>
      <c r="AN932" s="251"/>
      <c r="AO932" s="251"/>
      <c r="AP932" s="251"/>
      <c r="AQ932" s="251"/>
      <c r="AR932" s="251"/>
      <c r="AS932" s="251"/>
    </row>
    <row r="933" spans="1:45" s="44" customFormat="1" x14ac:dyDescent="0.2">
      <c r="A933" s="71"/>
      <c r="B933" s="71"/>
      <c r="C933" s="71"/>
      <c r="D933" s="251"/>
      <c r="E933" s="251"/>
      <c r="F933" s="251"/>
      <c r="G933" s="251"/>
      <c r="H933" s="251"/>
      <c r="I933" s="251"/>
      <c r="J933" s="251"/>
      <c r="K933" s="251"/>
      <c r="L933" s="251"/>
      <c r="M933" s="251"/>
      <c r="N933" s="251"/>
      <c r="O933" s="251"/>
      <c r="P933" s="251"/>
      <c r="Q933" s="251"/>
      <c r="R933" s="251"/>
      <c r="S933" s="251"/>
      <c r="T933" s="251"/>
      <c r="U933" s="251"/>
      <c r="V933" s="251"/>
      <c r="W933" s="251"/>
      <c r="X933" s="251"/>
      <c r="Y933" s="251"/>
      <c r="Z933" s="251"/>
      <c r="AA933" s="251"/>
      <c r="AB933" s="251"/>
      <c r="AC933" s="251"/>
      <c r="AD933" s="251"/>
      <c r="AE933" s="251"/>
      <c r="AF933" s="251"/>
      <c r="AG933" s="251"/>
      <c r="AH933" s="251"/>
      <c r="AI933" s="251"/>
      <c r="AJ933" s="251"/>
      <c r="AK933" s="251"/>
      <c r="AL933" s="251"/>
      <c r="AM933" s="251"/>
      <c r="AN933" s="251"/>
      <c r="AO933" s="251"/>
      <c r="AP933" s="251"/>
      <c r="AQ933" s="251"/>
      <c r="AR933" s="251"/>
      <c r="AS933" s="251"/>
    </row>
    <row r="934" spans="1:45" s="44" customFormat="1" x14ac:dyDescent="0.2">
      <c r="A934" s="71"/>
      <c r="B934" s="71"/>
      <c r="C934" s="71"/>
      <c r="D934" s="251"/>
      <c r="E934" s="251"/>
      <c r="F934" s="251"/>
      <c r="G934" s="251"/>
      <c r="H934" s="251"/>
      <c r="I934" s="251"/>
      <c r="J934" s="251"/>
      <c r="K934" s="251"/>
      <c r="L934" s="251"/>
      <c r="M934" s="251"/>
      <c r="N934" s="251"/>
      <c r="O934" s="251"/>
      <c r="P934" s="251"/>
      <c r="Q934" s="251"/>
      <c r="R934" s="251"/>
      <c r="S934" s="251"/>
      <c r="T934" s="251"/>
      <c r="U934" s="251"/>
      <c r="V934" s="251"/>
      <c r="W934" s="251"/>
      <c r="X934" s="251"/>
      <c r="Y934" s="251"/>
      <c r="Z934" s="251"/>
      <c r="AA934" s="251"/>
      <c r="AB934" s="251"/>
      <c r="AC934" s="251"/>
      <c r="AD934" s="251"/>
      <c r="AE934" s="251"/>
      <c r="AF934" s="251"/>
      <c r="AG934" s="251"/>
      <c r="AH934" s="251"/>
      <c r="AI934" s="251"/>
      <c r="AJ934" s="251"/>
      <c r="AK934" s="251"/>
      <c r="AL934" s="251"/>
      <c r="AM934" s="251"/>
      <c r="AN934" s="251"/>
      <c r="AO934" s="251"/>
      <c r="AP934" s="251"/>
      <c r="AQ934" s="251"/>
      <c r="AR934" s="251"/>
      <c r="AS934" s="251"/>
    </row>
    <row r="935" spans="1:45" s="44" customFormat="1" x14ac:dyDescent="0.2">
      <c r="A935" s="71"/>
      <c r="B935" s="71"/>
      <c r="C935" s="71"/>
      <c r="D935" s="251"/>
      <c r="E935" s="251"/>
      <c r="F935" s="251"/>
      <c r="G935" s="251"/>
      <c r="H935" s="251"/>
      <c r="I935" s="251"/>
      <c r="J935" s="251"/>
      <c r="K935" s="251"/>
      <c r="L935" s="251"/>
      <c r="M935" s="251"/>
      <c r="N935" s="251"/>
      <c r="O935" s="251"/>
      <c r="P935" s="251"/>
      <c r="Q935" s="251"/>
      <c r="R935" s="251"/>
      <c r="S935" s="251"/>
      <c r="T935" s="251"/>
      <c r="U935" s="251"/>
      <c r="V935" s="251"/>
      <c r="W935" s="251"/>
      <c r="X935" s="251"/>
      <c r="Y935" s="251"/>
      <c r="Z935" s="251"/>
      <c r="AA935" s="251"/>
      <c r="AB935" s="251"/>
      <c r="AC935" s="251"/>
      <c r="AD935" s="251"/>
      <c r="AE935" s="251"/>
      <c r="AF935" s="251"/>
      <c r="AG935" s="251"/>
      <c r="AH935" s="251"/>
      <c r="AI935" s="251"/>
      <c r="AJ935" s="251"/>
      <c r="AK935" s="251"/>
      <c r="AL935" s="251"/>
      <c r="AM935" s="251"/>
      <c r="AN935" s="251"/>
      <c r="AO935" s="251"/>
      <c r="AP935" s="251"/>
      <c r="AQ935" s="251"/>
      <c r="AR935" s="251"/>
      <c r="AS935" s="251"/>
    </row>
    <row r="936" spans="1:45" s="44" customFormat="1" x14ac:dyDescent="0.2">
      <c r="A936" s="71"/>
      <c r="B936" s="71"/>
      <c r="C936" s="71"/>
      <c r="D936" s="251"/>
      <c r="E936" s="251"/>
      <c r="F936" s="251"/>
      <c r="G936" s="251"/>
      <c r="H936" s="251"/>
      <c r="I936" s="251"/>
      <c r="J936" s="251"/>
      <c r="K936" s="251"/>
      <c r="L936" s="251"/>
      <c r="M936" s="251"/>
      <c r="N936" s="251"/>
      <c r="O936" s="251"/>
      <c r="P936" s="251"/>
      <c r="Q936" s="251"/>
      <c r="R936" s="251"/>
      <c r="S936" s="251"/>
      <c r="T936" s="251"/>
      <c r="U936" s="251"/>
      <c r="V936" s="251"/>
      <c r="W936" s="251"/>
      <c r="X936" s="251"/>
      <c r="Y936" s="251"/>
      <c r="Z936" s="251"/>
      <c r="AA936" s="251"/>
      <c r="AB936" s="251"/>
      <c r="AC936" s="251"/>
      <c r="AD936" s="251"/>
      <c r="AE936" s="251"/>
      <c r="AF936" s="251"/>
      <c r="AG936" s="251"/>
      <c r="AH936" s="251"/>
      <c r="AI936" s="251"/>
      <c r="AJ936" s="251"/>
      <c r="AK936" s="251"/>
      <c r="AL936" s="251"/>
      <c r="AM936" s="251"/>
      <c r="AN936" s="251"/>
      <c r="AO936" s="251"/>
      <c r="AP936" s="251"/>
      <c r="AQ936" s="251"/>
      <c r="AR936" s="251"/>
      <c r="AS936" s="251"/>
    </row>
    <row r="937" spans="1:45" s="44" customFormat="1" x14ac:dyDescent="0.2">
      <c r="A937" s="71"/>
      <c r="B937" s="71"/>
      <c r="C937" s="71"/>
      <c r="D937" s="251"/>
      <c r="E937" s="251"/>
      <c r="F937" s="251"/>
      <c r="G937" s="251"/>
      <c r="H937" s="251"/>
      <c r="I937" s="251"/>
      <c r="J937" s="251"/>
      <c r="K937" s="251"/>
      <c r="L937" s="251"/>
      <c r="M937" s="251"/>
      <c r="N937" s="251"/>
      <c r="O937" s="251"/>
      <c r="P937" s="251"/>
      <c r="Q937" s="251"/>
      <c r="R937" s="251"/>
      <c r="S937" s="251"/>
      <c r="T937" s="251"/>
      <c r="U937" s="251"/>
      <c r="V937" s="251"/>
      <c r="W937" s="251"/>
      <c r="X937" s="251"/>
      <c r="Y937" s="251"/>
      <c r="Z937" s="251"/>
      <c r="AA937" s="251"/>
      <c r="AB937" s="251"/>
      <c r="AC937" s="251"/>
      <c r="AD937" s="251"/>
      <c r="AE937" s="251"/>
      <c r="AF937" s="251"/>
      <c r="AG937" s="251"/>
      <c r="AH937" s="251"/>
      <c r="AI937" s="251"/>
      <c r="AJ937" s="251"/>
      <c r="AK937" s="251"/>
      <c r="AL937" s="251"/>
      <c r="AM937" s="251"/>
      <c r="AN937" s="251"/>
      <c r="AO937" s="251"/>
      <c r="AP937" s="251"/>
      <c r="AQ937" s="251"/>
      <c r="AR937" s="251"/>
      <c r="AS937" s="251"/>
    </row>
    <row r="938" spans="1:45" s="44" customFormat="1" x14ac:dyDescent="0.2">
      <c r="A938" s="71"/>
      <c r="B938" s="71"/>
      <c r="C938" s="71"/>
      <c r="D938" s="251"/>
      <c r="E938" s="251"/>
      <c r="F938" s="251"/>
      <c r="G938" s="251"/>
      <c r="H938" s="251"/>
      <c r="I938" s="251"/>
      <c r="J938" s="251"/>
      <c r="K938" s="251"/>
      <c r="L938" s="251"/>
      <c r="M938" s="251"/>
      <c r="N938" s="251"/>
      <c r="O938" s="251"/>
      <c r="P938" s="251"/>
      <c r="Q938" s="251"/>
      <c r="R938" s="251"/>
      <c r="S938" s="251"/>
      <c r="T938" s="251"/>
      <c r="U938" s="251"/>
      <c r="V938" s="251"/>
      <c r="W938" s="251"/>
      <c r="X938" s="251"/>
      <c r="Y938" s="251"/>
      <c r="Z938" s="251"/>
      <c r="AA938" s="251"/>
      <c r="AB938" s="251"/>
      <c r="AC938" s="251"/>
      <c r="AD938" s="251"/>
      <c r="AE938" s="251"/>
      <c r="AF938" s="251"/>
      <c r="AG938" s="251"/>
      <c r="AH938" s="251"/>
      <c r="AI938" s="251"/>
      <c r="AJ938" s="251"/>
      <c r="AK938" s="251"/>
      <c r="AL938" s="251"/>
      <c r="AM938" s="251"/>
      <c r="AN938" s="251"/>
      <c r="AO938" s="251"/>
      <c r="AP938" s="251"/>
      <c r="AQ938" s="251"/>
      <c r="AR938" s="251"/>
      <c r="AS938" s="251"/>
    </row>
    <row r="939" spans="1:45" s="44" customFormat="1" x14ac:dyDescent="0.2">
      <c r="A939" s="71"/>
      <c r="B939" s="71"/>
      <c r="C939" s="71"/>
      <c r="D939" s="251"/>
      <c r="E939" s="251"/>
      <c r="F939" s="251"/>
      <c r="G939" s="251"/>
      <c r="H939" s="251"/>
      <c r="I939" s="251"/>
      <c r="J939" s="251"/>
      <c r="K939" s="251"/>
      <c r="L939" s="251"/>
      <c r="M939" s="251"/>
      <c r="N939" s="251"/>
      <c r="O939" s="251"/>
      <c r="P939" s="251"/>
      <c r="Q939" s="251"/>
      <c r="R939" s="251"/>
      <c r="S939" s="251"/>
      <c r="T939" s="251"/>
      <c r="U939" s="251"/>
      <c r="V939" s="251"/>
      <c r="W939" s="251"/>
      <c r="X939" s="251"/>
      <c r="Y939" s="251"/>
      <c r="Z939" s="251"/>
      <c r="AA939" s="251"/>
      <c r="AB939" s="251"/>
      <c r="AC939" s="251"/>
      <c r="AD939" s="251"/>
      <c r="AE939" s="251"/>
      <c r="AF939" s="251"/>
      <c r="AG939" s="251"/>
      <c r="AH939" s="251"/>
      <c r="AI939" s="251"/>
      <c r="AJ939" s="251"/>
      <c r="AK939" s="251"/>
      <c r="AL939" s="251"/>
      <c r="AM939" s="251"/>
      <c r="AN939" s="251"/>
      <c r="AO939" s="251"/>
      <c r="AP939" s="251"/>
      <c r="AQ939" s="251"/>
      <c r="AR939" s="251"/>
      <c r="AS939" s="251"/>
    </row>
    <row r="940" spans="1:45" s="44" customFormat="1" x14ac:dyDescent="0.2">
      <c r="A940" s="71"/>
      <c r="B940" s="71"/>
      <c r="C940" s="71"/>
      <c r="D940" s="251"/>
      <c r="E940" s="251"/>
      <c r="F940" s="251"/>
      <c r="G940" s="251"/>
      <c r="H940" s="251"/>
      <c r="I940" s="251"/>
      <c r="J940" s="251"/>
      <c r="K940" s="251"/>
      <c r="L940" s="251"/>
      <c r="M940" s="251"/>
      <c r="N940" s="251"/>
      <c r="O940" s="251"/>
      <c r="P940" s="251"/>
      <c r="Q940" s="251"/>
      <c r="R940" s="251"/>
      <c r="S940" s="251"/>
      <c r="T940" s="251"/>
      <c r="U940" s="251"/>
      <c r="V940" s="251"/>
      <c r="W940" s="251"/>
      <c r="X940" s="251"/>
      <c r="Y940" s="251"/>
      <c r="Z940" s="251"/>
      <c r="AA940" s="251"/>
      <c r="AB940" s="251"/>
      <c r="AC940" s="251"/>
      <c r="AD940" s="251"/>
      <c r="AE940" s="251"/>
      <c r="AF940" s="251"/>
      <c r="AG940" s="251"/>
      <c r="AH940" s="251"/>
      <c r="AI940" s="251"/>
      <c r="AJ940" s="251"/>
      <c r="AK940" s="251"/>
      <c r="AL940" s="251"/>
      <c r="AM940" s="251"/>
      <c r="AN940" s="251"/>
      <c r="AO940" s="251"/>
      <c r="AP940" s="251"/>
      <c r="AQ940" s="251"/>
      <c r="AR940" s="251"/>
      <c r="AS940" s="251"/>
    </row>
    <row r="941" spans="1:45" s="44" customFormat="1" x14ac:dyDescent="0.2">
      <c r="A941" s="71"/>
      <c r="B941" s="71"/>
      <c r="C941" s="71"/>
      <c r="D941" s="251"/>
      <c r="E941" s="251"/>
      <c r="F941" s="251"/>
      <c r="G941" s="251"/>
      <c r="H941" s="251"/>
      <c r="I941" s="251"/>
      <c r="J941" s="251"/>
      <c r="K941" s="251"/>
      <c r="L941" s="251"/>
      <c r="M941" s="251"/>
      <c r="N941" s="251"/>
      <c r="O941" s="251"/>
      <c r="P941" s="251"/>
      <c r="Q941" s="251"/>
      <c r="R941" s="251"/>
      <c r="S941" s="251"/>
      <c r="T941" s="251"/>
      <c r="U941" s="251"/>
      <c r="V941" s="251"/>
      <c r="W941" s="251"/>
      <c r="X941" s="251"/>
      <c r="Y941" s="251"/>
      <c r="Z941" s="251"/>
      <c r="AA941" s="251"/>
      <c r="AB941" s="251"/>
      <c r="AC941" s="251"/>
      <c r="AD941" s="251"/>
      <c r="AE941" s="251"/>
      <c r="AF941" s="251"/>
      <c r="AG941" s="251"/>
      <c r="AH941" s="251"/>
      <c r="AI941" s="251"/>
      <c r="AJ941" s="251"/>
      <c r="AK941" s="251"/>
      <c r="AL941" s="251"/>
      <c r="AM941" s="251"/>
      <c r="AN941" s="251"/>
      <c r="AO941" s="251"/>
      <c r="AP941" s="251"/>
      <c r="AQ941" s="251"/>
      <c r="AR941" s="251"/>
      <c r="AS941" s="251"/>
    </row>
    <row r="942" spans="1:45" s="44" customFormat="1" x14ac:dyDescent="0.2">
      <c r="A942" s="71"/>
      <c r="B942" s="71"/>
      <c r="C942" s="71"/>
      <c r="D942" s="251"/>
      <c r="E942" s="251"/>
      <c r="F942" s="251"/>
      <c r="G942" s="251"/>
      <c r="H942" s="251"/>
      <c r="I942" s="251"/>
      <c r="J942" s="251"/>
      <c r="K942" s="251"/>
      <c r="L942" s="251"/>
      <c r="M942" s="251"/>
      <c r="N942" s="251"/>
      <c r="O942" s="251"/>
      <c r="P942" s="251"/>
      <c r="Q942" s="251"/>
      <c r="R942" s="251"/>
      <c r="S942" s="251"/>
      <c r="T942" s="251"/>
      <c r="U942" s="251"/>
      <c r="V942" s="251"/>
      <c r="W942" s="251"/>
      <c r="X942" s="251"/>
      <c r="Y942" s="251"/>
      <c r="Z942" s="251"/>
      <c r="AA942" s="251"/>
      <c r="AB942" s="251"/>
      <c r="AC942" s="251"/>
      <c r="AD942" s="251"/>
      <c r="AE942" s="251"/>
      <c r="AF942" s="251"/>
      <c r="AG942" s="251"/>
      <c r="AH942" s="251"/>
      <c r="AI942" s="251"/>
      <c r="AJ942" s="251"/>
      <c r="AK942" s="251"/>
      <c r="AL942" s="251"/>
      <c r="AM942" s="251"/>
      <c r="AN942" s="251"/>
      <c r="AO942" s="251"/>
      <c r="AP942" s="251"/>
      <c r="AQ942" s="251"/>
      <c r="AR942" s="251"/>
      <c r="AS942" s="251"/>
    </row>
    <row r="943" spans="1:45" s="44" customFormat="1" x14ac:dyDescent="0.2">
      <c r="A943" s="71"/>
      <c r="B943" s="71"/>
      <c r="C943" s="71"/>
      <c r="D943" s="251"/>
      <c r="E943" s="251"/>
      <c r="F943" s="251"/>
      <c r="G943" s="251"/>
      <c r="H943" s="251"/>
      <c r="I943" s="251"/>
      <c r="J943" s="251"/>
      <c r="K943" s="251"/>
      <c r="L943" s="251"/>
      <c r="M943" s="251"/>
      <c r="N943" s="251"/>
      <c r="O943" s="251"/>
      <c r="P943" s="251"/>
      <c r="Q943" s="251"/>
      <c r="R943" s="251"/>
      <c r="S943" s="251"/>
      <c r="T943" s="251"/>
      <c r="U943" s="251"/>
      <c r="V943" s="251"/>
      <c r="W943" s="251"/>
      <c r="X943" s="251"/>
      <c r="Y943" s="251"/>
      <c r="Z943" s="251"/>
      <c r="AA943" s="251"/>
      <c r="AB943" s="251"/>
      <c r="AC943" s="251"/>
      <c r="AD943" s="251"/>
      <c r="AE943" s="251"/>
      <c r="AF943" s="251"/>
      <c r="AG943" s="251"/>
      <c r="AH943" s="251"/>
      <c r="AI943" s="251"/>
      <c r="AJ943" s="251"/>
      <c r="AK943" s="251"/>
      <c r="AL943" s="251"/>
      <c r="AM943" s="251"/>
      <c r="AN943" s="251"/>
      <c r="AO943" s="251"/>
      <c r="AP943" s="251"/>
      <c r="AQ943" s="251"/>
      <c r="AR943" s="251"/>
      <c r="AS943" s="251"/>
    </row>
    <row r="944" spans="1:45" s="44" customFormat="1" x14ac:dyDescent="0.2">
      <c r="A944" s="71"/>
      <c r="B944" s="71"/>
      <c r="C944" s="71"/>
      <c r="D944" s="251"/>
      <c r="E944" s="251"/>
      <c r="F944" s="251"/>
      <c r="G944" s="251"/>
      <c r="H944" s="251"/>
      <c r="I944" s="251"/>
      <c r="J944" s="251"/>
      <c r="K944" s="251"/>
      <c r="L944" s="251"/>
      <c r="M944" s="251"/>
      <c r="N944" s="251"/>
      <c r="O944" s="251"/>
      <c r="P944" s="251"/>
      <c r="Q944" s="251"/>
      <c r="R944" s="251"/>
      <c r="S944" s="251"/>
      <c r="T944" s="251"/>
      <c r="U944" s="251"/>
      <c r="V944" s="251"/>
      <c r="W944" s="251"/>
      <c r="X944" s="251"/>
      <c r="Y944" s="251"/>
      <c r="Z944" s="251"/>
      <c r="AA944" s="251"/>
      <c r="AB944" s="251"/>
      <c r="AC944" s="251"/>
      <c r="AD944" s="251"/>
      <c r="AE944" s="251"/>
      <c r="AF944" s="251"/>
      <c r="AG944" s="251"/>
      <c r="AH944" s="251"/>
      <c r="AI944" s="251"/>
      <c r="AJ944" s="251"/>
      <c r="AK944" s="251"/>
      <c r="AL944" s="251"/>
      <c r="AM944" s="251"/>
      <c r="AN944" s="251"/>
      <c r="AO944" s="251"/>
      <c r="AP944" s="251"/>
      <c r="AQ944" s="251"/>
      <c r="AR944" s="251"/>
      <c r="AS944" s="251"/>
    </row>
    <row r="945" spans="1:45" s="44" customFormat="1" x14ac:dyDescent="0.2">
      <c r="A945" s="71"/>
      <c r="B945" s="71"/>
      <c r="C945" s="71"/>
      <c r="D945" s="251"/>
      <c r="E945" s="251"/>
      <c r="F945" s="251"/>
      <c r="G945" s="251"/>
      <c r="H945" s="251"/>
      <c r="I945" s="251"/>
      <c r="J945" s="251"/>
      <c r="K945" s="251"/>
      <c r="L945" s="251"/>
      <c r="M945" s="251"/>
      <c r="N945" s="251"/>
      <c r="O945" s="251"/>
      <c r="P945" s="251"/>
      <c r="Q945" s="251"/>
      <c r="R945" s="251"/>
      <c r="S945" s="251"/>
      <c r="T945" s="251"/>
      <c r="U945" s="251"/>
      <c r="V945" s="251"/>
      <c r="W945" s="251"/>
      <c r="X945" s="251"/>
      <c r="Y945" s="251"/>
      <c r="Z945" s="251"/>
      <c r="AA945" s="251"/>
      <c r="AB945" s="251"/>
      <c r="AC945" s="251"/>
      <c r="AD945" s="251"/>
      <c r="AE945" s="251"/>
      <c r="AF945" s="251"/>
      <c r="AG945" s="251"/>
      <c r="AH945" s="251"/>
      <c r="AI945" s="251"/>
      <c r="AJ945" s="251"/>
      <c r="AK945" s="251"/>
      <c r="AL945" s="251"/>
      <c r="AM945" s="251"/>
      <c r="AN945" s="251"/>
      <c r="AO945" s="251"/>
      <c r="AP945" s="251"/>
      <c r="AQ945" s="251"/>
      <c r="AR945" s="251"/>
      <c r="AS945" s="251"/>
    </row>
    <row r="946" spans="1:45" s="44" customFormat="1" x14ac:dyDescent="0.2">
      <c r="A946" s="71"/>
      <c r="B946" s="71"/>
      <c r="C946" s="71"/>
      <c r="D946" s="251"/>
      <c r="E946" s="251"/>
      <c r="F946" s="251"/>
      <c r="G946" s="251"/>
      <c r="H946" s="251"/>
      <c r="I946" s="251"/>
      <c r="J946" s="251"/>
      <c r="K946" s="251"/>
      <c r="L946" s="251"/>
      <c r="M946" s="251"/>
      <c r="N946" s="251"/>
      <c r="O946" s="251"/>
      <c r="P946" s="251"/>
      <c r="Q946" s="251"/>
      <c r="R946" s="251"/>
      <c r="S946" s="251"/>
      <c r="T946" s="251"/>
      <c r="U946" s="251"/>
      <c r="V946" s="251"/>
      <c r="W946" s="251"/>
      <c r="X946" s="251"/>
      <c r="Y946" s="251"/>
      <c r="Z946" s="251"/>
      <c r="AA946" s="251"/>
      <c r="AB946" s="251"/>
      <c r="AC946" s="251"/>
      <c r="AD946" s="251"/>
      <c r="AE946" s="251"/>
      <c r="AF946" s="251"/>
      <c r="AG946" s="251"/>
      <c r="AH946" s="251"/>
      <c r="AI946" s="251"/>
      <c r="AJ946" s="251"/>
      <c r="AK946" s="251"/>
      <c r="AL946" s="251"/>
      <c r="AM946" s="251"/>
      <c r="AN946" s="251"/>
      <c r="AO946" s="251"/>
      <c r="AP946" s="251"/>
      <c r="AQ946" s="251"/>
      <c r="AR946" s="251"/>
      <c r="AS946" s="251"/>
    </row>
    <row r="947" spans="1:45" s="44" customFormat="1" x14ac:dyDescent="0.2">
      <c r="A947" s="71"/>
      <c r="B947" s="71"/>
      <c r="C947" s="71"/>
      <c r="D947" s="251"/>
      <c r="E947" s="251"/>
      <c r="F947" s="251"/>
      <c r="G947" s="251"/>
      <c r="H947" s="251"/>
      <c r="I947" s="251"/>
      <c r="J947" s="251"/>
      <c r="K947" s="251"/>
      <c r="L947" s="251"/>
      <c r="M947" s="251"/>
      <c r="N947" s="251"/>
      <c r="O947" s="251"/>
      <c r="P947" s="251"/>
      <c r="Q947" s="251"/>
      <c r="R947" s="251"/>
      <c r="S947" s="251"/>
      <c r="T947" s="251"/>
      <c r="U947" s="251"/>
      <c r="V947" s="251"/>
      <c r="W947" s="251"/>
      <c r="X947" s="251"/>
      <c r="Y947" s="251"/>
      <c r="Z947" s="251"/>
      <c r="AA947" s="251"/>
      <c r="AB947" s="251"/>
      <c r="AC947" s="251"/>
      <c r="AD947" s="251"/>
      <c r="AE947" s="251"/>
      <c r="AF947" s="251"/>
      <c r="AG947" s="251"/>
      <c r="AH947" s="251"/>
      <c r="AI947" s="251"/>
      <c r="AJ947" s="251"/>
      <c r="AK947" s="251"/>
      <c r="AL947" s="251"/>
      <c r="AM947" s="251"/>
      <c r="AN947" s="251"/>
      <c r="AO947" s="251"/>
      <c r="AP947" s="251"/>
      <c r="AQ947" s="251"/>
      <c r="AR947" s="251"/>
      <c r="AS947" s="251"/>
    </row>
    <row r="948" spans="1:45" s="44" customFormat="1" x14ac:dyDescent="0.2">
      <c r="A948" s="71"/>
      <c r="B948" s="71"/>
      <c r="C948" s="7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c r="AC948" s="251"/>
      <c r="AD948" s="251"/>
      <c r="AE948" s="251"/>
      <c r="AF948" s="251"/>
      <c r="AG948" s="251"/>
      <c r="AH948" s="251"/>
      <c r="AI948" s="251"/>
      <c r="AJ948" s="251"/>
      <c r="AK948" s="251"/>
      <c r="AL948" s="251"/>
      <c r="AM948" s="251"/>
      <c r="AN948" s="251"/>
      <c r="AO948" s="251"/>
      <c r="AP948" s="251"/>
      <c r="AQ948" s="251"/>
      <c r="AR948" s="251"/>
      <c r="AS948" s="251"/>
    </row>
    <row r="949" spans="1:45" s="44" customFormat="1" x14ac:dyDescent="0.2">
      <c r="A949" s="71"/>
      <c r="B949" s="71"/>
      <c r="C949" s="71"/>
      <c r="D949" s="251"/>
      <c r="E949" s="251"/>
      <c r="F949" s="251"/>
      <c r="G949" s="251"/>
      <c r="H949" s="251"/>
      <c r="I949" s="251"/>
      <c r="J949" s="251"/>
      <c r="K949" s="251"/>
      <c r="L949" s="251"/>
      <c r="M949" s="251"/>
      <c r="N949" s="251"/>
      <c r="O949" s="251"/>
      <c r="P949" s="251"/>
      <c r="Q949" s="251"/>
      <c r="R949" s="251"/>
      <c r="S949" s="251"/>
      <c r="T949" s="251"/>
      <c r="U949" s="251"/>
      <c r="V949" s="251"/>
      <c r="W949" s="251"/>
      <c r="X949" s="251"/>
      <c r="Y949" s="251"/>
      <c r="Z949" s="251"/>
      <c r="AA949" s="251"/>
      <c r="AB949" s="251"/>
      <c r="AC949" s="251"/>
      <c r="AD949" s="251"/>
      <c r="AE949" s="251"/>
      <c r="AF949" s="251"/>
      <c r="AG949" s="251"/>
      <c r="AH949" s="251"/>
      <c r="AI949" s="251"/>
      <c r="AJ949" s="251"/>
      <c r="AK949" s="251"/>
      <c r="AL949" s="251"/>
      <c r="AM949" s="251"/>
      <c r="AN949" s="251"/>
      <c r="AO949" s="251"/>
      <c r="AP949" s="251"/>
      <c r="AQ949" s="251"/>
      <c r="AR949" s="251"/>
      <c r="AS949" s="251"/>
    </row>
    <row r="950" spans="1:45" s="44" customFormat="1" x14ac:dyDescent="0.2">
      <c r="A950" s="71"/>
      <c r="B950" s="71"/>
      <c r="C950" s="71"/>
      <c r="D950" s="251"/>
      <c r="E950" s="251"/>
      <c r="F950" s="251"/>
      <c r="G950" s="251"/>
      <c r="H950" s="251"/>
      <c r="I950" s="251"/>
      <c r="J950" s="251"/>
      <c r="K950" s="251"/>
      <c r="L950" s="251"/>
      <c r="M950" s="251"/>
      <c r="N950" s="251"/>
      <c r="O950" s="251"/>
      <c r="P950" s="251"/>
      <c r="Q950" s="251"/>
      <c r="R950" s="251"/>
      <c r="S950" s="251"/>
      <c r="T950" s="251"/>
      <c r="U950" s="251"/>
      <c r="V950" s="251"/>
      <c r="W950" s="251"/>
      <c r="X950" s="251"/>
      <c r="Y950" s="251"/>
      <c r="Z950" s="251"/>
      <c r="AA950" s="251"/>
      <c r="AB950" s="251"/>
      <c r="AC950" s="251"/>
      <c r="AD950" s="251"/>
      <c r="AE950" s="251"/>
      <c r="AF950" s="251"/>
      <c r="AG950" s="251"/>
      <c r="AH950" s="251"/>
      <c r="AI950" s="251"/>
      <c r="AJ950" s="251"/>
      <c r="AK950" s="251"/>
      <c r="AL950" s="251"/>
      <c r="AM950" s="251"/>
      <c r="AN950" s="251"/>
      <c r="AO950" s="251"/>
      <c r="AP950" s="251"/>
      <c r="AQ950" s="251"/>
      <c r="AR950" s="251"/>
      <c r="AS950" s="251"/>
    </row>
    <row r="951" spans="1:45" s="44" customFormat="1" x14ac:dyDescent="0.2">
      <c r="A951" s="71"/>
      <c r="B951" s="71"/>
      <c r="C951" s="71"/>
      <c r="D951" s="251"/>
      <c r="E951" s="251"/>
      <c r="F951" s="251"/>
      <c r="G951" s="251"/>
      <c r="H951" s="251"/>
      <c r="I951" s="251"/>
      <c r="J951" s="251"/>
      <c r="K951" s="251"/>
      <c r="L951" s="251"/>
      <c r="M951" s="251"/>
      <c r="N951" s="251"/>
      <c r="O951" s="251"/>
      <c r="P951" s="251"/>
      <c r="Q951" s="251"/>
      <c r="R951" s="251"/>
      <c r="S951" s="251"/>
      <c r="T951" s="251"/>
      <c r="U951" s="251"/>
      <c r="V951" s="251"/>
      <c r="W951" s="251"/>
      <c r="X951" s="251"/>
      <c r="Y951" s="251"/>
      <c r="Z951" s="251"/>
      <c r="AA951" s="251"/>
      <c r="AB951" s="251"/>
      <c r="AC951" s="251"/>
      <c r="AD951" s="251"/>
      <c r="AE951" s="251"/>
      <c r="AF951" s="251"/>
      <c r="AG951" s="251"/>
      <c r="AH951" s="251"/>
      <c r="AI951" s="251"/>
      <c r="AJ951" s="251"/>
      <c r="AK951" s="251"/>
      <c r="AL951" s="251"/>
      <c r="AM951" s="251"/>
      <c r="AN951" s="251"/>
      <c r="AO951" s="251"/>
      <c r="AP951" s="251"/>
      <c r="AQ951" s="251"/>
      <c r="AR951" s="251"/>
      <c r="AS951" s="251"/>
    </row>
    <row r="952" spans="1:45" s="44" customFormat="1" x14ac:dyDescent="0.2">
      <c r="A952" s="71"/>
      <c r="B952" s="71"/>
      <c r="C952" s="71"/>
      <c r="D952" s="251"/>
      <c r="E952" s="251"/>
      <c r="F952" s="251"/>
      <c r="G952" s="251"/>
      <c r="H952" s="251"/>
      <c r="I952" s="251"/>
      <c r="J952" s="251"/>
      <c r="K952" s="251"/>
      <c r="L952" s="251"/>
      <c r="M952" s="251"/>
      <c r="N952" s="251"/>
      <c r="O952" s="251"/>
      <c r="P952" s="251"/>
      <c r="Q952" s="251"/>
      <c r="R952" s="251"/>
      <c r="S952" s="251"/>
      <c r="T952" s="251"/>
      <c r="U952" s="251"/>
      <c r="V952" s="251"/>
      <c r="W952" s="251"/>
      <c r="X952" s="251"/>
      <c r="Y952" s="251"/>
      <c r="Z952" s="251"/>
      <c r="AA952" s="251"/>
      <c r="AB952" s="251"/>
      <c r="AC952" s="251"/>
      <c r="AD952" s="251"/>
      <c r="AE952" s="251"/>
      <c r="AF952" s="251"/>
      <c r="AG952" s="251"/>
      <c r="AH952" s="251"/>
      <c r="AI952" s="251"/>
      <c r="AJ952" s="251"/>
      <c r="AK952" s="251"/>
      <c r="AL952" s="251"/>
      <c r="AM952" s="251"/>
      <c r="AN952" s="251"/>
      <c r="AO952" s="251"/>
      <c r="AP952" s="251"/>
      <c r="AQ952" s="251"/>
      <c r="AR952" s="251"/>
      <c r="AS952" s="251"/>
    </row>
    <row r="953" spans="1:45" s="44" customFormat="1" x14ac:dyDescent="0.2">
      <c r="A953" s="71"/>
      <c r="B953" s="71"/>
      <c r="C953" s="71"/>
      <c r="D953" s="251"/>
      <c r="E953" s="251"/>
      <c r="F953" s="251"/>
      <c r="G953" s="251"/>
      <c r="H953" s="251"/>
      <c r="I953" s="251"/>
      <c r="J953" s="251"/>
      <c r="K953" s="251"/>
      <c r="L953" s="251"/>
      <c r="M953" s="251"/>
      <c r="N953" s="251"/>
      <c r="O953" s="251"/>
      <c r="P953" s="251"/>
      <c r="Q953" s="251"/>
      <c r="R953" s="251"/>
      <c r="S953" s="251"/>
      <c r="T953" s="251"/>
      <c r="U953" s="251"/>
      <c r="V953" s="251"/>
      <c r="W953" s="251"/>
      <c r="X953" s="251"/>
      <c r="Y953" s="251"/>
      <c r="Z953" s="251"/>
      <c r="AA953" s="251"/>
      <c r="AB953" s="251"/>
      <c r="AC953" s="251"/>
      <c r="AD953" s="251"/>
      <c r="AE953" s="251"/>
      <c r="AF953" s="251"/>
      <c r="AG953" s="251"/>
      <c r="AH953" s="251"/>
      <c r="AI953" s="251"/>
      <c r="AJ953" s="251"/>
      <c r="AK953" s="251"/>
      <c r="AL953" s="251"/>
      <c r="AM953" s="251"/>
      <c r="AN953" s="251"/>
      <c r="AO953" s="251"/>
      <c r="AP953" s="251"/>
      <c r="AQ953" s="251"/>
      <c r="AR953" s="251"/>
      <c r="AS953" s="251"/>
    </row>
    <row r="954" spans="1:45" s="44" customFormat="1" x14ac:dyDescent="0.2">
      <c r="A954" s="71"/>
      <c r="B954" s="71"/>
      <c r="C954" s="71"/>
      <c r="D954" s="251"/>
      <c r="E954" s="251"/>
      <c r="F954" s="251"/>
      <c r="G954" s="251"/>
      <c r="H954" s="251"/>
      <c r="I954" s="251"/>
      <c r="J954" s="251"/>
      <c r="K954" s="251"/>
      <c r="L954" s="251"/>
      <c r="M954" s="251"/>
      <c r="N954" s="251"/>
      <c r="O954" s="251"/>
      <c r="P954" s="251"/>
      <c r="Q954" s="251"/>
      <c r="R954" s="251"/>
      <c r="S954" s="251"/>
      <c r="T954" s="251"/>
      <c r="U954" s="251"/>
      <c r="V954" s="251"/>
      <c r="W954" s="251"/>
      <c r="X954" s="251"/>
      <c r="Y954" s="251"/>
      <c r="Z954" s="251"/>
      <c r="AA954" s="251"/>
      <c r="AB954" s="251"/>
      <c r="AC954" s="251"/>
      <c r="AD954" s="251"/>
      <c r="AE954" s="251"/>
      <c r="AF954" s="251"/>
      <c r="AG954" s="251"/>
      <c r="AH954" s="251"/>
      <c r="AI954" s="251"/>
      <c r="AJ954" s="251"/>
      <c r="AK954" s="251"/>
      <c r="AL954" s="251"/>
      <c r="AM954" s="251"/>
      <c r="AN954" s="251"/>
      <c r="AO954" s="251"/>
      <c r="AP954" s="251"/>
      <c r="AQ954" s="251"/>
      <c r="AR954" s="251"/>
      <c r="AS954" s="251"/>
    </row>
    <row r="955" spans="1:45" s="44" customFormat="1" x14ac:dyDescent="0.2">
      <c r="A955" s="71"/>
      <c r="B955" s="71"/>
      <c r="C955" s="71"/>
      <c r="D955" s="251"/>
      <c r="E955" s="251"/>
      <c r="F955" s="251"/>
      <c r="G955" s="251"/>
      <c r="H955" s="251"/>
      <c r="I955" s="251"/>
      <c r="J955" s="251"/>
      <c r="K955" s="251"/>
      <c r="L955" s="251"/>
      <c r="M955" s="251"/>
      <c r="N955" s="251"/>
      <c r="O955" s="251"/>
      <c r="P955" s="251"/>
      <c r="Q955" s="251"/>
      <c r="R955" s="251"/>
      <c r="S955" s="251"/>
      <c r="T955" s="251"/>
      <c r="U955" s="251"/>
      <c r="V955" s="251"/>
      <c r="W955" s="251"/>
      <c r="X955" s="251"/>
      <c r="Y955" s="251"/>
      <c r="Z955" s="251"/>
      <c r="AA955" s="251"/>
      <c r="AB955" s="251"/>
      <c r="AC955" s="251"/>
      <c r="AD955" s="251"/>
      <c r="AE955" s="251"/>
      <c r="AF955" s="251"/>
      <c r="AG955" s="251"/>
      <c r="AH955" s="251"/>
      <c r="AI955" s="251"/>
      <c r="AJ955" s="251"/>
      <c r="AK955" s="251"/>
      <c r="AL955" s="251"/>
      <c r="AM955" s="251"/>
      <c r="AN955" s="251"/>
      <c r="AO955" s="251"/>
      <c r="AP955" s="251"/>
      <c r="AQ955" s="251"/>
      <c r="AR955" s="251"/>
      <c r="AS955" s="251"/>
    </row>
    <row r="956" spans="1:45" s="44" customFormat="1" x14ac:dyDescent="0.2">
      <c r="A956" s="71"/>
      <c r="B956" s="71"/>
      <c r="C956" s="71"/>
      <c r="D956" s="251"/>
      <c r="E956" s="251"/>
      <c r="F956" s="251"/>
      <c r="G956" s="251"/>
      <c r="H956" s="251"/>
      <c r="I956" s="251"/>
      <c r="J956" s="251"/>
      <c r="K956" s="251"/>
      <c r="L956" s="251"/>
      <c r="M956" s="251"/>
      <c r="N956" s="251"/>
      <c r="O956" s="251"/>
      <c r="P956" s="251"/>
      <c r="Q956" s="251"/>
      <c r="R956" s="251"/>
      <c r="S956" s="251"/>
      <c r="T956" s="251"/>
      <c r="U956" s="251"/>
      <c r="V956" s="251"/>
      <c r="W956" s="251"/>
      <c r="X956" s="251"/>
      <c r="Y956" s="251"/>
      <c r="Z956" s="251"/>
      <c r="AA956" s="251"/>
      <c r="AB956" s="251"/>
      <c r="AC956" s="251"/>
      <c r="AD956" s="251"/>
      <c r="AE956" s="251"/>
      <c r="AF956" s="251"/>
      <c r="AG956" s="251"/>
      <c r="AH956" s="251"/>
      <c r="AI956" s="251"/>
      <c r="AJ956" s="251"/>
      <c r="AK956" s="251"/>
      <c r="AL956" s="251"/>
      <c r="AM956" s="251"/>
      <c r="AN956" s="251"/>
      <c r="AO956" s="251"/>
      <c r="AP956" s="251"/>
      <c r="AQ956" s="251"/>
      <c r="AR956" s="251"/>
      <c r="AS956" s="251"/>
    </row>
    <row r="957" spans="1:45" s="44" customFormat="1" x14ac:dyDescent="0.2">
      <c r="A957" s="71"/>
      <c r="B957" s="71"/>
      <c r="C957" s="71"/>
      <c r="D957" s="251"/>
      <c r="E957" s="251"/>
      <c r="F957" s="251"/>
      <c r="G957" s="251"/>
      <c r="H957" s="251"/>
      <c r="I957" s="251"/>
      <c r="J957" s="251"/>
      <c r="K957" s="251"/>
      <c r="L957" s="251"/>
      <c r="M957" s="251"/>
      <c r="N957" s="251"/>
      <c r="O957" s="251"/>
      <c r="P957" s="251"/>
      <c r="Q957" s="251"/>
      <c r="R957" s="251"/>
      <c r="S957" s="251"/>
      <c r="T957" s="251"/>
      <c r="U957" s="251"/>
      <c r="V957" s="251"/>
      <c r="W957" s="251"/>
      <c r="X957" s="251"/>
      <c r="Y957" s="251"/>
      <c r="Z957" s="251"/>
      <c r="AA957" s="251"/>
      <c r="AB957" s="251"/>
      <c r="AC957" s="251"/>
      <c r="AD957" s="251"/>
      <c r="AE957" s="251"/>
      <c r="AF957" s="251"/>
      <c r="AG957" s="251"/>
      <c r="AH957" s="251"/>
      <c r="AI957" s="251"/>
      <c r="AJ957" s="251"/>
      <c r="AK957" s="251"/>
      <c r="AL957" s="251"/>
      <c r="AM957" s="251"/>
      <c r="AN957" s="251"/>
      <c r="AO957" s="251"/>
      <c r="AP957" s="251"/>
      <c r="AQ957" s="251"/>
      <c r="AR957" s="251"/>
      <c r="AS957" s="251"/>
    </row>
    <row r="958" spans="1:45" s="44" customFormat="1" x14ac:dyDescent="0.2">
      <c r="A958" s="71"/>
      <c r="B958" s="71"/>
      <c r="C958" s="71"/>
      <c r="D958" s="251"/>
      <c r="E958" s="251"/>
      <c r="F958" s="251"/>
      <c r="G958" s="251"/>
      <c r="H958" s="251"/>
      <c r="I958" s="251"/>
      <c r="J958" s="251"/>
      <c r="K958" s="251"/>
      <c r="L958" s="251"/>
      <c r="M958" s="251"/>
      <c r="N958" s="251"/>
      <c r="O958" s="251"/>
      <c r="P958" s="251"/>
      <c r="Q958" s="251"/>
      <c r="R958" s="251"/>
      <c r="S958" s="251"/>
      <c r="T958" s="251"/>
      <c r="U958" s="251"/>
      <c r="V958" s="251"/>
      <c r="W958" s="251"/>
      <c r="X958" s="251"/>
      <c r="Y958" s="251"/>
      <c r="Z958" s="251"/>
      <c r="AA958" s="251"/>
      <c r="AB958" s="251"/>
      <c r="AC958" s="251"/>
      <c r="AD958" s="251"/>
      <c r="AE958" s="251"/>
      <c r="AF958" s="251"/>
      <c r="AG958" s="251"/>
      <c r="AH958" s="251"/>
      <c r="AI958" s="251"/>
      <c r="AJ958" s="251"/>
      <c r="AK958" s="251"/>
      <c r="AL958" s="251"/>
      <c r="AM958" s="251"/>
      <c r="AN958" s="251"/>
      <c r="AO958" s="251"/>
      <c r="AP958" s="251"/>
      <c r="AQ958" s="251"/>
      <c r="AR958" s="251"/>
      <c r="AS958" s="251"/>
    </row>
    <row r="959" spans="1:45" s="44" customFormat="1" x14ac:dyDescent="0.2">
      <c r="A959" s="71"/>
      <c r="B959" s="71"/>
      <c r="C959" s="71"/>
      <c r="D959" s="251"/>
      <c r="E959" s="251"/>
      <c r="F959" s="251"/>
      <c r="G959" s="251"/>
      <c r="H959" s="251"/>
      <c r="I959" s="251"/>
      <c r="J959" s="251"/>
      <c r="K959" s="251"/>
      <c r="L959" s="251"/>
      <c r="M959" s="251"/>
      <c r="N959" s="251"/>
      <c r="O959" s="251"/>
      <c r="P959" s="251"/>
      <c r="Q959" s="251"/>
      <c r="R959" s="251"/>
      <c r="S959" s="251"/>
      <c r="T959" s="251"/>
      <c r="U959" s="251"/>
      <c r="V959" s="251"/>
      <c r="W959" s="251"/>
      <c r="X959" s="251"/>
      <c r="Y959" s="251"/>
      <c r="Z959" s="251"/>
      <c r="AA959" s="251"/>
      <c r="AB959" s="251"/>
      <c r="AC959" s="251"/>
      <c r="AD959" s="251"/>
      <c r="AE959" s="251"/>
      <c r="AF959" s="251"/>
      <c r="AG959" s="251"/>
      <c r="AH959" s="251"/>
      <c r="AI959" s="251"/>
      <c r="AJ959" s="251"/>
      <c r="AK959" s="251"/>
      <c r="AL959" s="251"/>
      <c r="AM959" s="251"/>
      <c r="AN959" s="251"/>
      <c r="AO959" s="251"/>
      <c r="AP959" s="251"/>
      <c r="AQ959" s="251"/>
      <c r="AR959" s="251"/>
      <c r="AS959" s="251"/>
    </row>
    <row r="960" spans="1:45" s="44" customFormat="1" x14ac:dyDescent="0.2">
      <c r="A960" s="71"/>
      <c r="B960" s="71"/>
      <c r="C960" s="71"/>
      <c r="D960" s="251"/>
      <c r="E960" s="251"/>
      <c r="F960" s="251"/>
      <c r="G960" s="251"/>
      <c r="H960" s="251"/>
      <c r="I960" s="251"/>
      <c r="J960" s="251"/>
      <c r="K960" s="251"/>
      <c r="L960" s="251"/>
      <c r="M960" s="251"/>
      <c r="N960" s="251"/>
      <c r="O960" s="251"/>
      <c r="P960" s="251"/>
      <c r="Q960" s="251"/>
      <c r="R960" s="251"/>
      <c r="S960" s="251"/>
      <c r="T960" s="251"/>
      <c r="U960" s="251"/>
      <c r="V960" s="251"/>
      <c r="W960" s="251"/>
      <c r="X960" s="251"/>
      <c r="Y960" s="251"/>
      <c r="Z960" s="251"/>
      <c r="AA960" s="251"/>
      <c r="AB960" s="251"/>
      <c r="AC960" s="251"/>
      <c r="AD960" s="251"/>
      <c r="AE960" s="251"/>
      <c r="AF960" s="251"/>
      <c r="AG960" s="251"/>
      <c r="AH960" s="251"/>
      <c r="AI960" s="251"/>
      <c r="AJ960" s="251"/>
      <c r="AK960" s="251"/>
      <c r="AL960" s="251"/>
      <c r="AM960" s="251"/>
      <c r="AN960" s="251"/>
      <c r="AO960" s="251"/>
      <c r="AP960" s="251"/>
      <c r="AQ960" s="251"/>
      <c r="AR960" s="251"/>
      <c r="AS960" s="251"/>
    </row>
    <row r="961" spans="1:45" s="44" customFormat="1" x14ac:dyDescent="0.2">
      <c r="A961" s="71"/>
      <c r="B961" s="71"/>
      <c r="C961" s="71"/>
      <c r="D961" s="251"/>
      <c r="E961" s="251"/>
      <c r="F961" s="251"/>
      <c r="G961" s="251"/>
      <c r="H961" s="251"/>
      <c r="I961" s="251"/>
      <c r="J961" s="251"/>
      <c r="K961" s="251"/>
      <c r="L961" s="251"/>
      <c r="M961" s="251"/>
      <c r="N961" s="251"/>
      <c r="O961" s="251"/>
      <c r="P961" s="251"/>
      <c r="Q961" s="251"/>
      <c r="R961" s="251"/>
      <c r="S961" s="251"/>
      <c r="T961" s="251"/>
      <c r="U961" s="251"/>
      <c r="V961" s="251"/>
      <c r="W961" s="251"/>
      <c r="X961" s="251"/>
      <c r="Y961" s="251"/>
      <c r="Z961" s="251"/>
      <c r="AA961" s="251"/>
      <c r="AB961" s="251"/>
      <c r="AC961" s="251"/>
      <c r="AD961" s="251"/>
      <c r="AE961" s="251"/>
      <c r="AF961" s="251"/>
      <c r="AG961" s="251"/>
      <c r="AH961" s="251"/>
      <c r="AI961" s="251"/>
      <c r="AJ961" s="251"/>
      <c r="AK961" s="251"/>
      <c r="AL961" s="251"/>
      <c r="AM961" s="251"/>
      <c r="AN961" s="251"/>
      <c r="AO961" s="251"/>
      <c r="AP961" s="251"/>
      <c r="AQ961" s="251"/>
      <c r="AR961" s="251"/>
      <c r="AS961" s="251"/>
    </row>
    <row r="962" spans="1:45" s="44" customFormat="1" x14ac:dyDescent="0.2">
      <c r="A962" s="71"/>
      <c r="B962" s="71"/>
      <c r="C962" s="71"/>
      <c r="D962" s="251"/>
      <c r="E962" s="251"/>
      <c r="F962" s="251"/>
      <c r="G962" s="251"/>
      <c r="H962" s="251"/>
      <c r="I962" s="251"/>
      <c r="J962" s="251"/>
      <c r="K962" s="251"/>
      <c r="L962" s="251"/>
      <c r="M962" s="251"/>
      <c r="N962" s="251"/>
      <c r="O962" s="251"/>
      <c r="P962" s="251"/>
      <c r="Q962" s="251"/>
      <c r="R962" s="251"/>
      <c r="S962" s="251"/>
      <c r="T962" s="251"/>
      <c r="U962" s="251"/>
      <c r="V962" s="251"/>
      <c r="W962" s="251"/>
      <c r="X962" s="251"/>
      <c r="Y962" s="251"/>
      <c r="Z962" s="251"/>
      <c r="AA962" s="251"/>
      <c r="AB962" s="251"/>
      <c r="AC962" s="251"/>
      <c r="AD962" s="251"/>
      <c r="AE962" s="251"/>
      <c r="AF962" s="251"/>
      <c r="AG962" s="251"/>
      <c r="AH962" s="251"/>
      <c r="AI962" s="251"/>
      <c r="AJ962" s="251"/>
      <c r="AK962" s="251"/>
      <c r="AL962" s="251"/>
      <c r="AM962" s="251"/>
      <c r="AN962" s="251"/>
      <c r="AO962" s="251"/>
      <c r="AP962" s="251"/>
      <c r="AQ962" s="251"/>
      <c r="AR962" s="251"/>
      <c r="AS962" s="251"/>
    </row>
    <row r="963" spans="1:45" s="44" customFormat="1" x14ac:dyDescent="0.2">
      <c r="A963" s="71"/>
      <c r="B963" s="71"/>
      <c r="C963" s="71"/>
      <c r="D963" s="251"/>
      <c r="E963" s="251"/>
      <c r="F963" s="251"/>
      <c r="G963" s="251"/>
      <c r="H963" s="251"/>
      <c r="I963" s="251"/>
      <c r="J963" s="251"/>
      <c r="K963" s="251"/>
      <c r="L963" s="251"/>
      <c r="M963" s="251"/>
      <c r="N963" s="251"/>
      <c r="O963" s="251"/>
      <c r="P963" s="251"/>
      <c r="Q963" s="251"/>
      <c r="R963" s="251"/>
      <c r="S963" s="251"/>
      <c r="T963" s="251"/>
      <c r="U963" s="251"/>
      <c r="V963" s="251"/>
      <c r="W963" s="251"/>
      <c r="X963" s="251"/>
      <c r="Y963" s="251"/>
      <c r="Z963" s="251"/>
      <c r="AA963" s="251"/>
      <c r="AB963" s="251"/>
      <c r="AC963" s="251"/>
      <c r="AD963" s="251"/>
      <c r="AE963" s="251"/>
      <c r="AF963" s="251"/>
      <c r="AG963" s="251"/>
      <c r="AH963" s="251"/>
      <c r="AI963" s="251"/>
      <c r="AJ963" s="251"/>
      <c r="AK963" s="251"/>
      <c r="AL963" s="251"/>
      <c r="AM963" s="251"/>
      <c r="AN963" s="251"/>
      <c r="AO963" s="251"/>
      <c r="AP963" s="251"/>
      <c r="AQ963" s="251"/>
      <c r="AR963" s="251"/>
      <c r="AS963" s="251"/>
    </row>
    <row r="964" spans="1:45" s="44" customFormat="1" x14ac:dyDescent="0.2">
      <c r="A964" s="71"/>
      <c r="B964" s="71"/>
      <c r="C964" s="71"/>
      <c r="D964" s="251"/>
      <c r="E964" s="251"/>
      <c r="F964" s="251"/>
      <c r="G964" s="251"/>
      <c r="H964" s="251"/>
      <c r="I964" s="251"/>
      <c r="J964" s="251"/>
      <c r="K964" s="251"/>
      <c r="L964" s="251"/>
      <c r="M964" s="251"/>
      <c r="N964" s="251"/>
      <c r="O964" s="251"/>
      <c r="P964" s="251"/>
      <c r="Q964" s="251"/>
      <c r="R964" s="251"/>
      <c r="S964" s="251"/>
      <c r="T964" s="251"/>
      <c r="U964" s="251"/>
      <c r="V964" s="251"/>
      <c r="W964" s="251"/>
      <c r="X964" s="251"/>
      <c r="Y964" s="251"/>
      <c r="Z964" s="251"/>
      <c r="AA964" s="251"/>
      <c r="AB964" s="251"/>
      <c r="AC964" s="251"/>
      <c r="AD964" s="251"/>
      <c r="AE964" s="251"/>
      <c r="AF964" s="251"/>
      <c r="AG964" s="251"/>
      <c r="AH964" s="251"/>
      <c r="AI964" s="251"/>
      <c r="AJ964" s="251"/>
      <c r="AK964" s="251"/>
      <c r="AL964" s="251"/>
      <c r="AM964" s="251"/>
      <c r="AN964" s="251"/>
      <c r="AO964" s="251"/>
      <c r="AP964" s="251"/>
      <c r="AQ964" s="251"/>
      <c r="AR964" s="251"/>
      <c r="AS964" s="251"/>
    </row>
    <row r="965" spans="1:45" s="44" customFormat="1" x14ac:dyDescent="0.2">
      <c r="A965" s="71"/>
      <c r="B965" s="71"/>
      <c r="C965" s="71"/>
      <c r="D965" s="251"/>
      <c r="E965" s="251"/>
      <c r="F965" s="251"/>
      <c r="G965" s="251"/>
      <c r="H965" s="251"/>
      <c r="I965" s="251"/>
      <c r="J965" s="251"/>
      <c r="K965" s="251"/>
      <c r="L965" s="251"/>
      <c r="M965" s="251"/>
      <c r="N965" s="251"/>
      <c r="O965" s="251"/>
      <c r="P965" s="251"/>
      <c r="Q965" s="251"/>
      <c r="R965" s="251"/>
      <c r="S965" s="251"/>
      <c r="T965" s="251"/>
      <c r="U965" s="251"/>
      <c r="V965" s="251"/>
      <c r="W965" s="251"/>
      <c r="X965" s="251"/>
      <c r="Y965" s="251"/>
      <c r="Z965" s="251"/>
      <c r="AA965" s="251"/>
      <c r="AB965" s="251"/>
      <c r="AC965" s="251"/>
      <c r="AD965" s="251"/>
      <c r="AE965" s="251"/>
      <c r="AF965" s="251"/>
      <c r="AG965" s="251"/>
      <c r="AH965" s="251"/>
      <c r="AI965" s="251"/>
      <c r="AJ965" s="251"/>
      <c r="AK965" s="251"/>
      <c r="AL965" s="251"/>
      <c r="AM965" s="251"/>
      <c r="AN965" s="251"/>
      <c r="AO965" s="251"/>
      <c r="AP965" s="251"/>
      <c r="AQ965" s="251"/>
      <c r="AR965" s="251"/>
      <c r="AS965" s="251"/>
    </row>
    <row r="966" spans="1:45" s="44" customFormat="1" x14ac:dyDescent="0.2">
      <c r="A966" s="71"/>
      <c r="B966" s="71"/>
      <c r="C966" s="71"/>
      <c r="D966" s="251"/>
      <c r="E966" s="251"/>
      <c r="F966" s="251"/>
      <c r="G966" s="251"/>
      <c r="H966" s="251"/>
      <c r="I966" s="251"/>
      <c r="J966" s="251"/>
      <c r="K966" s="251"/>
      <c r="L966" s="251"/>
      <c r="M966" s="251"/>
      <c r="N966" s="251"/>
      <c r="O966" s="251"/>
      <c r="P966" s="251"/>
      <c r="Q966" s="251"/>
      <c r="R966" s="251"/>
      <c r="S966" s="251"/>
      <c r="T966" s="251"/>
      <c r="U966" s="251"/>
      <c r="V966" s="251"/>
      <c r="W966" s="251"/>
      <c r="X966" s="251"/>
      <c r="Y966" s="251"/>
      <c r="Z966" s="251"/>
      <c r="AA966" s="251"/>
      <c r="AB966" s="251"/>
      <c r="AC966" s="251"/>
      <c r="AD966" s="251"/>
      <c r="AE966" s="251"/>
      <c r="AF966" s="251"/>
      <c r="AG966" s="251"/>
      <c r="AH966" s="251"/>
      <c r="AI966" s="251"/>
      <c r="AJ966" s="251"/>
      <c r="AK966" s="251"/>
      <c r="AL966" s="251"/>
      <c r="AM966" s="251"/>
      <c r="AN966" s="251"/>
      <c r="AO966" s="251"/>
      <c r="AP966" s="251"/>
      <c r="AQ966" s="251"/>
      <c r="AR966" s="251"/>
      <c r="AS966" s="251"/>
    </row>
    <row r="967" spans="1:45" s="44" customFormat="1" x14ac:dyDescent="0.2">
      <c r="A967" s="71"/>
      <c r="B967" s="71"/>
      <c r="C967" s="71"/>
      <c r="D967" s="251"/>
      <c r="E967" s="251"/>
      <c r="F967" s="251"/>
      <c r="G967" s="251"/>
      <c r="H967" s="251"/>
      <c r="I967" s="251"/>
      <c r="J967" s="251"/>
      <c r="K967" s="251"/>
      <c r="L967" s="251"/>
      <c r="M967" s="251"/>
      <c r="N967" s="251"/>
      <c r="O967" s="251"/>
      <c r="P967" s="251"/>
      <c r="Q967" s="251"/>
      <c r="R967" s="251"/>
      <c r="S967" s="251"/>
      <c r="T967" s="251"/>
      <c r="U967" s="251"/>
      <c r="V967" s="251"/>
      <c r="W967" s="251"/>
      <c r="X967" s="251"/>
      <c r="Y967" s="251"/>
      <c r="Z967" s="251"/>
      <c r="AA967" s="251"/>
      <c r="AB967" s="251"/>
      <c r="AC967" s="251"/>
      <c r="AD967" s="251"/>
      <c r="AE967" s="251"/>
      <c r="AF967" s="251"/>
      <c r="AG967" s="251"/>
      <c r="AH967" s="251"/>
      <c r="AI967" s="251"/>
      <c r="AJ967" s="251"/>
      <c r="AK967" s="251"/>
      <c r="AL967" s="251"/>
      <c r="AM967" s="251"/>
      <c r="AN967" s="251"/>
      <c r="AO967" s="251"/>
      <c r="AP967" s="251"/>
      <c r="AQ967" s="251"/>
      <c r="AR967" s="251"/>
      <c r="AS967" s="251"/>
    </row>
    <row r="968" spans="1:45" s="44" customFormat="1" x14ac:dyDescent="0.2">
      <c r="A968" s="71"/>
      <c r="B968" s="71"/>
      <c r="C968" s="71"/>
      <c r="D968" s="251"/>
      <c r="E968" s="251"/>
      <c r="F968" s="251"/>
      <c r="G968" s="251"/>
      <c r="H968" s="251"/>
      <c r="I968" s="251"/>
      <c r="J968" s="251"/>
      <c r="K968" s="251"/>
      <c r="L968" s="251"/>
      <c r="M968" s="251"/>
      <c r="N968" s="251"/>
      <c r="O968" s="251"/>
      <c r="P968" s="251"/>
      <c r="Q968" s="251"/>
      <c r="R968" s="251"/>
      <c r="S968" s="251"/>
      <c r="T968" s="251"/>
      <c r="U968" s="251"/>
      <c r="V968" s="251"/>
      <c r="W968" s="251"/>
      <c r="X968" s="251"/>
      <c r="Y968" s="251"/>
      <c r="Z968" s="251"/>
      <c r="AA968" s="251"/>
      <c r="AB968" s="251"/>
      <c r="AC968" s="251"/>
      <c r="AD968" s="251"/>
      <c r="AE968" s="251"/>
      <c r="AF968" s="251"/>
      <c r="AG968" s="251"/>
      <c r="AH968" s="251"/>
      <c r="AI968" s="251"/>
      <c r="AJ968" s="251"/>
      <c r="AK968" s="251"/>
      <c r="AL968" s="251"/>
      <c r="AM968" s="251"/>
      <c r="AN968" s="251"/>
      <c r="AO968" s="251"/>
      <c r="AP968" s="251"/>
      <c r="AQ968" s="251"/>
      <c r="AR968" s="251"/>
      <c r="AS968" s="251"/>
    </row>
    <row r="969" spans="1:45" s="44" customFormat="1" x14ac:dyDescent="0.2">
      <c r="A969" s="71"/>
      <c r="B969" s="71"/>
      <c r="C969" s="71"/>
      <c r="D969" s="251"/>
      <c r="E969" s="251"/>
      <c r="F969" s="251"/>
      <c r="G969" s="251"/>
      <c r="H969" s="251"/>
      <c r="I969" s="251"/>
      <c r="J969" s="251"/>
      <c r="K969" s="251"/>
      <c r="L969" s="251"/>
      <c r="M969" s="251"/>
      <c r="N969" s="251"/>
      <c r="O969" s="251"/>
      <c r="P969" s="251"/>
      <c r="Q969" s="251"/>
      <c r="R969" s="251"/>
      <c r="S969" s="251"/>
      <c r="T969" s="251"/>
      <c r="U969" s="251"/>
      <c r="V969" s="251"/>
      <c r="W969" s="251"/>
      <c r="X969" s="251"/>
      <c r="Y969" s="251"/>
      <c r="Z969" s="251"/>
      <c r="AA969" s="251"/>
      <c r="AB969" s="251"/>
      <c r="AC969" s="251"/>
      <c r="AD969" s="251"/>
      <c r="AE969" s="251"/>
      <c r="AF969" s="251"/>
      <c r="AG969" s="251"/>
      <c r="AH969" s="251"/>
      <c r="AI969" s="251"/>
      <c r="AJ969" s="251"/>
      <c r="AK969" s="251"/>
      <c r="AL969" s="251"/>
      <c r="AM969" s="251"/>
      <c r="AN969" s="251"/>
      <c r="AO969" s="251"/>
      <c r="AP969" s="251"/>
      <c r="AQ969" s="251"/>
      <c r="AR969" s="251"/>
      <c r="AS969" s="251"/>
    </row>
    <row r="970" spans="1:45" s="44" customFormat="1" x14ac:dyDescent="0.2">
      <c r="A970" s="71"/>
      <c r="B970" s="71"/>
      <c r="C970" s="71"/>
      <c r="D970" s="251"/>
      <c r="E970" s="251"/>
      <c r="F970" s="251"/>
      <c r="G970" s="251"/>
      <c r="H970" s="251"/>
      <c r="I970" s="251"/>
      <c r="J970" s="251"/>
      <c r="K970" s="251"/>
      <c r="L970" s="251"/>
      <c r="M970" s="251"/>
      <c r="N970" s="251"/>
      <c r="O970" s="251"/>
      <c r="P970" s="251"/>
      <c r="Q970" s="251"/>
      <c r="R970" s="251"/>
      <c r="S970" s="251"/>
      <c r="T970" s="251"/>
      <c r="U970" s="251"/>
      <c r="V970" s="251"/>
      <c r="W970" s="251"/>
      <c r="X970" s="251"/>
      <c r="Y970" s="251"/>
      <c r="Z970" s="251"/>
      <c r="AA970" s="251"/>
      <c r="AB970" s="251"/>
      <c r="AC970" s="251"/>
      <c r="AD970" s="251"/>
      <c r="AE970" s="251"/>
      <c r="AF970" s="251"/>
      <c r="AG970" s="251"/>
      <c r="AH970" s="251"/>
      <c r="AI970" s="251"/>
      <c r="AJ970" s="251"/>
      <c r="AK970" s="251"/>
      <c r="AL970" s="251"/>
      <c r="AM970" s="251"/>
      <c r="AN970" s="251"/>
      <c r="AO970" s="251"/>
      <c r="AP970" s="251"/>
      <c r="AQ970" s="251"/>
      <c r="AR970" s="251"/>
      <c r="AS970" s="251"/>
    </row>
    <row r="971" spans="1:45" s="44" customFormat="1" x14ac:dyDescent="0.2">
      <c r="A971" s="71"/>
      <c r="B971" s="71"/>
      <c r="C971" s="71"/>
      <c r="D971" s="251"/>
      <c r="E971" s="251"/>
      <c r="F971" s="251"/>
      <c r="G971" s="251"/>
      <c r="H971" s="251"/>
      <c r="I971" s="251"/>
      <c r="J971" s="251"/>
      <c r="K971" s="251"/>
      <c r="L971" s="251"/>
      <c r="M971" s="251"/>
      <c r="N971" s="251"/>
      <c r="O971" s="251"/>
      <c r="P971" s="251"/>
      <c r="Q971" s="251"/>
      <c r="R971" s="251"/>
      <c r="S971" s="251"/>
      <c r="T971" s="251"/>
      <c r="U971" s="251"/>
      <c r="V971" s="251"/>
      <c r="W971" s="251"/>
      <c r="X971" s="251"/>
      <c r="Y971" s="251"/>
      <c r="Z971" s="251"/>
      <c r="AA971" s="251"/>
      <c r="AB971" s="251"/>
      <c r="AC971" s="251"/>
      <c r="AD971" s="251"/>
      <c r="AE971" s="251"/>
      <c r="AF971" s="251"/>
      <c r="AG971" s="251"/>
      <c r="AH971" s="251"/>
      <c r="AI971" s="251"/>
      <c r="AJ971" s="251"/>
      <c r="AK971" s="251"/>
      <c r="AL971" s="251"/>
      <c r="AM971" s="251"/>
      <c r="AN971" s="251"/>
      <c r="AO971" s="251"/>
      <c r="AP971" s="251"/>
      <c r="AQ971" s="251"/>
      <c r="AR971" s="251"/>
      <c r="AS971" s="251"/>
    </row>
    <row r="972" spans="1:45" s="44" customFormat="1" x14ac:dyDescent="0.2">
      <c r="A972" s="71"/>
      <c r="B972" s="71"/>
      <c r="C972" s="71"/>
      <c r="D972" s="251"/>
      <c r="E972" s="251"/>
      <c r="F972" s="251"/>
      <c r="G972" s="251"/>
      <c r="H972" s="251"/>
      <c r="I972" s="251"/>
      <c r="J972" s="251"/>
      <c r="K972" s="251"/>
      <c r="L972" s="251"/>
      <c r="M972" s="251"/>
      <c r="N972" s="251"/>
      <c r="O972" s="251"/>
      <c r="P972" s="251"/>
      <c r="Q972" s="251"/>
      <c r="R972" s="251"/>
      <c r="S972" s="251"/>
      <c r="T972" s="251"/>
      <c r="U972" s="251"/>
      <c r="V972" s="251"/>
      <c r="W972" s="251"/>
      <c r="X972" s="251"/>
      <c r="Y972" s="251"/>
      <c r="Z972" s="251"/>
      <c r="AA972" s="251"/>
      <c r="AB972" s="251"/>
      <c r="AC972" s="251"/>
      <c r="AD972" s="251"/>
      <c r="AE972" s="251"/>
      <c r="AF972" s="251"/>
      <c r="AG972" s="251"/>
      <c r="AH972" s="251"/>
      <c r="AI972" s="251"/>
      <c r="AJ972" s="251"/>
      <c r="AK972" s="251"/>
      <c r="AL972" s="251"/>
      <c r="AM972" s="251"/>
      <c r="AN972" s="251"/>
      <c r="AO972" s="251"/>
      <c r="AP972" s="251"/>
      <c r="AQ972" s="251"/>
      <c r="AR972" s="251"/>
      <c r="AS972" s="251"/>
    </row>
    <row r="973" spans="1:45" s="44" customFormat="1" x14ac:dyDescent="0.2">
      <c r="A973" s="71"/>
      <c r="B973" s="71"/>
      <c r="C973" s="71"/>
      <c r="D973" s="251"/>
      <c r="E973" s="251"/>
      <c r="F973" s="251"/>
      <c r="G973" s="251"/>
      <c r="H973" s="251"/>
      <c r="I973" s="251"/>
      <c r="J973" s="251"/>
      <c r="K973" s="251"/>
      <c r="L973" s="251"/>
      <c r="M973" s="251"/>
      <c r="N973" s="251"/>
      <c r="O973" s="251"/>
      <c r="P973" s="251"/>
      <c r="Q973" s="251"/>
      <c r="R973" s="251"/>
      <c r="S973" s="251"/>
      <c r="T973" s="251"/>
      <c r="U973" s="251"/>
      <c r="V973" s="251"/>
      <c r="W973" s="251"/>
      <c r="X973" s="251"/>
      <c r="Y973" s="251"/>
      <c r="Z973" s="251"/>
      <c r="AA973" s="251"/>
      <c r="AB973" s="251"/>
      <c r="AC973" s="251"/>
      <c r="AD973" s="251"/>
      <c r="AE973" s="251"/>
      <c r="AF973" s="251"/>
      <c r="AG973" s="251"/>
      <c r="AH973" s="251"/>
      <c r="AI973" s="251"/>
      <c r="AJ973" s="251"/>
      <c r="AK973" s="251"/>
      <c r="AL973" s="251"/>
      <c r="AM973" s="251"/>
      <c r="AN973" s="251"/>
      <c r="AO973" s="251"/>
      <c r="AP973" s="251"/>
      <c r="AQ973" s="251"/>
      <c r="AR973" s="251"/>
      <c r="AS973" s="251"/>
    </row>
    <row r="974" spans="1:45" s="44" customFormat="1" x14ac:dyDescent="0.2">
      <c r="A974" s="71"/>
      <c r="B974" s="71"/>
      <c r="C974" s="71"/>
      <c r="D974" s="251"/>
      <c r="E974" s="251"/>
      <c r="F974" s="251"/>
      <c r="G974" s="251"/>
      <c r="H974" s="251"/>
      <c r="I974" s="251"/>
      <c r="J974" s="251"/>
      <c r="K974" s="251"/>
      <c r="L974" s="251"/>
      <c r="M974" s="251"/>
      <c r="N974" s="251"/>
      <c r="O974" s="251"/>
      <c r="P974" s="251"/>
      <c r="Q974" s="251"/>
      <c r="R974" s="251"/>
      <c r="S974" s="251"/>
      <c r="T974" s="251"/>
      <c r="U974" s="251"/>
      <c r="V974" s="251"/>
      <c r="W974" s="251"/>
      <c r="X974" s="251"/>
      <c r="Y974" s="251"/>
      <c r="Z974" s="251"/>
      <c r="AA974" s="251"/>
      <c r="AB974" s="251"/>
      <c r="AC974" s="251"/>
      <c r="AD974" s="251"/>
      <c r="AE974" s="251"/>
      <c r="AF974" s="251"/>
      <c r="AG974" s="251"/>
      <c r="AH974" s="251"/>
      <c r="AI974" s="251"/>
      <c r="AJ974" s="251"/>
      <c r="AK974" s="251"/>
      <c r="AL974" s="251"/>
      <c r="AM974" s="251"/>
      <c r="AN974" s="251"/>
      <c r="AO974" s="251"/>
      <c r="AP974" s="251"/>
      <c r="AQ974" s="251"/>
      <c r="AR974" s="251"/>
      <c r="AS974" s="251"/>
    </row>
    <row r="975" spans="1:45" s="44" customFormat="1" x14ac:dyDescent="0.2">
      <c r="A975" s="71"/>
      <c r="B975" s="71"/>
      <c r="C975" s="71"/>
      <c r="D975" s="251"/>
      <c r="E975" s="251"/>
      <c r="F975" s="251"/>
      <c r="G975" s="251"/>
      <c r="H975" s="251"/>
      <c r="I975" s="251"/>
      <c r="J975" s="251"/>
      <c r="K975" s="251"/>
      <c r="L975" s="251"/>
      <c r="M975" s="251"/>
      <c r="N975" s="251"/>
      <c r="O975" s="251"/>
      <c r="P975" s="251"/>
      <c r="Q975" s="251"/>
      <c r="R975" s="251"/>
      <c r="S975" s="251"/>
      <c r="T975" s="251"/>
      <c r="U975" s="251"/>
      <c r="V975" s="251"/>
      <c r="W975" s="251"/>
      <c r="X975" s="251"/>
      <c r="Y975" s="251"/>
      <c r="Z975" s="251"/>
      <c r="AA975" s="251"/>
      <c r="AB975" s="251"/>
      <c r="AC975" s="251"/>
      <c r="AD975" s="251"/>
      <c r="AE975" s="251"/>
      <c r="AF975" s="251"/>
      <c r="AG975" s="251"/>
      <c r="AH975" s="251"/>
      <c r="AI975" s="251"/>
      <c r="AJ975" s="251"/>
      <c r="AK975" s="251"/>
      <c r="AL975" s="251"/>
      <c r="AM975" s="251"/>
      <c r="AN975" s="251"/>
      <c r="AO975" s="251"/>
      <c r="AP975" s="251"/>
      <c r="AQ975" s="251"/>
      <c r="AR975" s="251"/>
      <c r="AS975" s="251"/>
    </row>
    <row r="976" spans="1:45" s="44" customFormat="1" x14ac:dyDescent="0.2">
      <c r="A976" s="71"/>
      <c r="B976" s="71"/>
      <c r="C976" s="71"/>
      <c r="D976" s="251"/>
      <c r="E976" s="251"/>
      <c r="F976" s="251"/>
      <c r="G976" s="251"/>
      <c r="H976" s="251"/>
      <c r="I976" s="251"/>
      <c r="J976" s="251"/>
      <c r="K976" s="251"/>
      <c r="L976" s="251"/>
      <c r="M976" s="251"/>
      <c r="N976" s="251"/>
      <c r="O976" s="251"/>
      <c r="P976" s="251"/>
      <c r="Q976" s="251"/>
      <c r="R976" s="251"/>
      <c r="S976" s="251"/>
      <c r="T976" s="251"/>
      <c r="U976" s="251"/>
      <c r="V976" s="251"/>
      <c r="W976" s="251"/>
      <c r="X976" s="251"/>
      <c r="Y976" s="251"/>
      <c r="Z976" s="251"/>
      <c r="AA976" s="251"/>
      <c r="AB976" s="251"/>
      <c r="AC976" s="251"/>
      <c r="AD976" s="251"/>
      <c r="AE976" s="251"/>
      <c r="AF976" s="251"/>
      <c r="AG976" s="251"/>
      <c r="AH976" s="251"/>
      <c r="AI976" s="251"/>
      <c r="AJ976" s="251"/>
      <c r="AK976" s="251"/>
      <c r="AL976" s="251"/>
      <c r="AM976" s="251"/>
      <c r="AN976" s="251"/>
      <c r="AO976" s="251"/>
      <c r="AP976" s="251"/>
      <c r="AQ976" s="251"/>
      <c r="AR976" s="251"/>
      <c r="AS976" s="251"/>
    </row>
    <row r="977" spans="1:45" s="44" customFormat="1" x14ac:dyDescent="0.2">
      <c r="A977" s="71"/>
      <c r="B977" s="71"/>
      <c r="C977" s="71"/>
      <c r="D977" s="251"/>
      <c r="E977" s="251"/>
      <c r="F977" s="251"/>
      <c r="G977" s="251"/>
      <c r="H977" s="251"/>
      <c r="I977" s="251"/>
      <c r="J977" s="251"/>
      <c r="K977" s="251"/>
      <c r="L977" s="251"/>
      <c r="M977" s="251"/>
      <c r="N977" s="251"/>
      <c r="O977" s="251"/>
      <c r="P977" s="251"/>
      <c r="Q977" s="251"/>
      <c r="R977" s="251"/>
      <c r="S977" s="251"/>
      <c r="T977" s="251"/>
      <c r="U977" s="251"/>
      <c r="V977" s="251"/>
      <c r="W977" s="251"/>
      <c r="X977" s="251"/>
      <c r="Y977" s="251"/>
      <c r="Z977" s="251"/>
      <c r="AA977" s="251"/>
      <c r="AB977" s="251"/>
      <c r="AC977" s="251"/>
      <c r="AD977" s="251"/>
      <c r="AE977" s="251"/>
      <c r="AF977" s="251"/>
      <c r="AG977" s="251"/>
      <c r="AH977" s="251"/>
      <c r="AI977" s="251"/>
      <c r="AJ977" s="251"/>
      <c r="AK977" s="251"/>
      <c r="AL977" s="251"/>
      <c r="AM977" s="251"/>
      <c r="AN977" s="251"/>
      <c r="AO977" s="251"/>
      <c r="AP977" s="251"/>
      <c r="AQ977" s="251"/>
      <c r="AR977" s="251"/>
      <c r="AS977" s="251"/>
    </row>
    <row r="978" spans="1:45" s="44" customFormat="1" x14ac:dyDescent="0.2">
      <c r="A978" s="71"/>
      <c r="B978" s="71"/>
      <c r="C978" s="71"/>
      <c r="D978" s="251"/>
      <c r="E978" s="251"/>
      <c r="F978" s="251"/>
      <c r="G978" s="251"/>
      <c r="H978" s="251"/>
      <c r="I978" s="251"/>
      <c r="J978" s="251"/>
      <c r="K978" s="251"/>
      <c r="L978" s="251"/>
      <c r="M978" s="251"/>
      <c r="N978" s="251"/>
      <c r="O978" s="251"/>
      <c r="P978" s="251"/>
      <c r="Q978" s="251"/>
      <c r="R978" s="251"/>
      <c r="S978" s="251"/>
      <c r="T978" s="251"/>
      <c r="U978" s="251"/>
      <c r="V978" s="251"/>
      <c r="W978" s="251"/>
      <c r="X978" s="251"/>
      <c r="Y978" s="251"/>
      <c r="Z978" s="251"/>
      <c r="AA978" s="251"/>
      <c r="AB978" s="251"/>
      <c r="AC978" s="251"/>
      <c r="AD978" s="251"/>
      <c r="AE978" s="251"/>
      <c r="AF978" s="251"/>
      <c r="AG978" s="251"/>
      <c r="AH978" s="251"/>
      <c r="AI978" s="251"/>
      <c r="AJ978" s="251"/>
      <c r="AK978" s="251"/>
      <c r="AL978" s="251"/>
      <c r="AM978" s="251"/>
      <c r="AN978" s="251"/>
      <c r="AO978" s="251"/>
      <c r="AP978" s="251"/>
      <c r="AQ978" s="251"/>
      <c r="AR978" s="251"/>
      <c r="AS978" s="251"/>
    </row>
    <row r="979" spans="1:45" s="44" customFormat="1" x14ac:dyDescent="0.2">
      <c r="A979" s="71"/>
      <c r="B979" s="71"/>
      <c r="C979" s="71"/>
      <c r="D979" s="251"/>
      <c r="E979" s="251"/>
      <c r="F979" s="251"/>
      <c r="G979" s="251"/>
      <c r="H979" s="251"/>
      <c r="I979" s="251"/>
      <c r="J979" s="251"/>
      <c r="K979" s="251"/>
      <c r="L979" s="251"/>
      <c r="M979" s="251"/>
      <c r="N979" s="251"/>
      <c r="O979" s="251"/>
      <c r="P979" s="251"/>
      <c r="Q979" s="251"/>
      <c r="R979" s="251"/>
      <c r="S979" s="251"/>
      <c r="T979" s="251"/>
      <c r="U979" s="251"/>
      <c r="V979" s="251"/>
      <c r="W979" s="251"/>
      <c r="X979" s="251"/>
      <c r="Y979" s="251"/>
      <c r="Z979" s="251"/>
      <c r="AA979" s="251"/>
      <c r="AB979" s="251"/>
      <c r="AC979" s="251"/>
      <c r="AD979" s="251"/>
      <c r="AE979" s="251"/>
      <c r="AF979" s="251"/>
      <c r="AG979" s="251"/>
      <c r="AH979" s="251"/>
      <c r="AI979" s="251"/>
      <c r="AJ979" s="251"/>
      <c r="AK979" s="251"/>
      <c r="AL979" s="251"/>
      <c r="AM979" s="251"/>
      <c r="AN979" s="251"/>
      <c r="AO979" s="251"/>
      <c r="AP979" s="251"/>
      <c r="AQ979" s="251"/>
      <c r="AR979" s="251"/>
      <c r="AS979" s="251"/>
    </row>
    <row r="980" spans="1:45" s="44" customFormat="1" x14ac:dyDescent="0.2">
      <c r="A980" s="71"/>
      <c r="B980" s="71"/>
      <c r="C980" s="71"/>
      <c r="D980" s="251"/>
      <c r="E980" s="251"/>
      <c r="F980" s="251"/>
      <c r="G980" s="251"/>
      <c r="H980" s="251"/>
      <c r="I980" s="251"/>
      <c r="J980" s="251"/>
      <c r="K980" s="251"/>
      <c r="L980" s="251"/>
      <c r="M980" s="251"/>
      <c r="N980" s="251"/>
      <c r="O980" s="251"/>
      <c r="P980" s="251"/>
      <c r="Q980" s="251"/>
      <c r="R980" s="251"/>
      <c r="S980" s="251"/>
      <c r="T980" s="251"/>
      <c r="U980" s="251"/>
      <c r="V980" s="251"/>
      <c r="W980" s="251"/>
      <c r="X980" s="251"/>
      <c r="Y980" s="251"/>
      <c r="Z980" s="251"/>
      <c r="AA980" s="251"/>
      <c r="AB980" s="251"/>
      <c r="AC980" s="251"/>
      <c r="AD980" s="251"/>
      <c r="AE980" s="251"/>
      <c r="AF980" s="251"/>
      <c r="AG980" s="251"/>
      <c r="AH980" s="251"/>
      <c r="AI980" s="251"/>
      <c r="AJ980" s="251"/>
      <c r="AK980" s="251"/>
      <c r="AL980" s="251"/>
      <c r="AM980" s="251"/>
      <c r="AN980" s="251"/>
      <c r="AO980" s="251"/>
      <c r="AP980" s="251"/>
      <c r="AQ980" s="251"/>
      <c r="AR980" s="251"/>
      <c r="AS980" s="251"/>
    </row>
    <row r="981" spans="1:45" s="44" customFormat="1" x14ac:dyDescent="0.2">
      <c r="A981" s="71"/>
      <c r="B981" s="71"/>
      <c r="C981" s="71"/>
      <c r="D981" s="251"/>
      <c r="E981" s="251"/>
      <c r="F981" s="251"/>
      <c r="G981" s="251"/>
      <c r="H981" s="251"/>
      <c r="I981" s="251"/>
      <c r="J981" s="251"/>
      <c r="K981" s="251"/>
      <c r="L981" s="251"/>
      <c r="M981" s="251"/>
      <c r="N981" s="251"/>
      <c r="O981" s="251"/>
      <c r="P981" s="251"/>
      <c r="Q981" s="251"/>
      <c r="R981" s="251"/>
      <c r="S981" s="251"/>
      <c r="T981" s="251"/>
      <c r="U981" s="251"/>
      <c r="V981" s="251"/>
      <c r="W981" s="251"/>
      <c r="X981" s="251"/>
      <c r="Y981" s="251"/>
      <c r="Z981" s="251"/>
      <c r="AA981" s="251"/>
      <c r="AB981" s="251"/>
      <c r="AC981" s="251"/>
      <c r="AD981" s="251"/>
      <c r="AE981" s="251"/>
      <c r="AF981" s="251"/>
      <c r="AG981" s="251"/>
      <c r="AH981" s="251"/>
      <c r="AI981" s="251"/>
      <c r="AJ981" s="251"/>
      <c r="AK981" s="251"/>
      <c r="AL981" s="251"/>
      <c r="AM981" s="251"/>
      <c r="AN981" s="251"/>
      <c r="AO981" s="251"/>
      <c r="AP981" s="251"/>
      <c r="AQ981" s="251"/>
      <c r="AR981" s="251"/>
      <c r="AS981" s="251"/>
    </row>
    <row r="982" spans="1:45" s="44" customFormat="1" x14ac:dyDescent="0.2">
      <c r="A982" s="71"/>
      <c r="B982" s="71"/>
      <c r="C982" s="71"/>
      <c r="D982" s="251"/>
      <c r="E982" s="251"/>
      <c r="F982" s="251"/>
      <c r="G982" s="251"/>
      <c r="H982" s="251"/>
      <c r="I982" s="251"/>
      <c r="J982" s="251"/>
      <c r="K982" s="251"/>
      <c r="L982" s="251"/>
      <c r="M982" s="251"/>
      <c r="N982" s="251"/>
      <c r="O982" s="251"/>
      <c r="P982" s="251"/>
      <c r="Q982" s="251"/>
      <c r="R982" s="251"/>
      <c r="S982" s="251"/>
      <c r="T982" s="251"/>
      <c r="U982" s="251"/>
      <c r="V982" s="251"/>
      <c r="W982" s="251"/>
      <c r="X982" s="251"/>
      <c r="Y982" s="251"/>
      <c r="Z982" s="251"/>
      <c r="AA982" s="251"/>
      <c r="AB982" s="251"/>
      <c r="AC982" s="251"/>
      <c r="AD982" s="251"/>
      <c r="AE982" s="251"/>
      <c r="AF982" s="251"/>
      <c r="AG982" s="251"/>
      <c r="AH982" s="251"/>
      <c r="AI982" s="251"/>
      <c r="AJ982" s="251"/>
      <c r="AK982" s="251"/>
      <c r="AL982" s="251"/>
      <c r="AM982" s="251"/>
      <c r="AN982" s="251"/>
      <c r="AO982" s="251"/>
      <c r="AP982" s="251"/>
      <c r="AQ982" s="251"/>
      <c r="AR982" s="251"/>
      <c r="AS982" s="251"/>
    </row>
    <row r="983" spans="1:45" s="44" customFormat="1" x14ac:dyDescent="0.2">
      <c r="A983" s="71"/>
      <c r="B983" s="71"/>
      <c r="C983" s="71"/>
      <c r="D983" s="251"/>
      <c r="E983" s="251"/>
      <c r="F983" s="251"/>
      <c r="G983" s="251"/>
      <c r="H983" s="251"/>
      <c r="I983" s="251"/>
      <c r="J983" s="251"/>
      <c r="K983" s="251"/>
      <c r="L983" s="251"/>
      <c r="M983" s="251"/>
      <c r="N983" s="251"/>
      <c r="O983" s="251"/>
      <c r="P983" s="251"/>
      <c r="Q983" s="251"/>
      <c r="R983" s="251"/>
      <c r="S983" s="251"/>
      <c r="T983" s="251"/>
      <c r="U983" s="251"/>
      <c r="V983" s="251"/>
      <c r="W983" s="251"/>
      <c r="X983" s="251"/>
      <c r="Y983" s="251"/>
      <c r="Z983" s="251"/>
      <c r="AA983" s="251"/>
      <c r="AB983" s="251"/>
      <c r="AC983" s="251"/>
      <c r="AD983" s="251"/>
      <c r="AE983" s="251"/>
      <c r="AF983" s="251"/>
      <c r="AG983" s="251"/>
      <c r="AH983" s="251"/>
      <c r="AI983" s="251"/>
      <c r="AJ983" s="251"/>
      <c r="AK983" s="251"/>
      <c r="AL983" s="251"/>
      <c r="AM983" s="251"/>
      <c r="AN983" s="251"/>
      <c r="AO983" s="251"/>
      <c r="AP983" s="251"/>
      <c r="AQ983" s="251"/>
      <c r="AR983" s="251"/>
      <c r="AS983" s="251"/>
    </row>
    <row r="984" spans="1:45" s="44" customFormat="1" x14ac:dyDescent="0.2">
      <c r="A984" s="71"/>
      <c r="B984" s="71"/>
      <c r="C984" s="71"/>
      <c r="D984" s="251"/>
      <c r="E984" s="251"/>
      <c r="F984" s="251"/>
      <c r="G984" s="251"/>
      <c r="H984" s="251"/>
      <c r="I984" s="251"/>
      <c r="J984" s="251"/>
      <c r="K984" s="251"/>
      <c r="L984" s="251"/>
      <c r="M984" s="251"/>
      <c r="N984" s="251"/>
      <c r="O984" s="251"/>
      <c r="P984" s="251"/>
      <c r="Q984" s="251"/>
      <c r="R984" s="251"/>
      <c r="S984" s="251"/>
      <c r="T984" s="251"/>
      <c r="U984" s="251"/>
      <c r="V984" s="251"/>
      <c r="W984" s="251"/>
      <c r="X984" s="251"/>
      <c r="Y984" s="251"/>
      <c r="Z984" s="251"/>
      <c r="AA984" s="251"/>
      <c r="AB984" s="251"/>
      <c r="AC984" s="251"/>
      <c r="AD984" s="251"/>
      <c r="AE984" s="251"/>
      <c r="AF984" s="251"/>
      <c r="AG984" s="251"/>
      <c r="AH984" s="251"/>
      <c r="AI984" s="251"/>
      <c r="AJ984" s="251"/>
      <c r="AK984" s="251"/>
      <c r="AL984" s="251"/>
      <c r="AM984" s="251"/>
      <c r="AN984" s="251"/>
      <c r="AO984" s="251"/>
      <c r="AP984" s="251"/>
      <c r="AQ984" s="251"/>
      <c r="AR984" s="251"/>
      <c r="AS984" s="251"/>
    </row>
    <row r="985" spans="1:45" s="44" customFormat="1" x14ac:dyDescent="0.2">
      <c r="A985" s="71"/>
      <c r="B985" s="71"/>
      <c r="C985" s="71"/>
      <c r="D985" s="251"/>
      <c r="E985" s="251"/>
      <c r="F985" s="251"/>
      <c r="G985" s="251"/>
      <c r="H985" s="251"/>
      <c r="I985" s="251"/>
      <c r="J985" s="251"/>
      <c r="K985" s="251"/>
      <c r="L985" s="251"/>
      <c r="M985" s="251"/>
      <c r="N985" s="251"/>
      <c r="O985" s="251"/>
      <c r="P985" s="251"/>
      <c r="Q985" s="251"/>
      <c r="R985" s="251"/>
      <c r="S985" s="251"/>
      <c r="T985" s="251"/>
      <c r="U985" s="251"/>
      <c r="V985" s="251"/>
      <c r="W985" s="251"/>
      <c r="X985" s="251"/>
      <c r="Y985" s="251"/>
      <c r="Z985" s="251"/>
      <c r="AA985" s="251"/>
      <c r="AB985" s="251"/>
      <c r="AC985" s="251"/>
      <c r="AD985" s="251"/>
      <c r="AE985" s="251"/>
      <c r="AF985" s="251"/>
      <c r="AG985" s="251"/>
      <c r="AH985" s="251"/>
      <c r="AI985" s="251"/>
      <c r="AJ985" s="251"/>
      <c r="AK985" s="251"/>
      <c r="AL985" s="251"/>
      <c r="AM985" s="251"/>
      <c r="AN985" s="251"/>
      <c r="AO985" s="251"/>
      <c r="AP985" s="251"/>
      <c r="AQ985" s="251"/>
      <c r="AR985" s="251"/>
      <c r="AS985" s="251"/>
    </row>
    <row r="986" spans="1:45" s="44" customFormat="1" x14ac:dyDescent="0.2">
      <c r="A986" s="71"/>
      <c r="B986" s="71"/>
      <c r="C986" s="71"/>
      <c r="D986" s="251"/>
      <c r="E986" s="251"/>
      <c r="F986" s="251"/>
      <c r="G986" s="251"/>
      <c r="H986" s="251"/>
      <c r="I986" s="251"/>
      <c r="J986" s="251"/>
      <c r="K986" s="251"/>
      <c r="L986" s="251"/>
      <c r="M986" s="251"/>
      <c r="N986" s="251"/>
      <c r="O986" s="251"/>
      <c r="P986" s="251"/>
      <c r="Q986" s="251"/>
      <c r="R986" s="251"/>
      <c r="S986" s="251"/>
      <c r="T986" s="251"/>
      <c r="U986" s="251"/>
      <c r="V986" s="251"/>
      <c r="W986" s="251"/>
      <c r="X986" s="251"/>
      <c r="Y986" s="251"/>
      <c r="Z986" s="251"/>
      <c r="AA986" s="251"/>
      <c r="AB986" s="251"/>
      <c r="AC986" s="251"/>
      <c r="AD986" s="251"/>
      <c r="AE986" s="251"/>
      <c r="AF986" s="251"/>
      <c r="AG986" s="251"/>
      <c r="AH986" s="251"/>
      <c r="AI986" s="251"/>
      <c r="AJ986" s="251"/>
      <c r="AK986" s="251"/>
      <c r="AL986" s="251"/>
      <c r="AM986" s="251"/>
      <c r="AN986" s="251"/>
      <c r="AO986" s="251"/>
      <c r="AP986" s="251"/>
      <c r="AQ986" s="251"/>
      <c r="AR986" s="251"/>
      <c r="AS986" s="251"/>
    </row>
    <row r="987" spans="1:45" s="44" customFormat="1" x14ac:dyDescent="0.2">
      <c r="A987" s="71"/>
      <c r="B987" s="71"/>
      <c r="C987" s="71"/>
      <c r="D987" s="251"/>
      <c r="E987" s="251"/>
      <c r="F987" s="251"/>
      <c r="G987" s="251"/>
      <c r="H987" s="251"/>
      <c r="I987" s="251"/>
      <c r="J987" s="251"/>
      <c r="K987" s="251"/>
      <c r="L987" s="251"/>
      <c r="M987" s="251"/>
      <c r="N987" s="251"/>
      <c r="O987" s="251"/>
      <c r="P987" s="251"/>
      <c r="Q987" s="251"/>
      <c r="R987" s="251"/>
      <c r="S987" s="251"/>
      <c r="T987" s="251"/>
      <c r="U987" s="251"/>
      <c r="V987" s="251"/>
      <c r="W987" s="251"/>
      <c r="X987" s="251"/>
      <c r="Y987" s="251"/>
      <c r="Z987" s="251"/>
      <c r="AA987" s="251"/>
      <c r="AB987" s="251"/>
      <c r="AC987" s="251"/>
      <c r="AD987" s="251"/>
      <c r="AE987" s="251"/>
      <c r="AF987" s="251"/>
      <c r="AG987" s="251"/>
      <c r="AH987" s="251"/>
      <c r="AI987" s="251"/>
      <c r="AJ987" s="251"/>
      <c r="AK987" s="251"/>
      <c r="AL987" s="251"/>
      <c r="AM987" s="251"/>
      <c r="AN987" s="251"/>
      <c r="AO987" s="251"/>
      <c r="AP987" s="251"/>
      <c r="AQ987" s="251"/>
      <c r="AR987" s="251"/>
      <c r="AS987" s="251"/>
    </row>
    <row r="988" spans="1:45" s="44" customFormat="1" x14ac:dyDescent="0.2">
      <c r="A988" s="71"/>
      <c r="B988" s="71"/>
      <c r="C988" s="71"/>
      <c r="D988" s="251"/>
      <c r="E988" s="251"/>
      <c r="F988" s="251"/>
      <c r="G988" s="251"/>
      <c r="H988" s="251"/>
      <c r="I988" s="251"/>
      <c r="J988" s="251"/>
      <c r="K988" s="251"/>
      <c r="L988" s="251"/>
      <c r="M988" s="251"/>
      <c r="N988" s="251"/>
      <c r="O988" s="251"/>
      <c r="P988" s="251"/>
      <c r="Q988" s="251"/>
      <c r="R988" s="251"/>
      <c r="S988" s="251"/>
      <c r="T988" s="251"/>
      <c r="U988" s="251"/>
      <c r="V988" s="251"/>
      <c r="W988" s="251"/>
      <c r="X988" s="251"/>
      <c r="Y988" s="251"/>
      <c r="Z988" s="251"/>
      <c r="AA988" s="251"/>
      <c r="AB988" s="251"/>
      <c r="AC988" s="251"/>
      <c r="AD988" s="251"/>
      <c r="AE988" s="251"/>
      <c r="AF988" s="251"/>
      <c r="AG988" s="251"/>
      <c r="AH988" s="251"/>
      <c r="AI988" s="251"/>
      <c r="AJ988" s="251"/>
      <c r="AK988" s="251"/>
      <c r="AL988" s="251"/>
      <c r="AM988" s="251"/>
      <c r="AN988" s="251"/>
      <c r="AO988" s="251"/>
      <c r="AP988" s="251"/>
      <c r="AQ988" s="251"/>
      <c r="AR988" s="251"/>
      <c r="AS988" s="251"/>
    </row>
    <row r="989" spans="1:45" s="44" customFormat="1" x14ac:dyDescent="0.2">
      <c r="A989" s="71"/>
      <c r="B989" s="71"/>
      <c r="C989" s="71"/>
      <c r="D989" s="251"/>
      <c r="E989" s="251"/>
      <c r="F989" s="251"/>
      <c r="G989" s="251"/>
      <c r="H989" s="251"/>
      <c r="I989" s="251"/>
      <c r="J989" s="251"/>
      <c r="K989" s="251"/>
      <c r="L989" s="251"/>
      <c r="M989" s="251"/>
      <c r="N989" s="251"/>
      <c r="O989" s="251"/>
      <c r="P989" s="251"/>
      <c r="Q989" s="251"/>
      <c r="R989" s="251"/>
      <c r="S989" s="251"/>
      <c r="T989" s="251"/>
      <c r="U989" s="251"/>
      <c r="V989" s="251"/>
      <c r="W989" s="251"/>
      <c r="X989" s="251"/>
      <c r="Y989" s="251"/>
      <c r="Z989" s="251"/>
      <c r="AA989" s="251"/>
      <c r="AB989" s="251"/>
      <c r="AC989" s="251"/>
      <c r="AD989" s="251"/>
      <c r="AE989" s="251"/>
      <c r="AF989" s="251"/>
      <c r="AG989" s="251"/>
      <c r="AH989" s="251"/>
      <c r="AI989" s="251"/>
      <c r="AJ989" s="251"/>
      <c r="AK989" s="251"/>
      <c r="AL989" s="251"/>
      <c r="AM989" s="251"/>
      <c r="AN989" s="251"/>
      <c r="AO989" s="251"/>
      <c r="AP989" s="251"/>
      <c r="AQ989" s="251"/>
      <c r="AR989" s="251"/>
      <c r="AS989" s="251"/>
    </row>
    <row r="990" spans="1:45" s="44" customFormat="1" x14ac:dyDescent="0.2">
      <c r="A990" s="71"/>
      <c r="B990" s="71"/>
      <c r="C990" s="71"/>
      <c r="D990" s="251"/>
      <c r="E990" s="251"/>
      <c r="F990" s="251"/>
      <c r="G990" s="251"/>
      <c r="H990" s="251"/>
      <c r="I990" s="251"/>
      <c r="J990" s="251"/>
      <c r="K990" s="251"/>
      <c r="L990" s="251"/>
      <c r="M990" s="251"/>
      <c r="N990" s="251"/>
      <c r="O990" s="251"/>
      <c r="P990" s="251"/>
      <c r="Q990" s="251"/>
      <c r="R990" s="251"/>
      <c r="S990" s="251"/>
      <c r="T990" s="251"/>
      <c r="U990" s="251"/>
      <c r="V990" s="251"/>
      <c r="W990" s="251"/>
      <c r="X990" s="251"/>
      <c r="Y990" s="251"/>
      <c r="Z990" s="251"/>
      <c r="AA990" s="251"/>
      <c r="AB990" s="251"/>
      <c r="AC990" s="251"/>
      <c r="AD990" s="251"/>
      <c r="AE990" s="251"/>
      <c r="AF990" s="251"/>
      <c r="AG990" s="251"/>
      <c r="AH990" s="251"/>
      <c r="AI990" s="251"/>
      <c r="AJ990" s="251"/>
      <c r="AK990" s="251"/>
      <c r="AL990" s="251"/>
      <c r="AM990" s="251"/>
      <c r="AN990" s="251"/>
      <c r="AO990" s="251"/>
      <c r="AP990" s="251"/>
      <c r="AQ990" s="251"/>
      <c r="AR990" s="251"/>
      <c r="AS990" s="251"/>
    </row>
    <row r="991" spans="1:45" s="44" customFormat="1" x14ac:dyDescent="0.2">
      <c r="A991" s="71"/>
      <c r="B991" s="71"/>
      <c r="C991" s="71"/>
      <c r="D991" s="251"/>
      <c r="E991" s="251"/>
      <c r="F991" s="251"/>
      <c r="G991" s="251"/>
      <c r="H991" s="251"/>
      <c r="I991" s="251"/>
      <c r="J991" s="251"/>
      <c r="K991" s="251"/>
      <c r="L991" s="251"/>
      <c r="M991" s="251"/>
      <c r="N991" s="251"/>
      <c r="O991" s="251"/>
      <c r="P991" s="251"/>
      <c r="Q991" s="251"/>
      <c r="R991" s="251"/>
      <c r="S991" s="251"/>
      <c r="T991" s="251"/>
      <c r="U991" s="251"/>
      <c r="V991" s="251"/>
      <c r="W991" s="251"/>
      <c r="X991" s="251"/>
      <c r="Y991" s="251"/>
      <c r="Z991" s="251"/>
      <c r="AA991" s="251"/>
      <c r="AB991" s="251"/>
      <c r="AC991" s="251"/>
      <c r="AD991" s="251"/>
      <c r="AE991" s="251"/>
      <c r="AF991" s="251"/>
      <c r="AG991" s="251"/>
      <c r="AH991" s="251"/>
      <c r="AI991" s="251"/>
      <c r="AJ991" s="251"/>
      <c r="AK991" s="251"/>
      <c r="AL991" s="251"/>
      <c r="AM991" s="251"/>
      <c r="AN991" s="251"/>
      <c r="AO991" s="251"/>
      <c r="AP991" s="251"/>
      <c r="AQ991" s="251"/>
      <c r="AR991" s="251"/>
      <c r="AS991" s="251"/>
    </row>
    <row r="992" spans="1:45" s="44" customFormat="1" x14ac:dyDescent="0.2">
      <c r="A992" s="71"/>
      <c r="B992" s="71"/>
      <c r="C992" s="71"/>
      <c r="D992" s="251"/>
      <c r="E992" s="251"/>
      <c r="F992" s="251"/>
      <c r="G992" s="251"/>
      <c r="H992" s="251"/>
      <c r="I992" s="251"/>
      <c r="J992" s="251"/>
      <c r="K992" s="251"/>
      <c r="L992" s="251"/>
      <c r="M992" s="251"/>
      <c r="N992" s="251"/>
      <c r="O992" s="251"/>
      <c r="P992" s="251"/>
      <c r="Q992" s="251"/>
      <c r="R992" s="251"/>
      <c r="S992" s="251"/>
      <c r="T992" s="251"/>
      <c r="U992" s="251"/>
      <c r="V992" s="251"/>
      <c r="W992" s="251"/>
      <c r="X992" s="251"/>
      <c r="Y992" s="251"/>
      <c r="Z992" s="251"/>
      <c r="AA992" s="251"/>
      <c r="AB992" s="251"/>
      <c r="AC992" s="251"/>
      <c r="AD992" s="251"/>
      <c r="AE992" s="251"/>
      <c r="AF992" s="251"/>
      <c r="AG992" s="251"/>
      <c r="AH992" s="251"/>
      <c r="AI992" s="251"/>
      <c r="AJ992" s="251"/>
      <c r="AK992" s="251"/>
      <c r="AL992" s="251"/>
      <c r="AM992" s="251"/>
      <c r="AN992" s="251"/>
      <c r="AO992" s="251"/>
      <c r="AP992" s="251"/>
      <c r="AQ992" s="251"/>
      <c r="AR992" s="251"/>
      <c r="AS992" s="251"/>
    </row>
    <row r="993" spans="1:45" s="44" customFormat="1" x14ac:dyDescent="0.2">
      <c r="A993" s="71"/>
      <c r="B993" s="71"/>
      <c r="C993" s="71"/>
      <c r="D993" s="251"/>
      <c r="E993" s="251"/>
      <c r="F993" s="251"/>
      <c r="G993" s="251"/>
      <c r="H993" s="251"/>
      <c r="I993" s="251"/>
      <c r="J993" s="251"/>
      <c r="K993" s="251"/>
      <c r="L993" s="251"/>
      <c r="M993" s="251"/>
      <c r="N993" s="251"/>
      <c r="O993" s="251"/>
      <c r="P993" s="251"/>
      <c r="Q993" s="251"/>
      <c r="R993" s="251"/>
      <c r="S993" s="251"/>
      <c r="T993" s="251"/>
      <c r="U993" s="251"/>
      <c r="V993" s="251"/>
      <c r="W993" s="251"/>
      <c r="X993" s="251"/>
      <c r="Y993" s="251"/>
      <c r="Z993" s="251"/>
      <c r="AA993" s="251"/>
      <c r="AB993" s="251"/>
      <c r="AC993" s="251"/>
      <c r="AD993" s="251"/>
      <c r="AE993" s="251"/>
      <c r="AF993" s="251"/>
      <c r="AG993" s="251"/>
      <c r="AH993" s="251"/>
      <c r="AI993" s="251"/>
      <c r="AJ993" s="251"/>
      <c r="AK993" s="251"/>
      <c r="AL993" s="251"/>
      <c r="AM993" s="251"/>
      <c r="AN993" s="251"/>
      <c r="AO993" s="251"/>
      <c r="AP993" s="251"/>
      <c r="AQ993" s="251"/>
      <c r="AR993" s="251"/>
      <c r="AS993" s="251"/>
    </row>
    <row r="994" spans="1:45" s="44" customFormat="1" x14ac:dyDescent="0.2">
      <c r="A994" s="71"/>
      <c r="B994" s="71"/>
      <c r="C994" s="71"/>
      <c r="D994" s="251"/>
      <c r="E994" s="251"/>
      <c r="F994" s="251"/>
      <c r="G994" s="251"/>
      <c r="H994" s="251"/>
      <c r="I994" s="251"/>
      <c r="J994" s="251"/>
      <c r="K994" s="251"/>
      <c r="L994" s="251"/>
      <c r="M994" s="251"/>
      <c r="N994" s="251"/>
      <c r="O994" s="251"/>
      <c r="P994" s="251"/>
      <c r="Q994" s="251"/>
      <c r="R994" s="251"/>
      <c r="S994" s="251"/>
      <c r="T994" s="251"/>
      <c r="U994" s="251"/>
      <c r="V994" s="251"/>
      <c r="W994" s="251"/>
      <c r="X994" s="251"/>
      <c r="Y994" s="251"/>
      <c r="Z994" s="251"/>
      <c r="AA994" s="251"/>
      <c r="AB994" s="251"/>
      <c r="AC994" s="251"/>
      <c r="AD994" s="251"/>
      <c r="AE994" s="251"/>
      <c r="AF994" s="251"/>
      <c r="AG994" s="251"/>
      <c r="AH994" s="251"/>
      <c r="AI994" s="251"/>
      <c r="AJ994" s="251"/>
      <c r="AK994" s="251"/>
      <c r="AL994" s="251"/>
      <c r="AM994" s="251"/>
      <c r="AN994" s="251"/>
      <c r="AO994" s="251"/>
      <c r="AP994" s="251"/>
      <c r="AQ994" s="251"/>
      <c r="AR994" s="251"/>
      <c r="AS994" s="251"/>
    </row>
    <row r="995" spans="1:45" s="44" customFormat="1" x14ac:dyDescent="0.2">
      <c r="A995" s="71"/>
      <c r="B995" s="71"/>
      <c r="C995" s="71"/>
      <c r="D995" s="251"/>
      <c r="E995" s="251"/>
      <c r="F995" s="251"/>
      <c r="G995" s="251"/>
      <c r="H995" s="251"/>
      <c r="I995" s="251"/>
      <c r="J995" s="251"/>
      <c r="K995" s="251"/>
      <c r="L995" s="251"/>
      <c r="M995" s="251"/>
      <c r="N995" s="251"/>
      <c r="O995" s="251"/>
      <c r="P995" s="251"/>
      <c r="Q995" s="251"/>
      <c r="R995" s="251"/>
      <c r="S995" s="251"/>
      <c r="T995" s="251"/>
      <c r="U995" s="251"/>
      <c r="V995" s="251"/>
      <c r="W995" s="251"/>
      <c r="X995" s="251"/>
      <c r="Y995" s="251"/>
      <c r="Z995" s="251"/>
      <c r="AA995" s="251"/>
      <c r="AB995" s="251"/>
      <c r="AC995" s="251"/>
      <c r="AD995" s="251"/>
      <c r="AE995" s="251"/>
      <c r="AF995" s="251"/>
      <c r="AG995" s="251"/>
      <c r="AH995" s="251"/>
      <c r="AI995" s="251"/>
      <c r="AJ995" s="251"/>
      <c r="AK995" s="251"/>
      <c r="AL995" s="251"/>
      <c r="AM995" s="251"/>
      <c r="AN995" s="251"/>
      <c r="AO995" s="251"/>
      <c r="AP995" s="251"/>
      <c r="AQ995" s="251"/>
      <c r="AR995" s="251"/>
      <c r="AS995" s="251"/>
    </row>
    <row r="996" spans="1:45" s="44" customFormat="1" x14ac:dyDescent="0.2">
      <c r="A996" s="71"/>
      <c r="B996" s="71"/>
      <c r="C996" s="71"/>
      <c r="D996" s="251"/>
      <c r="E996" s="251"/>
      <c r="F996" s="251"/>
      <c r="G996" s="251"/>
      <c r="H996" s="251"/>
      <c r="I996" s="251"/>
      <c r="J996" s="251"/>
      <c r="K996" s="251"/>
      <c r="L996" s="251"/>
      <c r="M996" s="251"/>
      <c r="N996" s="251"/>
      <c r="O996" s="251"/>
      <c r="P996" s="251"/>
      <c r="Q996" s="251"/>
      <c r="R996" s="251"/>
      <c r="S996" s="251"/>
      <c r="T996" s="251"/>
      <c r="U996" s="251"/>
      <c r="V996" s="251"/>
      <c r="W996" s="251"/>
      <c r="X996" s="251"/>
      <c r="Y996" s="251"/>
      <c r="Z996" s="251"/>
      <c r="AA996" s="251"/>
      <c r="AB996" s="251"/>
      <c r="AC996" s="251"/>
      <c r="AD996" s="251"/>
      <c r="AE996" s="251"/>
      <c r="AF996" s="251"/>
      <c r="AG996" s="251"/>
      <c r="AH996" s="251"/>
      <c r="AI996" s="251"/>
      <c r="AJ996" s="251"/>
      <c r="AK996" s="251"/>
      <c r="AL996" s="251"/>
      <c r="AM996" s="251"/>
      <c r="AN996" s="251"/>
      <c r="AO996" s="251"/>
      <c r="AP996" s="251"/>
      <c r="AQ996" s="251"/>
      <c r="AR996" s="251"/>
      <c r="AS996" s="251"/>
    </row>
    <row r="997" spans="1:45" s="44" customFormat="1" x14ac:dyDescent="0.2">
      <c r="A997" s="71"/>
      <c r="B997" s="71"/>
      <c r="C997" s="71"/>
      <c r="D997" s="251"/>
      <c r="E997" s="251"/>
      <c r="F997" s="251"/>
      <c r="G997" s="251"/>
      <c r="H997" s="251"/>
      <c r="I997" s="251"/>
      <c r="J997" s="251"/>
      <c r="K997" s="251"/>
      <c r="L997" s="251"/>
      <c r="M997" s="251"/>
      <c r="N997" s="251"/>
      <c r="O997" s="251"/>
      <c r="P997" s="251"/>
      <c r="Q997" s="251"/>
      <c r="R997" s="251"/>
      <c r="S997" s="251"/>
      <c r="T997" s="251"/>
      <c r="U997" s="251"/>
      <c r="V997" s="251"/>
      <c r="W997" s="251"/>
      <c r="X997" s="251"/>
      <c r="Y997" s="251"/>
      <c r="Z997" s="251"/>
      <c r="AA997" s="251"/>
      <c r="AB997" s="251"/>
      <c r="AC997" s="251"/>
      <c r="AD997" s="251"/>
      <c r="AE997" s="251"/>
      <c r="AF997" s="251"/>
      <c r="AG997" s="251"/>
      <c r="AH997" s="251"/>
      <c r="AI997" s="251"/>
      <c r="AJ997" s="251"/>
      <c r="AK997" s="251"/>
      <c r="AL997" s="251"/>
      <c r="AM997" s="251"/>
      <c r="AN997" s="251"/>
      <c r="AO997" s="251"/>
      <c r="AP997" s="251"/>
      <c r="AQ997" s="251"/>
      <c r="AR997" s="251"/>
      <c r="AS997" s="251"/>
    </row>
    <row r="998" spans="1:45" s="44" customFormat="1" x14ac:dyDescent="0.2">
      <c r="A998" s="71"/>
      <c r="B998" s="71"/>
      <c r="C998" s="71"/>
      <c r="D998" s="251"/>
      <c r="E998" s="251"/>
      <c r="F998" s="251"/>
      <c r="G998" s="251"/>
      <c r="H998" s="251"/>
      <c r="I998" s="251"/>
      <c r="J998" s="251"/>
      <c r="K998" s="251"/>
      <c r="L998" s="251"/>
      <c r="M998" s="251"/>
      <c r="N998" s="251"/>
      <c r="O998" s="251"/>
      <c r="P998" s="251"/>
      <c r="Q998" s="251"/>
      <c r="R998" s="251"/>
      <c r="S998" s="251"/>
      <c r="T998" s="251"/>
      <c r="U998" s="251"/>
      <c r="V998" s="251"/>
      <c r="W998" s="251"/>
      <c r="X998" s="251"/>
      <c r="Y998" s="251"/>
      <c r="Z998" s="251"/>
      <c r="AA998" s="251"/>
      <c r="AB998" s="251"/>
      <c r="AC998" s="251"/>
      <c r="AD998" s="251"/>
      <c r="AE998" s="251"/>
      <c r="AF998" s="251"/>
      <c r="AG998" s="251"/>
      <c r="AH998" s="251"/>
      <c r="AI998" s="251"/>
      <c r="AJ998" s="251"/>
      <c r="AK998" s="251"/>
      <c r="AL998" s="251"/>
      <c r="AM998" s="251"/>
      <c r="AN998" s="251"/>
      <c r="AO998" s="251"/>
      <c r="AP998" s="251"/>
      <c r="AQ998" s="251"/>
      <c r="AR998" s="251"/>
      <c r="AS998" s="251"/>
    </row>
    <row r="999" spans="1:45" s="44" customFormat="1" x14ac:dyDescent="0.2">
      <c r="A999" s="71"/>
      <c r="B999" s="71"/>
      <c r="C999" s="71"/>
      <c r="D999" s="251"/>
      <c r="E999" s="251"/>
      <c r="F999" s="251"/>
      <c r="G999" s="251"/>
      <c r="H999" s="251"/>
      <c r="I999" s="251"/>
      <c r="J999" s="251"/>
      <c r="K999" s="251"/>
      <c r="L999" s="251"/>
      <c r="M999" s="251"/>
      <c r="N999" s="251"/>
      <c r="O999" s="251"/>
      <c r="P999" s="251"/>
      <c r="Q999" s="251"/>
      <c r="R999" s="251"/>
      <c r="S999" s="251"/>
      <c r="T999" s="251"/>
      <c r="U999" s="251"/>
      <c r="V999" s="251"/>
      <c r="W999" s="251"/>
      <c r="X999" s="251"/>
      <c r="Y999" s="251"/>
      <c r="Z999" s="251"/>
      <c r="AA999" s="251"/>
      <c r="AB999" s="251"/>
      <c r="AC999" s="251"/>
      <c r="AD999" s="251"/>
      <c r="AE999" s="251"/>
      <c r="AF999" s="251"/>
      <c r="AG999" s="251"/>
      <c r="AH999" s="251"/>
      <c r="AI999" s="251"/>
      <c r="AJ999" s="251"/>
      <c r="AK999" s="251"/>
      <c r="AL999" s="251"/>
      <c r="AM999" s="251"/>
      <c r="AN999" s="251"/>
      <c r="AO999" s="251"/>
      <c r="AP999" s="251"/>
      <c r="AQ999" s="251"/>
      <c r="AR999" s="251"/>
      <c r="AS999" s="251"/>
    </row>
    <row r="1000" spans="1:45" s="44" customFormat="1" x14ac:dyDescent="0.2">
      <c r="A1000" s="71"/>
      <c r="B1000" s="71"/>
      <c r="C1000" s="71"/>
      <c r="D1000" s="251"/>
      <c r="E1000" s="251"/>
      <c r="F1000" s="251"/>
      <c r="G1000" s="251"/>
      <c r="H1000" s="251"/>
      <c r="I1000" s="251"/>
      <c r="J1000" s="251"/>
      <c r="K1000" s="251"/>
      <c r="L1000" s="251"/>
      <c r="M1000" s="251"/>
      <c r="N1000" s="251"/>
      <c r="O1000" s="251"/>
      <c r="P1000" s="251"/>
      <c r="Q1000" s="251"/>
      <c r="R1000" s="251"/>
      <c r="S1000" s="251"/>
      <c r="T1000" s="251"/>
      <c r="U1000" s="251"/>
      <c r="V1000" s="251"/>
      <c r="W1000" s="251"/>
      <c r="X1000" s="251"/>
      <c r="Y1000" s="251"/>
      <c r="Z1000" s="251"/>
      <c r="AA1000" s="251"/>
      <c r="AB1000" s="251"/>
      <c r="AC1000" s="251"/>
      <c r="AD1000" s="251"/>
      <c r="AE1000" s="251"/>
      <c r="AF1000" s="251"/>
      <c r="AG1000" s="251"/>
      <c r="AH1000" s="251"/>
      <c r="AI1000" s="251"/>
      <c r="AJ1000" s="251"/>
      <c r="AK1000" s="251"/>
      <c r="AL1000" s="251"/>
      <c r="AM1000" s="251"/>
      <c r="AN1000" s="251"/>
      <c r="AO1000" s="251"/>
      <c r="AP1000" s="251"/>
      <c r="AQ1000" s="251"/>
      <c r="AR1000" s="251"/>
      <c r="AS1000" s="251"/>
    </row>
    <row r="1001" spans="1:45" s="44" customFormat="1" x14ac:dyDescent="0.2">
      <c r="A1001" s="71"/>
      <c r="B1001" s="71"/>
      <c r="C1001" s="71"/>
      <c r="D1001" s="251"/>
      <c r="E1001" s="251"/>
      <c r="F1001" s="251"/>
      <c r="G1001" s="251"/>
      <c r="H1001" s="251"/>
      <c r="I1001" s="251"/>
      <c r="J1001" s="251"/>
      <c r="K1001" s="251"/>
      <c r="L1001" s="251"/>
      <c r="M1001" s="251"/>
      <c r="N1001" s="251"/>
      <c r="O1001" s="251"/>
      <c r="P1001" s="251"/>
      <c r="Q1001" s="251"/>
      <c r="R1001" s="251"/>
      <c r="S1001" s="251"/>
      <c r="T1001" s="251"/>
      <c r="U1001" s="251"/>
      <c r="V1001" s="251"/>
      <c r="W1001" s="251"/>
      <c r="X1001" s="251"/>
      <c r="Y1001" s="251"/>
      <c r="Z1001" s="251"/>
      <c r="AA1001" s="251"/>
      <c r="AB1001" s="251"/>
      <c r="AC1001" s="251"/>
      <c r="AD1001" s="251"/>
      <c r="AE1001" s="251"/>
      <c r="AF1001" s="251"/>
      <c r="AG1001" s="251"/>
      <c r="AH1001" s="251"/>
      <c r="AI1001" s="251"/>
      <c r="AJ1001" s="251"/>
      <c r="AK1001" s="251"/>
      <c r="AL1001" s="251"/>
      <c r="AM1001" s="251"/>
      <c r="AN1001" s="251"/>
      <c r="AO1001" s="251"/>
      <c r="AP1001" s="251"/>
      <c r="AQ1001" s="251"/>
      <c r="AR1001" s="251"/>
      <c r="AS1001" s="251"/>
    </row>
    <row r="1002" spans="1:45" s="44" customFormat="1" x14ac:dyDescent="0.2">
      <c r="A1002" s="71"/>
      <c r="B1002" s="71"/>
      <c r="C1002" s="71"/>
      <c r="D1002" s="251"/>
      <c r="E1002" s="251"/>
      <c r="F1002" s="251"/>
      <c r="G1002" s="251"/>
      <c r="H1002" s="251"/>
      <c r="I1002" s="251"/>
      <c r="J1002" s="251"/>
      <c r="K1002" s="251"/>
      <c r="L1002" s="251"/>
      <c r="M1002" s="251"/>
      <c r="N1002" s="251"/>
      <c r="O1002" s="251"/>
      <c r="P1002" s="251"/>
      <c r="Q1002" s="251"/>
      <c r="R1002" s="251"/>
      <c r="S1002" s="251"/>
      <c r="T1002" s="251"/>
      <c r="U1002" s="251"/>
      <c r="V1002" s="251"/>
      <c r="W1002" s="251"/>
      <c r="X1002" s="251"/>
      <c r="Y1002" s="251"/>
      <c r="Z1002" s="251"/>
      <c r="AA1002" s="251"/>
      <c r="AB1002" s="251"/>
      <c r="AC1002" s="251"/>
      <c r="AD1002" s="251"/>
      <c r="AE1002" s="251"/>
      <c r="AF1002" s="251"/>
      <c r="AG1002" s="251"/>
      <c r="AH1002" s="251"/>
      <c r="AI1002" s="251"/>
      <c r="AJ1002" s="251"/>
      <c r="AK1002" s="251"/>
      <c r="AL1002" s="251"/>
      <c r="AM1002" s="251"/>
      <c r="AN1002" s="251"/>
      <c r="AO1002" s="251"/>
      <c r="AP1002" s="251"/>
      <c r="AQ1002" s="251"/>
      <c r="AR1002" s="251"/>
      <c r="AS1002" s="251"/>
    </row>
    <row r="1003" spans="1:45" s="44" customFormat="1" x14ac:dyDescent="0.2">
      <c r="A1003" s="71"/>
      <c r="B1003" s="71"/>
      <c r="C1003" s="71"/>
      <c r="D1003" s="251"/>
      <c r="E1003" s="251"/>
      <c r="F1003" s="251"/>
      <c r="G1003" s="251"/>
      <c r="H1003" s="251"/>
      <c r="I1003" s="251"/>
      <c r="J1003" s="251"/>
      <c r="K1003" s="251"/>
      <c r="L1003" s="251"/>
      <c r="M1003" s="251"/>
      <c r="N1003" s="251"/>
      <c r="O1003" s="251"/>
      <c r="P1003" s="251"/>
      <c r="Q1003" s="251"/>
      <c r="R1003" s="251"/>
      <c r="S1003" s="251"/>
      <c r="T1003" s="251"/>
      <c r="U1003" s="251"/>
      <c r="V1003" s="251"/>
      <c r="W1003" s="251"/>
      <c r="X1003" s="251"/>
      <c r="Y1003" s="251"/>
      <c r="Z1003" s="251"/>
      <c r="AA1003" s="251"/>
      <c r="AB1003" s="251"/>
      <c r="AC1003" s="251"/>
      <c r="AD1003" s="251"/>
      <c r="AE1003" s="251"/>
      <c r="AF1003" s="251"/>
      <c r="AG1003" s="251"/>
      <c r="AH1003" s="251"/>
      <c r="AI1003" s="251"/>
      <c r="AJ1003" s="251"/>
      <c r="AK1003" s="251"/>
      <c r="AL1003" s="251"/>
      <c r="AM1003" s="251"/>
      <c r="AN1003" s="251"/>
      <c r="AO1003" s="251"/>
      <c r="AP1003" s="251"/>
      <c r="AQ1003" s="251"/>
      <c r="AR1003" s="251"/>
      <c r="AS1003" s="251"/>
    </row>
    <row r="1004" spans="1:45" s="44" customFormat="1" x14ac:dyDescent="0.2">
      <c r="A1004" s="71"/>
      <c r="B1004" s="71"/>
      <c r="C1004" s="71"/>
      <c r="D1004" s="251"/>
      <c r="E1004" s="251"/>
      <c r="F1004" s="251"/>
      <c r="G1004" s="251"/>
      <c r="H1004" s="251"/>
      <c r="I1004" s="251"/>
      <c r="J1004" s="251"/>
      <c r="K1004" s="251"/>
      <c r="L1004" s="251"/>
      <c r="M1004" s="251"/>
      <c r="N1004" s="251"/>
      <c r="O1004" s="251"/>
      <c r="P1004" s="251"/>
      <c r="Q1004" s="251"/>
      <c r="R1004" s="251"/>
      <c r="S1004" s="251"/>
      <c r="T1004" s="251"/>
      <c r="U1004" s="251"/>
      <c r="V1004" s="251"/>
      <c r="W1004" s="251"/>
      <c r="X1004" s="251"/>
      <c r="Y1004" s="251"/>
      <c r="Z1004" s="251"/>
      <c r="AA1004" s="251"/>
      <c r="AB1004" s="251"/>
      <c r="AC1004" s="251"/>
      <c r="AD1004" s="251"/>
      <c r="AE1004" s="251"/>
      <c r="AF1004" s="251"/>
      <c r="AG1004" s="251"/>
      <c r="AH1004" s="251"/>
      <c r="AI1004" s="251"/>
      <c r="AJ1004" s="251"/>
      <c r="AK1004" s="251"/>
      <c r="AL1004" s="251"/>
      <c r="AM1004" s="251"/>
      <c r="AN1004" s="251"/>
      <c r="AO1004" s="251"/>
      <c r="AP1004" s="251"/>
      <c r="AQ1004" s="251"/>
      <c r="AR1004" s="251"/>
      <c r="AS1004" s="251"/>
    </row>
    <row r="1005" spans="1:45" s="44" customFormat="1" x14ac:dyDescent="0.2">
      <c r="A1005" s="71"/>
      <c r="B1005" s="71"/>
      <c r="C1005" s="71"/>
      <c r="D1005" s="251"/>
      <c r="E1005" s="251"/>
      <c r="F1005" s="251"/>
      <c r="G1005" s="251"/>
      <c r="H1005" s="251"/>
      <c r="I1005" s="251"/>
      <c r="J1005" s="251"/>
      <c r="K1005" s="251"/>
      <c r="L1005" s="251"/>
      <c r="M1005" s="251"/>
      <c r="N1005" s="251"/>
      <c r="O1005" s="251"/>
      <c r="P1005" s="251"/>
      <c r="Q1005" s="251"/>
      <c r="R1005" s="251"/>
      <c r="S1005" s="251"/>
      <c r="T1005" s="251"/>
      <c r="U1005" s="251"/>
      <c r="V1005" s="251"/>
      <c r="W1005" s="251"/>
      <c r="X1005" s="251"/>
      <c r="Y1005" s="251"/>
      <c r="Z1005" s="251"/>
      <c r="AA1005" s="251"/>
      <c r="AB1005" s="251"/>
      <c r="AC1005" s="251"/>
      <c r="AD1005" s="251"/>
      <c r="AE1005" s="251"/>
      <c r="AF1005" s="251"/>
      <c r="AG1005" s="251"/>
      <c r="AH1005" s="251"/>
      <c r="AI1005" s="251"/>
      <c r="AJ1005" s="251"/>
      <c r="AK1005" s="251"/>
      <c r="AL1005" s="251"/>
      <c r="AM1005" s="251"/>
      <c r="AN1005" s="251"/>
      <c r="AO1005" s="251"/>
      <c r="AP1005" s="251"/>
      <c r="AQ1005" s="251"/>
      <c r="AR1005" s="251"/>
      <c r="AS1005" s="251"/>
    </row>
    <row r="1006" spans="1:45" s="44" customFormat="1" x14ac:dyDescent="0.2">
      <c r="A1006" s="71"/>
      <c r="B1006" s="71"/>
      <c r="C1006" s="71"/>
      <c r="D1006" s="251"/>
      <c r="E1006" s="251"/>
      <c r="F1006" s="251"/>
      <c r="G1006" s="251"/>
      <c r="H1006" s="251"/>
      <c r="I1006" s="251"/>
      <c r="J1006" s="251"/>
      <c r="K1006" s="251"/>
      <c r="L1006" s="251"/>
      <c r="M1006" s="251"/>
      <c r="N1006" s="251"/>
      <c r="O1006" s="251"/>
      <c r="P1006" s="251"/>
      <c r="Q1006" s="251"/>
      <c r="R1006" s="251"/>
      <c r="S1006" s="251"/>
      <c r="T1006" s="251"/>
      <c r="U1006" s="251"/>
      <c r="V1006" s="251"/>
      <c r="W1006" s="251"/>
      <c r="X1006" s="251"/>
      <c r="Y1006" s="251"/>
      <c r="Z1006" s="251"/>
      <c r="AA1006" s="251"/>
      <c r="AB1006" s="251"/>
      <c r="AC1006" s="251"/>
      <c r="AD1006" s="251"/>
      <c r="AE1006" s="251"/>
      <c r="AF1006" s="251"/>
      <c r="AG1006" s="251"/>
      <c r="AH1006" s="251"/>
      <c r="AI1006" s="251"/>
      <c r="AJ1006" s="251"/>
      <c r="AK1006" s="251"/>
      <c r="AL1006" s="251"/>
      <c r="AM1006" s="251"/>
      <c r="AN1006" s="251"/>
      <c r="AO1006" s="251"/>
      <c r="AP1006" s="251"/>
      <c r="AQ1006" s="251"/>
      <c r="AR1006" s="251"/>
      <c r="AS1006" s="251"/>
    </row>
    <row r="1007" spans="1:45" s="44" customFormat="1" x14ac:dyDescent="0.2">
      <c r="A1007" s="71"/>
      <c r="B1007" s="71"/>
      <c r="C1007" s="71"/>
      <c r="D1007" s="251"/>
      <c r="E1007" s="251"/>
      <c r="F1007" s="251"/>
      <c r="G1007" s="251"/>
      <c r="H1007" s="251"/>
      <c r="I1007" s="251"/>
      <c r="J1007" s="251"/>
      <c r="K1007" s="251"/>
      <c r="L1007" s="251"/>
      <c r="M1007" s="251"/>
      <c r="N1007" s="251"/>
      <c r="O1007" s="251"/>
      <c r="P1007" s="251"/>
      <c r="Q1007" s="251"/>
      <c r="R1007" s="251"/>
      <c r="S1007" s="251"/>
      <c r="T1007" s="251"/>
      <c r="U1007" s="251"/>
      <c r="V1007" s="251"/>
      <c r="W1007" s="251"/>
      <c r="X1007" s="251"/>
      <c r="Y1007" s="251"/>
      <c r="Z1007" s="251"/>
      <c r="AA1007" s="251"/>
      <c r="AB1007" s="251"/>
      <c r="AC1007" s="251"/>
      <c r="AD1007" s="251"/>
      <c r="AE1007" s="251"/>
      <c r="AF1007" s="251"/>
      <c r="AG1007" s="251"/>
      <c r="AH1007" s="251"/>
      <c r="AI1007" s="251"/>
      <c r="AJ1007" s="251"/>
      <c r="AK1007" s="251"/>
      <c r="AL1007" s="251"/>
      <c r="AM1007" s="251"/>
      <c r="AN1007" s="251"/>
      <c r="AO1007" s="251"/>
      <c r="AP1007" s="251"/>
      <c r="AQ1007" s="251"/>
      <c r="AR1007" s="251"/>
      <c r="AS1007" s="251"/>
    </row>
    <row r="1008" spans="1:45" s="44" customFormat="1" x14ac:dyDescent="0.2">
      <c r="A1008" s="71"/>
      <c r="B1008" s="71"/>
      <c r="C1008" s="71"/>
      <c r="D1008" s="251"/>
      <c r="E1008" s="251"/>
      <c r="F1008" s="251"/>
      <c r="G1008" s="251"/>
      <c r="H1008" s="251"/>
      <c r="I1008" s="251"/>
      <c r="J1008" s="251"/>
      <c r="K1008" s="251"/>
      <c r="L1008" s="251"/>
      <c r="M1008" s="251"/>
      <c r="N1008" s="251"/>
      <c r="O1008" s="251"/>
      <c r="P1008" s="251"/>
      <c r="Q1008" s="251"/>
      <c r="R1008" s="251"/>
      <c r="S1008" s="251"/>
      <c r="T1008" s="251"/>
      <c r="U1008" s="251"/>
      <c r="V1008" s="251"/>
      <c r="W1008" s="251"/>
      <c r="X1008" s="251"/>
      <c r="Y1008" s="251"/>
      <c r="Z1008" s="251"/>
      <c r="AA1008" s="251"/>
      <c r="AB1008" s="251"/>
      <c r="AC1008" s="251"/>
      <c r="AD1008" s="251"/>
      <c r="AE1008" s="251"/>
      <c r="AF1008" s="251"/>
      <c r="AG1008" s="251"/>
      <c r="AH1008" s="251"/>
      <c r="AI1008" s="251"/>
      <c r="AJ1008" s="251"/>
      <c r="AK1008" s="251"/>
      <c r="AL1008" s="251"/>
      <c r="AM1008" s="251"/>
      <c r="AN1008" s="251"/>
      <c r="AO1008" s="251"/>
      <c r="AP1008" s="251"/>
      <c r="AQ1008" s="251"/>
      <c r="AR1008" s="251"/>
      <c r="AS1008" s="251"/>
    </row>
    <row r="1009" spans="1:45" s="44" customFormat="1" x14ac:dyDescent="0.2">
      <c r="A1009" s="71"/>
      <c r="B1009" s="71"/>
      <c r="C1009" s="71"/>
      <c r="D1009" s="251"/>
      <c r="E1009" s="251"/>
      <c r="F1009" s="251"/>
      <c r="G1009" s="251"/>
      <c r="H1009" s="251"/>
      <c r="I1009" s="251"/>
      <c r="J1009" s="251"/>
      <c r="K1009" s="251"/>
      <c r="L1009" s="251"/>
      <c r="M1009" s="251"/>
      <c r="N1009" s="251"/>
      <c r="O1009" s="251"/>
      <c r="P1009" s="251"/>
      <c r="Q1009" s="251"/>
      <c r="R1009" s="251"/>
      <c r="S1009" s="251"/>
      <c r="T1009" s="251"/>
      <c r="U1009" s="251"/>
      <c r="V1009" s="251"/>
      <c r="W1009" s="251"/>
      <c r="X1009" s="251"/>
      <c r="Y1009" s="251"/>
      <c r="Z1009" s="251"/>
      <c r="AA1009" s="251"/>
      <c r="AB1009" s="251"/>
      <c r="AC1009" s="251"/>
      <c r="AD1009" s="251"/>
      <c r="AE1009" s="251"/>
      <c r="AF1009" s="251"/>
      <c r="AG1009" s="251"/>
      <c r="AH1009" s="251"/>
      <c r="AI1009" s="251"/>
      <c r="AJ1009" s="251"/>
      <c r="AK1009" s="251"/>
      <c r="AL1009" s="251"/>
      <c r="AM1009" s="251"/>
      <c r="AN1009" s="251"/>
      <c r="AO1009" s="251"/>
      <c r="AP1009" s="251"/>
      <c r="AQ1009" s="251"/>
      <c r="AR1009" s="251"/>
      <c r="AS1009" s="251"/>
    </row>
    <row r="1010" spans="1:45" s="44" customFormat="1" x14ac:dyDescent="0.2">
      <c r="A1010" s="71"/>
      <c r="B1010" s="71"/>
      <c r="C1010" s="71"/>
      <c r="D1010" s="251"/>
      <c r="E1010" s="251"/>
      <c r="F1010" s="251"/>
      <c r="G1010" s="251"/>
      <c r="H1010" s="251"/>
      <c r="I1010" s="251"/>
      <c r="J1010" s="251"/>
      <c r="K1010" s="251"/>
      <c r="L1010" s="251"/>
      <c r="M1010" s="251"/>
      <c r="N1010" s="251"/>
      <c r="O1010" s="251"/>
      <c r="P1010" s="251"/>
      <c r="Q1010" s="251"/>
      <c r="R1010" s="251"/>
      <c r="S1010" s="251"/>
      <c r="T1010" s="251"/>
      <c r="U1010" s="251"/>
      <c r="V1010" s="251"/>
      <c r="W1010" s="251"/>
      <c r="X1010" s="251"/>
      <c r="Y1010" s="251"/>
      <c r="Z1010" s="251"/>
      <c r="AA1010" s="251"/>
      <c r="AB1010" s="251"/>
      <c r="AC1010" s="251"/>
      <c r="AD1010" s="251"/>
      <c r="AE1010" s="251"/>
      <c r="AF1010" s="251"/>
      <c r="AG1010" s="251"/>
      <c r="AH1010" s="251"/>
      <c r="AI1010" s="251"/>
      <c r="AJ1010" s="251"/>
      <c r="AK1010" s="251"/>
      <c r="AL1010" s="251"/>
      <c r="AM1010" s="251"/>
      <c r="AN1010" s="251"/>
      <c r="AO1010" s="251"/>
      <c r="AP1010" s="251"/>
      <c r="AQ1010" s="251"/>
      <c r="AR1010" s="251"/>
      <c r="AS1010" s="251"/>
    </row>
    <row r="1011" spans="1:45" s="44" customFormat="1" x14ac:dyDescent="0.2">
      <c r="A1011" s="71"/>
      <c r="B1011" s="71"/>
      <c r="C1011" s="71"/>
      <c r="D1011" s="251"/>
      <c r="E1011" s="251"/>
      <c r="F1011" s="251"/>
      <c r="G1011" s="251"/>
      <c r="H1011" s="251"/>
      <c r="I1011" s="251"/>
      <c r="J1011" s="251"/>
      <c r="K1011" s="251"/>
      <c r="L1011" s="251"/>
      <c r="M1011" s="251"/>
      <c r="N1011" s="251"/>
      <c r="O1011" s="251"/>
      <c r="P1011" s="251"/>
      <c r="Q1011" s="251"/>
      <c r="R1011" s="251"/>
      <c r="S1011" s="251"/>
      <c r="T1011" s="251"/>
      <c r="U1011" s="251"/>
      <c r="V1011" s="251"/>
      <c r="W1011" s="251"/>
      <c r="X1011" s="251"/>
      <c r="Y1011" s="251"/>
      <c r="Z1011" s="251"/>
      <c r="AA1011" s="251"/>
      <c r="AB1011" s="251"/>
      <c r="AC1011" s="251"/>
      <c r="AD1011" s="251"/>
      <c r="AE1011" s="251"/>
      <c r="AF1011" s="251"/>
      <c r="AG1011" s="251"/>
      <c r="AH1011" s="251"/>
      <c r="AI1011" s="251"/>
      <c r="AJ1011" s="251"/>
      <c r="AK1011" s="251"/>
      <c r="AL1011" s="251"/>
      <c r="AM1011" s="251"/>
      <c r="AN1011" s="251"/>
      <c r="AO1011" s="251"/>
      <c r="AP1011" s="251"/>
      <c r="AQ1011" s="251"/>
      <c r="AR1011" s="251"/>
      <c r="AS1011" s="251"/>
    </row>
    <row r="1012" spans="1:45" s="44" customFormat="1" x14ac:dyDescent="0.2">
      <c r="A1012" s="71"/>
      <c r="B1012" s="71"/>
      <c r="C1012" s="71"/>
      <c r="D1012" s="251"/>
      <c r="E1012" s="251"/>
      <c r="F1012" s="251"/>
      <c r="G1012" s="251"/>
      <c r="H1012" s="251"/>
      <c r="I1012" s="251"/>
      <c r="J1012" s="251"/>
      <c r="K1012" s="251"/>
      <c r="L1012" s="251"/>
      <c r="M1012" s="251"/>
      <c r="N1012" s="251"/>
      <c r="O1012" s="251"/>
      <c r="P1012" s="251"/>
      <c r="Q1012" s="251"/>
      <c r="R1012" s="251"/>
      <c r="S1012" s="251"/>
      <c r="T1012" s="251"/>
      <c r="U1012" s="251"/>
      <c r="V1012" s="251"/>
      <c r="W1012" s="251"/>
      <c r="X1012" s="251"/>
      <c r="Y1012" s="251"/>
      <c r="Z1012" s="251"/>
      <c r="AA1012" s="251"/>
      <c r="AB1012" s="251"/>
      <c r="AC1012" s="251"/>
      <c r="AD1012" s="251"/>
      <c r="AE1012" s="251"/>
      <c r="AF1012" s="251"/>
      <c r="AG1012" s="251"/>
      <c r="AH1012" s="251"/>
      <c r="AI1012" s="251"/>
      <c r="AJ1012" s="251"/>
      <c r="AK1012" s="251"/>
      <c r="AL1012" s="251"/>
      <c r="AM1012" s="251"/>
      <c r="AN1012" s="251"/>
      <c r="AO1012" s="251"/>
      <c r="AP1012" s="251"/>
      <c r="AQ1012" s="251"/>
      <c r="AR1012" s="251"/>
      <c r="AS1012" s="251"/>
    </row>
    <row r="1013" spans="1:45" s="44" customFormat="1" x14ac:dyDescent="0.2">
      <c r="A1013" s="71"/>
      <c r="B1013" s="71"/>
      <c r="C1013" s="71"/>
      <c r="D1013" s="251"/>
      <c r="E1013" s="251"/>
      <c r="F1013" s="251"/>
      <c r="G1013" s="251"/>
      <c r="H1013" s="251"/>
      <c r="I1013" s="251"/>
      <c r="J1013" s="251"/>
      <c r="K1013" s="251"/>
      <c r="L1013" s="251"/>
      <c r="M1013" s="251"/>
      <c r="N1013" s="251"/>
      <c r="O1013" s="251"/>
      <c r="P1013" s="251"/>
      <c r="Q1013" s="251"/>
      <c r="R1013" s="251"/>
      <c r="S1013" s="251"/>
      <c r="T1013" s="251"/>
      <c r="U1013" s="251"/>
      <c r="V1013" s="251"/>
      <c r="W1013" s="251"/>
      <c r="X1013" s="251"/>
      <c r="Y1013" s="251"/>
      <c r="Z1013" s="251"/>
      <c r="AA1013" s="251"/>
      <c r="AB1013" s="251"/>
      <c r="AC1013" s="251"/>
      <c r="AD1013" s="251"/>
      <c r="AE1013" s="251"/>
      <c r="AF1013" s="251"/>
      <c r="AG1013" s="251"/>
      <c r="AH1013" s="251"/>
      <c r="AI1013" s="251"/>
      <c r="AJ1013" s="251"/>
      <c r="AK1013" s="251"/>
      <c r="AL1013" s="251"/>
      <c r="AM1013" s="251"/>
      <c r="AN1013" s="251"/>
      <c r="AO1013" s="251"/>
      <c r="AP1013" s="251"/>
      <c r="AQ1013" s="251"/>
      <c r="AR1013" s="251"/>
      <c r="AS1013" s="251"/>
    </row>
    <row r="1014" spans="1:45" s="44" customFormat="1" x14ac:dyDescent="0.2">
      <c r="A1014" s="71"/>
      <c r="B1014" s="71"/>
      <c r="C1014" s="71"/>
      <c r="D1014" s="251"/>
      <c r="E1014" s="251"/>
      <c r="F1014" s="251"/>
      <c r="G1014" s="251"/>
      <c r="H1014" s="251"/>
      <c r="I1014" s="251"/>
      <c r="J1014" s="251"/>
      <c r="K1014" s="251"/>
      <c r="L1014" s="251"/>
      <c r="M1014" s="251"/>
      <c r="N1014" s="251"/>
      <c r="O1014" s="251"/>
      <c r="P1014" s="251"/>
      <c r="Q1014" s="251"/>
      <c r="R1014" s="251"/>
      <c r="S1014" s="251"/>
      <c r="T1014" s="251"/>
      <c r="U1014" s="251"/>
      <c r="V1014" s="251"/>
      <c r="W1014" s="251"/>
      <c r="X1014" s="251"/>
      <c r="Y1014" s="251"/>
      <c r="Z1014" s="251"/>
      <c r="AA1014" s="251"/>
      <c r="AB1014" s="251"/>
      <c r="AC1014" s="251"/>
      <c r="AD1014" s="251"/>
      <c r="AE1014" s="251"/>
      <c r="AF1014" s="251"/>
      <c r="AG1014" s="251"/>
      <c r="AH1014" s="251"/>
      <c r="AI1014" s="251"/>
      <c r="AJ1014" s="251"/>
      <c r="AK1014" s="251"/>
      <c r="AL1014" s="251"/>
      <c r="AM1014" s="251"/>
      <c r="AN1014" s="251"/>
      <c r="AO1014" s="251"/>
      <c r="AP1014" s="251"/>
      <c r="AQ1014" s="251"/>
      <c r="AR1014" s="251"/>
      <c r="AS1014" s="251"/>
    </row>
    <row r="1015" spans="1:45" s="44" customFormat="1" x14ac:dyDescent="0.2">
      <c r="A1015" s="71"/>
      <c r="B1015" s="71"/>
      <c r="C1015" s="71"/>
      <c r="D1015" s="251"/>
      <c r="E1015" s="251"/>
      <c r="F1015" s="251"/>
      <c r="G1015" s="251"/>
      <c r="H1015" s="251"/>
      <c r="I1015" s="251"/>
      <c r="J1015" s="251"/>
      <c r="K1015" s="251"/>
      <c r="L1015" s="251"/>
      <c r="M1015" s="251"/>
      <c r="N1015" s="251"/>
      <c r="O1015" s="251"/>
      <c r="P1015" s="251"/>
      <c r="Q1015" s="251"/>
      <c r="R1015" s="251"/>
      <c r="S1015" s="251"/>
      <c r="T1015" s="251"/>
      <c r="U1015" s="251"/>
      <c r="V1015" s="251"/>
      <c r="W1015" s="251"/>
      <c r="X1015" s="251"/>
      <c r="Y1015" s="251"/>
      <c r="Z1015" s="251"/>
      <c r="AA1015" s="251"/>
      <c r="AB1015" s="251"/>
      <c r="AC1015" s="251"/>
      <c r="AD1015" s="251"/>
      <c r="AE1015" s="251"/>
      <c r="AF1015" s="251"/>
      <c r="AG1015" s="251"/>
      <c r="AH1015" s="251"/>
      <c r="AI1015" s="251"/>
      <c r="AJ1015" s="251"/>
      <c r="AK1015" s="251"/>
      <c r="AL1015" s="251"/>
      <c r="AM1015" s="251"/>
      <c r="AN1015" s="251"/>
      <c r="AO1015" s="251"/>
      <c r="AP1015" s="251"/>
      <c r="AQ1015" s="251"/>
      <c r="AR1015" s="251"/>
      <c r="AS1015" s="251"/>
    </row>
    <row r="1016" spans="1:45" s="44" customFormat="1" x14ac:dyDescent="0.2">
      <c r="A1016" s="71"/>
      <c r="B1016" s="71"/>
      <c r="C1016" s="71"/>
      <c r="D1016" s="251"/>
      <c r="E1016" s="251"/>
      <c r="F1016" s="251"/>
      <c r="G1016" s="251"/>
      <c r="H1016" s="251"/>
      <c r="I1016" s="251"/>
      <c r="J1016" s="251"/>
      <c r="K1016" s="251"/>
      <c r="L1016" s="251"/>
      <c r="M1016" s="251"/>
      <c r="N1016" s="251"/>
      <c r="O1016" s="251"/>
      <c r="P1016" s="251"/>
      <c r="Q1016" s="251"/>
      <c r="R1016" s="251"/>
      <c r="S1016" s="251"/>
      <c r="T1016" s="251"/>
      <c r="U1016" s="251"/>
      <c r="V1016" s="251"/>
      <c r="W1016" s="251"/>
      <c r="X1016" s="251"/>
      <c r="Y1016" s="251"/>
      <c r="Z1016" s="251"/>
      <c r="AA1016" s="251"/>
      <c r="AB1016" s="251"/>
      <c r="AC1016" s="251"/>
      <c r="AD1016" s="251"/>
      <c r="AE1016" s="251"/>
      <c r="AF1016" s="251"/>
      <c r="AG1016" s="251"/>
      <c r="AH1016" s="251"/>
      <c r="AI1016" s="251"/>
      <c r="AJ1016" s="251"/>
      <c r="AK1016" s="251"/>
      <c r="AL1016" s="251"/>
      <c r="AM1016" s="251"/>
      <c r="AN1016" s="251"/>
      <c r="AO1016" s="251"/>
      <c r="AP1016" s="251"/>
      <c r="AQ1016" s="251"/>
      <c r="AR1016" s="251"/>
      <c r="AS1016" s="251"/>
    </row>
  </sheetData>
  <dataValidations count="2">
    <dataValidation type="custom" allowBlank="1" showInputMessage="1" showErrorMessage="1" sqref="AD2:AD1048576 A336:C1048576 AE1:XFD1048576 D1:AC1048576">
      <formula1>$AD$1="Unlock"</formula1>
    </dataValidation>
    <dataValidation type="custom" allowBlank="1" showInputMessage="1" showErrorMessage="1" sqref="A1:C335">
      <formula1>$AD$1="UNLOCK"</formula1>
    </dataValidation>
  </dataValidations>
  <pageMargins left="0.39370078740157483" right="0.39370078740157483" top="0.39370078740157483" bottom="0.39370078740157483" header="0.51181102362204722" footer="0.51181102362204722"/>
  <pageSetup paperSize="8" scale="37" fitToWidth="2" fitToHeight="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Z335"/>
  <sheetViews>
    <sheetView workbookViewId="0">
      <pane xSplit="2" ySplit="5" topLeftCell="C6" activePane="bottomRight" state="frozen"/>
      <selection sqref="A1:J1"/>
      <selection pane="topRight" sqref="A1:J1"/>
      <selection pane="bottomLeft" sqref="A1:J1"/>
      <selection pane="bottomRight" sqref="A1:J1"/>
    </sheetView>
  </sheetViews>
  <sheetFormatPr defaultColWidth="9.140625" defaultRowHeight="15.75" x14ac:dyDescent="0.25"/>
  <cols>
    <col min="1" max="1" width="7.5703125" style="254" customWidth="1"/>
    <col min="2" max="2" width="28.42578125" style="254" bestFit="1" customWidth="1"/>
    <col min="3" max="3" width="8.85546875" style="256" customWidth="1"/>
    <col min="4" max="4" width="8.7109375" style="256" customWidth="1"/>
    <col min="5" max="5" width="23.28515625" style="254" bestFit="1" customWidth="1"/>
    <col min="6" max="6" width="9.85546875" style="256" customWidth="1"/>
    <col min="7" max="7" width="6.85546875" style="256" bestFit="1" customWidth="1"/>
    <col min="8" max="8" width="33" style="254" bestFit="1" customWidth="1"/>
    <col min="9" max="9" width="8.85546875" style="256" customWidth="1"/>
    <col min="10" max="10" width="6.42578125" style="254" customWidth="1"/>
    <col min="11" max="11" width="9.140625" style="215"/>
    <col min="12" max="12" width="11.42578125" style="260" customWidth="1"/>
    <col min="13" max="14" width="35" style="259" customWidth="1"/>
    <col min="15" max="15" width="15.7109375" style="258" customWidth="1"/>
    <col min="16" max="16" width="15.7109375" style="257" customWidth="1"/>
    <col min="17" max="17" width="8" style="256" customWidth="1"/>
    <col min="18" max="19" width="16.7109375" style="255" customWidth="1"/>
    <col min="20" max="20" width="12.85546875" style="254" customWidth="1"/>
    <col min="21" max="21" width="10.85546875" style="254" customWidth="1"/>
    <col min="22" max="16384" width="9.140625" style="254"/>
  </cols>
  <sheetData>
    <row r="1" spans="1:104" x14ac:dyDescent="0.25">
      <c r="A1" s="933" t="s">
        <v>941</v>
      </c>
      <c r="B1" s="933"/>
      <c r="C1" s="933"/>
      <c r="D1" s="933"/>
      <c r="E1" s="933"/>
      <c r="F1" s="933"/>
      <c r="G1" s="933"/>
      <c r="H1" s="933"/>
      <c r="I1" s="933"/>
      <c r="J1" s="933"/>
      <c r="L1" s="279"/>
      <c r="M1" s="278"/>
      <c r="N1" s="278"/>
      <c r="O1" s="269"/>
      <c r="P1" s="287"/>
      <c r="Q1" s="310"/>
      <c r="R1" s="313"/>
      <c r="S1" s="313"/>
      <c r="T1" s="309"/>
      <c r="CZ1" s="587" t="s">
        <v>1068</v>
      </c>
    </row>
    <row r="2" spans="1:104" x14ac:dyDescent="0.25">
      <c r="A2" s="311"/>
      <c r="B2" s="311"/>
      <c r="C2" s="312"/>
      <c r="D2" s="312"/>
      <c r="E2" s="312"/>
      <c r="F2" s="312"/>
      <c r="G2" s="312"/>
      <c r="H2" s="311"/>
      <c r="I2" s="312"/>
      <c r="J2" s="311"/>
      <c r="L2" s="279"/>
      <c r="M2" s="278"/>
      <c r="N2" s="278"/>
      <c r="O2" s="269"/>
      <c r="P2" s="287"/>
      <c r="Q2" s="310"/>
      <c r="R2" s="280"/>
      <c r="S2" s="280"/>
      <c r="T2" s="309"/>
    </row>
    <row r="3" spans="1:104" s="301" customFormat="1" thickBot="1" x14ac:dyDescent="0.3">
      <c r="A3" s="308">
        <v>1</v>
      </c>
      <c r="B3" s="308">
        <v>2</v>
      </c>
      <c r="C3" s="308">
        <v>3</v>
      </c>
      <c r="D3" s="308">
        <v>4</v>
      </c>
      <c r="E3" s="308">
        <v>5</v>
      </c>
      <c r="F3" s="308">
        <v>6</v>
      </c>
      <c r="G3" s="308">
        <v>7</v>
      </c>
      <c r="H3" s="308">
        <v>8</v>
      </c>
      <c r="I3" s="308">
        <v>9</v>
      </c>
      <c r="J3" s="308">
        <v>10</v>
      </c>
      <c r="K3" s="307"/>
      <c r="L3" s="306">
        <v>12</v>
      </c>
      <c r="M3" s="306">
        <v>13</v>
      </c>
      <c r="N3" s="306">
        <v>14</v>
      </c>
      <c r="O3" s="305">
        <v>15</v>
      </c>
      <c r="P3" s="305">
        <v>16</v>
      </c>
      <c r="Q3" s="304">
        <v>17</v>
      </c>
      <c r="R3" s="303">
        <v>18</v>
      </c>
      <c r="S3" s="303">
        <v>19</v>
      </c>
      <c r="T3" s="302">
        <v>20</v>
      </c>
    </row>
    <row r="4" spans="1:104" s="283" customFormat="1" ht="39" x14ac:dyDescent="0.25">
      <c r="A4" s="300" t="s">
        <v>22</v>
      </c>
      <c r="B4" s="300" t="s">
        <v>940</v>
      </c>
      <c r="C4" s="299" t="s">
        <v>939</v>
      </c>
      <c r="D4" s="299" t="s">
        <v>22</v>
      </c>
      <c r="E4" s="300" t="s">
        <v>938</v>
      </c>
      <c r="F4" s="299" t="s">
        <v>937</v>
      </c>
      <c r="G4" s="299" t="s">
        <v>22</v>
      </c>
      <c r="H4" s="300" t="s">
        <v>936</v>
      </c>
      <c r="I4" s="299" t="s">
        <v>935</v>
      </c>
      <c r="J4" s="298" t="s">
        <v>934</v>
      </c>
      <c r="K4" s="215"/>
      <c r="L4" s="297" t="s">
        <v>933</v>
      </c>
      <c r="M4" s="931" t="s">
        <v>932</v>
      </c>
      <c r="N4" s="931"/>
      <c r="O4" s="296" t="s">
        <v>931</v>
      </c>
      <c r="P4" s="295" t="s">
        <v>930</v>
      </c>
      <c r="Q4" s="294" t="s">
        <v>929</v>
      </c>
      <c r="R4" s="932" t="s">
        <v>928</v>
      </c>
      <c r="S4" s="932"/>
      <c r="T4" s="293" t="s">
        <v>927</v>
      </c>
    </row>
    <row r="5" spans="1:104" s="283" customFormat="1" x14ac:dyDescent="0.25">
      <c r="A5" s="292"/>
      <c r="B5" s="292"/>
      <c r="C5" s="291"/>
      <c r="D5" s="291"/>
      <c r="E5" s="292"/>
      <c r="F5" s="291"/>
      <c r="G5" s="291"/>
      <c r="H5" s="292"/>
      <c r="I5" s="291"/>
      <c r="J5" s="290"/>
      <c r="K5" s="289"/>
      <c r="L5" s="288"/>
      <c r="M5" s="278"/>
      <c r="N5" s="278"/>
      <c r="O5" s="269"/>
      <c r="P5" s="287"/>
      <c r="Q5" s="286"/>
      <c r="R5" s="285"/>
      <c r="S5" s="285"/>
      <c r="T5" s="284"/>
    </row>
    <row r="6" spans="1:104" x14ac:dyDescent="0.25">
      <c r="A6" s="272" t="s">
        <v>94</v>
      </c>
      <c r="B6" s="275" t="s">
        <v>93</v>
      </c>
      <c r="C6" s="265">
        <v>0.4</v>
      </c>
      <c r="D6" s="273" t="s">
        <v>764</v>
      </c>
      <c r="E6" s="274" t="s">
        <v>763</v>
      </c>
      <c r="F6" s="265">
        <v>0.1</v>
      </c>
      <c r="G6" s="273" t="s">
        <v>748</v>
      </c>
      <c r="H6" s="272" t="s">
        <v>762</v>
      </c>
      <c r="I6" s="265">
        <v>0</v>
      </c>
      <c r="J6" s="271">
        <f t="shared" ref="J6:J69" si="0">+C6+F6+I6</f>
        <v>0.5</v>
      </c>
      <c r="K6" s="270"/>
      <c r="L6" s="279" t="s">
        <v>1031</v>
      </c>
      <c r="M6" s="279" t="s">
        <v>1031</v>
      </c>
      <c r="N6" s="279" t="s">
        <v>1031</v>
      </c>
      <c r="O6" s="268" t="s">
        <v>1031</v>
      </c>
      <c r="P6" s="268">
        <v>0</v>
      </c>
      <c r="Q6" s="277" t="s">
        <v>1031</v>
      </c>
      <c r="R6" s="267">
        <v>0</v>
      </c>
      <c r="S6" s="267">
        <v>0</v>
      </c>
      <c r="T6" s="276" t="s">
        <v>1031</v>
      </c>
    </row>
    <row r="7" spans="1:104" x14ac:dyDescent="0.25">
      <c r="A7" s="272" t="s">
        <v>96</v>
      </c>
      <c r="B7" s="275" t="s">
        <v>95</v>
      </c>
      <c r="C7" s="265">
        <v>0.4</v>
      </c>
      <c r="D7" s="273" t="s">
        <v>851</v>
      </c>
      <c r="E7" s="274" t="s">
        <v>850</v>
      </c>
      <c r="F7" s="265">
        <v>0.1</v>
      </c>
      <c r="G7" s="273" t="s">
        <v>748</v>
      </c>
      <c r="H7" s="272" t="s">
        <v>762</v>
      </c>
      <c r="I7" s="265">
        <v>0</v>
      </c>
      <c r="J7" s="271">
        <f t="shared" si="0"/>
        <v>0.5</v>
      </c>
      <c r="K7" s="270"/>
      <c r="L7" s="279" t="s">
        <v>1031</v>
      </c>
      <c r="M7" s="279" t="s">
        <v>1031</v>
      </c>
      <c r="N7" s="279" t="s">
        <v>1031</v>
      </c>
      <c r="O7" s="268" t="s">
        <v>1031</v>
      </c>
      <c r="P7" s="268">
        <v>0</v>
      </c>
      <c r="Q7" s="277" t="s">
        <v>1031</v>
      </c>
      <c r="R7" s="267">
        <v>0</v>
      </c>
      <c r="S7" s="267">
        <v>0</v>
      </c>
      <c r="T7" s="276" t="s">
        <v>1031</v>
      </c>
    </row>
    <row r="8" spans="1:104" x14ac:dyDescent="0.25">
      <c r="A8" s="272" t="s">
        <v>98</v>
      </c>
      <c r="B8" s="275" t="s">
        <v>97</v>
      </c>
      <c r="C8" s="265">
        <v>0.4</v>
      </c>
      <c r="D8" s="273" t="s">
        <v>858</v>
      </c>
      <c r="E8" s="274" t="s">
        <v>857</v>
      </c>
      <c r="F8" s="265">
        <v>0.09</v>
      </c>
      <c r="G8" s="273" t="s">
        <v>856</v>
      </c>
      <c r="H8" s="272" t="s">
        <v>855</v>
      </c>
      <c r="I8" s="265">
        <v>0.01</v>
      </c>
      <c r="J8" s="271">
        <f t="shared" si="0"/>
        <v>0.5</v>
      </c>
      <c r="K8" s="270"/>
      <c r="L8" s="279" t="s">
        <v>1031</v>
      </c>
      <c r="M8" s="279" t="s">
        <v>1031</v>
      </c>
      <c r="N8" s="279" t="s">
        <v>1031</v>
      </c>
      <c r="O8" s="268" t="s">
        <v>1031</v>
      </c>
      <c r="P8" s="268">
        <v>0</v>
      </c>
      <c r="Q8" s="277" t="s">
        <v>1031</v>
      </c>
      <c r="R8" s="267">
        <v>0</v>
      </c>
      <c r="S8" s="267">
        <v>0</v>
      </c>
      <c r="T8" s="276" t="s">
        <v>1031</v>
      </c>
    </row>
    <row r="9" spans="1:104" x14ac:dyDescent="0.25">
      <c r="A9" s="272" t="s">
        <v>100</v>
      </c>
      <c r="B9" s="275" t="s">
        <v>99</v>
      </c>
      <c r="C9" s="265">
        <v>0.4</v>
      </c>
      <c r="D9" s="273" t="s">
        <v>764</v>
      </c>
      <c r="E9" s="274" t="s">
        <v>763</v>
      </c>
      <c r="F9" s="265">
        <v>0.1</v>
      </c>
      <c r="G9" s="273" t="s">
        <v>748</v>
      </c>
      <c r="H9" s="272" t="s">
        <v>762</v>
      </c>
      <c r="I9" s="265">
        <v>0</v>
      </c>
      <c r="J9" s="271">
        <f t="shared" si="0"/>
        <v>0.5</v>
      </c>
      <c r="K9" s="270"/>
      <c r="L9" s="279" t="s">
        <v>1031</v>
      </c>
      <c r="M9" s="279" t="s">
        <v>1031</v>
      </c>
      <c r="N9" s="279" t="s">
        <v>1031</v>
      </c>
      <c r="O9" s="268" t="s">
        <v>1031</v>
      </c>
      <c r="P9" s="268">
        <v>0</v>
      </c>
      <c r="Q9" s="277" t="s">
        <v>1031</v>
      </c>
      <c r="R9" s="267">
        <v>0</v>
      </c>
      <c r="S9" s="267">
        <v>0</v>
      </c>
      <c r="T9" s="276" t="s">
        <v>1031</v>
      </c>
    </row>
    <row r="10" spans="1:104" x14ac:dyDescent="0.25">
      <c r="A10" s="272" t="s">
        <v>102</v>
      </c>
      <c r="B10" s="275" t="s">
        <v>101</v>
      </c>
      <c r="C10" s="265">
        <v>0.4</v>
      </c>
      <c r="D10" s="273" t="s">
        <v>874</v>
      </c>
      <c r="E10" s="274" t="s">
        <v>873</v>
      </c>
      <c r="F10" s="265">
        <v>0.09</v>
      </c>
      <c r="G10" s="273" t="s">
        <v>872</v>
      </c>
      <c r="H10" s="272" t="s">
        <v>871</v>
      </c>
      <c r="I10" s="265">
        <v>0.01</v>
      </c>
      <c r="J10" s="271">
        <f t="shared" si="0"/>
        <v>0.5</v>
      </c>
      <c r="L10" s="279" t="s">
        <v>1031</v>
      </c>
      <c r="M10" s="279" t="s">
        <v>1031</v>
      </c>
      <c r="N10" s="279" t="s">
        <v>1031</v>
      </c>
      <c r="O10" s="268" t="s">
        <v>1031</v>
      </c>
      <c r="P10" s="268">
        <v>0</v>
      </c>
      <c r="Q10" s="277" t="s">
        <v>1031</v>
      </c>
      <c r="R10" s="267">
        <v>0</v>
      </c>
      <c r="S10" s="267">
        <v>0</v>
      </c>
      <c r="T10" s="276" t="s">
        <v>1031</v>
      </c>
    </row>
    <row r="11" spans="1:104" x14ac:dyDescent="0.25">
      <c r="A11" s="272" t="s">
        <v>104</v>
      </c>
      <c r="B11" s="281" t="s">
        <v>103</v>
      </c>
      <c r="C11" s="265">
        <v>0.4</v>
      </c>
      <c r="D11" s="273" t="s">
        <v>826</v>
      </c>
      <c r="E11" s="274" t="s">
        <v>825</v>
      </c>
      <c r="F11" s="265">
        <v>0.09</v>
      </c>
      <c r="G11" s="273" t="s">
        <v>824</v>
      </c>
      <c r="H11" s="272" t="s">
        <v>823</v>
      </c>
      <c r="I11" s="265">
        <v>0.01</v>
      </c>
      <c r="J11" s="271">
        <f t="shared" si="0"/>
        <v>0.5</v>
      </c>
      <c r="K11" s="270"/>
      <c r="L11" s="279" t="s">
        <v>1031</v>
      </c>
      <c r="M11" s="279" t="s">
        <v>1031</v>
      </c>
      <c r="N11" s="279" t="s">
        <v>1031</v>
      </c>
      <c r="O11" s="268" t="s">
        <v>1032</v>
      </c>
      <c r="P11" s="268">
        <v>1535866</v>
      </c>
      <c r="Q11" s="277" t="s">
        <v>1031</v>
      </c>
      <c r="R11" s="267">
        <v>0</v>
      </c>
      <c r="S11" s="267">
        <v>0</v>
      </c>
      <c r="T11" s="276" t="s">
        <v>1031</v>
      </c>
    </row>
    <row r="12" spans="1:104" x14ac:dyDescent="0.25">
      <c r="A12" s="272" t="s">
        <v>106</v>
      </c>
      <c r="B12" s="275" t="s">
        <v>105</v>
      </c>
      <c r="C12" s="265">
        <v>0.4</v>
      </c>
      <c r="D12" s="273" t="s">
        <v>761</v>
      </c>
      <c r="E12" s="274" t="s">
        <v>760</v>
      </c>
      <c r="F12" s="265">
        <v>0.09</v>
      </c>
      <c r="G12" s="273" t="s">
        <v>759</v>
      </c>
      <c r="H12" s="272" t="s">
        <v>758</v>
      </c>
      <c r="I12" s="265">
        <v>0.01</v>
      </c>
      <c r="J12" s="271">
        <f t="shared" si="0"/>
        <v>0.5</v>
      </c>
      <c r="K12" s="270"/>
      <c r="L12" s="279" t="s">
        <v>1031</v>
      </c>
      <c r="M12" s="279" t="s">
        <v>1031</v>
      </c>
      <c r="N12" s="279" t="s">
        <v>1031</v>
      </c>
      <c r="O12" s="268" t="s">
        <v>1031</v>
      </c>
      <c r="P12" s="268">
        <v>0</v>
      </c>
      <c r="Q12" s="277" t="s">
        <v>1031</v>
      </c>
      <c r="R12" s="267">
        <v>0</v>
      </c>
      <c r="S12" s="267">
        <v>0</v>
      </c>
      <c r="T12" s="276" t="s">
        <v>1031</v>
      </c>
    </row>
    <row r="13" spans="1:104" x14ac:dyDescent="0.25">
      <c r="A13" s="272" t="s">
        <v>108</v>
      </c>
      <c r="B13" s="275" t="s">
        <v>107</v>
      </c>
      <c r="C13" s="265">
        <v>0.4</v>
      </c>
      <c r="D13" s="273" t="s">
        <v>811</v>
      </c>
      <c r="E13" s="274" t="s">
        <v>810</v>
      </c>
      <c r="F13" s="265">
        <v>0.1</v>
      </c>
      <c r="G13" s="273" t="s">
        <v>748</v>
      </c>
      <c r="H13" s="272" t="s">
        <v>762</v>
      </c>
      <c r="I13" s="265">
        <v>0</v>
      </c>
      <c r="J13" s="271">
        <f t="shared" si="0"/>
        <v>0.5</v>
      </c>
      <c r="K13" s="270"/>
      <c r="L13" s="279" t="s">
        <v>1031</v>
      </c>
      <c r="M13" s="279" t="s">
        <v>1031</v>
      </c>
      <c r="N13" s="279" t="s">
        <v>1031</v>
      </c>
      <c r="O13" s="268" t="s">
        <v>1031</v>
      </c>
      <c r="P13" s="268">
        <v>0</v>
      </c>
      <c r="Q13" s="277" t="s">
        <v>1031</v>
      </c>
      <c r="R13" s="267">
        <v>0</v>
      </c>
      <c r="S13" s="267">
        <v>0</v>
      </c>
      <c r="T13" s="276" t="s">
        <v>1031</v>
      </c>
    </row>
    <row r="14" spans="1:104" x14ac:dyDescent="0.25">
      <c r="A14" s="272" t="s">
        <v>110</v>
      </c>
      <c r="B14" s="275" t="s">
        <v>926</v>
      </c>
      <c r="C14" s="265">
        <v>0.3</v>
      </c>
      <c r="D14" s="273" t="s">
        <v>790</v>
      </c>
      <c r="E14" s="274" t="s">
        <v>789</v>
      </c>
      <c r="F14" s="265">
        <v>0.2</v>
      </c>
      <c r="G14" s="273" t="s">
        <v>748</v>
      </c>
      <c r="H14" s="274" t="s">
        <v>748</v>
      </c>
      <c r="I14" s="265">
        <v>0</v>
      </c>
      <c r="J14" s="271">
        <f t="shared" si="0"/>
        <v>0.5</v>
      </c>
      <c r="K14" s="270"/>
      <c r="L14" s="279" t="s">
        <v>1031</v>
      </c>
      <c r="M14" s="279" t="s">
        <v>1031</v>
      </c>
      <c r="N14" s="279" t="s">
        <v>1031</v>
      </c>
      <c r="O14" s="268" t="s">
        <v>1032</v>
      </c>
      <c r="P14" s="268">
        <v>3840000</v>
      </c>
      <c r="Q14" s="277" t="s">
        <v>1032</v>
      </c>
      <c r="R14" s="267">
        <v>0</v>
      </c>
      <c r="S14" s="267">
        <v>0</v>
      </c>
      <c r="T14" s="276" t="s">
        <v>1032</v>
      </c>
    </row>
    <row r="15" spans="1:104" x14ac:dyDescent="0.25">
      <c r="A15" s="272" t="s">
        <v>112</v>
      </c>
      <c r="B15" s="275" t="s">
        <v>111</v>
      </c>
      <c r="C15" s="265">
        <v>0.3</v>
      </c>
      <c r="D15" s="273" t="s">
        <v>790</v>
      </c>
      <c r="E15" s="274" t="s">
        <v>789</v>
      </c>
      <c r="F15" s="265">
        <v>0.2</v>
      </c>
      <c r="G15" s="273" t="s">
        <v>748</v>
      </c>
      <c r="H15" s="274" t="s">
        <v>748</v>
      </c>
      <c r="I15" s="265">
        <v>0</v>
      </c>
      <c r="J15" s="271">
        <f t="shared" si="0"/>
        <v>0.5</v>
      </c>
      <c r="K15" s="270"/>
      <c r="L15" s="279" t="s">
        <v>1031</v>
      </c>
      <c r="M15" s="279" t="s">
        <v>1031</v>
      </c>
      <c r="N15" s="279" t="s">
        <v>1031</v>
      </c>
      <c r="O15" s="268" t="s">
        <v>1031</v>
      </c>
      <c r="P15" s="268">
        <v>0</v>
      </c>
      <c r="Q15" s="277" t="s">
        <v>1032</v>
      </c>
      <c r="R15" s="267">
        <v>0</v>
      </c>
      <c r="S15" s="267">
        <v>0</v>
      </c>
      <c r="T15" s="276" t="s">
        <v>1032</v>
      </c>
    </row>
    <row r="16" spans="1:104" x14ac:dyDescent="0.25">
      <c r="A16" s="272" t="s">
        <v>114</v>
      </c>
      <c r="B16" s="275" t="s">
        <v>113</v>
      </c>
      <c r="C16" s="265">
        <v>0.49</v>
      </c>
      <c r="D16" s="273" t="s">
        <v>748</v>
      </c>
      <c r="E16" s="274" t="s">
        <v>767</v>
      </c>
      <c r="F16" s="265">
        <v>0</v>
      </c>
      <c r="G16" s="273" t="s">
        <v>865</v>
      </c>
      <c r="H16" s="272" t="s">
        <v>864</v>
      </c>
      <c r="I16" s="265">
        <v>0.01</v>
      </c>
      <c r="J16" s="271">
        <f t="shared" si="0"/>
        <v>0.5</v>
      </c>
      <c r="K16" s="270"/>
      <c r="L16" s="279" t="s">
        <v>1032</v>
      </c>
      <c r="M16" s="279" t="s">
        <v>1033</v>
      </c>
      <c r="N16" s="279" t="s">
        <v>1031</v>
      </c>
      <c r="O16" s="268" t="s">
        <v>1031</v>
      </c>
      <c r="P16" s="268">
        <v>0</v>
      </c>
      <c r="Q16" s="277" t="s">
        <v>1032</v>
      </c>
      <c r="R16" s="267">
        <v>89102</v>
      </c>
      <c r="S16" s="267">
        <v>0</v>
      </c>
      <c r="T16" s="276" t="s">
        <v>1032</v>
      </c>
    </row>
    <row r="17" spans="1:20" ht="15.75" customHeight="1" x14ac:dyDescent="0.25">
      <c r="A17" s="272" t="s">
        <v>116</v>
      </c>
      <c r="B17" s="275" t="s">
        <v>115</v>
      </c>
      <c r="C17" s="265">
        <v>0.4</v>
      </c>
      <c r="D17" s="273" t="s">
        <v>851</v>
      </c>
      <c r="E17" s="274" t="s">
        <v>850</v>
      </c>
      <c r="F17" s="265">
        <v>0.1</v>
      </c>
      <c r="G17" s="273" t="s">
        <v>748</v>
      </c>
      <c r="H17" s="272" t="s">
        <v>762</v>
      </c>
      <c r="I17" s="265">
        <v>0</v>
      </c>
      <c r="J17" s="271">
        <f t="shared" si="0"/>
        <v>0.5</v>
      </c>
      <c r="K17" s="270"/>
      <c r="L17" s="279" t="s">
        <v>1031</v>
      </c>
      <c r="M17" s="279" t="s">
        <v>1031</v>
      </c>
      <c r="N17" s="279" t="s">
        <v>1031</v>
      </c>
      <c r="O17" s="268" t="s">
        <v>1031</v>
      </c>
      <c r="P17" s="268">
        <v>0</v>
      </c>
      <c r="Q17" s="277" t="s">
        <v>1031</v>
      </c>
      <c r="R17" s="267">
        <v>0</v>
      </c>
      <c r="S17" s="267">
        <v>0</v>
      </c>
      <c r="T17" s="276" t="s">
        <v>1031</v>
      </c>
    </row>
    <row r="18" spans="1:20" ht="15.75" customHeight="1" x14ac:dyDescent="0.25">
      <c r="A18" s="272" t="s">
        <v>118</v>
      </c>
      <c r="B18" s="275" t="s">
        <v>117</v>
      </c>
      <c r="C18" s="265">
        <v>0.4</v>
      </c>
      <c r="D18" s="273" t="s">
        <v>822</v>
      </c>
      <c r="E18" s="274" t="s">
        <v>821</v>
      </c>
      <c r="F18" s="265">
        <v>0.09</v>
      </c>
      <c r="G18" s="273" t="s">
        <v>820</v>
      </c>
      <c r="H18" s="272" t="s">
        <v>819</v>
      </c>
      <c r="I18" s="265">
        <v>0.01</v>
      </c>
      <c r="J18" s="271">
        <f t="shared" si="0"/>
        <v>0.5</v>
      </c>
      <c r="K18" s="270"/>
      <c r="L18" s="279" t="s">
        <v>1031</v>
      </c>
      <c r="M18" s="279" t="s">
        <v>1031</v>
      </c>
      <c r="N18" s="279" t="s">
        <v>1031</v>
      </c>
      <c r="O18" s="268" t="s">
        <v>1031</v>
      </c>
      <c r="P18" s="268">
        <v>0</v>
      </c>
      <c r="Q18" s="277" t="s">
        <v>1031</v>
      </c>
      <c r="R18" s="267">
        <v>0</v>
      </c>
      <c r="S18" s="267">
        <v>0</v>
      </c>
      <c r="T18" s="276" t="s">
        <v>1031</v>
      </c>
    </row>
    <row r="19" spans="1:20" ht="15.75" customHeight="1" x14ac:dyDescent="0.25">
      <c r="A19" s="272" t="s">
        <v>120</v>
      </c>
      <c r="B19" s="275" t="s">
        <v>119</v>
      </c>
      <c r="C19" s="265">
        <v>0.4</v>
      </c>
      <c r="D19" s="273" t="s">
        <v>779</v>
      </c>
      <c r="E19" s="274" t="s">
        <v>778</v>
      </c>
      <c r="F19" s="265">
        <v>0.09</v>
      </c>
      <c r="G19" s="273" t="s">
        <v>777</v>
      </c>
      <c r="H19" s="272" t="s">
        <v>776</v>
      </c>
      <c r="I19" s="265">
        <v>0.01</v>
      </c>
      <c r="J19" s="271">
        <f t="shared" si="0"/>
        <v>0.5</v>
      </c>
      <c r="K19" s="270"/>
      <c r="L19" s="279" t="s">
        <v>1031</v>
      </c>
      <c r="M19" s="279" t="s">
        <v>1031</v>
      </c>
      <c r="N19" s="279" t="s">
        <v>1031</v>
      </c>
      <c r="O19" s="268" t="s">
        <v>1031</v>
      </c>
      <c r="P19" s="268">
        <v>0</v>
      </c>
      <c r="Q19" s="277" t="s">
        <v>1031</v>
      </c>
      <c r="R19" s="267">
        <v>0</v>
      </c>
      <c r="S19" s="267">
        <v>0</v>
      </c>
      <c r="T19" s="276" t="s">
        <v>1031</v>
      </c>
    </row>
    <row r="20" spans="1:20" ht="15.75" customHeight="1" x14ac:dyDescent="0.25">
      <c r="A20" s="272" t="s">
        <v>122</v>
      </c>
      <c r="B20" s="275" t="s">
        <v>121</v>
      </c>
      <c r="C20" s="265">
        <v>0.4</v>
      </c>
      <c r="D20" s="273" t="s">
        <v>874</v>
      </c>
      <c r="E20" s="274" t="s">
        <v>873</v>
      </c>
      <c r="F20" s="265">
        <v>0.09</v>
      </c>
      <c r="G20" s="273" t="s">
        <v>872</v>
      </c>
      <c r="H20" s="272" t="s">
        <v>871</v>
      </c>
      <c r="I20" s="265">
        <v>0.01</v>
      </c>
      <c r="J20" s="271">
        <f t="shared" si="0"/>
        <v>0.5</v>
      </c>
      <c r="K20" s="270"/>
      <c r="L20" s="279" t="s">
        <v>1031</v>
      </c>
      <c r="M20" s="279" t="s">
        <v>1031</v>
      </c>
      <c r="N20" s="279" t="s">
        <v>1031</v>
      </c>
      <c r="O20" s="268" t="s">
        <v>1032</v>
      </c>
      <c r="P20" s="268">
        <v>1000000</v>
      </c>
      <c r="Q20" s="277" t="s">
        <v>1031</v>
      </c>
      <c r="R20" s="267">
        <v>0</v>
      </c>
      <c r="S20" s="267">
        <v>0</v>
      </c>
      <c r="T20" s="276" t="s">
        <v>1031</v>
      </c>
    </row>
    <row r="21" spans="1:20" x14ac:dyDescent="0.25">
      <c r="A21" s="272" t="s">
        <v>124</v>
      </c>
      <c r="B21" s="275" t="s">
        <v>925</v>
      </c>
      <c r="C21" s="265">
        <v>0.49</v>
      </c>
      <c r="D21" s="273" t="s">
        <v>748</v>
      </c>
      <c r="E21" s="274" t="s">
        <v>747</v>
      </c>
      <c r="F21" s="265">
        <v>0</v>
      </c>
      <c r="G21" s="273" t="s">
        <v>853</v>
      </c>
      <c r="H21" s="272" t="s">
        <v>852</v>
      </c>
      <c r="I21" s="265">
        <v>0.01</v>
      </c>
      <c r="J21" s="271">
        <f t="shared" si="0"/>
        <v>0.5</v>
      </c>
      <c r="K21" s="270"/>
      <c r="L21" s="279" t="s">
        <v>1032</v>
      </c>
      <c r="M21" s="279" t="s">
        <v>1034</v>
      </c>
      <c r="N21" s="279" t="s">
        <v>1031</v>
      </c>
      <c r="O21" s="268" t="s">
        <v>1031</v>
      </c>
      <c r="P21" s="268">
        <v>0</v>
      </c>
      <c r="Q21" s="277" t="s">
        <v>1032</v>
      </c>
      <c r="R21" s="267">
        <v>4886323</v>
      </c>
      <c r="S21" s="267">
        <v>0</v>
      </c>
      <c r="T21" s="276" t="s">
        <v>1032</v>
      </c>
    </row>
    <row r="22" spans="1:20" ht="15.75" customHeight="1" x14ac:dyDescent="0.25">
      <c r="A22" s="274" t="s">
        <v>126</v>
      </c>
      <c r="B22" s="274" t="s">
        <v>125</v>
      </c>
      <c r="C22" s="265">
        <v>0.49</v>
      </c>
      <c r="D22" s="273" t="s">
        <v>748</v>
      </c>
      <c r="E22" s="274" t="s">
        <v>747</v>
      </c>
      <c r="F22" s="265">
        <v>0</v>
      </c>
      <c r="G22" s="273" t="s">
        <v>898</v>
      </c>
      <c r="H22" s="272" t="s">
        <v>897</v>
      </c>
      <c r="I22" s="265">
        <v>0.01</v>
      </c>
      <c r="J22" s="271">
        <f t="shared" si="0"/>
        <v>0.5</v>
      </c>
      <c r="K22" s="270"/>
      <c r="L22" s="279" t="s">
        <v>1031</v>
      </c>
      <c r="M22" s="279" t="s">
        <v>1031</v>
      </c>
      <c r="N22" s="279" t="s">
        <v>1031</v>
      </c>
      <c r="O22" s="268" t="s">
        <v>1031</v>
      </c>
      <c r="P22" s="268">
        <v>0</v>
      </c>
      <c r="Q22" s="277" t="s">
        <v>1032</v>
      </c>
      <c r="R22" s="267">
        <v>0</v>
      </c>
      <c r="S22" s="267">
        <v>0</v>
      </c>
      <c r="T22" s="276" t="s">
        <v>1032</v>
      </c>
    </row>
    <row r="23" spans="1:20" ht="15.75" customHeight="1" x14ac:dyDescent="0.25">
      <c r="A23" s="272" t="s">
        <v>128</v>
      </c>
      <c r="B23" s="275" t="s">
        <v>127</v>
      </c>
      <c r="C23" s="265">
        <v>0.3</v>
      </c>
      <c r="D23" s="273" t="s">
        <v>790</v>
      </c>
      <c r="E23" s="274" t="s">
        <v>789</v>
      </c>
      <c r="F23" s="265">
        <v>0.2</v>
      </c>
      <c r="G23" s="273" t="s">
        <v>748</v>
      </c>
      <c r="H23" s="274" t="s">
        <v>748</v>
      </c>
      <c r="I23" s="265">
        <v>0</v>
      </c>
      <c r="J23" s="271">
        <f t="shared" si="0"/>
        <v>0.5</v>
      </c>
      <c r="K23" s="270"/>
      <c r="L23" s="279" t="s">
        <v>1031</v>
      </c>
      <c r="M23" s="279" t="s">
        <v>1031</v>
      </c>
      <c r="N23" s="279" t="s">
        <v>1031</v>
      </c>
      <c r="O23" s="268" t="s">
        <v>1031</v>
      </c>
      <c r="P23" s="268">
        <v>0</v>
      </c>
      <c r="Q23" s="277" t="s">
        <v>1032</v>
      </c>
      <c r="R23" s="267">
        <v>0</v>
      </c>
      <c r="S23" s="267">
        <v>0</v>
      </c>
      <c r="T23" s="276" t="s">
        <v>1032</v>
      </c>
    </row>
    <row r="24" spans="1:20" x14ac:dyDescent="0.25">
      <c r="A24" s="272" t="s">
        <v>130</v>
      </c>
      <c r="B24" s="275" t="s">
        <v>129</v>
      </c>
      <c r="C24" s="265">
        <v>0.49</v>
      </c>
      <c r="D24" s="273" t="s">
        <v>748</v>
      </c>
      <c r="E24" s="274" t="s">
        <v>767</v>
      </c>
      <c r="F24" s="265">
        <v>0</v>
      </c>
      <c r="G24" s="273" t="s">
        <v>766</v>
      </c>
      <c r="H24" s="272" t="s">
        <v>765</v>
      </c>
      <c r="I24" s="265">
        <v>0.01</v>
      </c>
      <c r="J24" s="271">
        <f t="shared" si="0"/>
        <v>0.5</v>
      </c>
      <c r="K24" s="270"/>
      <c r="L24" s="279" t="s">
        <v>1032</v>
      </c>
      <c r="M24" s="279" t="s">
        <v>1035</v>
      </c>
      <c r="N24" s="279" t="s">
        <v>1031</v>
      </c>
      <c r="O24" s="268" t="s">
        <v>1032</v>
      </c>
      <c r="P24" s="268">
        <v>19396560</v>
      </c>
      <c r="Q24" s="277" t="s">
        <v>1032</v>
      </c>
      <c r="R24" s="267">
        <v>4026547</v>
      </c>
      <c r="S24" s="267">
        <v>0</v>
      </c>
      <c r="T24" s="276" t="s">
        <v>1032</v>
      </c>
    </row>
    <row r="25" spans="1:20" ht="15.75" customHeight="1" x14ac:dyDescent="0.25">
      <c r="A25" s="272" t="s">
        <v>132</v>
      </c>
      <c r="B25" s="275" t="s">
        <v>131</v>
      </c>
      <c r="C25" s="265">
        <v>0.4</v>
      </c>
      <c r="D25" s="273" t="s">
        <v>884</v>
      </c>
      <c r="E25" s="274" t="s">
        <v>883</v>
      </c>
      <c r="F25" s="265">
        <v>0.09</v>
      </c>
      <c r="G25" s="273" t="s">
        <v>869</v>
      </c>
      <c r="H25" s="272" t="s">
        <v>868</v>
      </c>
      <c r="I25" s="265">
        <v>0.01</v>
      </c>
      <c r="J25" s="271">
        <f t="shared" si="0"/>
        <v>0.5</v>
      </c>
      <c r="K25" s="270"/>
      <c r="L25" s="279" t="s">
        <v>1031</v>
      </c>
      <c r="M25" s="279" t="s">
        <v>1031</v>
      </c>
      <c r="N25" s="279" t="s">
        <v>1031</v>
      </c>
      <c r="O25" s="268" t="s">
        <v>1031</v>
      </c>
      <c r="P25" s="268">
        <v>0</v>
      </c>
      <c r="Q25" s="277" t="s">
        <v>1031</v>
      </c>
      <c r="R25" s="267">
        <v>0</v>
      </c>
      <c r="S25" s="267">
        <v>0</v>
      </c>
      <c r="T25" s="276" t="s">
        <v>1031</v>
      </c>
    </row>
    <row r="26" spans="1:20" ht="15.75" customHeight="1" x14ac:dyDescent="0.25">
      <c r="A26" s="272" t="s">
        <v>134</v>
      </c>
      <c r="B26" s="275" t="s">
        <v>924</v>
      </c>
      <c r="C26" s="265">
        <v>0.49</v>
      </c>
      <c r="D26" s="273" t="s">
        <v>748</v>
      </c>
      <c r="E26" s="274" t="s">
        <v>747</v>
      </c>
      <c r="F26" s="265">
        <v>0</v>
      </c>
      <c r="G26" s="273" t="s">
        <v>755</v>
      </c>
      <c r="H26" s="272" t="s">
        <v>754</v>
      </c>
      <c r="I26" s="265">
        <v>0.01</v>
      </c>
      <c r="J26" s="271">
        <f t="shared" si="0"/>
        <v>0.5</v>
      </c>
      <c r="K26" s="270"/>
      <c r="L26" s="279" t="s">
        <v>1031</v>
      </c>
      <c r="M26" s="279" t="s">
        <v>1031</v>
      </c>
      <c r="N26" s="279" t="s">
        <v>1031</v>
      </c>
      <c r="O26" s="268" t="s">
        <v>1031</v>
      </c>
      <c r="P26" s="268">
        <v>0</v>
      </c>
      <c r="Q26" s="277" t="s">
        <v>1032</v>
      </c>
      <c r="R26" s="267">
        <v>0</v>
      </c>
      <c r="S26" s="267">
        <v>0</v>
      </c>
      <c r="T26" s="276" t="s">
        <v>1032</v>
      </c>
    </row>
    <row r="27" spans="1:20" ht="15.75" customHeight="1" x14ac:dyDescent="0.25">
      <c r="A27" s="272" t="s">
        <v>136</v>
      </c>
      <c r="B27" s="275" t="s">
        <v>923</v>
      </c>
      <c r="C27" s="265">
        <v>0.49</v>
      </c>
      <c r="D27" s="273" t="s">
        <v>748</v>
      </c>
      <c r="E27" s="274" t="s">
        <v>747</v>
      </c>
      <c r="F27" s="265">
        <v>0</v>
      </c>
      <c r="G27" s="273" t="s">
        <v>755</v>
      </c>
      <c r="H27" s="272" t="s">
        <v>754</v>
      </c>
      <c r="I27" s="265">
        <v>0.01</v>
      </c>
      <c r="J27" s="271">
        <f t="shared" si="0"/>
        <v>0.5</v>
      </c>
      <c r="K27" s="270"/>
      <c r="L27" s="279" t="s">
        <v>1031</v>
      </c>
      <c r="M27" s="279" t="s">
        <v>1031</v>
      </c>
      <c r="N27" s="279" t="s">
        <v>1031</v>
      </c>
      <c r="O27" s="268" t="s">
        <v>1031</v>
      </c>
      <c r="P27" s="268">
        <v>0</v>
      </c>
      <c r="Q27" s="277" t="s">
        <v>1032</v>
      </c>
      <c r="R27" s="267">
        <v>0</v>
      </c>
      <c r="S27" s="267">
        <v>0</v>
      </c>
      <c r="T27" s="276" t="s">
        <v>1032</v>
      </c>
    </row>
    <row r="28" spans="1:20" ht="15.75" customHeight="1" x14ac:dyDescent="0.25">
      <c r="A28" s="272" t="s">
        <v>138</v>
      </c>
      <c r="B28" s="275" t="s">
        <v>137</v>
      </c>
      <c r="C28" s="265">
        <v>0.4</v>
      </c>
      <c r="D28" s="273" t="s">
        <v>858</v>
      </c>
      <c r="E28" s="274" t="s">
        <v>857</v>
      </c>
      <c r="F28" s="265">
        <v>0.09</v>
      </c>
      <c r="G28" s="273" t="s">
        <v>856</v>
      </c>
      <c r="H28" s="272" t="s">
        <v>855</v>
      </c>
      <c r="I28" s="265">
        <v>0.01</v>
      </c>
      <c r="J28" s="271">
        <f t="shared" si="0"/>
        <v>0.5</v>
      </c>
      <c r="K28" s="270"/>
      <c r="L28" s="279" t="s">
        <v>1031</v>
      </c>
      <c r="M28" s="279" t="s">
        <v>1031</v>
      </c>
      <c r="N28" s="279" t="s">
        <v>1031</v>
      </c>
      <c r="O28" s="268" t="s">
        <v>1031</v>
      </c>
      <c r="P28" s="268">
        <v>0</v>
      </c>
      <c r="Q28" s="277" t="s">
        <v>1031</v>
      </c>
      <c r="R28" s="267">
        <v>0</v>
      </c>
      <c r="S28" s="267">
        <v>0</v>
      </c>
      <c r="T28" s="276" t="s">
        <v>1031</v>
      </c>
    </row>
    <row r="29" spans="1:20" ht="15.75" customHeight="1" x14ac:dyDescent="0.25">
      <c r="A29" s="272" t="s">
        <v>140</v>
      </c>
      <c r="B29" s="275" t="s">
        <v>139</v>
      </c>
      <c r="C29" s="265">
        <v>0.49</v>
      </c>
      <c r="D29" s="273" t="s">
        <v>748</v>
      </c>
      <c r="E29" s="274" t="s">
        <v>767</v>
      </c>
      <c r="F29" s="265">
        <v>0</v>
      </c>
      <c r="G29" s="273" t="s">
        <v>783</v>
      </c>
      <c r="H29" s="272" t="s">
        <v>782</v>
      </c>
      <c r="I29" s="265">
        <v>0.01</v>
      </c>
      <c r="J29" s="271">
        <f t="shared" si="0"/>
        <v>0.5</v>
      </c>
      <c r="K29" s="270"/>
      <c r="L29" s="279" t="s">
        <v>1031</v>
      </c>
      <c r="M29" s="279" t="s">
        <v>1031</v>
      </c>
      <c r="N29" s="279" t="s">
        <v>1031</v>
      </c>
      <c r="O29" s="268" t="s">
        <v>1031</v>
      </c>
      <c r="P29" s="268">
        <v>0</v>
      </c>
      <c r="Q29" s="277" t="s">
        <v>1032</v>
      </c>
      <c r="R29" s="267">
        <v>0</v>
      </c>
      <c r="S29" s="267">
        <v>0</v>
      </c>
      <c r="T29" s="276" t="s">
        <v>1032</v>
      </c>
    </row>
    <row r="30" spans="1:20" ht="15.75" customHeight="1" x14ac:dyDescent="0.25">
      <c r="A30" s="272" t="s">
        <v>142</v>
      </c>
      <c r="B30" s="275" t="s">
        <v>141</v>
      </c>
      <c r="C30" s="265">
        <v>0.4</v>
      </c>
      <c r="D30" s="273" t="s">
        <v>798</v>
      </c>
      <c r="E30" s="274" t="s">
        <v>797</v>
      </c>
      <c r="F30" s="265">
        <v>0.1</v>
      </c>
      <c r="G30" s="273" t="s">
        <v>748</v>
      </c>
      <c r="H30" s="272" t="s">
        <v>762</v>
      </c>
      <c r="I30" s="265">
        <v>0</v>
      </c>
      <c r="J30" s="271">
        <f t="shared" si="0"/>
        <v>0.5</v>
      </c>
      <c r="K30" s="270"/>
      <c r="L30" s="279" t="s">
        <v>1031</v>
      </c>
      <c r="M30" s="279" t="s">
        <v>1031</v>
      </c>
      <c r="N30" s="279" t="s">
        <v>1031</v>
      </c>
      <c r="O30" s="268" t="s">
        <v>1031</v>
      </c>
      <c r="P30" s="268">
        <v>0</v>
      </c>
      <c r="Q30" s="277" t="s">
        <v>1031</v>
      </c>
      <c r="R30" s="267">
        <v>0</v>
      </c>
      <c r="S30" s="267">
        <v>0</v>
      </c>
      <c r="T30" s="276" t="s">
        <v>1031</v>
      </c>
    </row>
    <row r="31" spans="1:20" ht="15.75" customHeight="1" x14ac:dyDescent="0.25">
      <c r="A31" s="272" t="s">
        <v>144</v>
      </c>
      <c r="B31" s="275" t="s">
        <v>922</v>
      </c>
      <c r="C31" s="265">
        <v>0.49</v>
      </c>
      <c r="D31" s="273" t="s">
        <v>748</v>
      </c>
      <c r="E31" s="274" t="s">
        <v>747</v>
      </c>
      <c r="F31" s="265">
        <v>0</v>
      </c>
      <c r="G31" s="273" t="s">
        <v>785</v>
      </c>
      <c r="H31" s="272" t="s">
        <v>784</v>
      </c>
      <c r="I31" s="265">
        <v>0.01</v>
      </c>
      <c r="J31" s="271">
        <f t="shared" si="0"/>
        <v>0.5</v>
      </c>
      <c r="K31" s="270"/>
      <c r="L31" s="279" t="s">
        <v>1031</v>
      </c>
      <c r="M31" s="279" t="s">
        <v>1031</v>
      </c>
      <c r="N31" s="279" t="s">
        <v>1031</v>
      </c>
      <c r="O31" s="268" t="s">
        <v>1032</v>
      </c>
      <c r="P31" s="268">
        <v>1160000</v>
      </c>
      <c r="Q31" s="277" t="s">
        <v>1032</v>
      </c>
      <c r="R31" s="267">
        <v>0</v>
      </c>
      <c r="S31" s="267">
        <v>0</v>
      </c>
      <c r="T31" s="276" t="s">
        <v>1032</v>
      </c>
    </row>
    <row r="32" spans="1:20" ht="15.75" customHeight="1" x14ac:dyDescent="0.25">
      <c r="A32" s="272" t="s">
        <v>146</v>
      </c>
      <c r="B32" s="275" t="s">
        <v>921</v>
      </c>
      <c r="C32" s="265">
        <v>0.49</v>
      </c>
      <c r="D32" s="273" t="s">
        <v>748</v>
      </c>
      <c r="E32" s="274" t="s">
        <v>747</v>
      </c>
      <c r="F32" s="265">
        <v>0</v>
      </c>
      <c r="G32" s="273" t="s">
        <v>769</v>
      </c>
      <c r="H32" s="272" t="s">
        <v>768</v>
      </c>
      <c r="I32" s="265">
        <v>0.01</v>
      </c>
      <c r="J32" s="271">
        <f t="shared" si="0"/>
        <v>0.5</v>
      </c>
      <c r="K32" s="270"/>
      <c r="L32" s="279" t="s">
        <v>1031</v>
      </c>
      <c r="M32" s="279" t="s">
        <v>1031</v>
      </c>
      <c r="N32" s="279" t="s">
        <v>1031</v>
      </c>
      <c r="O32" s="268" t="s">
        <v>1031</v>
      </c>
      <c r="P32" s="268">
        <v>0</v>
      </c>
      <c r="Q32" s="277" t="s">
        <v>1032</v>
      </c>
      <c r="R32" s="267">
        <v>0</v>
      </c>
      <c r="S32" s="267">
        <v>0</v>
      </c>
      <c r="T32" s="276" t="s">
        <v>1032</v>
      </c>
    </row>
    <row r="33" spans="1:20" ht="15.75" customHeight="1" x14ac:dyDescent="0.25">
      <c r="A33" s="272" t="s">
        <v>148</v>
      </c>
      <c r="B33" s="275" t="s">
        <v>147</v>
      </c>
      <c r="C33" s="265">
        <v>0.49</v>
      </c>
      <c r="D33" s="273" t="s">
        <v>748</v>
      </c>
      <c r="E33" s="274" t="s">
        <v>767</v>
      </c>
      <c r="F33" s="265">
        <v>0</v>
      </c>
      <c r="G33" s="273" t="s">
        <v>818</v>
      </c>
      <c r="H33" s="272" t="s">
        <v>817</v>
      </c>
      <c r="I33" s="265">
        <v>0.01</v>
      </c>
      <c r="J33" s="271">
        <f t="shared" si="0"/>
        <v>0.5</v>
      </c>
      <c r="L33" s="279" t="s">
        <v>1031</v>
      </c>
      <c r="M33" s="279" t="s">
        <v>1031</v>
      </c>
      <c r="N33" s="279" t="s">
        <v>1031</v>
      </c>
      <c r="O33" s="268" t="s">
        <v>1032</v>
      </c>
      <c r="P33" s="268">
        <v>5276789</v>
      </c>
      <c r="Q33" s="277" t="s">
        <v>1032</v>
      </c>
      <c r="R33" s="267">
        <v>0</v>
      </c>
      <c r="S33" s="267">
        <v>0</v>
      </c>
      <c r="T33" s="276" t="s">
        <v>1032</v>
      </c>
    </row>
    <row r="34" spans="1:20" ht="15.75" customHeight="1" x14ac:dyDescent="0.25">
      <c r="A34" s="272" t="s">
        <v>150</v>
      </c>
      <c r="B34" s="275" t="s">
        <v>149</v>
      </c>
      <c r="C34" s="265">
        <v>0.4</v>
      </c>
      <c r="D34" s="273" t="s">
        <v>822</v>
      </c>
      <c r="E34" s="274" t="s">
        <v>821</v>
      </c>
      <c r="F34" s="265">
        <v>0.09</v>
      </c>
      <c r="G34" s="273" t="s">
        <v>820</v>
      </c>
      <c r="H34" s="272" t="s">
        <v>819</v>
      </c>
      <c r="I34" s="265">
        <v>0.01</v>
      </c>
      <c r="J34" s="271">
        <f t="shared" si="0"/>
        <v>0.5</v>
      </c>
      <c r="K34" s="270"/>
      <c r="L34" s="279" t="s">
        <v>1031</v>
      </c>
      <c r="M34" s="279" t="s">
        <v>1031</v>
      </c>
      <c r="N34" s="279" t="s">
        <v>1031</v>
      </c>
      <c r="O34" s="268" t="s">
        <v>1031</v>
      </c>
      <c r="P34" s="268">
        <v>0</v>
      </c>
      <c r="Q34" s="277" t="s">
        <v>1031</v>
      </c>
      <c r="R34" s="267">
        <v>0</v>
      </c>
      <c r="S34" s="267">
        <v>0</v>
      </c>
      <c r="T34" s="276" t="s">
        <v>1031</v>
      </c>
    </row>
    <row r="35" spans="1:20" ht="15.75" customHeight="1" x14ac:dyDescent="0.25">
      <c r="A35" s="272" t="s">
        <v>152</v>
      </c>
      <c r="B35" s="275" t="s">
        <v>151</v>
      </c>
      <c r="C35" s="265">
        <v>0.4</v>
      </c>
      <c r="D35" s="273" t="s">
        <v>849</v>
      </c>
      <c r="E35" s="274" t="s">
        <v>848</v>
      </c>
      <c r="F35" s="265">
        <v>0.1</v>
      </c>
      <c r="G35" s="273" t="s">
        <v>748</v>
      </c>
      <c r="H35" s="272" t="s">
        <v>762</v>
      </c>
      <c r="I35" s="265">
        <v>0</v>
      </c>
      <c r="J35" s="271">
        <f t="shared" si="0"/>
        <v>0.5</v>
      </c>
      <c r="K35" s="270"/>
      <c r="L35" s="279" t="s">
        <v>1031</v>
      </c>
      <c r="M35" s="279" t="s">
        <v>1031</v>
      </c>
      <c r="N35" s="279" t="s">
        <v>1031</v>
      </c>
      <c r="O35" s="268" t="s">
        <v>1031</v>
      </c>
      <c r="P35" s="268">
        <v>0</v>
      </c>
      <c r="Q35" s="277" t="s">
        <v>1031</v>
      </c>
      <c r="R35" s="267">
        <v>0</v>
      </c>
      <c r="S35" s="267">
        <v>0</v>
      </c>
      <c r="T35" s="276" t="s">
        <v>1031</v>
      </c>
    </row>
    <row r="36" spans="1:20" ht="15.75" customHeight="1" x14ac:dyDescent="0.25">
      <c r="A36" s="272" t="s">
        <v>154</v>
      </c>
      <c r="B36" s="275" t="s">
        <v>153</v>
      </c>
      <c r="C36" s="265">
        <v>0.3</v>
      </c>
      <c r="D36" s="273" t="s">
        <v>790</v>
      </c>
      <c r="E36" s="274" t="s">
        <v>789</v>
      </c>
      <c r="F36" s="265">
        <v>0.2</v>
      </c>
      <c r="G36" s="273" t="s">
        <v>748</v>
      </c>
      <c r="H36" s="274" t="s">
        <v>748</v>
      </c>
      <c r="I36" s="265">
        <v>0</v>
      </c>
      <c r="J36" s="271">
        <f t="shared" si="0"/>
        <v>0.5</v>
      </c>
      <c r="K36" s="270"/>
      <c r="L36" s="279" t="s">
        <v>1031</v>
      </c>
      <c r="M36" s="279" t="s">
        <v>1031</v>
      </c>
      <c r="N36" s="279" t="s">
        <v>1031</v>
      </c>
      <c r="O36" s="268" t="s">
        <v>1032</v>
      </c>
      <c r="P36" s="268">
        <v>3573333</v>
      </c>
      <c r="Q36" s="277" t="s">
        <v>1032</v>
      </c>
      <c r="R36" s="267">
        <v>0</v>
      </c>
      <c r="S36" s="267">
        <v>0</v>
      </c>
      <c r="T36" s="276" t="s">
        <v>1032</v>
      </c>
    </row>
    <row r="37" spans="1:20" ht="15.75" customHeight="1" x14ac:dyDescent="0.25">
      <c r="A37" s="272" t="s">
        <v>156</v>
      </c>
      <c r="B37" s="275" t="s">
        <v>155</v>
      </c>
      <c r="C37" s="265">
        <v>0.4</v>
      </c>
      <c r="D37" s="273" t="s">
        <v>822</v>
      </c>
      <c r="E37" s="274" t="s">
        <v>821</v>
      </c>
      <c r="F37" s="265">
        <v>0.09</v>
      </c>
      <c r="G37" s="273" t="s">
        <v>820</v>
      </c>
      <c r="H37" s="272" t="s">
        <v>819</v>
      </c>
      <c r="I37" s="265">
        <v>0.01</v>
      </c>
      <c r="J37" s="271">
        <f t="shared" si="0"/>
        <v>0.5</v>
      </c>
      <c r="K37" s="270"/>
      <c r="L37" s="279" t="s">
        <v>1031</v>
      </c>
      <c r="M37" s="279" t="s">
        <v>1031</v>
      </c>
      <c r="N37" s="279" t="s">
        <v>1031</v>
      </c>
      <c r="O37" s="268" t="s">
        <v>1031</v>
      </c>
      <c r="P37" s="268">
        <v>0</v>
      </c>
      <c r="Q37" s="277" t="s">
        <v>1031</v>
      </c>
      <c r="R37" s="267">
        <v>0</v>
      </c>
      <c r="S37" s="267">
        <v>0</v>
      </c>
      <c r="T37" s="276" t="s">
        <v>1031</v>
      </c>
    </row>
    <row r="38" spans="1:20" ht="15.75" customHeight="1" x14ac:dyDescent="0.25">
      <c r="A38" s="272" t="s">
        <v>158</v>
      </c>
      <c r="B38" s="275" t="s">
        <v>920</v>
      </c>
      <c r="C38" s="265">
        <v>0.49</v>
      </c>
      <c r="D38" s="273" t="s">
        <v>748</v>
      </c>
      <c r="E38" s="274" t="s">
        <v>747</v>
      </c>
      <c r="F38" s="265">
        <v>0</v>
      </c>
      <c r="G38" s="273" t="s">
        <v>807</v>
      </c>
      <c r="H38" s="272" t="s">
        <v>806</v>
      </c>
      <c r="I38" s="265">
        <v>0.01</v>
      </c>
      <c r="J38" s="271">
        <f t="shared" si="0"/>
        <v>0.5</v>
      </c>
      <c r="K38" s="270"/>
      <c r="L38" s="279" t="s">
        <v>1031</v>
      </c>
      <c r="M38" s="279" t="s">
        <v>1031</v>
      </c>
      <c r="N38" s="279" t="s">
        <v>1031</v>
      </c>
      <c r="O38" s="268" t="s">
        <v>1031</v>
      </c>
      <c r="P38" s="268">
        <v>0</v>
      </c>
      <c r="Q38" s="277" t="s">
        <v>1032</v>
      </c>
      <c r="R38" s="267">
        <v>0</v>
      </c>
      <c r="S38" s="267">
        <v>0</v>
      </c>
      <c r="T38" s="276" t="s">
        <v>1032</v>
      </c>
    </row>
    <row r="39" spans="1:20" x14ac:dyDescent="0.25">
      <c r="A39" s="272" t="s">
        <v>160</v>
      </c>
      <c r="B39" s="275" t="s">
        <v>919</v>
      </c>
      <c r="C39" s="265">
        <v>0.49</v>
      </c>
      <c r="D39" s="273" t="s">
        <v>748</v>
      </c>
      <c r="E39" s="274" t="s">
        <v>747</v>
      </c>
      <c r="F39" s="265">
        <v>0</v>
      </c>
      <c r="G39" s="273" t="s">
        <v>853</v>
      </c>
      <c r="H39" s="272" t="s">
        <v>852</v>
      </c>
      <c r="I39" s="265">
        <v>0.01</v>
      </c>
      <c r="J39" s="271">
        <f t="shared" si="0"/>
        <v>0.5</v>
      </c>
      <c r="K39" s="270"/>
      <c r="L39" s="279" t="s">
        <v>1032</v>
      </c>
      <c r="M39" s="279" t="s">
        <v>1036</v>
      </c>
      <c r="N39" s="279" t="s">
        <v>1034</v>
      </c>
      <c r="O39" s="268" t="s">
        <v>1031</v>
      </c>
      <c r="P39" s="268">
        <v>0</v>
      </c>
      <c r="Q39" s="277" t="s">
        <v>1032</v>
      </c>
      <c r="R39" s="267">
        <v>13240942</v>
      </c>
      <c r="S39" s="267">
        <v>6584128</v>
      </c>
      <c r="T39" s="276" t="s">
        <v>1032</v>
      </c>
    </row>
    <row r="40" spans="1:20" ht="15.75" customHeight="1" x14ac:dyDescent="0.25">
      <c r="A40" s="272" t="s">
        <v>162</v>
      </c>
      <c r="B40" s="275" t="s">
        <v>161</v>
      </c>
      <c r="C40" s="265">
        <v>0.4</v>
      </c>
      <c r="D40" s="273" t="s">
        <v>849</v>
      </c>
      <c r="E40" s="274" t="s">
        <v>848</v>
      </c>
      <c r="F40" s="265">
        <v>0.1</v>
      </c>
      <c r="G40" s="273" t="s">
        <v>748</v>
      </c>
      <c r="H40" s="272" t="s">
        <v>762</v>
      </c>
      <c r="I40" s="265">
        <v>0</v>
      </c>
      <c r="J40" s="271">
        <f t="shared" si="0"/>
        <v>0.5</v>
      </c>
      <c r="K40" s="270"/>
      <c r="L40" s="279" t="s">
        <v>1031</v>
      </c>
      <c r="M40" s="279" t="s">
        <v>1031</v>
      </c>
      <c r="N40" s="279" t="s">
        <v>1031</v>
      </c>
      <c r="O40" s="268" t="s">
        <v>1031</v>
      </c>
      <c r="P40" s="268">
        <v>0</v>
      </c>
      <c r="Q40" s="277" t="s">
        <v>1031</v>
      </c>
      <c r="R40" s="267">
        <v>0</v>
      </c>
      <c r="S40" s="267">
        <v>0</v>
      </c>
      <c r="T40" s="276" t="s">
        <v>1031</v>
      </c>
    </row>
    <row r="41" spans="1:20" ht="15.75" customHeight="1" x14ac:dyDescent="0.25">
      <c r="A41" s="272" t="s">
        <v>164</v>
      </c>
      <c r="B41" s="275" t="s">
        <v>163</v>
      </c>
      <c r="C41" s="265">
        <v>0.3</v>
      </c>
      <c r="D41" s="273" t="s">
        <v>790</v>
      </c>
      <c r="E41" s="274" t="s">
        <v>789</v>
      </c>
      <c r="F41" s="265">
        <v>0.2</v>
      </c>
      <c r="G41" s="273" t="s">
        <v>748</v>
      </c>
      <c r="H41" s="274" t="s">
        <v>748</v>
      </c>
      <c r="I41" s="265">
        <v>0</v>
      </c>
      <c r="J41" s="271">
        <f t="shared" si="0"/>
        <v>0.5</v>
      </c>
      <c r="K41" s="270"/>
      <c r="L41" s="279" t="s">
        <v>1031</v>
      </c>
      <c r="M41" s="279" t="s">
        <v>1031</v>
      </c>
      <c r="N41" s="279" t="s">
        <v>1031</v>
      </c>
      <c r="O41" s="268" t="s">
        <v>1031</v>
      </c>
      <c r="P41" s="268">
        <v>0</v>
      </c>
      <c r="Q41" s="277" t="s">
        <v>1032</v>
      </c>
      <c r="R41" s="267">
        <v>0</v>
      </c>
      <c r="S41" s="267">
        <v>0</v>
      </c>
      <c r="T41" s="276" t="s">
        <v>1032</v>
      </c>
    </row>
    <row r="42" spans="1:20" ht="15.75" customHeight="1" x14ac:dyDescent="0.25">
      <c r="A42" s="272" t="s">
        <v>166</v>
      </c>
      <c r="B42" s="275" t="s">
        <v>165</v>
      </c>
      <c r="C42" s="265">
        <v>0.4</v>
      </c>
      <c r="D42" s="273" t="s">
        <v>753</v>
      </c>
      <c r="E42" s="274" t="s">
        <v>752</v>
      </c>
      <c r="F42" s="265">
        <v>0.09</v>
      </c>
      <c r="G42" s="273" t="s">
        <v>751</v>
      </c>
      <c r="H42" s="272" t="s">
        <v>750</v>
      </c>
      <c r="I42" s="265">
        <v>0.01</v>
      </c>
      <c r="J42" s="271">
        <f t="shared" si="0"/>
        <v>0.5</v>
      </c>
      <c r="K42" s="270"/>
      <c r="L42" s="279" t="s">
        <v>1031</v>
      </c>
      <c r="M42" s="279" t="s">
        <v>1031</v>
      </c>
      <c r="N42" s="279" t="s">
        <v>1031</v>
      </c>
      <c r="O42" s="268" t="s">
        <v>1032</v>
      </c>
      <c r="P42" s="268">
        <v>651339</v>
      </c>
      <c r="Q42" s="277" t="s">
        <v>1031</v>
      </c>
      <c r="R42" s="267">
        <v>0</v>
      </c>
      <c r="S42" s="267">
        <v>0</v>
      </c>
      <c r="T42" s="276" t="s">
        <v>1031</v>
      </c>
    </row>
    <row r="43" spans="1:20" ht="15.75" customHeight="1" x14ac:dyDescent="0.25">
      <c r="A43" s="272" t="s">
        <v>168</v>
      </c>
      <c r="B43" s="275" t="s">
        <v>167</v>
      </c>
      <c r="C43" s="265">
        <v>0.4</v>
      </c>
      <c r="D43" s="273" t="s">
        <v>803</v>
      </c>
      <c r="E43" s="274" t="s">
        <v>802</v>
      </c>
      <c r="F43" s="265">
        <v>0.1</v>
      </c>
      <c r="G43" s="273" t="s">
        <v>748</v>
      </c>
      <c r="H43" s="272" t="s">
        <v>762</v>
      </c>
      <c r="I43" s="265">
        <v>0</v>
      </c>
      <c r="J43" s="271">
        <f t="shared" si="0"/>
        <v>0.5</v>
      </c>
      <c r="K43" s="270"/>
      <c r="L43" s="279" t="s">
        <v>1031</v>
      </c>
      <c r="M43" s="279" t="s">
        <v>1031</v>
      </c>
      <c r="N43" s="279" t="s">
        <v>1031</v>
      </c>
      <c r="O43" s="268" t="s">
        <v>1031</v>
      </c>
      <c r="P43" s="268">
        <v>0</v>
      </c>
      <c r="Q43" s="277" t="s">
        <v>1031</v>
      </c>
      <c r="R43" s="267">
        <v>0</v>
      </c>
      <c r="S43" s="267">
        <v>0</v>
      </c>
      <c r="T43" s="276" t="s">
        <v>1031</v>
      </c>
    </row>
    <row r="44" spans="1:20" x14ac:dyDescent="0.25">
      <c r="A44" s="272" t="s">
        <v>170</v>
      </c>
      <c r="B44" s="275" t="s">
        <v>169</v>
      </c>
      <c r="C44" s="265">
        <v>0.4</v>
      </c>
      <c r="D44" s="273" t="s">
        <v>874</v>
      </c>
      <c r="E44" s="274" t="s">
        <v>873</v>
      </c>
      <c r="F44" s="265">
        <v>0.09</v>
      </c>
      <c r="G44" s="273" t="s">
        <v>872</v>
      </c>
      <c r="H44" s="272" t="s">
        <v>871</v>
      </c>
      <c r="I44" s="265">
        <v>0.01</v>
      </c>
      <c r="J44" s="271">
        <f t="shared" si="0"/>
        <v>0.5</v>
      </c>
      <c r="K44" s="270"/>
      <c r="L44" s="279" t="s">
        <v>1032</v>
      </c>
      <c r="M44" s="279" t="s">
        <v>1037</v>
      </c>
      <c r="N44" s="279" t="s">
        <v>1031</v>
      </c>
      <c r="O44" s="268" t="s">
        <v>1032</v>
      </c>
      <c r="P44" s="268">
        <v>428539</v>
      </c>
      <c r="Q44" s="277" t="s">
        <v>1031</v>
      </c>
      <c r="R44" s="267">
        <v>1120700</v>
      </c>
      <c r="S44" s="267">
        <v>0</v>
      </c>
      <c r="T44" s="276" t="s">
        <v>1031</v>
      </c>
    </row>
    <row r="45" spans="1:20" ht="15.75" customHeight="1" x14ac:dyDescent="0.25">
      <c r="A45" s="272" t="s">
        <v>172</v>
      </c>
      <c r="B45" s="275" t="s">
        <v>171</v>
      </c>
      <c r="C45" s="265">
        <v>0.4</v>
      </c>
      <c r="D45" s="273" t="s">
        <v>757</v>
      </c>
      <c r="E45" s="274" t="s">
        <v>756</v>
      </c>
      <c r="F45" s="265">
        <v>0.09</v>
      </c>
      <c r="G45" s="273" t="s">
        <v>755</v>
      </c>
      <c r="H45" s="272" t="s">
        <v>754</v>
      </c>
      <c r="I45" s="265">
        <v>0.01</v>
      </c>
      <c r="J45" s="271">
        <f t="shared" si="0"/>
        <v>0.5</v>
      </c>
      <c r="K45" s="270"/>
      <c r="L45" s="279" t="s">
        <v>1031</v>
      </c>
      <c r="M45" s="279" t="s">
        <v>1031</v>
      </c>
      <c r="N45" s="279" t="s">
        <v>1031</v>
      </c>
      <c r="O45" s="268" t="s">
        <v>1031</v>
      </c>
      <c r="P45" s="268">
        <v>0</v>
      </c>
      <c r="Q45" s="277" t="s">
        <v>1031</v>
      </c>
      <c r="R45" s="267">
        <v>0</v>
      </c>
      <c r="S45" s="267">
        <v>0</v>
      </c>
      <c r="T45" s="276" t="s">
        <v>1031</v>
      </c>
    </row>
    <row r="46" spans="1:20" ht="15.75" customHeight="1" x14ac:dyDescent="0.25">
      <c r="A46" s="272" t="s">
        <v>174</v>
      </c>
      <c r="B46" s="275" t="s">
        <v>173</v>
      </c>
      <c r="C46" s="265">
        <v>0.49</v>
      </c>
      <c r="D46" s="273" t="s">
        <v>748</v>
      </c>
      <c r="E46" s="274" t="s">
        <v>767</v>
      </c>
      <c r="F46" s="265">
        <v>0</v>
      </c>
      <c r="G46" s="273" t="s">
        <v>783</v>
      </c>
      <c r="H46" s="272" t="s">
        <v>782</v>
      </c>
      <c r="I46" s="265">
        <v>0.01</v>
      </c>
      <c r="J46" s="271">
        <f t="shared" si="0"/>
        <v>0.5</v>
      </c>
      <c r="K46" s="270"/>
      <c r="L46" s="279" t="s">
        <v>1031</v>
      </c>
      <c r="M46" s="279" t="s">
        <v>1031</v>
      </c>
      <c r="N46" s="279" t="s">
        <v>1031</v>
      </c>
      <c r="O46" s="268" t="s">
        <v>1031</v>
      </c>
      <c r="P46" s="268">
        <v>0</v>
      </c>
      <c r="Q46" s="277" t="s">
        <v>1032</v>
      </c>
      <c r="R46" s="267">
        <v>0</v>
      </c>
      <c r="S46" s="267">
        <v>0</v>
      </c>
      <c r="T46" s="276" t="s">
        <v>1032</v>
      </c>
    </row>
    <row r="47" spans="1:20" ht="15.75" customHeight="1" x14ac:dyDescent="0.25">
      <c r="A47" s="272" t="s">
        <v>176</v>
      </c>
      <c r="B47" s="275" t="s">
        <v>175</v>
      </c>
      <c r="C47" s="265">
        <v>0.49</v>
      </c>
      <c r="D47" s="273" t="s">
        <v>748</v>
      </c>
      <c r="E47" s="274" t="s">
        <v>767</v>
      </c>
      <c r="F47" s="265">
        <v>0</v>
      </c>
      <c r="G47" s="273" t="s">
        <v>818</v>
      </c>
      <c r="H47" s="272" t="s">
        <v>817</v>
      </c>
      <c r="I47" s="265">
        <v>0.01</v>
      </c>
      <c r="J47" s="271">
        <f t="shared" si="0"/>
        <v>0.5</v>
      </c>
      <c r="K47" s="270"/>
      <c r="L47" s="279" t="s">
        <v>1031</v>
      </c>
      <c r="M47" s="279" t="s">
        <v>1031</v>
      </c>
      <c r="N47" s="279" t="s">
        <v>1031</v>
      </c>
      <c r="O47" s="268" t="s">
        <v>1031</v>
      </c>
      <c r="P47" s="268">
        <v>0</v>
      </c>
      <c r="Q47" s="277" t="s">
        <v>1032</v>
      </c>
      <c r="R47" s="267">
        <v>0</v>
      </c>
      <c r="S47" s="267">
        <v>0</v>
      </c>
      <c r="T47" s="276" t="s">
        <v>1032</v>
      </c>
    </row>
    <row r="48" spans="1:20" ht="15.75" customHeight="1" x14ac:dyDescent="0.25">
      <c r="A48" s="272" t="s">
        <v>178</v>
      </c>
      <c r="B48" s="275" t="s">
        <v>177</v>
      </c>
      <c r="C48" s="265">
        <v>0.4</v>
      </c>
      <c r="D48" s="273" t="s">
        <v>862</v>
      </c>
      <c r="E48" s="274" t="s">
        <v>861</v>
      </c>
      <c r="F48" s="265">
        <v>0.09</v>
      </c>
      <c r="G48" s="273" t="s">
        <v>860</v>
      </c>
      <c r="H48" s="272" t="s">
        <v>859</v>
      </c>
      <c r="I48" s="265">
        <v>0.01</v>
      </c>
      <c r="J48" s="271">
        <f t="shared" si="0"/>
        <v>0.5</v>
      </c>
      <c r="K48" s="270"/>
      <c r="L48" s="279" t="s">
        <v>1031</v>
      </c>
      <c r="M48" s="279" t="s">
        <v>1031</v>
      </c>
      <c r="N48" s="279" t="s">
        <v>1031</v>
      </c>
      <c r="O48" s="268" t="s">
        <v>1031</v>
      </c>
      <c r="P48" s="268">
        <v>0</v>
      </c>
      <c r="Q48" s="277" t="s">
        <v>1031</v>
      </c>
      <c r="R48" s="267">
        <v>0</v>
      </c>
      <c r="S48" s="267">
        <v>0</v>
      </c>
      <c r="T48" s="276" t="s">
        <v>1031</v>
      </c>
    </row>
    <row r="49" spans="1:20" ht="15.75" customHeight="1" x14ac:dyDescent="0.25">
      <c r="A49" s="272" t="s">
        <v>180</v>
      </c>
      <c r="B49" s="275" t="s">
        <v>179</v>
      </c>
      <c r="C49" s="265">
        <v>0.3</v>
      </c>
      <c r="D49" s="273" t="s">
        <v>790</v>
      </c>
      <c r="E49" s="274" t="s">
        <v>789</v>
      </c>
      <c r="F49" s="265">
        <v>0.2</v>
      </c>
      <c r="G49" s="273" t="s">
        <v>748</v>
      </c>
      <c r="H49" s="274" t="s">
        <v>748</v>
      </c>
      <c r="I49" s="265">
        <v>0</v>
      </c>
      <c r="J49" s="271">
        <f t="shared" si="0"/>
        <v>0.5</v>
      </c>
      <c r="K49" s="270"/>
      <c r="L49" s="279" t="s">
        <v>1031</v>
      </c>
      <c r="M49" s="279" t="s">
        <v>1031</v>
      </c>
      <c r="N49" s="279" t="s">
        <v>1031</v>
      </c>
      <c r="O49" s="268" t="s">
        <v>1031</v>
      </c>
      <c r="P49" s="268">
        <v>0</v>
      </c>
      <c r="Q49" s="277" t="s">
        <v>1032</v>
      </c>
      <c r="R49" s="267">
        <v>0</v>
      </c>
      <c r="S49" s="267">
        <v>0</v>
      </c>
      <c r="T49" s="276" t="s">
        <v>1032</v>
      </c>
    </row>
    <row r="50" spans="1:20" ht="15.75" customHeight="1" x14ac:dyDescent="0.25">
      <c r="A50" s="272" t="s">
        <v>182</v>
      </c>
      <c r="B50" s="275" t="s">
        <v>181</v>
      </c>
      <c r="C50" s="265">
        <v>0.4</v>
      </c>
      <c r="D50" s="273" t="s">
        <v>838</v>
      </c>
      <c r="E50" s="274" t="s">
        <v>837</v>
      </c>
      <c r="F50" s="265">
        <v>0.09</v>
      </c>
      <c r="G50" s="273" t="s">
        <v>836</v>
      </c>
      <c r="H50" s="272" t="s">
        <v>835</v>
      </c>
      <c r="I50" s="265">
        <v>0.01</v>
      </c>
      <c r="J50" s="271">
        <f t="shared" si="0"/>
        <v>0.5</v>
      </c>
      <c r="K50" s="270"/>
      <c r="L50" s="279" t="s">
        <v>1031</v>
      </c>
      <c r="M50" s="279" t="s">
        <v>1031</v>
      </c>
      <c r="N50" s="279" t="s">
        <v>1031</v>
      </c>
      <c r="O50" s="268" t="s">
        <v>1031</v>
      </c>
      <c r="P50" s="268">
        <v>0</v>
      </c>
      <c r="Q50" s="277" t="s">
        <v>1031</v>
      </c>
      <c r="R50" s="267">
        <v>0</v>
      </c>
      <c r="S50" s="267">
        <v>0</v>
      </c>
      <c r="T50" s="276" t="s">
        <v>1031</v>
      </c>
    </row>
    <row r="51" spans="1:20" ht="15.75" customHeight="1" x14ac:dyDescent="0.25">
      <c r="A51" s="272" t="s">
        <v>184</v>
      </c>
      <c r="B51" s="275" t="s">
        <v>183</v>
      </c>
      <c r="C51" s="265">
        <v>0.4</v>
      </c>
      <c r="D51" s="273" t="s">
        <v>826</v>
      </c>
      <c r="E51" s="274" t="s">
        <v>825</v>
      </c>
      <c r="F51" s="265">
        <v>0.09</v>
      </c>
      <c r="G51" s="273" t="s">
        <v>824</v>
      </c>
      <c r="H51" s="272" t="s">
        <v>823</v>
      </c>
      <c r="I51" s="265">
        <v>0.01</v>
      </c>
      <c r="J51" s="271">
        <f t="shared" si="0"/>
        <v>0.5</v>
      </c>
      <c r="K51" s="270"/>
      <c r="L51" s="279" t="s">
        <v>1031</v>
      </c>
      <c r="M51" s="279" t="s">
        <v>1031</v>
      </c>
      <c r="N51" s="279" t="s">
        <v>1031</v>
      </c>
      <c r="O51" s="268" t="s">
        <v>1031</v>
      </c>
      <c r="P51" s="268">
        <v>0</v>
      </c>
      <c r="Q51" s="277" t="s">
        <v>1031</v>
      </c>
      <c r="R51" s="267">
        <v>0</v>
      </c>
      <c r="S51" s="267">
        <v>0</v>
      </c>
      <c r="T51" s="276" t="s">
        <v>1031</v>
      </c>
    </row>
    <row r="52" spans="1:20" ht="15.75" customHeight="1" x14ac:dyDescent="0.25">
      <c r="A52" s="272" t="s">
        <v>186</v>
      </c>
      <c r="B52" s="275" t="s">
        <v>185</v>
      </c>
      <c r="C52" s="265">
        <v>0.4</v>
      </c>
      <c r="D52" s="273" t="s">
        <v>851</v>
      </c>
      <c r="E52" s="274" t="s">
        <v>850</v>
      </c>
      <c r="F52" s="265">
        <v>0.1</v>
      </c>
      <c r="G52" s="273" t="s">
        <v>748</v>
      </c>
      <c r="H52" s="272" t="s">
        <v>762</v>
      </c>
      <c r="I52" s="265">
        <v>0</v>
      </c>
      <c r="J52" s="271">
        <f t="shared" si="0"/>
        <v>0.5</v>
      </c>
      <c r="K52" s="270"/>
      <c r="L52" s="279" t="s">
        <v>1031</v>
      </c>
      <c r="M52" s="279" t="s">
        <v>1031</v>
      </c>
      <c r="N52" s="279" t="s">
        <v>1031</v>
      </c>
      <c r="O52" s="268" t="s">
        <v>1031</v>
      </c>
      <c r="P52" s="268">
        <v>0</v>
      </c>
      <c r="Q52" s="277" t="s">
        <v>1031</v>
      </c>
      <c r="R52" s="267">
        <v>0</v>
      </c>
      <c r="S52" s="267">
        <v>0</v>
      </c>
      <c r="T52" s="276" t="s">
        <v>1031</v>
      </c>
    </row>
    <row r="53" spans="1:20" ht="15.75" customHeight="1" x14ac:dyDescent="0.25">
      <c r="A53" s="272" t="s">
        <v>188</v>
      </c>
      <c r="B53" s="275" t="s">
        <v>187</v>
      </c>
      <c r="C53" s="265">
        <v>0.4</v>
      </c>
      <c r="D53" s="273" t="s">
        <v>822</v>
      </c>
      <c r="E53" s="274" t="s">
        <v>821</v>
      </c>
      <c r="F53" s="265">
        <v>0.09</v>
      </c>
      <c r="G53" s="273" t="s">
        <v>820</v>
      </c>
      <c r="H53" s="272" t="s">
        <v>819</v>
      </c>
      <c r="I53" s="265">
        <v>0.01</v>
      </c>
      <c r="J53" s="271">
        <f t="shared" si="0"/>
        <v>0.5</v>
      </c>
      <c r="K53" s="270"/>
      <c r="L53" s="279" t="s">
        <v>1031</v>
      </c>
      <c r="M53" s="279" t="s">
        <v>1031</v>
      </c>
      <c r="N53" s="279" t="s">
        <v>1031</v>
      </c>
      <c r="O53" s="268" t="s">
        <v>1032</v>
      </c>
      <c r="P53" s="268">
        <v>117460</v>
      </c>
      <c r="Q53" s="277" t="s">
        <v>1031</v>
      </c>
      <c r="R53" s="267">
        <v>0</v>
      </c>
      <c r="S53" s="267">
        <v>0</v>
      </c>
      <c r="T53" s="276" t="s">
        <v>1031</v>
      </c>
    </row>
    <row r="54" spans="1:20" ht="15.75" customHeight="1" x14ac:dyDescent="0.25">
      <c r="A54" s="274" t="s">
        <v>190</v>
      </c>
      <c r="B54" s="274" t="s">
        <v>189</v>
      </c>
      <c r="C54" s="265">
        <v>0.49</v>
      </c>
      <c r="D54" s="273" t="s">
        <v>748</v>
      </c>
      <c r="E54" s="274" t="s">
        <v>747</v>
      </c>
      <c r="F54" s="265">
        <v>0</v>
      </c>
      <c r="G54" s="273" t="s">
        <v>898</v>
      </c>
      <c r="H54" s="272" t="s">
        <v>897</v>
      </c>
      <c r="I54" s="265">
        <v>0.01</v>
      </c>
      <c r="J54" s="271">
        <f t="shared" si="0"/>
        <v>0.5</v>
      </c>
      <c r="K54" s="270"/>
      <c r="L54" s="279" t="s">
        <v>1031</v>
      </c>
      <c r="M54" s="279" t="s">
        <v>1031</v>
      </c>
      <c r="N54" s="279" t="s">
        <v>1031</v>
      </c>
      <c r="O54" s="268" t="s">
        <v>1031</v>
      </c>
      <c r="P54" s="268">
        <v>0</v>
      </c>
      <c r="Q54" s="277" t="s">
        <v>1032</v>
      </c>
      <c r="R54" s="267">
        <v>0</v>
      </c>
      <c r="S54" s="267">
        <v>0</v>
      </c>
      <c r="T54" s="276" t="s">
        <v>1032</v>
      </c>
    </row>
    <row r="55" spans="1:20" ht="15.75" customHeight="1" x14ac:dyDescent="0.25">
      <c r="A55" s="272" t="s">
        <v>192</v>
      </c>
      <c r="B55" s="275" t="s">
        <v>191</v>
      </c>
      <c r="C55" s="265">
        <v>0.4</v>
      </c>
      <c r="D55" s="273" t="s">
        <v>884</v>
      </c>
      <c r="E55" s="274" t="s">
        <v>883</v>
      </c>
      <c r="F55" s="265">
        <v>0.09</v>
      </c>
      <c r="G55" s="273" t="s">
        <v>869</v>
      </c>
      <c r="H55" s="272" t="s">
        <v>868</v>
      </c>
      <c r="I55" s="265">
        <v>0.01</v>
      </c>
      <c r="J55" s="271">
        <f t="shared" si="0"/>
        <v>0.5</v>
      </c>
      <c r="K55" s="270"/>
      <c r="L55" s="279" t="s">
        <v>1031</v>
      </c>
      <c r="M55" s="279" t="s">
        <v>1031</v>
      </c>
      <c r="N55" s="279" t="s">
        <v>1031</v>
      </c>
      <c r="O55" s="268" t="s">
        <v>1031</v>
      </c>
      <c r="P55" s="268">
        <v>0</v>
      </c>
      <c r="Q55" s="277" t="s">
        <v>1031</v>
      </c>
      <c r="R55" s="267">
        <v>0</v>
      </c>
      <c r="S55" s="267">
        <v>0</v>
      </c>
      <c r="T55" s="276" t="s">
        <v>1031</v>
      </c>
    </row>
    <row r="56" spans="1:20" ht="15.75" customHeight="1" x14ac:dyDescent="0.25">
      <c r="A56" s="272" t="s">
        <v>194</v>
      </c>
      <c r="B56" s="275" t="s">
        <v>193</v>
      </c>
      <c r="C56" s="265">
        <v>0.4</v>
      </c>
      <c r="D56" s="273" t="s">
        <v>822</v>
      </c>
      <c r="E56" s="274" t="s">
        <v>821</v>
      </c>
      <c r="F56" s="265">
        <v>0.09</v>
      </c>
      <c r="G56" s="273" t="s">
        <v>820</v>
      </c>
      <c r="H56" s="272" t="s">
        <v>819</v>
      </c>
      <c r="I56" s="265">
        <v>0.01</v>
      </c>
      <c r="J56" s="271">
        <f t="shared" si="0"/>
        <v>0.5</v>
      </c>
      <c r="K56" s="270"/>
      <c r="L56" s="279" t="s">
        <v>1031</v>
      </c>
      <c r="M56" s="279" t="s">
        <v>1031</v>
      </c>
      <c r="N56" s="279" t="s">
        <v>1031</v>
      </c>
      <c r="O56" s="268" t="s">
        <v>1031</v>
      </c>
      <c r="P56" s="268">
        <v>0</v>
      </c>
      <c r="Q56" s="277" t="s">
        <v>1031</v>
      </c>
      <c r="R56" s="267">
        <v>0</v>
      </c>
      <c r="S56" s="267">
        <v>0</v>
      </c>
      <c r="T56" s="276" t="s">
        <v>1031</v>
      </c>
    </row>
    <row r="57" spans="1:20" ht="15.75" customHeight="1" x14ac:dyDescent="0.25">
      <c r="A57" s="272" t="s">
        <v>196</v>
      </c>
      <c r="B57" s="275" t="s">
        <v>195</v>
      </c>
      <c r="C57" s="265">
        <v>0.4</v>
      </c>
      <c r="D57" s="273" t="s">
        <v>831</v>
      </c>
      <c r="E57" s="274" t="s">
        <v>830</v>
      </c>
      <c r="F57" s="265">
        <v>0.1</v>
      </c>
      <c r="G57" s="273" t="s">
        <v>748</v>
      </c>
      <c r="H57" s="272" t="s">
        <v>762</v>
      </c>
      <c r="I57" s="265">
        <v>0</v>
      </c>
      <c r="J57" s="271">
        <f t="shared" si="0"/>
        <v>0.5</v>
      </c>
      <c r="K57" s="270"/>
      <c r="L57" s="279" t="s">
        <v>1031</v>
      </c>
      <c r="M57" s="279" t="s">
        <v>1031</v>
      </c>
      <c r="N57" s="279" t="s">
        <v>1031</v>
      </c>
      <c r="O57" s="268" t="s">
        <v>1031</v>
      </c>
      <c r="P57" s="268">
        <v>0</v>
      </c>
      <c r="Q57" s="277" t="s">
        <v>1031</v>
      </c>
      <c r="R57" s="267">
        <v>0</v>
      </c>
      <c r="S57" s="267">
        <v>0</v>
      </c>
      <c r="T57" s="276" t="s">
        <v>1031</v>
      </c>
    </row>
    <row r="58" spans="1:20" ht="15.75" customHeight="1" x14ac:dyDescent="0.25">
      <c r="A58" s="272" t="s">
        <v>198</v>
      </c>
      <c r="B58" s="275" t="s">
        <v>197</v>
      </c>
      <c r="C58" s="265">
        <v>0.4</v>
      </c>
      <c r="D58" s="273" t="s">
        <v>796</v>
      </c>
      <c r="E58" s="274" t="s">
        <v>795</v>
      </c>
      <c r="F58" s="265">
        <v>0.1</v>
      </c>
      <c r="G58" s="273" t="s">
        <v>748</v>
      </c>
      <c r="H58" s="272" t="s">
        <v>762</v>
      </c>
      <c r="I58" s="265">
        <v>0</v>
      </c>
      <c r="J58" s="271">
        <f t="shared" si="0"/>
        <v>0.5</v>
      </c>
      <c r="K58" s="270"/>
      <c r="L58" s="279" t="s">
        <v>1031</v>
      </c>
      <c r="M58" s="279" t="s">
        <v>1031</v>
      </c>
      <c r="N58" s="279" t="s">
        <v>1031</v>
      </c>
      <c r="O58" s="268" t="s">
        <v>1031</v>
      </c>
      <c r="P58" s="268">
        <v>0</v>
      </c>
      <c r="Q58" s="277" t="s">
        <v>1031</v>
      </c>
      <c r="R58" s="267">
        <v>0</v>
      </c>
      <c r="S58" s="267">
        <v>0</v>
      </c>
      <c r="T58" s="276" t="s">
        <v>1031</v>
      </c>
    </row>
    <row r="59" spans="1:20" ht="15.75" customHeight="1" x14ac:dyDescent="0.25">
      <c r="A59" s="274" t="s">
        <v>200</v>
      </c>
      <c r="B59" s="274" t="s">
        <v>199</v>
      </c>
      <c r="C59" s="265">
        <v>0.49</v>
      </c>
      <c r="D59" s="273" t="s">
        <v>748</v>
      </c>
      <c r="E59" s="274" t="s">
        <v>747</v>
      </c>
      <c r="F59" s="265">
        <v>0</v>
      </c>
      <c r="G59" s="273" t="s">
        <v>815</v>
      </c>
      <c r="H59" s="272" t="s">
        <v>814</v>
      </c>
      <c r="I59" s="265">
        <v>0.01</v>
      </c>
      <c r="J59" s="271">
        <f t="shared" si="0"/>
        <v>0.5</v>
      </c>
      <c r="K59" s="270"/>
      <c r="L59" s="279" t="s">
        <v>1031</v>
      </c>
      <c r="M59" s="279" t="s">
        <v>1031</v>
      </c>
      <c r="N59" s="279" t="s">
        <v>1031</v>
      </c>
      <c r="O59" s="268" t="s">
        <v>1031</v>
      </c>
      <c r="P59" s="268">
        <v>0</v>
      </c>
      <c r="Q59" s="277" t="s">
        <v>1032</v>
      </c>
      <c r="R59" s="267">
        <v>0</v>
      </c>
      <c r="S59" s="267">
        <v>0</v>
      </c>
      <c r="T59" s="276" t="s">
        <v>1032</v>
      </c>
    </row>
    <row r="60" spans="1:20" ht="15.75" customHeight="1" x14ac:dyDescent="0.25">
      <c r="A60" s="274" t="s">
        <v>202</v>
      </c>
      <c r="B60" s="274" t="s">
        <v>918</v>
      </c>
      <c r="C60" s="265">
        <v>0.49</v>
      </c>
      <c r="D60" s="273" t="s">
        <v>748</v>
      </c>
      <c r="E60" s="274" t="s">
        <v>747</v>
      </c>
      <c r="F60" s="265">
        <v>0</v>
      </c>
      <c r="G60" s="273" t="s">
        <v>815</v>
      </c>
      <c r="H60" s="272" t="s">
        <v>814</v>
      </c>
      <c r="I60" s="265">
        <v>0.01</v>
      </c>
      <c r="J60" s="271">
        <f t="shared" si="0"/>
        <v>0.5</v>
      </c>
      <c r="K60" s="270"/>
      <c r="L60" s="279" t="s">
        <v>1031</v>
      </c>
      <c r="M60" s="279" t="s">
        <v>1031</v>
      </c>
      <c r="N60" s="279" t="s">
        <v>1031</v>
      </c>
      <c r="O60" s="268" t="s">
        <v>1032</v>
      </c>
      <c r="P60" s="268">
        <v>3520385</v>
      </c>
      <c r="Q60" s="277" t="s">
        <v>1032</v>
      </c>
      <c r="R60" s="267">
        <v>0</v>
      </c>
      <c r="S60" s="267">
        <v>0</v>
      </c>
      <c r="T60" s="276" t="s">
        <v>1032</v>
      </c>
    </row>
    <row r="61" spans="1:20" x14ac:dyDescent="0.25">
      <c r="A61" s="272" t="s">
        <v>204</v>
      </c>
      <c r="B61" s="275" t="s">
        <v>203</v>
      </c>
      <c r="C61" s="265">
        <v>0.4</v>
      </c>
      <c r="D61" s="273" t="s">
        <v>858</v>
      </c>
      <c r="E61" s="274" t="s">
        <v>857</v>
      </c>
      <c r="F61" s="265">
        <v>0.09</v>
      </c>
      <c r="G61" s="273" t="s">
        <v>856</v>
      </c>
      <c r="H61" s="272" t="s">
        <v>855</v>
      </c>
      <c r="I61" s="265">
        <v>0.01</v>
      </c>
      <c r="J61" s="271">
        <f t="shared" si="0"/>
        <v>0.5</v>
      </c>
      <c r="K61" s="270"/>
      <c r="L61" s="279" t="s">
        <v>1032</v>
      </c>
      <c r="M61" s="279" t="s">
        <v>1038</v>
      </c>
      <c r="N61" s="279" t="s">
        <v>1031</v>
      </c>
      <c r="O61" s="268" t="s">
        <v>1031</v>
      </c>
      <c r="P61" s="268">
        <v>0</v>
      </c>
      <c r="Q61" s="277" t="s">
        <v>1031</v>
      </c>
      <c r="R61" s="267">
        <v>0</v>
      </c>
      <c r="S61" s="267">
        <v>0</v>
      </c>
      <c r="T61" s="276" t="s">
        <v>1031</v>
      </c>
    </row>
    <row r="62" spans="1:20" ht="15.75" customHeight="1" x14ac:dyDescent="0.25">
      <c r="A62" s="272" t="s">
        <v>206</v>
      </c>
      <c r="B62" s="275" t="s">
        <v>205</v>
      </c>
      <c r="C62" s="265">
        <v>0.4</v>
      </c>
      <c r="D62" s="273" t="s">
        <v>764</v>
      </c>
      <c r="E62" s="274" t="s">
        <v>763</v>
      </c>
      <c r="F62" s="265">
        <v>0.1</v>
      </c>
      <c r="G62" s="273" t="s">
        <v>748</v>
      </c>
      <c r="H62" s="272" t="s">
        <v>762</v>
      </c>
      <c r="I62" s="265">
        <v>0</v>
      </c>
      <c r="J62" s="271">
        <f t="shared" si="0"/>
        <v>0.5</v>
      </c>
      <c r="K62" s="270"/>
      <c r="L62" s="279" t="s">
        <v>1031</v>
      </c>
      <c r="M62" s="279" t="s">
        <v>1031</v>
      </c>
      <c r="N62" s="279" t="s">
        <v>1031</v>
      </c>
      <c r="O62" s="268" t="s">
        <v>1031</v>
      </c>
      <c r="P62" s="268">
        <v>0</v>
      </c>
      <c r="Q62" s="277" t="s">
        <v>1031</v>
      </c>
      <c r="R62" s="267">
        <v>0</v>
      </c>
      <c r="S62" s="267">
        <v>0</v>
      </c>
      <c r="T62" s="276" t="s">
        <v>1031</v>
      </c>
    </row>
    <row r="63" spans="1:20" ht="15.75" customHeight="1" x14ac:dyDescent="0.25">
      <c r="A63" s="272" t="s">
        <v>208</v>
      </c>
      <c r="B63" s="275" t="s">
        <v>207</v>
      </c>
      <c r="C63" s="265">
        <v>0.4</v>
      </c>
      <c r="D63" s="273" t="s">
        <v>761</v>
      </c>
      <c r="E63" s="274" t="s">
        <v>760</v>
      </c>
      <c r="F63" s="265">
        <v>0.09</v>
      </c>
      <c r="G63" s="273" t="s">
        <v>759</v>
      </c>
      <c r="H63" s="272" t="s">
        <v>758</v>
      </c>
      <c r="I63" s="265">
        <v>0.01</v>
      </c>
      <c r="J63" s="271">
        <f t="shared" si="0"/>
        <v>0.5</v>
      </c>
      <c r="K63" s="270"/>
      <c r="L63" s="279" t="s">
        <v>1031</v>
      </c>
      <c r="M63" s="279" t="s">
        <v>1031</v>
      </c>
      <c r="N63" s="279" t="s">
        <v>1031</v>
      </c>
      <c r="O63" s="268" t="s">
        <v>1031</v>
      </c>
      <c r="P63" s="268">
        <v>0</v>
      </c>
      <c r="Q63" s="277" t="s">
        <v>1031</v>
      </c>
      <c r="R63" s="267">
        <v>0</v>
      </c>
      <c r="S63" s="267">
        <v>0</v>
      </c>
      <c r="T63" s="276" t="s">
        <v>1031</v>
      </c>
    </row>
    <row r="64" spans="1:20" ht="15.75" customHeight="1" x14ac:dyDescent="0.25">
      <c r="A64" s="272" t="s">
        <v>210</v>
      </c>
      <c r="B64" s="275" t="s">
        <v>209</v>
      </c>
      <c r="C64" s="265">
        <v>0.4</v>
      </c>
      <c r="D64" s="273" t="s">
        <v>757</v>
      </c>
      <c r="E64" s="274" t="s">
        <v>756</v>
      </c>
      <c r="F64" s="265">
        <v>0.09</v>
      </c>
      <c r="G64" s="273" t="s">
        <v>755</v>
      </c>
      <c r="H64" s="272" t="s">
        <v>754</v>
      </c>
      <c r="I64" s="265">
        <v>0.01</v>
      </c>
      <c r="J64" s="271">
        <f t="shared" si="0"/>
        <v>0.5</v>
      </c>
      <c r="K64" s="270"/>
      <c r="L64" s="279" t="s">
        <v>1031</v>
      </c>
      <c r="M64" s="279" t="s">
        <v>1031</v>
      </c>
      <c r="N64" s="279" t="s">
        <v>1031</v>
      </c>
      <c r="O64" s="268" t="s">
        <v>1031</v>
      </c>
      <c r="P64" s="268">
        <v>0</v>
      </c>
      <c r="Q64" s="277" t="s">
        <v>1031</v>
      </c>
      <c r="R64" s="267">
        <v>0</v>
      </c>
      <c r="S64" s="267">
        <v>0</v>
      </c>
      <c r="T64" s="276" t="s">
        <v>1031</v>
      </c>
    </row>
    <row r="65" spans="1:20" ht="15.75" customHeight="1" x14ac:dyDescent="0.25">
      <c r="A65" s="272" t="s">
        <v>212</v>
      </c>
      <c r="B65" s="275" t="s">
        <v>211</v>
      </c>
      <c r="C65" s="265">
        <v>0.4</v>
      </c>
      <c r="D65" s="273" t="s">
        <v>787</v>
      </c>
      <c r="E65" s="274" t="s">
        <v>786</v>
      </c>
      <c r="F65" s="265">
        <v>0.09</v>
      </c>
      <c r="G65" s="273" t="s">
        <v>785</v>
      </c>
      <c r="H65" s="272" t="s">
        <v>784</v>
      </c>
      <c r="I65" s="265">
        <v>0.01</v>
      </c>
      <c r="J65" s="271">
        <f t="shared" si="0"/>
        <v>0.5</v>
      </c>
      <c r="K65" s="270"/>
      <c r="L65" s="279" t="s">
        <v>1031</v>
      </c>
      <c r="M65" s="279" t="s">
        <v>1031</v>
      </c>
      <c r="N65" s="279" t="s">
        <v>1031</v>
      </c>
      <c r="O65" s="268" t="s">
        <v>1031</v>
      </c>
      <c r="P65" s="268">
        <v>0</v>
      </c>
      <c r="Q65" s="277" t="s">
        <v>1031</v>
      </c>
      <c r="R65" s="267">
        <v>0</v>
      </c>
      <c r="S65" s="267">
        <v>0</v>
      </c>
      <c r="T65" s="276" t="s">
        <v>1031</v>
      </c>
    </row>
    <row r="66" spans="1:20" ht="15.75" customHeight="1" x14ac:dyDescent="0.25">
      <c r="A66" s="272" t="s">
        <v>214</v>
      </c>
      <c r="B66" s="275" t="s">
        <v>213</v>
      </c>
      <c r="C66" s="265">
        <v>0.3</v>
      </c>
      <c r="D66" s="273" t="s">
        <v>917</v>
      </c>
      <c r="E66" s="274" t="s">
        <v>916</v>
      </c>
      <c r="F66" s="265">
        <v>0.2</v>
      </c>
      <c r="G66" s="273" t="s">
        <v>748</v>
      </c>
      <c r="H66" s="274" t="s">
        <v>748</v>
      </c>
      <c r="I66" s="265">
        <v>0</v>
      </c>
      <c r="J66" s="271">
        <f t="shared" si="0"/>
        <v>0.5</v>
      </c>
      <c r="K66" s="270"/>
      <c r="L66" s="279" t="s">
        <v>1031</v>
      </c>
      <c r="M66" s="279" t="s">
        <v>1031</v>
      </c>
      <c r="N66" s="279" t="s">
        <v>1031</v>
      </c>
      <c r="O66" s="268" t="s">
        <v>1031</v>
      </c>
      <c r="P66" s="268">
        <v>0</v>
      </c>
      <c r="Q66" s="277" t="s">
        <v>1032</v>
      </c>
      <c r="R66" s="267">
        <v>0</v>
      </c>
      <c r="S66" s="267">
        <v>0</v>
      </c>
      <c r="T66" s="276" t="s">
        <v>1031</v>
      </c>
    </row>
    <row r="67" spans="1:20" ht="15.75" customHeight="1" x14ac:dyDescent="0.25">
      <c r="A67" s="272" t="s">
        <v>216</v>
      </c>
      <c r="B67" s="275" t="s">
        <v>215</v>
      </c>
      <c r="C67" s="265">
        <v>0.4</v>
      </c>
      <c r="D67" s="273" t="s">
        <v>822</v>
      </c>
      <c r="E67" s="274" t="s">
        <v>821</v>
      </c>
      <c r="F67" s="265">
        <v>0.09</v>
      </c>
      <c r="G67" s="273" t="s">
        <v>820</v>
      </c>
      <c r="H67" s="272" t="s">
        <v>819</v>
      </c>
      <c r="I67" s="265">
        <v>0.01</v>
      </c>
      <c r="J67" s="271">
        <f t="shared" si="0"/>
        <v>0.5</v>
      </c>
      <c r="K67" s="270"/>
      <c r="L67" s="279" t="s">
        <v>1031</v>
      </c>
      <c r="M67" s="279" t="s">
        <v>1031</v>
      </c>
      <c r="N67" s="279" t="s">
        <v>1031</v>
      </c>
      <c r="O67" s="268" t="s">
        <v>1031</v>
      </c>
      <c r="P67" s="268">
        <v>0</v>
      </c>
      <c r="Q67" s="277" t="s">
        <v>1031</v>
      </c>
      <c r="R67" s="267">
        <v>0</v>
      </c>
      <c r="S67" s="267">
        <v>0</v>
      </c>
      <c r="T67" s="276" t="s">
        <v>1031</v>
      </c>
    </row>
    <row r="68" spans="1:20" ht="15.75" customHeight="1" x14ac:dyDescent="0.25">
      <c r="A68" s="272" t="s">
        <v>218</v>
      </c>
      <c r="B68" s="275" t="s">
        <v>217</v>
      </c>
      <c r="C68" s="265">
        <v>0.4</v>
      </c>
      <c r="D68" s="273" t="s">
        <v>851</v>
      </c>
      <c r="E68" s="274" t="s">
        <v>850</v>
      </c>
      <c r="F68" s="265">
        <v>0.1</v>
      </c>
      <c r="G68" s="273" t="s">
        <v>748</v>
      </c>
      <c r="H68" s="272" t="s">
        <v>762</v>
      </c>
      <c r="I68" s="265">
        <v>0</v>
      </c>
      <c r="J68" s="271">
        <f t="shared" si="0"/>
        <v>0.5</v>
      </c>
      <c r="K68" s="270"/>
      <c r="L68" s="279" t="s">
        <v>1031</v>
      </c>
      <c r="M68" s="279" t="s">
        <v>1031</v>
      </c>
      <c r="N68" s="279" t="s">
        <v>1031</v>
      </c>
      <c r="O68" s="268" t="s">
        <v>1031</v>
      </c>
      <c r="P68" s="268">
        <v>0</v>
      </c>
      <c r="Q68" s="277" t="s">
        <v>1031</v>
      </c>
      <c r="R68" s="267">
        <v>0</v>
      </c>
      <c r="S68" s="267">
        <v>0</v>
      </c>
      <c r="T68" s="276" t="s">
        <v>1031</v>
      </c>
    </row>
    <row r="69" spans="1:20" ht="15.75" customHeight="1" x14ac:dyDescent="0.25">
      <c r="A69" s="272" t="s">
        <v>220</v>
      </c>
      <c r="B69" s="275" t="s">
        <v>219</v>
      </c>
      <c r="C69" s="265">
        <v>0.4</v>
      </c>
      <c r="D69" s="273" t="s">
        <v>805</v>
      </c>
      <c r="E69" s="274" t="s">
        <v>804</v>
      </c>
      <c r="F69" s="265">
        <v>0.1</v>
      </c>
      <c r="G69" s="273" t="s">
        <v>748</v>
      </c>
      <c r="H69" s="272" t="s">
        <v>762</v>
      </c>
      <c r="I69" s="265">
        <v>0</v>
      </c>
      <c r="J69" s="271">
        <f t="shared" si="0"/>
        <v>0.5</v>
      </c>
      <c r="K69" s="270"/>
      <c r="L69" s="279" t="s">
        <v>1031</v>
      </c>
      <c r="M69" s="279" t="s">
        <v>1031</v>
      </c>
      <c r="N69" s="279" t="s">
        <v>1031</v>
      </c>
      <c r="O69" s="268" t="s">
        <v>1031</v>
      </c>
      <c r="P69" s="268">
        <v>0</v>
      </c>
      <c r="Q69" s="277" t="s">
        <v>1031</v>
      </c>
      <c r="R69" s="267">
        <v>0</v>
      </c>
      <c r="S69" s="267">
        <v>0</v>
      </c>
      <c r="T69" s="276" t="s">
        <v>1031</v>
      </c>
    </row>
    <row r="70" spans="1:20" x14ac:dyDescent="0.25">
      <c r="A70" s="274" t="s">
        <v>222</v>
      </c>
      <c r="B70" s="274" t="s">
        <v>221</v>
      </c>
      <c r="C70" s="265">
        <v>0.5</v>
      </c>
      <c r="D70" s="273" t="s">
        <v>748</v>
      </c>
      <c r="E70" s="274" t="s">
        <v>747</v>
      </c>
      <c r="F70" s="265">
        <v>0</v>
      </c>
      <c r="G70" s="273" t="s">
        <v>748</v>
      </c>
      <c r="H70" s="272" t="s">
        <v>762</v>
      </c>
      <c r="I70" s="265">
        <v>0</v>
      </c>
      <c r="J70" s="271">
        <f t="shared" ref="J70:J133" si="1">+C70+F70+I70</f>
        <v>0.5</v>
      </c>
      <c r="K70" s="270"/>
      <c r="L70" s="279" t="s">
        <v>1032</v>
      </c>
      <c r="M70" s="279" t="s">
        <v>1039</v>
      </c>
      <c r="N70" s="279" t="s">
        <v>1031</v>
      </c>
      <c r="O70" s="268" t="s">
        <v>1031</v>
      </c>
      <c r="P70" s="268">
        <v>0</v>
      </c>
      <c r="Q70" s="277" t="s">
        <v>1032</v>
      </c>
      <c r="R70" s="267">
        <v>429388</v>
      </c>
      <c r="S70" s="267">
        <v>0</v>
      </c>
      <c r="T70" s="276" t="s">
        <v>1032</v>
      </c>
    </row>
    <row r="71" spans="1:20" ht="15.75" customHeight="1" x14ac:dyDescent="0.25">
      <c r="A71" s="272" t="s">
        <v>224</v>
      </c>
      <c r="B71" s="275" t="s">
        <v>223</v>
      </c>
      <c r="C71" s="265">
        <v>0.4</v>
      </c>
      <c r="D71" s="273" t="s">
        <v>831</v>
      </c>
      <c r="E71" s="274" t="s">
        <v>830</v>
      </c>
      <c r="F71" s="265">
        <v>0.1</v>
      </c>
      <c r="G71" s="273" t="s">
        <v>748</v>
      </c>
      <c r="H71" s="272" t="s">
        <v>762</v>
      </c>
      <c r="I71" s="265">
        <v>0</v>
      </c>
      <c r="J71" s="271">
        <f t="shared" si="1"/>
        <v>0.5</v>
      </c>
      <c r="K71" s="270"/>
      <c r="L71" s="279" t="s">
        <v>1031</v>
      </c>
      <c r="M71" s="279" t="s">
        <v>1031</v>
      </c>
      <c r="N71" s="279" t="s">
        <v>1031</v>
      </c>
      <c r="O71" s="268" t="s">
        <v>1031</v>
      </c>
      <c r="P71" s="268">
        <v>0</v>
      </c>
      <c r="Q71" s="277" t="s">
        <v>1031</v>
      </c>
      <c r="R71" s="267">
        <v>0</v>
      </c>
      <c r="S71" s="267">
        <v>0</v>
      </c>
      <c r="T71" s="276" t="s">
        <v>1031</v>
      </c>
    </row>
    <row r="72" spans="1:20" ht="15.75" customHeight="1" x14ac:dyDescent="0.25">
      <c r="A72" s="272" t="s">
        <v>226</v>
      </c>
      <c r="B72" s="275" t="s">
        <v>225</v>
      </c>
      <c r="C72" s="265">
        <v>0.49</v>
      </c>
      <c r="D72" s="273" t="s">
        <v>748</v>
      </c>
      <c r="E72" s="274" t="s">
        <v>767</v>
      </c>
      <c r="F72" s="265">
        <v>0</v>
      </c>
      <c r="G72" s="273" t="s">
        <v>766</v>
      </c>
      <c r="H72" s="272" t="s">
        <v>765</v>
      </c>
      <c r="I72" s="265">
        <v>0.01</v>
      </c>
      <c r="J72" s="271">
        <f t="shared" si="1"/>
        <v>0.5</v>
      </c>
      <c r="L72" s="279" t="s">
        <v>1031</v>
      </c>
      <c r="M72" s="279" t="s">
        <v>1031</v>
      </c>
      <c r="N72" s="279" t="s">
        <v>1031</v>
      </c>
      <c r="O72" s="268" t="s">
        <v>1032</v>
      </c>
      <c r="P72" s="268">
        <v>2838669</v>
      </c>
      <c r="Q72" s="277" t="s">
        <v>1032</v>
      </c>
      <c r="R72" s="267">
        <v>0</v>
      </c>
      <c r="S72" s="267">
        <v>0</v>
      </c>
      <c r="T72" s="276" t="s">
        <v>1032</v>
      </c>
    </row>
    <row r="73" spans="1:20" ht="15.75" customHeight="1" x14ac:dyDescent="0.25">
      <c r="A73" s="272" t="s">
        <v>228</v>
      </c>
      <c r="B73" s="275" t="s">
        <v>227</v>
      </c>
      <c r="C73" s="265">
        <v>0.4</v>
      </c>
      <c r="D73" s="273" t="s">
        <v>867</v>
      </c>
      <c r="E73" s="274" t="s">
        <v>866</v>
      </c>
      <c r="F73" s="265">
        <v>0.09</v>
      </c>
      <c r="G73" s="273" t="s">
        <v>746</v>
      </c>
      <c r="H73" s="272" t="s">
        <v>745</v>
      </c>
      <c r="I73" s="265">
        <v>0.01</v>
      </c>
      <c r="J73" s="271">
        <f t="shared" si="1"/>
        <v>0.5</v>
      </c>
      <c r="K73" s="270"/>
      <c r="L73" s="279" t="s">
        <v>1031</v>
      </c>
      <c r="M73" s="279" t="s">
        <v>1031</v>
      </c>
      <c r="N73" s="279" t="s">
        <v>1031</v>
      </c>
      <c r="O73" s="268" t="s">
        <v>1031</v>
      </c>
      <c r="P73" s="268">
        <v>0</v>
      </c>
      <c r="Q73" s="277" t="s">
        <v>1031</v>
      </c>
      <c r="R73" s="267">
        <v>0</v>
      </c>
      <c r="S73" s="267">
        <v>0</v>
      </c>
      <c r="T73" s="276" t="s">
        <v>1031</v>
      </c>
    </row>
    <row r="74" spans="1:20" ht="15.75" customHeight="1" x14ac:dyDescent="0.25">
      <c r="A74" s="272" t="s">
        <v>230</v>
      </c>
      <c r="B74" s="275" t="s">
        <v>229</v>
      </c>
      <c r="C74" s="265">
        <v>0.4</v>
      </c>
      <c r="D74" s="273" t="s">
        <v>764</v>
      </c>
      <c r="E74" s="274" t="s">
        <v>763</v>
      </c>
      <c r="F74" s="265">
        <v>0.1</v>
      </c>
      <c r="G74" s="273" t="s">
        <v>748</v>
      </c>
      <c r="H74" s="272" t="s">
        <v>762</v>
      </c>
      <c r="I74" s="265">
        <v>0</v>
      </c>
      <c r="J74" s="271">
        <f t="shared" si="1"/>
        <v>0.5</v>
      </c>
      <c r="K74" s="270"/>
      <c r="L74" s="279" t="s">
        <v>1031</v>
      </c>
      <c r="M74" s="279" t="s">
        <v>1031</v>
      </c>
      <c r="N74" s="279" t="s">
        <v>1031</v>
      </c>
      <c r="O74" s="268" t="s">
        <v>1031</v>
      </c>
      <c r="P74" s="268">
        <v>0</v>
      </c>
      <c r="Q74" s="277" t="s">
        <v>1031</v>
      </c>
      <c r="R74" s="267">
        <v>0</v>
      </c>
      <c r="S74" s="267">
        <v>0</v>
      </c>
      <c r="T74" s="276" t="s">
        <v>1031</v>
      </c>
    </row>
    <row r="75" spans="1:20" ht="15.75" customHeight="1" x14ac:dyDescent="0.25">
      <c r="A75" s="272" t="s">
        <v>232</v>
      </c>
      <c r="B75" s="275" t="s">
        <v>231</v>
      </c>
      <c r="C75" s="265">
        <v>0.3</v>
      </c>
      <c r="D75" s="273" t="s">
        <v>790</v>
      </c>
      <c r="E75" s="274" t="s">
        <v>789</v>
      </c>
      <c r="F75" s="265">
        <v>0.2</v>
      </c>
      <c r="G75" s="273" t="s">
        <v>748</v>
      </c>
      <c r="H75" s="274" t="s">
        <v>748</v>
      </c>
      <c r="I75" s="265">
        <v>0</v>
      </c>
      <c r="J75" s="271">
        <f t="shared" si="1"/>
        <v>0.5</v>
      </c>
      <c r="K75" s="270"/>
      <c r="L75" s="279" t="s">
        <v>1031</v>
      </c>
      <c r="M75" s="279" t="s">
        <v>1031</v>
      </c>
      <c r="N75" s="279" t="s">
        <v>1031</v>
      </c>
      <c r="O75" s="268" t="s">
        <v>1031</v>
      </c>
      <c r="P75" s="268">
        <v>0</v>
      </c>
      <c r="Q75" s="277" t="s">
        <v>1032</v>
      </c>
      <c r="R75" s="267">
        <v>0</v>
      </c>
      <c r="S75" s="267">
        <v>0</v>
      </c>
      <c r="T75" s="276" t="s">
        <v>1032</v>
      </c>
    </row>
    <row r="76" spans="1:20" ht="15.75" customHeight="1" x14ac:dyDescent="0.25">
      <c r="A76" s="272" t="s">
        <v>234</v>
      </c>
      <c r="B76" s="275" t="s">
        <v>233</v>
      </c>
      <c r="C76" s="265">
        <v>0.4</v>
      </c>
      <c r="D76" s="273" t="s">
        <v>803</v>
      </c>
      <c r="E76" s="274" t="s">
        <v>802</v>
      </c>
      <c r="F76" s="265">
        <v>0.1</v>
      </c>
      <c r="G76" s="273" t="s">
        <v>748</v>
      </c>
      <c r="H76" s="272" t="s">
        <v>762</v>
      </c>
      <c r="I76" s="265">
        <v>0</v>
      </c>
      <c r="J76" s="271">
        <f t="shared" si="1"/>
        <v>0.5</v>
      </c>
      <c r="K76" s="270"/>
      <c r="L76" s="279" t="s">
        <v>1031</v>
      </c>
      <c r="M76" s="279" t="s">
        <v>1031</v>
      </c>
      <c r="N76" s="279" t="s">
        <v>1031</v>
      </c>
      <c r="O76" s="268" t="s">
        <v>1031</v>
      </c>
      <c r="P76" s="268">
        <v>0</v>
      </c>
      <c r="Q76" s="277" t="s">
        <v>1031</v>
      </c>
      <c r="R76" s="267">
        <v>0</v>
      </c>
      <c r="S76" s="267">
        <v>0</v>
      </c>
      <c r="T76" s="276" t="s">
        <v>1031</v>
      </c>
    </row>
    <row r="77" spans="1:20" ht="15.75" customHeight="1" x14ac:dyDescent="0.25">
      <c r="A77" s="272" t="s">
        <v>236</v>
      </c>
      <c r="B77" s="275" t="s">
        <v>915</v>
      </c>
      <c r="C77" s="265">
        <v>0.49</v>
      </c>
      <c r="D77" s="273" t="s">
        <v>748</v>
      </c>
      <c r="E77" s="274" t="s">
        <v>747</v>
      </c>
      <c r="F77" s="265">
        <v>0</v>
      </c>
      <c r="G77" s="273" t="s">
        <v>913</v>
      </c>
      <c r="H77" s="272" t="s">
        <v>912</v>
      </c>
      <c r="I77" s="265">
        <v>0.01</v>
      </c>
      <c r="J77" s="271">
        <f t="shared" si="1"/>
        <v>0.5</v>
      </c>
      <c r="K77" s="270"/>
      <c r="L77" s="279" t="s">
        <v>1031</v>
      </c>
      <c r="M77" s="279" t="s">
        <v>1031</v>
      </c>
      <c r="N77" s="279" t="s">
        <v>1031</v>
      </c>
      <c r="O77" s="268" t="s">
        <v>1031</v>
      </c>
      <c r="P77" s="268">
        <v>0</v>
      </c>
      <c r="Q77" s="277" t="s">
        <v>1032</v>
      </c>
      <c r="R77" s="267">
        <v>0</v>
      </c>
      <c r="S77" s="267">
        <v>0</v>
      </c>
      <c r="T77" s="276" t="s">
        <v>1032</v>
      </c>
    </row>
    <row r="78" spans="1:20" ht="15.75" customHeight="1" x14ac:dyDescent="0.25">
      <c r="A78" s="272" t="s">
        <v>238</v>
      </c>
      <c r="B78" s="275" t="s">
        <v>237</v>
      </c>
      <c r="C78" s="265">
        <v>0.4</v>
      </c>
      <c r="D78" s="273" t="s">
        <v>826</v>
      </c>
      <c r="E78" s="274" t="s">
        <v>825</v>
      </c>
      <c r="F78" s="265">
        <v>0.09</v>
      </c>
      <c r="G78" s="273" t="s">
        <v>824</v>
      </c>
      <c r="H78" s="272" t="s">
        <v>823</v>
      </c>
      <c r="I78" s="265">
        <v>0.01</v>
      </c>
      <c r="J78" s="271">
        <f t="shared" si="1"/>
        <v>0.5</v>
      </c>
      <c r="K78" s="270"/>
      <c r="L78" s="279" t="s">
        <v>1031</v>
      </c>
      <c r="M78" s="279" t="s">
        <v>1031</v>
      </c>
      <c r="N78" s="279" t="s">
        <v>1031</v>
      </c>
      <c r="O78" s="268" t="s">
        <v>1031</v>
      </c>
      <c r="P78" s="268">
        <v>0</v>
      </c>
      <c r="Q78" s="277" t="s">
        <v>1031</v>
      </c>
      <c r="R78" s="267">
        <v>0</v>
      </c>
      <c r="S78" s="267">
        <v>0</v>
      </c>
      <c r="T78" s="276" t="s">
        <v>1031</v>
      </c>
    </row>
    <row r="79" spans="1:20" ht="15.75" customHeight="1" x14ac:dyDescent="0.25">
      <c r="A79" s="272" t="s">
        <v>240</v>
      </c>
      <c r="B79" s="275" t="s">
        <v>239</v>
      </c>
      <c r="C79" s="265">
        <v>0.4</v>
      </c>
      <c r="D79" s="273" t="s">
        <v>805</v>
      </c>
      <c r="E79" s="274" t="s">
        <v>804</v>
      </c>
      <c r="F79" s="265">
        <v>0.1</v>
      </c>
      <c r="G79" s="273" t="s">
        <v>748</v>
      </c>
      <c r="H79" s="272" t="s">
        <v>762</v>
      </c>
      <c r="I79" s="265">
        <v>0</v>
      </c>
      <c r="J79" s="271">
        <f t="shared" si="1"/>
        <v>0.5</v>
      </c>
      <c r="K79" s="270"/>
      <c r="L79" s="279" t="s">
        <v>1031</v>
      </c>
      <c r="M79" s="279" t="s">
        <v>1031</v>
      </c>
      <c r="N79" s="279" t="s">
        <v>1031</v>
      </c>
      <c r="O79" s="268" t="s">
        <v>1032</v>
      </c>
      <c r="P79" s="268">
        <v>544707</v>
      </c>
      <c r="Q79" s="277" t="s">
        <v>1031</v>
      </c>
      <c r="R79" s="267">
        <v>0</v>
      </c>
      <c r="S79" s="267">
        <v>0</v>
      </c>
      <c r="T79" s="276" t="s">
        <v>1031</v>
      </c>
    </row>
    <row r="80" spans="1:20" ht="15.75" customHeight="1" x14ac:dyDescent="0.25">
      <c r="A80" s="272" t="s">
        <v>242</v>
      </c>
      <c r="B80" s="281" t="s">
        <v>914</v>
      </c>
      <c r="C80" s="265">
        <v>0.49</v>
      </c>
      <c r="D80" s="273" t="s">
        <v>748</v>
      </c>
      <c r="E80" s="274" t="s">
        <v>747</v>
      </c>
      <c r="F80" s="265">
        <v>0</v>
      </c>
      <c r="G80" s="273" t="s">
        <v>856</v>
      </c>
      <c r="H80" s="272" t="s">
        <v>855</v>
      </c>
      <c r="I80" s="265">
        <v>0.01</v>
      </c>
      <c r="J80" s="271">
        <f t="shared" si="1"/>
        <v>0.5</v>
      </c>
      <c r="K80" s="270"/>
      <c r="L80" s="279" t="s">
        <v>1032</v>
      </c>
      <c r="M80" s="279" t="s">
        <v>1040</v>
      </c>
      <c r="N80" s="279" t="s">
        <v>1031</v>
      </c>
      <c r="O80" s="268" t="s">
        <v>1031</v>
      </c>
      <c r="P80" s="268">
        <v>0</v>
      </c>
      <c r="Q80" s="277" t="s">
        <v>1032</v>
      </c>
      <c r="R80" s="267">
        <v>0</v>
      </c>
      <c r="S80" s="267">
        <v>0</v>
      </c>
      <c r="T80" s="276" t="s">
        <v>1032</v>
      </c>
    </row>
    <row r="81" spans="1:20" ht="15.75" customHeight="1" x14ac:dyDescent="0.25">
      <c r="A81" s="272" t="s">
        <v>244</v>
      </c>
      <c r="B81" s="275" t="s">
        <v>243</v>
      </c>
      <c r="C81" s="265">
        <v>0.4</v>
      </c>
      <c r="D81" s="273" t="s">
        <v>858</v>
      </c>
      <c r="E81" s="274" t="s">
        <v>857</v>
      </c>
      <c r="F81" s="265">
        <v>0.09</v>
      </c>
      <c r="G81" s="273" t="s">
        <v>856</v>
      </c>
      <c r="H81" s="272" t="s">
        <v>855</v>
      </c>
      <c r="I81" s="265">
        <v>0.01</v>
      </c>
      <c r="J81" s="271">
        <f t="shared" si="1"/>
        <v>0.5</v>
      </c>
      <c r="K81" s="270"/>
      <c r="L81" s="279" t="s">
        <v>1031</v>
      </c>
      <c r="M81" s="279" t="s">
        <v>1031</v>
      </c>
      <c r="N81" s="279" t="s">
        <v>1031</v>
      </c>
      <c r="O81" s="268" t="s">
        <v>1031</v>
      </c>
      <c r="P81" s="268">
        <v>0</v>
      </c>
      <c r="Q81" s="277" t="s">
        <v>1031</v>
      </c>
      <c r="R81" s="267">
        <v>0</v>
      </c>
      <c r="S81" s="267">
        <v>0</v>
      </c>
      <c r="T81" s="276" t="s">
        <v>1031</v>
      </c>
    </row>
    <row r="82" spans="1:20" ht="15.75" customHeight="1" x14ac:dyDescent="0.25">
      <c r="A82" s="272" t="s">
        <v>246</v>
      </c>
      <c r="B82" s="275" t="s">
        <v>245</v>
      </c>
      <c r="C82" s="265">
        <v>0.49</v>
      </c>
      <c r="D82" s="273" t="s">
        <v>748</v>
      </c>
      <c r="E82" s="274" t="s">
        <v>767</v>
      </c>
      <c r="F82" s="265">
        <v>0</v>
      </c>
      <c r="G82" s="273" t="s">
        <v>865</v>
      </c>
      <c r="H82" s="272" t="s">
        <v>864</v>
      </c>
      <c r="I82" s="265">
        <v>0.01</v>
      </c>
      <c r="J82" s="271">
        <f t="shared" si="1"/>
        <v>0.5</v>
      </c>
      <c r="L82" s="279" t="s">
        <v>1031</v>
      </c>
      <c r="M82" s="279" t="s">
        <v>1031</v>
      </c>
      <c r="N82" s="279" t="s">
        <v>1031</v>
      </c>
      <c r="O82" s="268" t="s">
        <v>1031</v>
      </c>
      <c r="P82" s="268">
        <v>0</v>
      </c>
      <c r="Q82" s="277" t="s">
        <v>1032</v>
      </c>
      <c r="R82" s="267">
        <v>0</v>
      </c>
      <c r="S82" s="267">
        <v>0</v>
      </c>
      <c r="T82" s="276" t="s">
        <v>1032</v>
      </c>
    </row>
    <row r="83" spans="1:20" ht="15.75" customHeight="1" x14ac:dyDescent="0.25">
      <c r="A83" s="272" t="s">
        <v>248</v>
      </c>
      <c r="B83" s="275" t="s">
        <v>247</v>
      </c>
      <c r="C83" s="265">
        <v>0.4</v>
      </c>
      <c r="D83" s="273" t="s">
        <v>826</v>
      </c>
      <c r="E83" s="274" t="s">
        <v>825</v>
      </c>
      <c r="F83" s="265">
        <v>0.09</v>
      </c>
      <c r="G83" s="273" t="s">
        <v>824</v>
      </c>
      <c r="H83" s="272" t="s">
        <v>823</v>
      </c>
      <c r="I83" s="265">
        <v>0.01</v>
      </c>
      <c r="J83" s="271">
        <f t="shared" si="1"/>
        <v>0.5</v>
      </c>
      <c r="K83" s="270"/>
      <c r="L83" s="279" t="s">
        <v>1031</v>
      </c>
      <c r="M83" s="279" t="s">
        <v>1031</v>
      </c>
      <c r="N83" s="279" t="s">
        <v>1031</v>
      </c>
      <c r="O83" s="268" t="s">
        <v>1031</v>
      </c>
      <c r="P83" s="268">
        <v>0</v>
      </c>
      <c r="Q83" s="277" t="s">
        <v>1031</v>
      </c>
      <c r="R83" s="267">
        <v>0</v>
      </c>
      <c r="S83" s="267">
        <v>0</v>
      </c>
      <c r="T83" s="276" t="s">
        <v>1031</v>
      </c>
    </row>
    <row r="84" spans="1:20" ht="15.75" customHeight="1" x14ac:dyDescent="0.25">
      <c r="A84" s="272" t="s">
        <v>250</v>
      </c>
      <c r="B84" s="275" t="s">
        <v>249</v>
      </c>
      <c r="C84" s="265">
        <v>0.49</v>
      </c>
      <c r="D84" s="273" t="s">
        <v>748</v>
      </c>
      <c r="E84" s="274" t="s">
        <v>767</v>
      </c>
      <c r="F84" s="265">
        <v>0</v>
      </c>
      <c r="G84" s="273" t="s">
        <v>766</v>
      </c>
      <c r="H84" s="272" t="s">
        <v>765</v>
      </c>
      <c r="I84" s="265">
        <v>0.01</v>
      </c>
      <c r="J84" s="271">
        <f t="shared" si="1"/>
        <v>0.5</v>
      </c>
      <c r="K84" s="270"/>
      <c r="L84" s="279" t="s">
        <v>1031</v>
      </c>
      <c r="M84" s="279" t="s">
        <v>1031</v>
      </c>
      <c r="N84" s="279" t="s">
        <v>1031</v>
      </c>
      <c r="O84" s="268" t="s">
        <v>1032</v>
      </c>
      <c r="P84" s="268">
        <v>2700000</v>
      </c>
      <c r="Q84" s="277" t="s">
        <v>1032</v>
      </c>
      <c r="R84" s="267">
        <v>0</v>
      </c>
      <c r="S84" s="267">
        <v>0</v>
      </c>
      <c r="T84" s="276" t="s">
        <v>1032</v>
      </c>
    </row>
    <row r="85" spans="1:20" ht="15.75" customHeight="1" x14ac:dyDescent="0.25">
      <c r="A85" s="272" t="s">
        <v>252</v>
      </c>
      <c r="B85" s="281" t="s">
        <v>251</v>
      </c>
      <c r="C85" s="265">
        <v>0.49</v>
      </c>
      <c r="D85" s="273" t="s">
        <v>748</v>
      </c>
      <c r="E85" s="274" t="s">
        <v>747</v>
      </c>
      <c r="F85" s="265">
        <v>0</v>
      </c>
      <c r="G85" s="273" t="s">
        <v>913</v>
      </c>
      <c r="H85" s="272" t="s">
        <v>912</v>
      </c>
      <c r="I85" s="265">
        <v>0.01</v>
      </c>
      <c r="J85" s="271">
        <f t="shared" si="1"/>
        <v>0.5</v>
      </c>
      <c r="K85" s="270"/>
      <c r="L85" s="279" t="s">
        <v>1031</v>
      </c>
      <c r="M85" s="279" t="s">
        <v>1031</v>
      </c>
      <c r="N85" s="279" t="s">
        <v>1031</v>
      </c>
      <c r="O85" s="268" t="s">
        <v>1031</v>
      </c>
      <c r="P85" s="268">
        <v>0</v>
      </c>
      <c r="Q85" s="277" t="s">
        <v>1032</v>
      </c>
      <c r="R85" s="267">
        <v>0</v>
      </c>
      <c r="S85" s="267">
        <v>0</v>
      </c>
      <c r="T85" s="276" t="s">
        <v>1032</v>
      </c>
    </row>
    <row r="86" spans="1:20" ht="15.75" customHeight="1" x14ac:dyDescent="0.25">
      <c r="A86" s="272" t="s">
        <v>254</v>
      </c>
      <c r="B86" s="275" t="s">
        <v>253</v>
      </c>
      <c r="C86" s="265">
        <v>0.3</v>
      </c>
      <c r="D86" s="273" t="s">
        <v>790</v>
      </c>
      <c r="E86" s="274" t="s">
        <v>789</v>
      </c>
      <c r="F86" s="265">
        <v>0.2</v>
      </c>
      <c r="G86" s="273" t="s">
        <v>748</v>
      </c>
      <c r="H86" s="274" t="s">
        <v>748</v>
      </c>
      <c r="I86" s="265">
        <v>0</v>
      </c>
      <c r="J86" s="271">
        <f t="shared" si="1"/>
        <v>0.5</v>
      </c>
      <c r="K86" s="270"/>
      <c r="L86" s="279" t="s">
        <v>1031</v>
      </c>
      <c r="M86" s="279" t="s">
        <v>1031</v>
      </c>
      <c r="N86" s="279" t="s">
        <v>1031</v>
      </c>
      <c r="O86" s="268" t="s">
        <v>1031</v>
      </c>
      <c r="P86" s="268">
        <v>0</v>
      </c>
      <c r="Q86" s="277" t="s">
        <v>1032</v>
      </c>
      <c r="R86" s="267">
        <v>0</v>
      </c>
      <c r="S86" s="267">
        <v>0</v>
      </c>
      <c r="T86" s="276" t="s">
        <v>1032</v>
      </c>
    </row>
    <row r="87" spans="1:20" ht="15.75" customHeight="1" x14ac:dyDescent="0.25">
      <c r="A87" s="272" t="s">
        <v>256</v>
      </c>
      <c r="B87" s="275" t="s">
        <v>255</v>
      </c>
      <c r="C87" s="265">
        <v>0.4</v>
      </c>
      <c r="D87" s="273" t="s">
        <v>862</v>
      </c>
      <c r="E87" s="274" t="s">
        <v>861</v>
      </c>
      <c r="F87" s="265">
        <v>0.09</v>
      </c>
      <c r="G87" s="273" t="s">
        <v>860</v>
      </c>
      <c r="H87" s="272" t="s">
        <v>859</v>
      </c>
      <c r="I87" s="265">
        <v>0.01</v>
      </c>
      <c r="J87" s="271">
        <f t="shared" si="1"/>
        <v>0.5</v>
      </c>
      <c r="K87" s="270"/>
      <c r="L87" s="279" t="s">
        <v>1031</v>
      </c>
      <c r="M87" s="279" t="s">
        <v>1031</v>
      </c>
      <c r="N87" s="279" t="s">
        <v>1031</v>
      </c>
      <c r="O87" s="268" t="s">
        <v>1031</v>
      </c>
      <c r="P87" s="268">
        <v>0</v>
      </c>
      <c r="Q87" s="277" t="s">
        <v>1031</v>
      </c>
      <c r="R87" s="267">
        <v>0</v>
      </c>
      <c r="S87" s="267">
        <v>0</v>
      </c>
      <c r="T87" s="276" t="s">
        <v>1031</v>
      </c>
    </row>
    <row r="88" spans="1:20" ht="15.75" customHeight="1" x14ac:dyDescent="0.25">
      <c r="A88" s="272" t="s">
        <v>258</v>
      </c>
      <c r="B88" s="275" t="s">
        <v>257</v>
      </c>
      <c r="C88" s="265">
        <v>0.4</v>
      </c>
      <c r="D88" s="273" t="s">
        <v>800</v>
      </c>
      <c r="E88" s="274" t="s">
        <v>799</v>
      </c>
      <c r="F88" s="265">
        <v>0.09</v>
      </c>
      <c r="G88" s="273" t="s">
        <v>792</v>
      </c>
      <c r="H88" s="282" t="s">
        <v>791</v>
      </c>
      <c r="I88" s="265">
        <v>0.01</v>
      </c>
      <c r="J88" s="271">
        <f t="shared" si="1"/>
        <v>0.5</v>
      </c>
      <c r="K88" s="270"/>
      <c r="L88" s="279" t="s">
        <v>1031</v>
      </c>
      <c r="M88" s="279" t="s">
        <v>1031</v>
      </c>
      <c r="N88" s="279" t="s">
        <v>1031</v>
      </c>
      <c r="O88" s="268" t="s">
        <v>1032</v>
      </c>
      <c r="P88" s="268">
        <v>628540</v>
      </c>
      <c r="Q88" s="277" t="s">
        <v>1031</v>
      </c>
      <c r="R88" s="267">
        <v>0</v>
      </c>
      <c r="S88" s="267">
        <v>0</v>
      </c>
      <c r="T88" s="276" t="s">
        <v>1031</v>
      </c>
    </row>
    <row r="89" spans="1:20" ht="15.75" customHeight="1" x14ac:dyDescent="0.25">
      <c r="A89" s="272" t="s">
        <v>260</v>
      </c>
      <c r="B89" s="275" t="s">
        <v>259</v>
      </c>
      <c r="C89" s="265">
        <v>0.4</v>
      </c>
      <c r="D89" s="273" t="s">
        <v>787</v>
      </c>
      <c r="E89" s="274" t="s">
        <v>786</v>
      </c>
      <c r="F89" s="265">
        <v>0.09</v>
      </c>
      <c r="G89" s="273" t="s">
        <v>785</v>
      </c>
      <c r="H89" s="272" t="s">
        <v>784</v>
      </c>
      <c r="I89" s="265">
        <v>0.01</v>
      </c>
      <c r="J89" s="271">
        <f t="shared" si="1"/>
        <v>0.5</v>
      </c>
      <c r="K89" s="270"/>
      <c r="L89" s="279" t="s">
        <v>1031</v>
      </c>
      <c r="M89" s="279" t="s">
        <v>1031</v>
      </c>
      <c r="N89" s="279" t="s">
        <v>1031</v>
      </c>
      <c r="O89" s="268" t="s">
        <v>1031</v>
      </c>
      <c r="P89" s="268">
        <v>0</v>
      </c>
      <c r="Q89" s="277" t="s">
        <v>1031</v>
      </c>
      <c r="R89" s="267">
        <v>0</v>
      </c>
      <c r="S89" s="267">
        <v>0</v>
      </c>
      <c r="T89" s="276" t="s">
        <v>1031</v>
      </c>
    </row>
    <row r="90" spans="1:20" ht="15.75" customHeight="1" x14ac:dyDescent="0.25">
      <c r="A90" s="272" t="s">
        <v>262</v>
      </c>
      <c r="B90" s="275" t="s">
        <v>261</v>
      </c>
      <c r="C90" s="265">
        <v>0.4</v>
      </c>
      <c r="D90" s="273" t="s">
        <v>779</v>
      </c>
      <c r="E90" s="274" t="s">
        <v>778</v>
      </c>
      <c r="F90" s="265">
        <v>0.09</v>
      </c>
      <c r="G90" s="273" t="s">
        <v>777</v>
      </c>
      <c r="H90" s="272" t="s">
        <v>776</v>
      </c>
      <c r="I90" s="265">
        <v>0.01</v>
      </c>
      <c r="J90" s="271">
        <f t="shared" si="1"/>
        <v>0.5</v>
      </c>
      <c r="K90" s="270"/>
      <c r="L90" s="279" t="s">
        <v>1031</v>
      </c>
      <c r="M90" s="279" t="s">
        <v>1031</v>
      </c>
      <c r="N90" s="279" t="s">
        <v>1031</v>
      </c>
      <c r="O90" s="268" t="s">
        <v>1031</v>
      </c>
      <c r="P90" s="268">
        <v>0</v>
      </c>
      <c r="Q90" s="277" t="s">
        <v>1031</v>
      </c>
      <c r="R90" s="267">
        <v>0</v>
      </c>
      <c r="S90" s="267">
        <v>0</v>
      </c>
      <c r="T90" s="276" t="s">
        <v>1031</v>
      </c>
    </row>
    <row r="91" spans="1:20" ht="15.75" customHeight="1" x14ac:dyDescent="0.25">
      <c r="A91" s="272" t="s">
        <v>264</v>
      </c>
      <c r="B91" s="275" t="s">
        <v>263</v>
      </c>
      <c r="C91" s="265">
        <v>0.4</v>
      </c>
      <c r="D91" s="273" t="s">
        <v>803</v>
      </c>
      <c r="E91" s="274" t="s">
        <v>802</v>
      </c>
      <c r="F91" s="265">
        <v>0.1</v>
      </c>
      <c r="G91" s="273" t="s">
        <v>748</v>
      </c>
      <c r="H91" s="272" t="s">
        <v>762</v>
      </c>
      <c r="I91" s="265">
        <v>0</v>
      </c>
      <c r="J91" s="271">
        <f t="shared" si="1"/>
        <v>0.5</v>
      </c>
      <c r="K91" s="270"/>
      <c r="L91" s="279" t="s">
        <v>1031</v>
      </c>
      <c r="M91" s="279" t="s">
        <v>1031</v>
      </c>
      <c r="N91" s="279" t="s">
        <v>1031</v>
      </c>
      <c r="O91" s="268" t="s">
        <v>1032</v>
      </c>
      <c r="P91" s="268">
        <v>779435</v>
      </c>
      <c r="Q91" s="277" t="s">
        <v>1031</v>
      </c>
      <c r="R91" s="267">
        <v>0</v>
      </c>
      <c r="S91" s="267">
        <v>0</v>
      </c>
      <c r="T91" s="276" t="s">
        <v>1031</v>
      </c>
    </row>
    <row r="92" spans="1:20" ht="15.75" customHeight="1" x14ac:dyDescent="0.25">
      <c r="A92" s="272" t="s">
        <v>266</v>
      </c>
      <c r="B92" s="275" t="s">
        <v>265</v>
      </c>
      <c r="C92" s="265">
        <v>0.4</v>
      </c>
      <c r="D92" s="273" t="s">
        <v>798</v>
      </c>
      <c r="E92" s="274" t="s">
        <v>797</v>
      </c>
      <c r="F92" s="265">
        <v>0.1</v>
      </c>
      <c r="G92" s="273" t="s">
        <v>748</v>
      </c>
      <c r="H92" s="272" t="s">
        <v>762</v>
      </c>
      <c r="I92" s="265">
        <v>0</v>
      </c>
      <c r="J92" s="271">
        <f t="shared" si="1"/>
        <v>0.5</v>
      </c>
      <c r="K92" s="270"/>
      <c r="L92" s="279" t="s">
        <v>1031</v>
      </c>
      <c r="M92" s="279" t="s">
        <v>1031</v>
      </c>
      <c r="N92" s="279" t="s">
        <v>1031</v>
      </c>
      <c r="O92" s="268" t="s">
        <v>1031</v>
      </c>
      <c r="P92" s="268">
        <v>0</v>
      </c>
      <c r="Q92" s="277" t="s">
        <v>1031</v>
      </c>
      <c r="R92" s="267">
        <v>0</v>
      </c>
      <c r="S92" s="267">
        <v>0</v>
      </c>
      <c r="T92" s="276" t="s">
        <v>1031</v>
      </c>
    </row>
    <row r="93" spans="1:20" ht="15.75" customHeight="1" x14ac:dyDescent="0.25">
      <c r="A93" s="272" t="s">
        <v>268</v>
      </c>
      <c r="B93" s="275" t="s">
        <v>267</v>
      </c>
      <c r="C93" s="265">
        <v>0.4</v>
      </c>
      <c r="D93" s="273" t="s">
        <v>805</v>
      </c>
      <c r="E93" s="274" t="s">
        <v>804</v>
      </c>
      <c r="F93" s="265">
        <v>0.1</v>
      </c>
      <c r="G93" s="273" t="s">
        <v>748</v>
      </c>
      <c r="H93" s="272" t="s">
        <v>762</v>
      </c>
      <c r="I93" s="265">
        <v>0</v>
      </c>
      <c r="J93" s="271">
        <f t="shared" si="1"/>
        <v>0.5</v>
      </c>
      <c r="K93" s="270"/>
      <c r="L93" s="279" t="s">
        <v>1031</v>
      </c>
      <c r="M93" s="279" t="s">
        <v>1031</v>
      </c>
      <c r="N93" s="279" t="s">
        <v>1031</v>
      </c>
      <c r="O93" s="268" t="s">
        <v>1032</v>
      </c>
      <c r="P93" s="268">
        <v>84800</v>
      </c>
      <c r="Q93" s="277" t="s">
        <v>1031</v>
      </c>
      <c r="R93" s="267">
        <v>0</v>
      </c>
      <c r="S93" s="267">
        <v>0</v>
      </c>
      <c r="T93" s="276" t="s">
        <v>1031</v>
      </c>
    </row>
    <row r="94" spans="1:20" x14ac:dyDescent="0.25">
      <c r="A94" s="272" t="s">
        <v>270</v>
      </c>
      <c r="B94" s="275" t="s">
        <v>911</v>
      </c>
      <c r="C94" s="265">
        <v>0.49</v>
      </c>
      <c r="D94" s="273" t="s">
        <v>748</v>
      </c>
      <c r="E94" s="274" t="s">
        <v>747</v>
      </c>
      <c r="F94" s="265">
        <v>0</v>
      </c>
      <c r="G94" s="273" t="s">
        <v>890</v>
      </c>
      <c r="H94" s="272" t="s">
        <v>889</v>
      </c>
      <c r="I94" s="265">
        <v>0.01</v>
      </c>
      <c r="J94" s="271">
        <f t="shared" si="1"/>
        <v>0.5</v>
      </c>
      <c r="K94" s="270"/>
      <c r="L94" s="279" t="s">
        <v>1032</v>
      </c>
      <c r="M94" s="279" t="s">
        <v>1041</v>
      </c>
      <c r="N94" s="279" t="s">
        <v>1042</v>
      </c>
      <c r="O94" s="268" t="s">
        <v>1032</v>
      </c>
      <c r="P94" s="268">
        <v>1451347</v>
      </c>
      <c r="Q94" s="277" t="s">
        <v>1032</v>
      </c>
      <c r="R94" s="267">
        <v>0</v>
      </c>
      <c r="S94" s="267">
        <v>97702</v>
      </c>
      <c r="T94" s="276" t="s">
        <v>1032</v>
      </c>
    </row>
    <row r="95" spans="1:20" ht="15.75" customHeight="1" x14ac:dyDescent="0.25">
      <c r="A95" s="272" t="s">
        <v>272</v>
      </c>
      <c r="B95" s="275" t="s">
        <v>271</v>
      </c>
      <c r="C95" s="265">
        <v>0.4</v>
      </c>
      <c r="D95" s="273" t="s">
        <v>838</v>
      </c>
      <c r="E95" s="274" t="s">
        <v>837</v>
      </c>
      <c r="F95" s="265">
        <v>0.09</v>
      </c>
      <c r="G95" s="273" t="s">
        <v>836</v>
      </c>
      <c r="H95" s="272" t="s">
        <v>835</v>
      </c>
      <c r="I95" s="265">
        <v>0.01</v>
      </c>
      <c r="J95" s="271">
        <f t="shared" si="1"/>
        <v>0.5</v>
      </c>
      <c r="K95" s="270"/>
      <c r="L95" s="279" t="s">
        <v>1031</v>
      </c>
      <c r="M95" s="279" t="s">
        <v>1031</v>
      </c>
      <c r="N95" s="279" t="s">
        <v>1031</v>
      </c>
      <c r="O95" s="268" t="s">
        <v>1031</v>
      </c>
      <c r="P95" s="268">
        <v>0</v>
      </c>
      <c r="Q95" s="277" t="s">
        <v>1031</v>
      </c>
      <c r="R95" s="267">
        <v>0</v>
      </c>
      <c r="S95" s="267">
        <v>0</v>
      </c>
      <c r="T95" s="276" t="s">
        <v>1031</v>
      </c>
    </row>
    <row r="96" spans="1:20" ht="15.75" customHeight="1" x14ac:dyDescent="0.25">
      <c r="A96" s="272" t="s">
        <v>274</v>
      </c>
      <c r="B96" s="275" t="s">
        <v>273</v>
      </c>
      <c r="C96" s="265">
        <v>0.4</v>
      </c>
      <c r="D96" s="273" t="s">
        <v>809</v>
      </c>
      <c r="E96" s="274" t="s">
        <v>808</v>
      </c>
      <c r="F96" s="265">
        <v>0.09</v>
      </c>
      <c r="G96" s="273" t="s">
        <v>807</v>
      </c>
      <c r="H96" s="272" t="s">
        <v>806</v>
      </c>
      <c r="I96" s="265">
        <v>0.01</v>
      </c>
      <c r="J96" s="271">
        <f t="shared" si="1"/>
        <v>0.5</v>
      </c>
      <c r="K96" s="270"/>
      <c r="L96" s="279" t="s">
        <v>1031</v>
      </c>
      <c r="M96" s="279" t="s">
        <v>1031</v>
      </c>
      <c r="N96" s="279" t="s">
        <v>1031</v>
      </c>
      <c r="O96" s="268" t="s">
        <v>1031</v>
      </c>
      <c r="P96" s="268">
        <v>0</v>
      </c>
      <c r="Q96" s="277" t="s">
        <v>1031</v>
      </c>
      <c r="R96" s="267">
        <v>0</v>
      </c>
      <c r="S96" s="267">
        <v>0</v>
      </c>
      <c r="T96" s="276" t="s">
        <v>1031</v>
      </c>
    </row>
    <row r="97" spans="1:20" ht="15.75" customHeight="1" x14ac:dyDescent="0.25">
      <c r="A97" s="272" t="s">
        <v>276</v>
      </c>
      <c r="B97" s="275" t="s">
        <v>275</v>
      </c>
      <c r="C97" s="265">
        <v>0.4</v>
      </c>
      <c r="D97" s="273" t="s">
        <v>779</v>
      </c>
      <c r="E97" s="274" t="s">
        <v>778</v>
      </c>
      <c r="F97" s="265">
        <v>0.09</v>
      </c>
      <c r="G97" s="273" t="s">
        <v>777</v>
      </c>
      <c r="H97" s="272" t="s">
        <v>776</v>
      </c>
      <c r="I97" s="265">
        <v>0.01</v>
      </c>
      <c r="J97" s="271">
        <f t="shared" si="1"/>
        <v>0.5</v>
      </c>
      <c r="K97" s="270"/>
      <c r="L97" s="279" t="s">
        <v>1031</v>
      </c>
      <c r="M97" s="279" t="s">
        <v>1031</v>
      </c>
      <c r="N97" s="279" t="s">
        <v>1031</v>
      </c>
      <c r="O97" s="268" t="s">
        <v>1031</v>
      </c>
      <c r="P97" s="268">
        <v>0</v>
      </c>
      <c r="Q97" s="277" t="s">
        <v>1031</v>
      </c>
      <c r="R97" s="267">
        <v>0</v>
      </c>
      <c r="S97" s="267">
        <v>0</v>
      </c>
      <c r="T97" s="276" t="s">
        <v>1031</v>
      </c>
    </row>
    <row r="98" spans="1:20" ht="15.75" customHeight="1" x14ac:dyDescent="0.25">
      <c r="A98" s="272" t="s">
        <v>278</v>
      </c>
      <c r="B98" s="275" t="s">
        <v>277</v>
      </c>
      <c r="C98" s="265">
        <v>0.4</v>
      </c>
      <c r="D98" s="273" t="s">
        <v>851</v>
      </c>
      <c r="E98" s="274" t="s">
        <v>850</v>
      </c>
      <c r="F98" s="265">
        <v>0.1</v>
      </c>
      <c r="G98" s="273" t="s">
        <v>748</v>
      </c>
      <c r="H98" s="272" t="s">
        <v>762</v>
      </c>
      <c r="I98" s="265">
        <v>0</v>
      </c>
      <c r="J98" s="271">
        <f t="shared" si="1"/>
        <v>0.5</v>
      </c>
      <c r="K98" s="270"/>
      <c r="L98" s="279" t="s">
        <v>1031</v>
      </c>
      <c r="M98" s="279" t="s">
        <v>1031</v>
      </c>
      <c r="N98" s="279" t="s">
        <v>1031</v>
      </c>
      <c r="O98" s="268" t="s">
        <v>1031</v>
      </c>
      <c r="P98" s="268">
        <v>0</v>
      </c>
      <c r="Q98" s="277" t="s">
        <v>1031</v>
      </c>
      <c r="R98" s="267">
        <v>0</v>
      </c>
      <c r="S98" s="267">
        <v>0</v>
      </c>
      <c r="T98" s="276" t="s">
        <v>1031</v>
      </c>
    </row>
    <row r="99" spans="1:20" ht="15.75" customHeight="1" x14ac:dyDescent="0.25">
      <c r="A99" s="272" t="s">
        <v>280</v>
      </c>
      <c r="B99" s="275" t="s">
        <v>279</v>
      </c>
      <c r="C99" s="265">
        <v>0.4</v>
      </c>
      <c r="D99" s="273" t="s">
        <v>772</v>
      </c>
      <c r="E99" s="274" t="s">
        <v>771</v>
      </c>
      <c r="F99" s="265">
        <v>0.1</v>
      </c>
      <c r="G99" s="273" t="s">
        <v>748</v>
      </c>
      <c r="H99" s="272" t="s">
        <v>762</v>
      </c>
      <c r="I99" s="265">
        <v>0</v>
      </c>
      <c r="J99" s="271">
        <f t="shared" si="1"/>
        <v>0.5</v>
      </c>
      <c r="L99" s="279" t="s">
        <v>1031</v>
      </c>
      <c r="M99" s="279" t="s">
        <v>1031</v>
      </c>
      <c r="N99" s="279" t="s">
        <v>1031</v>
      </c>
      <c r="O99" s="268" t="s">
        <v>1031</v>
      </c>
      <c r="P99" s="268">
        <v>0</v>
      </c>
      <c r="Q99" s="277" t="s">
        <v>1031</v>
      </c>
      <c r="R99" s="267">
        <v>0</v>
      </c>
      <c r="S99" s="267">
        <v>0</v>
      </c>
      <c r="T99" s="276" t="s">
        <v>1031</v>
      </c>
    </row>
    <row r="100" spans="1:20" ht="15.75" customHeight="1" x14ac:dyDescent="0.25">
      <c r="A100" s="272" t="s">
        <v>282</v>
      </c>
      <c r="B100" s="275" t="s">
        <v>281</v>
      </c>
      <c r="C100" s="265">
        <v>0.3</v>
      </c>
      <c r="D100" s="273" t="s">
        <v>790</v>
      </c>
      <c r="E100" s="274" t="s">
        <v>789</v>
      </c>
      <c r="F100" s="265">
        <v>0.2</v>
      </c>
      <c r="G100" s="273" t="s">
        <v>748</v>
      </c>
      <c r="H100" s="274" t="s">
        <v>748</v>
      </c>
      <c r="I100" s="265">
        <v>0</v>
      </c>
      <c r="J100" s="271">
        <f t="shared" si="1"/>
        <v>0.5</v>
      </c>
      <c r="K100" s="270"/>
      <c r="L100" s="279" t="s">
        <v>1031</v>
      </c>
      <c r="M100" s="279" t="s">
        <v>1031</v>
      </c>
      <c r="N100" s="279" t="s">
        <v>1031</v>
      </c>
      <c r="O100" s="268" t="s">
        <v>1031</v>
      </c>
      <c r="P100" s="268">
        <v>0</v>
      </c>
      <c r="Q100" s="277" t="s">
        <v>1032</v>
      </c>
      <c r="R100" s="267">
        <v>0</v>
      </c>
      <c r="S100" s="267">
        <v>0</v>
      </c>
      <c r="T100" s="276" t="s">
        <v>1032</v>
      </c>
    </row>
    <row r="101" spans="1:20" ht="15.75" customHeight="1" x14ac:dyDescent="0.25">
      <c r="A101" s="272" t="s">
        <v>284</v>
      </c>
      <c r="B101" s="275" t="s">
        <v>283</v>
      </c>
      <c r="C101" s="265">
        <v>0.4</v>
      </c>
      <c r="D101" s="273" t="s">
        <v>822</v>
      </c>
      <c r="E101" s="274" t="s">
        <v>821</v>
      </c>
      <c r="F101" s="265">
        <v>0.09</v>
      </c>
      <c r="G101" s="273" t="s">
        <v>820</v>
      </c>
      <c r="H101" s="272" t="s">
        <v>819</v>
      </c>
      <c r="I101" s="265">
        <v>0.01</v>
      </c>
      <c r="J101" s="271">
        <f t="shared" si="1"/>
        <v>0.5</v>
      </c>
      <c r="K101" s="270"/>
      <c r="L101" s="279" t="s">
        <v>1031</v>
      </c>
      <c r="M101" s="279" t="s">
        <v>1031</v>
      </c>
      <c r="N101" s="279" t="s">
        <v>1031</v>
      </c>
      <c r="O101" s="268" t="s">
        <v>1031</v>
      </c>
      <c r="P101" s="268">
        <v>0</v>
      </c>
      <c r="Q101" s="277" t="s">
        <v>1031</v>
      </c>
      <c r="R101" s="267">
        <v>0</v>
      </c>
      <c r="S101" s="267">
        <v>0</v>
      </c>
      <c r="T101" s="276" t="s">
        <v>1031</v>
      </c>
    </row>
    <row r="102" spans="1:20" ht="15.75" customHeight="1" x14ac:dyDescent="0.25">
      <c r="A102" s="272" t="s">
        <v>286</v>
      </c>
      <c r="B102" s="275" t="s">
        <v>285</v>
      </c>
      <c r="C102" s="265">
        <v>0.4</v>
      </c>
      <c r="D102" s="273" t="s">
        <v>772</v>
      </c>
      <c r="E102" s="274" t="s">
        <v>771</v>
      </c>
      <c r="F102" s="265">
        <v>0.1</v>
      </c>
      <c r="G102" s="273" t="s">
        <v>748</v>
      </c>
      <c r="H102" s="272" t="s">
        <v>762</v>
      </c>
      <c r="I102" s="265">
        <v>0</v>
      </c>
      <c r="J102" s="271">
        <f t="shared" si="1"/>
        <v>0.5</v>
      </c>
      <c r="K102" s="270"/>
      <c r="L102" s="279" t="s">
        <v>1031</v>
      </c>
      <c r="M102" s="279" t="s">
        <v>1031</v>
      </c>
      <c r="N102" s="279" t="s">
        <v>1031</v>
      </c>
      <c r="O102" s="268" t="s">
        <v>1031</v>
      </c>
      <c r="P102" s="268">
        <v>0</v>
      </c>
      <c r="Q102" s="277" t="s">
        <v>1031</v>
      </c>
      <c r="R102" s="267">
        <v>0</v>
      </c>
      <c r="S102" s="267">
        <v>0</v>
      </c>
      <c r="T102" s="276" t="s">
        <v>1031</v>
      </c>
    </row>
    <row r="103" spans="1:20" ht="15.75" customHeight="1" x14ac:dyDescent="0.25">
      <c r="A103" s="272" t="s">
        <v>288</v>
      </c>
      <c r="B103" s="275" t="s">
        <v>287</v>
      </c>
      <c r="C103" s="265">
        <v>0.4</v>
      </c>
      <c r="D103" s="273" t="s">
        <v>858</v>
      </c>
      <c r="E103" s="274" t="s">
        <v>857</v>
      </c>
      <c r="F103" s="265">
        <v>0.09</v>
      </c>
      <c r="G103" s="273" t="s">
        <v>856</v>
      </c>
      <c r="H103" s="272" t="s">
        <v>855</v>
      </c>
      <c r="I103" s="265">
        <v>0.01</v>
      </c>
      <c r="J103" s="271">
        <f t="shared" si="1"/>
        <v>0.5</v>
      </c>
      <c r="K103" s="270"/>
      <c r="L103" s="279" t="s">
        <v>1031</v>
      </c>
      <c r="M103" s="279" t="s">
        <v>1031</v>
      </c>
      <c r="N103" s="279" t="s">
        <v>1031</v>
      </c>
      <c r="O103" s="268" t="s">
        <v>1031</v>
      </c>
      <c r="P103" s="268">
        <v>0</v>
      </c>
      <c r="Q103" s="277" t="s">
        <v>1031</v>
      </c>
      <c r="R103" s="267">
        <v>0</v>
      </c>
      <c r="S103" s="267">
        <v>0</v>
      </c>
      <c r="T103" s="276" t="s">
        <v>1031</v>
      </c>
    </row>
    <row r="104" spans="1:20" ht="15.75" customHeight="1" x14ac:dyDescent="0.25">
      <c r="A104" s="272" t="s">
        <v>290</v>
      </c>
      <c r="B104" s="275" t="s">
        <v>289</v>
      </c>
      <c r="C104" s="265">
        <v>0.4</v>
      </c>
      <c r="D104" s="273" t="s">
        <v>800</v>
      </c>
      <c r="E104" s="274" t="s">
        <v>799</v>
      </c>
      <c r="F104" s="265">
        <v>0.09</v>
      </c>
      <c r="G104" s="273" t="s">
        <v>792</v>
      </c>
      <c r="H104" s="272" t="s">
        <v>791</v>
      </c>
      <c r="I104" s="265">
        <v>0.01</v>
      </c>
      <c r="J104" s="271">
        <f t="shared" si="1"/>
        <v>0.5</v>
      </c>
      <c r="K104" s="270"/>
      <c r="L104" s="279" t="s">
        <v>1031</v>
      </c>
      <c r="M104" s="279" t="s">
        <v>1031</v>
      </c>
      <c r="N104" s="279" t="s">
        <v>1031</v>
      </c>
      <c r="O104" s="268" t="s">
        <v>1031</v>
      </c>
      <c r="P104" s="268">
        <v>0</v>
      </c>
      <c r="Q104" s="277" t="s">
        <v>1031</v>
      </c>
      <c r="R104" s="267">
        <v>0</v>
      </c>
      <c r="S104" s="267">
        <v>0</v>
      </c>
      <c r="T104" s="276" t="s">
        <v>1031</v>
      </c>
    </row>
    <row r="105" spans="1:20" x14ac:dyDescent="0.25">
      <c r="A105" s="272" t="s">
        <v>292</v>
      </c>
      <c r="B105" s="275" t="s">
        <v>291</v>
      </c>
      <c r="C105" s="265">
        <v>0.4</v>
      </c>
      <c r="D105" s="273" t="s">
        <v>779</v>
      </c>
      <c r="E105" s="274" t="s">
        <v>778</v>
      </c>
      <c r="F105" s="265">
        <v>0.09</v>
      </c>
      <c r="G105" s="273" t="s">
        <v>777</v>
      </c>
      <c r="H105" s="272" t="s">
        <v>776</v>
      </c>
      <c r="I105" s="265">
        <v>0.01</v>
      </c>
      <c r="J105" s="271">
        <f t="shared" si="1"/>
        <v>0.5</v>
      </c>
      <c r="K105" s="270"/>
      <c r="L105" s="279" t="s">
        <v>1032</v>
      </c>
      <c r="M105" s="279" t="s">
        <v>1043</v>
      </c>
      <c r="N105" s="279" t="s">
        <v>1031</v>
      </c>
      <c r="O105" s="268" t="s">
        <v>1031</v>
      </c>
      <c r="P105" s="268">
        <v>0</v>
      </c>
      <c r="Q105" s="277" t="s">
        <v>1031</v>
      </c>
      <c r="R105" s="267">
        <v>98929</v>
      </c>
      <c r="S105" s="267">
        <v>0</v>
      </c>
      <c r="T105" s="276" t="s">
        <v>1031</v>
      </c>
    </row>
    <row r="106" spans="1:20" ht="15.75" customHeight="1" x14ac:dyDescent="0.25">
      <c r="A106" s="272" t="s">
        <v>294</v>
      </c>
      <c r="B106" s="275" t="s">
        <v>293</v>
      </c>
      <c r="C106" s="265">
        <v>0.4</v>
      </c>
      <c r="D106" s="273" t="s">
        <v>862</v>
      </c>
      <c r="E106" s="274" t="s">
        <v>861</v>
      </c>
      <c r="F106" s="265">
        <v>0.09</v>
      </c>
      <c r="G106" s="273" t="s">
        <v>860</v>
      </c>
      <c r="H106" s="272" t="s">
        <v>859</v>
      </c>
      <c r="I106" s="265">
        <v>0.01</v>
      </c>
      <c r="J106" s="271">
        <f t="shared" si="1"/>
        <v>0.5</v>
      </c>
      <c r="K106" s="270"/>
      <c r="L106" s="279" t="s">
        <v>1031</v>
      </c>
      <c r="M106" s="279" t="s">
        <v>1031</v>
      </c>
      <c r="N106" s="279" t="s">
        <v>1031</v>
      </c>
      <c r="O106" s="268" t="s">
        <v>1031</v>
      </c>
      <c r="P106" s="268">
        <v>0</v>
      </c>
      <c r="Q106" s="277" t="s">
        <v>1031</v>
      </c>
      <c r="R106" s="267">
        <v>0</v>
      </c>
      <c r="S106" s="267">
        <v>0</v>
      </c>
      <c r="T106" s="276" t="s">
        <v>1031</v>
      </c>
    </row>
    <row r="107" spans="1:20" ht="15.75" customHeight="1" x14ac:dyDescent="0.25">
      <c r="A107" s="272" t="s">
        <v>296</v>
      </c>
      <c r="B107" s="275" t="s">
        <v>295</v>
      </c>
      <c r="C107" s="265">
        <v>0.4</v>
      </c>
      <c r="D107" s="273" t="s">
        <v>811</v>
      </c>
      <c r="E107" s="274" t="s">
        <v>810</v>
      </c>
      <c r="F107" s="265">
        <v>0.1</v>
      </c>
      <c r="G107" s="273" t="s">
        <v>748</v>
      </c>
      <c r="H107" s="272" t="s">
        <v>762</v>
      </c>
      <c r="I107" s="265">
        <v>0</v>
      </c>
      <c r="J107" s="271">
        <f t="shared" si="1"/>
        <v>0.5</v>
      </c>
      <c r="K107" s="270"/>
      <c r="L107" s="279" t="s">
        <v>1031</v>
      </c>
      <c r="M107" s="279" t="s">
        <v>1031</v>
      </c>
      <c r="N107" s="279" t="s">
        <v>1031</v>
      </c>
      <c r="O107" s="268" t="s">
        <v>1031</v>
      </c>
      <c r="P107" s="268">
        <v>0</v>
      </c>
      <c r="Q107" s="277" t="s">
        <v>1031</v>
      </c>
      <c r="R107" s="267">
        <v>0</v>
      </c>
      <c r="S107" s="267">
        <v>0</v>
      </c>
      <c r="T107" s="276" t="s">
        <v>1031</v>
      </c>
    </row>
    <row r="108" spans="1:20" ht="15.75" customHeight="1" x14ac:dyDescent="0.25">
      <c r="A108" s="272" t="s">
        <v>298</v>
      </c>
      <c r="B108" s="275" t="s">
        <v>297</v>
      </c>
      <c r="C108" s="265">
        <v>0.4</v>
      </c>
      <c r="D108" s="273" t="s">
        <v>831</v>
      </c>
      <c r="E108" s="274" t="s">
        <v>830</v>
      </c>
      <c r="F108" s="265">
        <v>0.1</v>
      </c>
      <c r="G108" s="273" t="s">
        <v>748</v>
      </c>
      <c r="H108" s="272" t="s">
        <v>762</v>
      </c>
      <c r="I108" s="265">
        <v>0</v>
      </c>
      <c r="J108" s="271">
        <f t="shared" si="1"/>
        <v>0.5</v>
      </c>
      <c r="K108" s="270"/>
      <c r="L108" s="279" t="s">
        <v>1031</v>
      </c>
      <c r="M108" s="279" t="s">
        <v>1031</v>
      </c>
      <c r="N108" s="279" t="s">
        <v>1031</v>
      </c>
      <c r="O108" s="268" t="s">
        <v>1031</v>
      </c>
      <c r="P108" s="268">
        <v>0</v>
      </c>
      <c r="Q108" s="277" t="s">
        <v>1031</v>
      </c>
      <c r="R108" s="267">
        <v>0</v>
      </c>
      <c r="S108" s="267">
        <v>0</v>
      </c>
      <c r="T108" s="276" t="s">
        <v>1031</v>
      </c>
    </row>
    <row r="109" spans="1:20" x14ac:dyDescent="0.25">
      <c r="A109" s="272" t="s">
        <v>300</v>
      </c>
      <c r="B109" s="275" t="s">
        <v>299</v>
      </c>
      <c r="C109" s="265">
        <v>0.4</v>
      </c>
      <c r="D109" s="273" t="s">
        <v>757</v>
      </c>
      <c r="E109" s="274" t="s">
        <v>756</v>
      </c>
      <c r="F109" s="265">
        <v>0.09</v>
      </c>
      <c r="G109" s="273" t="s">
        <v>755</v>
      </c>
      <c r="H109" s="272" t="s">
        <v>754</v>
      </c>
      <c r="I109" s="265">
        <v>0.01</v>
      </c>
      <c r="J109" s="271">
        <f t="shared" si="1"/>
        <v>0.5</v>
      </c>
      <c r="K109" s="270"/>
      <c r="L109" s="279" t="s">
        <v>1032</v>
      </c>
      <c r="M109" s="279" t="s">
        <v>1044</v>
      </c>
      <c r="N109" s="279" t="s">
        <v>1044</v>
      </c>
      <c r="O109" s="268" t="s">
        <v>1031</v>
      </c>
      <c r="P109" s="268">
        <v>0</v>
      </c>
      <c r="Q109" s="277" t="s">
        <v>1031</v>
      </c>
      <c r="R109" s="267">
        <v>1994204</v>
      </c>
      <c r="S109" s="267">
        <v>0</v>
      </c>
      <c r="T109" s="276" t="s">
        <v>1031</v>
      </c>
    </row>
    <row r="110" spans="1:20" x14ac:dyDescent="0.25">
      <c r="A110" s="272" t="s">
        <v>302</v>
      </c>
      <c r="B110" s="275" t="s">
        <v>301</v>
      </c>
      <c r="C110" s="265">
        <v>0.49</v>
      </c>
      <c r="D110" s="273" t="s">
        <v>748</v>
      </c>
      <c r="E110" s="274" t="s">
        <v>767</v>
      </c>
      <c r="F110" s="265">
        <v>0</v>
      </c>
      <c r="G110" s="273" t="s">
        <v>841</v>
      </c>
      <c r="H110" s="272" t="s">
        <v>840</v>
      </c>
      <c r="I110" s="265">
        <v>0.01</v>
      </c>
      <c r="J110" s="271">
        <f t="shared" si="1"/>
        <v>0.5</v>
      </c>
      <c r="K110" s="270"/>
      <c r="L110" s="279" t="s">
        <v>1032</v>
      </c>
      <c r="M110" s="279" t="s">
        <v>1045</v>
      </c>
      <c r="N110" s="279" t="s">
        <v>1031</v>
      </c>
      <c r="O110" s="268" t="s">
        <v>1031</v>
      </c>
      <c r="P110" s="268">
        <v>0</v>
      </c>
      <c r="Q110" s="277" t="s">
        <v>1032</v>
      </c>
      <c r="R110" s="267">
        <v>1154997</v>
      </c>
      <c r="S110" s="267">
        <v>0</v>
      </c>
      <c r="T110" s="276" t="s">
        <v>1032</v>
      </c>
    </row>
    <row r="111" spans="1:20" ht="15.75" customHeight="1" x14ac:dyDescent="0.25">
      <c r="A111" s="272" t="s">
        <v>304</v>
      </c>
      <c r="B111" s="275" t="s">
        <v>303</v>
      </c>
      <c r="C111" s="265">
        <v>0.4</v>
      </c>
      <c r="D111" s="273" t="s">
        <v>874</v>
      </c>
      <c r="E111" s="274" t="s">
        <v>873</v>
      </c>
      <c r="F111" s="265">
        <v>0.09</v>
      </c>
      <c r="G111" s="273" t="s">
        <v>872</v>
      </c>
      <c r="H111" s="272" t="s">
        <v>871</v>
      </c>
      <c r="I111" s="265">
        <v>0.01</v>
      </c>
      <c r="J111" s="271">
        <f t="shared" si="1"/>
        <v>0.5</v>
      </c>
      <c r="L111" s="279" t="s">
        <v>1031</v>
      </c>
      <c r="M111" s="279" t="s">
        <v>1031</v>
      </c>
      <c r="N111" s="279" t="s">
        <v>1031</v>
      </c>
      <c r="O111" s="268" t="s">
        <v>1031</v>
      </c>
      <c r="P111" s="268">
        <v>0</v>
      </c>
      <c r="Q111" s="277" t="s">
        <v>1031</v>
      </c>
      <c r="R111" s="267">
        <v>0</v>
      </c>
      <c r="S111" s="267">
        <v>0</v>
      </c>
      <c r="T111" s="276" t="s">
        <v>1031</v>
      </c>
    </row>
    <row r="112" spans="1:20" ht="15.75" customHeight="1" x14ac:dyDescent="0.25">
      <c r="A112" s="272" t="s">
        <v>306</v>
      </c>
      <c r="B112" s="275" t="s">
        <v>305</v>
      </c>
      <c r="C112" s="265">
        <v>0.4</v>
      </c>
      <c r="D112" s="273" t="s">
        <v>831</v>
      </c>
      <c r="E112" s="274" t="s">
        <v>830</v>
      </c>
      <c r="F112" s="265">
        <v>0.1</v>
      </c>
      <c r="G112" s="273" t="s">
        <v>748</v>
      </c>
      <c r="H112" s="272" t="s">
        <v>762</v>
      </c>
      <c r="I112" s="265">
        <v>0</v>
      </c>
      <c r="J112" s="271">
        <f t="shared" si="1"/>
        <v>0.5</v>
      </c>
      <c r="K112" s="270"/>
      <c r="L112" s="279" t="s">
        <v>1031</v>
      </c>
      <c r="M112" s="279" t="s">
        <v>1031</v>
      </c>
      <c r="N112" s="279" t="s">
        <v>1031</v>
      </c>
      <c r="O112" s="268" t="s">
        <v>1031</v>
      </c>
      <c r="P112" s="268">
        <v>0</v>
      </c>
      <c r="Q112" s="277" t="s">
        <v>1031</v>
      </c>
      <c r="R112" s="267">
        <v>0</v>
      </c>
      <c r="S112" s="267">
        <v>0</v>
      </c>
      <c r="T112" s="276" t="s">
        <v>1031</v>
      </c>
    </row>
    <row r="113" spans="1:20" x14ac:dyDescent="0.25">
      <c r="A113" s="272" t="s">
        <v>308</v>
      </c>
      <c r="B113" s="275" t="s">
        <v>307</v>
      </c>
      <c r="C113" s="265">
        <v>0.4</v>
      </c>
      <c r="D113" s="273" t="s">
        <v>779</v>
      </c>
      <c r="E113" s="274" t="s">
        <v>778</v>
      </c>
      <c r="F113" s="265">
        <v>0.09</v>
      </c>
      <c r="G113" s="273" t="s">
        <v>777</v>
      </c>
      <c r="H113" s="272" t="s">
        <v>776</v>
      </c>
      <c r="I113" s="265">
        <v>0.01</v>
      </c>
      <c r="J113" s="271">
        <f t="shared" si="1"/>
        <v>0.5</v>
      </c>
      <c r="K113" s="270"/>
      <c r="L113" s="279" t="s">
        <v>1032</v>
      </c>
      <c r="M113" s="279" t="s">
        <v>1043</v>
      </c>
      <c r="N113" s="279" t="s">
        <v>1031</v>
      </c>
      <c r="O113" s="268" t="s">
        <v>1031</v>
      </c>
      <c r="P113" s="268">
        <v>0</v>
      </c>
      <c r="Q113" s="277" t="s">
        <v>1031</v>
      </c>
      <c r="R113" s="267">
        <v>435664</v>
      </c>
      <c r="S113" s="267">
        <v>0</v>
      </c>
      <c r="T113" s="276" t="s">
        <v>1031</v>
      </c>
    </row>
    <row r="114" spans="1:20" ht="15.75" customHeight="1" x14ac:dyDescent="0.25">
      <c r="A114" s="272" t="s">
        <v>310</v>
      </c>
      <c r="B114" s="275" t="s">
        <v>309</v>
      </c>
      <c r="C114" s="265">
        <v>0.4</v>
      </c>
      <c r="D114" s="273" t="s">
        <v>826</v>
      </c>
      <c r="E114" s="274" t="s">
        <v>825</v>
      </c>
      <c r="F114" s="265">
        <v>0.09</v>
      </c>
      <c r="G114" s="273" t="s">
        <v>824</v>
      </c>
      <c r="H114" s="272" t="s">
        <v>823</v>
      </c>
      <c r="I114" s="265">
        <v>0.01</v>
      </c>
      <c r="J114" s="271">
        <f t="shared" si="1"/>
        <v>0.5</v>
      </c>
      <c r="K114" s="270"/>
      <c r="L114" s="279" t="s">
        <v>1031</v>
      </c>
      <c r="M114" s="279" t="s">
        <v>1031</v>
      </c>
      <c r="N114" s="279" t="s">
        <v>1031</v>
      </c>
      <c r="O114" s="268" t="s">
        <v>1031</v>
      </c>
      <c r="P114" s="268">
        <v>0</v>
      </c>
      <c r="Q114" s="277" t="s">
        <v>1031</v>
      </c>
      <c r="R114" s="267">
        <v>0</v>
      </c>
      <c r="S114" s="267">
        <v>0</v>
      </c>
      <c r="T114" s="276" t="s">
        <v>1031</v>
      </c>
    </row>
    <row r="115" spans="1:20" x14ac:dyDescent="0.25">
      <c r="A115" s="272" t="s">
        <v>312</v>
      </c>
      <c r="B115" s="275" t="s">
        <v>311</v>
      </c>
      <c r="C115" s="265">
        <v>0.4</v>
      </c>
      <c r="D115" s="273" t="s">
        <v>849</v>
      </c>
      <c r="E115" s="274" t="s">
        <v>848</v>
      </c>
      <c r="F115" s="265">
        <v>0.1</v>
      </c>
      <c r="G115" s="273" t="s">
        <v>748</v>
      </c>
      <c r="H115" s="272" t="s">
        <v>762</v>
      </c>
      <c r="I115" s="265">
        <v>0</v>
      </c>
      <c r="J115" s="271">
        <f t="shared" si="1"/>
        <v>0.5</v>
      </c>
      <c r="K115" s="270"/>
      <c r="L115" s="279" t="s">
        <v>1032</v>
      </c>
      <c r="M115" s="279" t="s">
        <v>1046</v>
      </c>
      <c r="N115" s="279" t="s">
        <v>1031</v>
      </c>
      <c r="O115" s="268" t="s">
        <v>1031</v>
      </c>
      <c r="P115" s="268">
        <v>0</v>
      </c>
      <c r="Q115" s="277" t="s">
        <v>1031</v>
      </c>
      <c r="R115" s="267">
        <v>277898</v>
      </c>
      <c r="S115" s="267">
        <v>0</v>
      </c>
      <c r="T115" s="276" t="s">
        <v>1031</v>
      </c>
    </row>
    <row r="116" spans="1:20" ht="15.75" customHeight="1" x14ac:dyDescent="0.25">
      <c r="A116" s="272" t="s">
        <v>314</v>
      </c>
      <c r="B116" s="275" t="s">
        <v>313</v>
      </c>
      <c r="C116" s="265">
        <v>0.3</v>
      </c>
      <c r="D116" s="273" t="s">
        <v>790</v>
      </c>
      <c r="E116" s="274" t="s">
        <v>789</v>
      </c>
      <c r="F116" s="265">
        <v>0.2</v>
      </c>
      <c r="G116" s="273" t="s">
        <v>748</v>
      </c>
      <c r="H116" s="274" t="s">
        <v>748</v>
      </c>
      <c r="I116" s="265">
        <v>0</v>
      </c>
      <c r="J116" s="271">
        <f t="shared" si="1"/>
        <v>0.5</v>
      </c>
      <c r="K116" s="270"/>
      <c r="L116" s="279" t="s">
        <v>1031</v>
      </c>
      <c r="M116" s="279" t="s">
        <v>1031</v>
      </c>
      <c r="N116" s="279" t="s">
        <v>1031</v>
      </c>
      <c r="O116" s="268" t="s">
        <v>1031</v>
      </c>
      <c r="P116" s="268">
        <v>0</v>
      </c>
      <c r="Q116" s="277" t="s">
        <v>1032</v>
      </c>
      <c r="R116" s="267">
        <v>0</v>
      </c>
      <c r="S116" s="267">
        <v>0</v>
      </c>
      <c r="T116" s="276" t="s">
        <v>1032</v>
      </c>
    </row>
    <row r="117" spans="1:20" ht="15.75" customHeight="1" x14ac:dyDescent="0.25">
      <c r="A117" s="272" t="s">
        <v>316</v>
      </c>
      <c r="B117" s="275" t="s">
        <v>315</v>
      </c>
      <c r="C117" s="265">
        <v>0.4</v>
      </c>
      <c r="D117" s="273" t="s">
        <v>772</v>
      </c>
      <c r="E117" s="274" t="s">
        <v>771</v>
      </c>
      <c r="F117" s="265">
        <v>0.1</v>
      </c>
      <c r="G117" s="273" t="s">
        <v>748</v>
      </c>
      <c r="H117" s="272" t="s">
        <v>762</v>
      </c>
      <c r="I117" s="265">
        <v>0</v>
      </c>
      <c r="J117" s="271">
        <f t="shared" si="1"/>
        <v>0.5</v>
      </c>
      <c r="K117" s="270"/>
      <c r="L117" s="279" t="s">
        <v>1031</v>
      </c>
      <c r="M117" s="279" t="s">
        <v>1031</v>
      </c>
      <c r="N117" s="279" t="s">
        <v>1031</v>
      </c>
      <c r="O117" s="268" t="s">
        <v>1032</v>
      </c>
      <c r="P117" s="268">
        <v>1800000</v>
      </c>
      <c r="Q117" s="277" t="s">
        <v>1031</v>
      </c>
      <c r="R117" s="267">
        <v>0</v>
      </c>
      <c r="S117" s="267">
        <v>0</v>
      </c>
      <c r="T117" s="276" t="s">
        <v>1031</v>
      </c>
    </row>
    <row r="118" spans="1:20" ht="15.75" customHeight="1" x14ac:dyDescent="0.25">
      <c r="A118" s="272" t="s">
        <v>318</v>
      </c>
      <c r="B118" s="275" t="s">
        <v>317</v>
      </c>
      <c r="C118" s="265">
        <v>0.3</v>
      </c>
      <c r="D118" s="273" t="s">
        <v>790</v>
      </c>
      <c r="E118" s="274" t="s">
        <v>789</v>
      </c>
      <c r="F118" s="265">
        <v>0.2</v>
      </c>
      <c r="G118" s="273" t="s">
        <v>748</v>
      </c>
      <c r="H118" s="274" t="s">
        <v>748</v>
      </c>
      <c r="I118" s="265">
        <v>0</v>
      </c>
      <c r="J118" s="271">
        <f t="shared" si="1"/>
        <v>0.5</v>
      </c>
      <c r="K118" s="270"/>
      <c r="L118" s="279" t="s">
        <v>1031</v>
      </c>
      <c r="M118" s="279" t="s">
        <v>1031</v>
      </c>
      <c r="N118" s="279" t="s">
        <v>1031</v>
      </c>
      <c r="O118" s="268" t="s">
        <v>1031</v>
      </c>
      <c r="P118" s="268">
        <v>0</v>
      </c>
      <c r="Q118" s="277" t="s">
        <v>1032</v>
      </c>
      <c r="R118" s="267">
        <v>0</v>
      </c>
      <c r="S118" s="267">
        <v>0</v>
      </c>
      <c r="T118" s="276" t="s">
        <v>1032</v>
      </c>
    </row>
    <row r="119" spans="1:20" x14ac:dyDescent="0.25">
      <c r="A119" s="272" t="s">
        <v>320</v>
      </c>
      <c r="B119" s="275" t="s">
        <v>910</v>
      </c>
      <c r="C119" s="265">
        <v>0.49</v>
      </c>
      <c r="D119" s="273" t="s">
        <v>748</v>
      </c>
      <c r="E119" s="274" t="s">
        <v>747</v>
      </c>
      <c r="F119" s="265">
        <v>0</v>
      </c>
      <c r="G119" s="273" t="s">
        <v>815</v>
      </c>
      <c r="H119" s="272" t="s">
        <v>814</v>
      </c>
      <c r="I119" s="265">
        <v>0.01</v>
      </c>
      <c r="J119" s="271">
        <f t="shared" si="1"/>
        <v>0.5</v>
      </c>
      <c r="K119" s="270"/>
      <c r="L119" s="279" t="s">
        <v>1032</v>
      </c>
      <c r="M119" s="279" t="s">
        <v>1047</v>
      </c>
      <c r="N119" s="279" t="s">
        <v>1047</v>
      </c>
      <c r="O119" s="268" t="s">
        <v>1031</v>
      </c>
      <c r="P119" s="268">
        <v>0</v>
      </c>
      <c r="Q119" s="277" t="s">
        <v>1032</v>
      </c>
      <c r="R119" s="267">
        <v>33252</v>
      </c>
      <c r="S119" s="267">
        <v>0</v>
      </c>
      <c r="T119" s="276" t="s">
        <v>1032</v>
      </c>
    </row>
    <row r="120" spans="1:20" ht="15.75" customHeight="1" x14ac:dyDescent="0.25">
      <c r="A120" s="272" t="s">
        <v>322</v>
      </c>
      <c r="B120" s="275" t="s">
        <v>321</v>
      </c>
      <c r="C120" s="265">
        <v>0.4</v>
      </c>
      <c r="D120" s="273" t="s">
        <v>867</v>
      </c>
      <c r="E120" s="274" t="s">
        <v>866</v>
      </c>
      <c r="F120" s="265">
        <v>0.09</v>
      </c>
      <c r="G120" s="273" t="s">
        <v>746</v>
      </c>
      <c r="H120" s="272" t="s">
        <v>745</v>
      </c>
      <c r="I120" s="265">
        <v>0.01</v>
      </c>
      <c r="J120" s="271">
        <f t="shared" si="1"/>
        <v>0.5</v>
      </c>
      <c r="K120" s="270"/>
      <c r="L120" s="279" t="s">
        <v>1031</v>
      </c>
      <c r="M120" s="279" t="s">
        <v>1031</v>
      </c>
      <c r="N120" s="279" t="s">
        <v>1031</v>
      </c>
      <c r="O120" s="268" t="s">
        <v>1031</v>
      </c>
      <c r="P120" s="268">
        <v>0</v>
      </c>
      <c r="Q120" s="277" t="s">
        <v>1031</v>
      </c>
      <c r="R120" s="267">
        <v>0</v>
      </c>
      <c r="S120" s="267">
        <v>0</v>
      </c>
      <c r="T120" s="276" t="s">
        <v>1031</v>
      </c>
    </row>
    <row r="121" spans="1:20" ht="15.75" customHeight="1" x14ac:dyDescent="0.25">
      <c r="A121" s="272" t="s">
        <v>324</v>
      </c>
      <c r="B121" s="275" t="s">
        <v>909</v>
      </c>
      <c r="C121" s="265">
        <v>0.3</v>
      </c>
      <c r="D121" s="273" t="s">
        <v>790</v>
      </c>
      <c r="E121" s="274" t="s">
        <v>789</v>
      </c>
      <c r="F121" s="265">
        <v>0.2</v>
      </c>
      <c r="G121" s="273" t="s">
        <v>748</v>
      </c>
      <c r="H121" s="274" t="s">
        <v>748</v>
      </c>
      <c r="I121" s="265">
        <v>0</v>
      </c>
      <c r="J121" s="271">
        <f t="shared" si="1"/>
        <v>0.5</v>
      </c>
      <c r="K121" s="270"/>
      <c r="L121" s="279" t="s">
        <v>1031</v>
      </c>
      <c r="M121" s="279" t="s">
        <v>1031</v>
      </c>
      <c r="N121" s="279" t="s">
        <v>1031</v>
      </c>
      <c r="O121" s="268" t="s">
        <v>1031</v>
      </c>
      <c r="P121" s="268">
        <v>0</v>
      </c>
      <c r="Q121" s="277" t="s">
        <v>1032</v>
      </c>
      <c r="R121" s="267">
        <v>0</v>
      </c>
      <c r="S121" s="267">
        <v>0</v>
      </c>
      <c r="T121" s="276" t="s">
        <v>1032</v>
      </c>
    </row>
    <row r="122" spans="1:20" ht="15.75" customHeight="1" x14ac:dyDescent="0.25">
      <c r="A122" s="272" t="s">
        <v>326</v>
      </c>
      <c r="B122" s="275" t="s">
        <v>325</v>
      </c>
      <c r="C122" s="265">
        <v>0.4</v>
      </c>
      <c r="D122" s="273" t="s">
        <v>884</v>
      </c>
      <c r="E122" s="274" t="s">
        <v>883</v>
      </c>
      <c r="F122" s="265">
        <v>0.09</v>
      </c>
      <c r="G122" s="273" t="s">
        <v>869</v>
      </c>
      <c r="H122" s="272" t="s">
        <v>868</v>
      </c>
      <c r="I122" s="265">
        <v>0.01</v>
      </c>
      <c r="J122" s="271">
        <f t="shared" si="1"/>
        <v>0.5</v>
      </c>
      <c r="K122" s="270"/>
      <c r="L122" s="279" t="s">
        <v>1031</v>
      </c>
      <c r="M122" s="279" t="s">
        <v>1031</v>
      </c>
      <c r="N122" s="279" t="s">
        <v>1031</v>
      </c>
      <c r="O122" s="268" t="s">
        <v>1031</v>
      </c>
      <c r="P122" s="268">
        <v>0</v>
      </c>
      <c r="Q122" s="277" t="s">
        <v>1031</v>
      </c>
      <c r="R122" s="267">
        <v>0</v>
      </c>
      <c r="S122" s="267">
        <v>0</v>
      </c>
      <c r="T122" s="276" t="s">
        <v>1031</v>
      </c>
    </row>
    <row r="123" spans="1:20" ht="15.75" customHeight="1" x14ac:dyDescent="0.25">
      <c r="A123" s="272" t="s">
        <v>328</v>
      </c>
      <c r="B123" s="275" t="s">
        <v>327</v>
      </c>
      <c r="C123" s="265">
        <v>0.3</v>
      </c>
      <c r="D123" s="273" t="s">
        <v>790</v>
      </c>
      <c r="E123" s="274" t="s">
        <v>789</v>
      </c>
      <c r="F123" s="265">
        <v>0.2</v>
      </c>
      <c r="G123" s="273" t="s">
        <v>748</v>
      </c>
      <c r="H123" s="274" t="s">
        <v>748</v>
      </c>
      <c r="I123" s="265">
        <v>0</v>
      </c>
      <c r="J123" s="271">
        <f t="shared" si="1"/>
        <v>0.5</v>
      </c>
      <c r="K123" s="270"/>
      <c r="L123" s="279" t="s">
        <v>1031</v>
      </c>
      <c r="M123" s="279" t="s">
        <v>1031</v>
      </c>
      <c r="N123" s="279" t="s">
        <v>1031</v>
      </c>
      <c r="O123" s="268" t="s">
        <v>1031</v>
      </c>
      <c r="P123" s="268">
        <v>0</v>
      </c>
      <c r="Q123" s="277" t="s">
        <v>1032</v>
      </c>
      <c r="R123" s="267">
        <v>0</v>
      </c>
      <c r="S123" s="267">
        <v>0</v>
      </c>
      <c r="T123" s="276" t="s">
        <v>1032</v>
      </c>
    </row>
    <row r="124" spans="1:20" x14ac:dyDescent="0.25">
      <c r="A124" s="272" t="s">
        <v>330</v>
      </c>
      <c r="B124" s="275" t="s">
        <v>329</v>
      </c>
      <c r="C124" s="265">
        <v>0.4</v>
      </c>
      <c r="D124" s="273" t="s">
        <v>822</v>
      </c>
      <c r="E124" s="274" t="s">
        <v>821</v>
      </c>
      <c r="F124" s="265">
        <v>0.09</v>
      </c>
      <c r="G124" s="273" t="s">
        <v>820</v>
      </c>
      <c r="H124" s="272" t="s">
        <v>819</v>
      </c>
      <c r="I124" s="265">
        <v>0.01</v>
      </c>
      <c r="J124" s="271">
        <f t="shared" si="1"/>
        <v>0.5</v>
      </c>
      <c r="K124" s="270"/>
      <c r="L124" s="279" t="s">
        <v>1032</v>
      </c>
      <c r="M124" s="279" t="s">
        <v>329</v>
      </c>
      <c r="N124" s="279" t="s">
        <v>1031</v>
      </c>
      <c r="O124" s="268" t="s">
        <v>1031</v>
      </c>
      <c r="P124" s="268">
        <v>0</v>
      </c>
      <c r="Q124" s="277" t="s">
        <v>1031</v>
      </c>
      <c r="R124" s="267">
        <v>2938559</v>
      </c>
      <c r="S124" s="267">
        <v>0</v>
      </c>
      <c r="T124" s="276" t="s">
        <v>1031</v>
      </c>
    </row>
    <row r="125" spans="1:20" ht="15.75" customHeight="1" x14ac:dyDescent="0.25">
      <c r="A125" s="272" t="s">
        <v>332</v>
      </c>
      <c r="B125" s="275" t="s">
        <v>331</v>
      </c>
      <c r="C125" s="265">
        <v>0.4</v>
      </c>
      <c r="D125" s="273" t="s">
        <v>867</v>
      </c>
      <c r="E125" s="274" t="s">
        <v>866</v>
      </c>
      <c r="F125" s="265">
        <v>0.09</v>
      </c>
      <c r="G125" s="273" t="s">
        <v>746</v>
      </c>
      <c r="H125" s="272" t="s">
        <v>745</v>
      </c>
      <c r="I125" s="265">
        <v>0.01</v>
      </c>
      <c r="J125" s="271">
        <f t="shared" si="1"/>
        <v>0.5</v>
      </c>
      <c r="K125" s="270"/>
      <c r="L125" s="279" t="s">
        <v>1031</v>
      </c>
      <c r="M125" s="279" t="s">
        <v>1031</v>
      </c>
      <c r="N125" s="279" t="s">
        <v>1031</v>
      </c>
      <c r="O125" s="268" t="s">
        <v>1031</v>
      </c>
      <c r="P125" s="268">
        <v>0</v>
      </c>
      <c r="Q125" s="277" t="s">
        <v>1031</v>
      </c>
      <c r="R125" s="267">
        <v>0</v>
      </c>
      <c r="S125" s="267">
        <v>0</v>
      </c>
      <c r="T125" s="276" t="s">
        <v>1031</v>
      </c>
    </row>
    <row r="126" spans="1:20" ht="15.75" customHeight="1" x14ac:dyDescent="0.25">
      <c r="A126" s="272" t="s">
        <v>334</v>
      </c>
      <c r="B126" s="275" t="s">
        <v>333</v>
      </c>
      <c r="C126" s="265">
        <v>0.3</v>
      </c>
      <c r="D126" s="273" t="s">
        <v>790</v>
      </c>
      <c r="E126" s="274" t="s">
        <v>789</v>
      </c>
      <c r="F126" s="265">
        <v>0.2</v>
      </c>
      <c r="G126" s="273" t="s">
        <v>748</v>
      </c>
      <c r="H126" s="274" t="s">
        <v>748</v>
      </c>
      <c r="I126" s="265">
        <v>0</v>
      </c>
      <c r="J126" s="271">
        <f t="shared" si="1"/>
        <v>0.5</v>
      </c>
      <c r="K126" s="270"/>
      <c r="L126" s="279" t="s">
        <v>1031</v>
      </c>
      <c r="M126" s="279" t="s">
        <v>1031</v>
      </c>
      <c r="N126" s="279" t="s">
        <v>1031</v>
      </c>
      <c r="O126" s="268" t="s">
        <v>1031</v>
      </c>
      <c r="P126" s="268">
        <v>0</v>
      </c>
      <c r="Q126" s="277" t="s">
        <v>1032</v>
      </c>
      <c r="R126" s="267">
        <v>0</v>
      </c>
      <c r="S126" s="267">
        <v>0</v>
      </c>
      <c r="T126" s="276" t="s">
        <v>1032</v>
      </c>
    </row>
    <row r="127" spans="1:20" ht="15.75" customHeight="1" x14ac:dyDescent="0.25">
      <c r="A127" s="272" t="s">
        <v>336</v>
      </c>
      <c r="B127" s="275" t="s">
        <v>335</v>
      </c>
      <c r="C127" s="265">
        <v>0.4</v>
      </c>
      <c r="D127" s="273" t="s">
        <v>779</v>
      </c>
      <c r="E127" s="274" t="s">
        <v>778</v>
      </c>
      <c r="F127" s="265">
        <v>0.09</v>
      </c>
      <c r="G127" s="273" t="s">
        <v>777</v>
      </c>
      <c r="H127" s="272" t="s">
        <v>776</v>
      </c>
      <c r="I127" s="265">
        <v>0.01</v>
      </c>
      <c r="J127" s="271">
        <f t="shared" si="1"/>
        <v>0.5</v>
      </c>
      <c r="K127" s="270"/>
      <c r="L127" s="279" t="s">
        <v>1031</v>
      </c>
      <c r="M127" s="279" t="s">
        <v>1031</v>
      </c>
      <c r="N127" s="279" t="s">
        <v>1031</v>
      </c>
      <c r="O127" s="268" t="s">
        <v>1031</v>
      </c>
      <c r="P127" s="268">
        <v>0</v>
      </c>
      <c r="Q127" s="277" t="s">
        <v>1031</v>
      </c>
      <c r="R127" s="267">
        <v>0</v>
      </c>
      <c r="S127" s="267">
        <v>0</v>
      </c>
      <c r="T127" s="276" t="s">
        <v>1031</v>
      </c>
    </row>
    <row r="128" spans="1:20" x14ac:dyDescent="0.25">
      <c r="A128" s="272" t="s">
        <v>338</v>
      </c>
      <c r="B128" s="275" t="s">
        <v>908</v>
      </c>
      <c r="C128" s="265">
        <v>0.49</v>
      </c>
      <c r="D128" s="273" t="s">
        <v>748</v>
      </c>
      <c r="E128" s="274" t="s">
        <v>747</v>
      </c>
      <c r="F128" s="265">
        <v>0</v>
      </c>
      <c r="G128" s="273" t="s">
        <v>844</v>
      </c>
      <c r="H128" s="272" t="s">
        <v>843</v>
      </c>
      <c r="I128" s="265">
        <v>0.01</v>
      </c>
      <c r="J128" s="271">
        <f t="shared" si="1"/>
        <v>0.5</v>
      </c>
      <c r="K128" s="270"/>
      <c r="L128" s="279" t="s">
        <v>1032</v>
      </c>
      <c r="M128" s="279" t="s">
        <v>1048</v>
      </c>
      <c r="N128" s="279" t="s">
        <v>1031</v>
      </c>
      <c r="O128" s="268" t="s">
        <v>1031</v>
      </c>
      <c r="P128" s="268">
        <v>0</v>
      </c>
      <c r="Q128" s="277" t="s">
        <v>1032</v>
      </c>
      <c r="R128" s="267">
        <v>0</v>
      </c>
      <c r="S128" s="267">
        <v>0</v>
      </c>
      <c r="T128" s="276" t="s">
        <v>1032</v>
      </c>
    </row>
    <row r="129" spans="1:20" ht="15.75" customHeight="1" x14ac:dyDescent="0.25">
      <c r="A129" s="272" t="s">
        <v>340</v>
      </c>
      <c r="B129" s="275" t="s">
        <v>339</v>
      </c>
      <c r="C129" s="265">
        <v>0.4</v>
      </c>
      <c r="D129" s="273" t="s">
        <v>809</v>
      </c>
      <c r="E129" s="274" t="s">
        <v>808</v>
      </c>
      <c r="F129" s="265">
        <v>0.09</v>
      </c>
      <c r="G129" s="273" t="s">
        <v>807</v>
      </c>
      <c r="H129" s="272" t="s">
        <v>806</v>
      </c>
      <c r="I129" s="265">
        <v>0.01</v>
      </c>
      <c r="J129" s="271">
        <f t="shared" si="1"/>
        <v>0.5</v>
      </c>
      <c r="K129" s="270"/>
      <c r="L129" s="279" t="s">
        <v>1031</v>
      </c>
      <c r="M129" s="279" t="s">
        <v>1031</v>
      </c>
      <c r="N129" s="279" t="s">
        <v>1031</v>
      </c>
      <c r="O129" s="268" t="s">
        <v>1031</v>
      </c>
      <c r="P129" s="268">
        <v>0</v>
      </c>
      <c r="Q129" s="277" t="s">
        <v>1031</v>
      </c>
      <c r="R129" s="267">
        <v>0</v>
      </c>
      <c r="S129" s="267">
        <v>0</v>
      </c>
      <c r="T129" s="276" t="s">
        <v>1031</v>
      </c>
    </row>
    <row r="130" spans="1:20" ht="15.75" customHeight="1" x14ac:dyDescent="0.25">
      <c r="A130" s="272" t="s">
        <v>342</v>
      </c>
      <c r="B130" s="275" t="s">
        <v>341</v>
      </c>
      <c r="C130" s="265">
        <v>0.4</v>
      </c>
      <c r="D130" s="273" t="s">
        <v>779</v>
      </c>
      <c r="E130" s="274" t="s">
        <v>778</v>
      </c>
      <c r="F130" s="265">
        <v>0.09</v>
      </c>
      <c r="G130" s="273" t="s">
        <v>777</v>
      </c>
      <c r="H130" s="272" t="s">
        <v>776</v>
      </c>
      <c r="I130" s="265">
        <v>0.01</v>
      </c>
      <c r="J130" s="271">
        <f t="shared" si="1"/>
        <v>0.5</v>
      </c>
      <c r="K130" s="270"/>
      <c r="L130" s="279" t="s">
        <v>1031</v>
      </c>
      <c r="M130" s="279" t="s">
        <v>1031</v>
      </c>
      <c r="N130" s="279" t="s">
        <v>1031</v>
      </c>
      <c r="O130" s="268" t="s">
        <v>1031</v>
      </c>
      <c r="P130" s="268">
        <v>0</v>
      </c>
      <c r="Q130" s="277" t="s">
        <v>1031</v>
      </c>
      <c r="R130" s="267">
        <v>0</v>
      </c>
      <c r="S130" s="267">
        <v>0</v>
      </c>
      <c r="T130" s="276" t="s">
        <v>1031</v>
      </c>
    </row>
    <row r="131" spans="1:20" ht="15.75" customHeight="1" x14ac:dyDescent="0.25">
      <c r="A131" s="272" t="s">
        <v>344</v>
      </c>
      <c r="B131" s="275" t="s">
        <v>343</v>
      </c>
      <c r="C131" s="265">
        <v>0.3</v>
      </c>
      <c r="D131" s="273" t="s">
        <v>790</v>
      </c>
      <c r="E131" s="274" t="s">
        <v>789</v>
      </c>
      <c r="F131" s="265">
        <v>0.2</v>
      </c>
      <c r="G131" s="273" t="s">
        <v>748</v>
      </c>
      <c r="H131" s="274" t="s">
        <v>748</v>
      </c>
      <c r="I131" s="265">
        <v>0</v>
      </c>
      <c r="J131" s="271">
        <f t="shared" si="1"/>
        <v>0.5</v>
      </c>
      <c r="K131" s="270"/>
      <c r="L131" s="279" t="s">
        <v>1031</v>
      </c>
      <c r="M131" s="279" t="s">
        <v>1031</v>
      </c>
      <c r="N131" s="279" t="s">
        <v>1031</v>
      </c>
      <c r="O131" s="268" t="s">
        <v>1031</v>
      </c>
      <c r="P131" s="268">
        <v>0</v>
      </c>
      <c r="Q131" s="277" t="s">
        <v>1032</v>
      </c>
      <c r="R131" s="267">
        <v>0</v>
      </c>
      <c r="S131" s="267">
        <v>0</v>
      </c>
      <c r="T131" s="276" t="s">
        <v>1032</v>
      </c>
    </row>
    <row r="132" spans="1:20" x14ac:dyDescent="0.25">
      <c r="A132" s="272" t="s">
        <v>346</v>
      </c>
      <c r="B132" s="275" t="s">
        <v>907</v>
      </c>
      <c r="C132" s="265">
        <v>0.49</v>
      </c>
      <c r="D132" s="273" t="s">
        <v>748</v>
      </c>
      <c r="E132" s="274" t="s">
        <v>747</v>
      </c>
      <c r="F132" s="265">
        <v>0</v>
      </c>
      <c r="G132" s="273" t="s">
        <v>751</v>
      </c>
      <c r="H132" s="272" t="s">
        <v>750</v>
      </c>
      <c r="I132" s="265">
        <v>0.01</v>
      </c>
      <c r="J132" s="271">
        <f t="shared" si="1"/>
        <v>0.5</v>
      </c>
      <c r="K132" s="270"/>
      <c r="L132" s="279" t="s">
        <v>1032</v>
      </c>
      <c r="M132" s="279" t="s">
        <v>1049</v>
      </c>
      <c r="N132" s="279" t="s">
        <v>1031</v>
      </c>
      <c r="O132" s="268" t="s">
        <v>1032</v>
      </c>
      <c r="P132" s="268">
        <v>623377</v>
      </c>
      <c r="Q132" s="277" t="s">
        <v>1032</v>
      </c>
      <c r="R132" s="267">
        <v>234538</v>
      </c>
      <c r="S132" s="267">
        <v>0</v>
      </c>
      <c r="T132" s="276" t="s">
        <v>1032</v>
      </c>
    </row>
    <row r="133" spans="1:20" ht="15.75" customHeight="1" x14ac:dyDescent="0.25">
      <c r="A133" s="272" t="s">
        <v>348</v>
      </c>
      <c r="B133" s="275" t="s">
        <v>347</v>
      </c>
      <c r="C133" s="265">
        <v>0.4</v>
      </c>
      <c r="D133" s="273" t="s">
        <v>803</v>
      </c>
      <c r="E133" s="274" t="s">
        <v>802</v>
      </c>
      <c r="F133" s="265">
        <v>0.1</v>
      </c>
      <c r="G133" s="273" t="s">
        <v>748</v>
      </c>
      <c r="H133" s="272" t="s">
        <v>762</v>
      </c>
      <c r="I133" s="265">
        <v>0</v>
      </c>
      <c r="J133" s="271">
        <f t="shared" si="1"/>
        <v>0.5</v>
      </c>
      <c r="K133" s="270"/>
      <c r="L133" s="279" t="s">
        <v>1031</v>
      </c>
      <c r="M133" s="279" t="s">
        <v>1031</v>
      </c>
      <c r="N133" s="279" t="s">
        <v>1031</v>
      </c>
      <c r="O133" s="268" t="s">
        <v>1031</v>
      </c>
      <c r="P133" s="268">
        <v>0</v>
      </c>
      <c r="Q133" s="277" t="s">
        <v>1031</v>
      </c>
      <c r="R133" s="267">
        <v>0</v>
      </c>
      <c r="S133" s="267">
        <v>0</v>
      </c>
      <c r="T133" s="276" t="s">
        <v>1031</v>
      </c>
    </row>
    <row r="134" spans="1:20" ht="15.75" customHeight="1" x14ac:dyDescent="0.25">
      <c r="A134" s="272" t="s">
        <v>350</v>
      </c>
      <c r="B134" s="275" t="s">
        <v>349</v>
      </c>
      <c r="C134" s="265">
        <v>0.4</v>
      </c>
      <c r="D134" s="273" t="s">
        <v>858</v>
      </c>
      <c r="E134" s="274" t="s">
        <v>857</v>
      </c>
      <c r="F134" s="265">
        <v>0.09</v>
      </c>
      <c r="G134" s="273" t="s">
        <v>856</v>
      </c>
      <c r="H134" s="272" t="s">
        <v>855</v>
      </c>
      <c r="I134" s="265">
        <v>0.01</v>
      </c>
      <c r="J134" s="271">
        <f t="shared" ref="J134:J197" si="2">+C134+F134+I134</f>
        <v>0.5</v>
      </c>
      <c r="K134" s="270"/>
      <c r="L134" s="279" t="s">
        <v>1031</v>
      </c>
      <c r="M134" s="279" t="s">
        <v>1031</v>
      </c>
      <c r="N134" s="279" t="s">
        <v>1031</v>
      </c>
      <c r="O134" s="268" t="s">
        <v>1031</v>
      </c>
      <c r="P134" s="268">
        <v>0</v>
      </c>
      <c r="Q134" s="277" t="s">
        <v>1031</v>
      </c>
      <c r="R134" s="267">
        <v>0</v>
      </c>
      <c r="S134" s="267">
        <v>0</v>
      </c>
      <c r="T134" s="276" t="s">
        <v>1031</v>
      </c>
    </row>
    <row r="135" spans="1:20" ht="15.75" customHeight="1" x14ac:dyDescent="0.25">
      <c r="A135" s="272" t="s">
        <v>352</v>
      </c>
      <c r="B135" s="275" t="s">
        <v>351</v>
      </c>
      <c r="C135" s="265">
        <v>0.3</v>
      </c>
      <c r="D135" s="273" t="s">
        <v>790</v>
      </c>
      <c r="E135" s="274" t="s">
        <v>789</v>
      </c>
      <c r="F135" s="265">
        <v>0.2</v>
      </c>
      <c r="G135" s="273" t="s">
        <v>748</v>
      </c>
      <c r="H135" s="274" t="s">
        <v>748</v>
      </c>
      <c r="I135" s="265">
        <v>0</v>
      </c>
      <c r="J135" s="271">
        <f t="shared" si="2"/>
        <v>0.5</v>
      </c>
      <c r="K135" s="270"/>
      <c r="L135" s="279" t="s">
        <v>1031</v>
      </c>
      <c r="M135" s="279" t="s">
        <v>1031</v>
      </c>
      <c r="N135" s="279" t="s">
        <v>1031</v>
      </c>
      <c r="O135" s="268" t="s">
        <v>1031</v>
      </c>
      <c r="P135" s="268">
        <v>0</v>
      </c>
      <c r="Q135" s="277" t="s">
        <v>1032</v>
      </c>
      <c r="R135" s="267">
        <v>0</v>
      </c>
      <c r="S135" s="267">
        <v>0</v>
      </c>
      <c r="T135" s="276" t="s">
        <v>1032</v>
      </c>
    </row>
    <row r="136" spans="1:20" x14ac:dyDescent="0.25">
      <c r="A136" s="272" t="s">
        <v>354</v>
      </c>
      <c r="B136" s="275" t="s">
        <v>906</v>
      </c>
      <c r="C136" s="265">
        <v>0.4</v>
      </c>
      <c r="D136" s="273" t="s">
        <v>884</v>
      </c>
      <c r="E136" s="274" t="s">
        <v>883</v>
      </c>
      <c r="F136" s="265">
        <v>0.09</v>
      </c>
      <c r="G136" s="273" t="s">
        <v>869</v>
      </c>
      <c r="H136" s="272" t="s">
        <v>868</v>
      </c>
      <c r="I136" s="265">
        <v>0.01</v>
      </c>
      <c r="J136" s="271">
        <f t="shared" si="2"/>
        <v>0.5</v>
      </c>
      <c r="K136" s="270"/>
      <c r="L136" s="279" t="s">
        <v>1032</v>
      </c>
      <c r="M136" s="279" t="s">
        <v>1050</v>
      </c>
      <c r="N136" s="279" t="s">
        <v>1031</v>
      </c>
      <c r="O136" s="268" t="s">
        <v>1031</v>
      </c>
      <c r="P136" s="268">
        <v>0</v>
      </c>
      <c r="Q136" s="277" t="s">
        <v>1031</v>
      </c>
      <c r="R136" s="267">
        <v>907450</v>
      </c>
      <c r="S136" s="267">
        <v>0</v>
      </c>
      <c r="T136" s="276" t="s">
        <v>1031</v>
      </c>
    </row>
    <row r="137" spans="1:20" ht="15.75" customHeight="1" x14ac:dyDescent="0.25">
      <c r="A137" s="272" t="s">
        <v>356</v>
      </c>
      <c r="B137" s="275" t="s">
        <v>355</v>
      </c>
      <c r="C137" s="265">
        <v>0.4</v>
      </c>
      <c r="D137" s="273" t="s">
        <v>764</v>
      </c>
      <c r="E137" s="274" t="s">
        <v>763</v>
      </c>
      <c r="F137" s="265">
        <v>0.1</v>
      </c>
      <c r="G137" s="273" t="s">
        <v>748</v>
      </c>
      <c r="H137" s="272" t="s">
        <v>762</v>
      </c>
      <c r="I137" s="265">
        <v>0</v>
      </c>
      <c r="J137" s="271">
        <f t="shared" si="2"/>
        <v>0.5</v>
      </c>
      <c r="K137" s="270"/>
      <c r="L137" s="279" t="s">
        <v>1031</v>
      </c>
      <c r="M137" s="279" t="s">
        <v>1031</v>
      </c>
      <c r="N137" s="279" t="s">
        <v>1031</v>
      </c>
      <c r="O137" s="268" t="s">
        <v>1031</v>
      </c>
      <c r="P137" s="268">
        <v>0</v>
      </c>
      <c r="Q137" s="277" t="s">
        <v>1031</v>
      </c>
      <c r="R137" s="267">
        <v>0</v>
      </c>
      <c r="S137" s="267">
        <v>0</v>
      </c>
      <c r="T137" s="276" t="s">
        <v>1031</v>
      </c>
    </row>
    <row r="138" spans="1:20" ht="15.75" customHeight="1" x14ac:dyDescent="0.25">
      <c r="A138" s="272" t="s">
        <v>358</v>
      </c>
      <c r="B138" s="275" t="s">
        <v>357</v>
      </c>
      <c r="C138" s="265">
        <v>0.3</v>
      </c>
      <c r="D138" s="273" t="s">
        <v>790</v>
      </c>
      <c r="E138" s="274" t="s">
        <v>789</v>
      </c>
      <c r="F138" s="265">
        <v>0.2</v>
      </c>
      <c r="G138" s="273" t="s">
        <v>748</v>
      </c>
      <c r="H138" s="274" t="s">
        <v>748</v>
      </c>
      <c r="I138" s="265">
        <v>0</v>
      </c>
      <c r="J138" s="271">
        <f t="shared" si="2"/>
        <v>0.5</v>
      </c>
      <c r="K138" s="270"/>
      <c r="L138" s="279" t="s">
        <v>1031</v>
      </c>
      <c r="M138" s="279" t="s">
        <v>1031</v>
      </c>
      <c r="N138" s="279" t="s">
        <v>1031</v>
      </c>
      <c r="O138" s="268" t="s">
        <v>1031</v>
      </c>
      <c r="P138" s="268">
        <v>0</v>
      </c>
      <c r="Q138" s="277" t="s">
        <v>1032</v>
      </c>
      <c r="R138" s="267">
        <v>0</v>
      </c>
      <c r="S138" s="267">
        <v>0</v>
      </c>
      <c r="T138" s="276" t="s">
        <v>1032</v>
      </c>
    </row>
    <row r="139" spans="1:20" x14ac:dyDescent="0.25">
      <c r="A139" s="272" t="s">
        <v>360</v>
      </c>
      <c r="B139" s="275" t="s">
        <v>359</v>
      </c>
      <c r="C139" s="265">
        <v>0.4</v>
      </c>
      <c r="D139" s="273" t="s">
        <v>862</v>
      </c>
      <c r="E139" s="274" t="s">
        <v>861</v>
      </c>
      <c r="F139" s="265">
        <v>0.09</v>
      </c>
      <c r="G139" s="273" t="s">
        <v>860</v>
      </c>
      <c r="H139" s="272" t="s">
        <v>859</v>
      </c>
      <c r="I139" s="265">
        <v>0.01</v>
      </c>
      <c r="J139" s="271">
        <f t="shared" si="2"/>
        <v>0.5</v>
      </c>
      <c r="K139" s="270"/>
      <c r="L139" s="279" t="s">
        <v>1032</v>
      </c>
      <c r="M139" s="279" t="s">
        <v>1051</v>
      </c>
      <c r="N139" s="279" t="s">
        <v>1031</v>
      </c>
      <c r="O139" s="268" t="s">
        <v>1032</v>
      </c>
      <c r="P139" s="268">
        <v>405333</v>
      </c>
      <c r="Q139" s="277" t="s">
        <v>1031</v>
      </c>
      <c r="R139" s="267">
        <v>636801</v>
      </c>
      <c r="S139" s="267">
        <v>0</v>
      </c>
      <c r="T139" s="276" t="s">
        <v>1031</v>
      </c>
    </row>
    <row r="140" spans="1:20" ht="15.75" customHeight="1" x14ac:dyDescent="0.25">
      <c r="A140" s="272" t="s">
        <v>362</v>
      </c>
      <c r="B140" s="275" t="s">
        <v>361</v>
      </c>
      <c r="C140" s="265">
        <v>0.4</v>
      </c>
      <c r="D140" s="273" t="s">
        <v>757</v>
      </c>
      <c r="E140" s="274" t="s">
        <v>756</v>
      </c>
      <c r="F140" s="265">
        <v>0.09</v>
      </c>
      <c r="G140" s="273" t="s">
        <v>755</v>
      </c>
      <c r="H140" s="272" t="s">
        <v>754</v>
      </c>
      <c r="I140" s="265">
        <v>0.01</v>
      </c>
      <c r="J140" s="271">
        <f t="shared" si="2"/>
        <v>0.5</v>
      </c>
      <c r="K140" s="270"/>
      <c r="L140" s="279" t="s">
        <v>1031</v>
      </c>
      <c r="M140" s="279" t="s">
        <v>1031</v>
      </c>
      <c r="N140" s="279" t="s">
        <v>1031</v>
      </c>
      <c r="O140" s="268" t="s">
        <v>1031</v>
      </c>
      <c r="P140" s="268">
        <v>0</v>
      </c>
      <c r="Q140" s="277" t="s">
        <v>1031</v>
      </c>
      <c r="R140" s="267">
        <v>0</v>
      </c>
      <c r="S140" s="267">
        <v>0</v>
      </c>
      <c r="T140" s="276" t="s">
        <v>1031</v>
      </c>
    </row>
    <row r="141" spans="1:20" ht="15.75" customHeight="1" x14ac:dyDescent="0.25">
      <c r="A141" s="272" t="s">
        <v>364</v>
      </c>
      <c r="B141" s="275" t="s">
        <v>363</v>
      </c>
      <c r="C141" s="265">
        <v>0.4</v>
      </c>
      <c r="D141" s="273" t="s">
        <v>811</v>
      </c>
      <c r="E141" s="274" t="s">
        <v>810</v>
      </c>
      <c r="F141" s="265">
        <v>0.1</v>
      </c>
      <c r="G141" s="273" t="s">
        <v>748</v>
      </c>
      <c r="H141" s="272" t="s">
        <v>762</v>
      </c>
      <c r="I141" s="265">
        <v>0</v>
      </c>
      <c r="J141" s="271">
        <f t="shared" si="2"/>
        <v>0.5</v>
      </c>
      <c r="K141" s="270"/>
      <c r="L141" s="279" t="s">
        <v>1031</v>
      </c>
      <c r="M141" s="279" t="s">
        <v>1031</v>
      </c>
      <c r="N141" s="279" t="s">
        <v>1031</v>
      </c>
      <c r="O141" s="268" t="s">
        <v>1031</v>
      </c>
      <c r="P141" s="268">
        <v>0</v>
      </c>
      <c r="Q141" s="277" t="s">
        <v>1031</v>
      </c>
      <c r="R141" s="267">
        <v>0</v>
      </c>
      <c r="S141" s="267">
        <v>0</v>
      </c>
      <c r="T141" s="276" t="s">
        <v>1031</v>
      </c>
    </row>
    <row r="142" spans="1:20" ht="15.75" customHeight="1" x14ac:dyDescent="0.25">
      <c r="A142" s="272" t="s">
        <v>366</v>
      </c>
      <c r="B142" s="281" t="s">
        <v>905</v>
      </c>
      <c r="C142" s="265">
        <v>0.5</v>
      </c>
      <c r="D142" s="273" t="s">
        <v>748</v>
      </c>
      <c r="E142" s="274" t="s">
        <v>747</v>
      </c>
      <c r="F142" s="265">
        <v>0</v>
      </c>
      <c r="G142" s="273" t="s">
        <v>748</v>
      </c>
      <c r="H142" s="272" t="s">
        <v>762</v>
      </c>
      <c r="I142" s="265">
        <v>0</v>
      </c>
      <c r="J142" s="271">
        <f t="shared" si="2"/>
        <v>0.5</v>
      </c>
      <c r="K142" s="270"/>
      <c r="L142" s="279" t="s">
        <v>1031</v>
      </c>
      <c r="M142" s="279" t="s">
        <v>1031</v>
      </c>
      <c r="N142" s="279" t="s">
        <v>1031</v>
      </c>
      <c r="O142" s="268" t="s">
        <v>1031</v>
      </c>
      <c r="P142" s="268">
        <v>0</v>
      </c>
      <c r="Q142" s="277" t="s">
        <v>1032</v>
      </c>
      <c r="R142" s="267">
        <v>0</v>
      </c>
      <c r="S142" s="267">
        <v>0</v>
      </c>
      <c r="T142" s="276" t="s">
        <v>1032</v>
      </c>
    </row>
    <row r="143" spans="1:20" ht="15.75" customHeight="1" x14ac:dyDescent="0.25">
      <c r="A143" s="272" t="s">
        <v>368</v>
      </c>
      <c r="B143" s="275" t="s">
        <v>367</v>
      </c>
      <c r="C143" s="265">
        <v>0.5</v>
      </c>
      <c r="D143" s="273" t="s">
        <v>748</v>
      </c>
      <c r="E143" s="274" t="s">
        <v>747</v>
      </c>
      <c r="F143" s="265">
        <v>0</v>
      </c>
      <c r="G143" s="273" t="s">
        <v>748</v>
      </c>
      <c r="H143" s="272" t="s">
        <v>762</v>
      </c>
      <c r="I143" s="265">
        <v>0</v>
      </c>
      <c r="J143" s="271">
        <f t="shared" si="2"/>
        <v>0.5</v>
      </c>
      <c r="K143" s="270"/>
      <c r="L143" s="279" t="s">
        <v>1031</v>
      </c>
      <c r="M143" s="279" t="s">
        <v>1031</v>
      </c>
      <c r="N143" s="279" t="s">
        <v>1031</v>
      </c>
      <c r="O143" s="268" t="s">
        <v>1031</v>
      </c>
      <c r="P143" s="268">
        <v>0</v>
      </c>
      <c r="Q143" s="277" t="s">
        <v>1032</v>
      </c>
      <c r="R143" s="267">
        <v>0</v>
      </c>
      <c r="S143" s="267">
        <v>0</v>
      </c>
      <c r="T143" s="276" t="s">
        <v>1032</v>
      </c>
    </row>
    <row r="144" spans="1:20" ht="15.75" customHeight="1" x14ac:dyDescent="0.25">
      <c r="A144" s="272" t="s">
        <v>370</v>
      </c>
      <c r="B144" s="275" t="s">
        <v>369</v>
      </c>
      <c r="C144" s="265">
        <v>0.3</v>
      </c>
      <c r="D144" s="273" t="s">
        <v>790</v>
      </c>
      <c r="E144" s="274" t="s">
        <v>789</v>
      </c>
      <c r="F144" s="265">
        <v>0.2</v>
      </c>
      <c r="G144" s="273" t="s">
        <v>748</v>
      </c>
      <c r="H144" s="274" t="s">
        <v>748</v>
      </c>
      <c r="I144" s="265">
        <v>0</v>
      </c>
      <c r="J144" s="271">
        <f t="shared" si="2"/>
        <v>0.5</v>
      </c>
      <c r="K144" s="270"/>
      <c r="L144" s="279" t="s">
        <v>1031</v>
      </c>
      <c r="M144" s="279" t="s">
        <v>1031</v>
      </c>
      <c r="N144" s="279" t="s">
        <v>1031</v>
      </c>
      <c r="O144" s="268" t="s">
        <v>1031</v>
      </c>
      <c r="P144" s="268">
        <v>0</v>
      </c>
      <c r="Q144" s="277" t="s">
        <v>1032</v>
      </c>
      <c r="R144" s="267">
        <v>0</v>
      </c>
      <c r="S144" s="267">
        <v>0</v>
      </c>
      <c r="T144" s="276" t="s">
        <v>1032</v>
      </c>
    </row>
    <row r="145" spans="1:20" ht="15.75" customHeight="1" x14ac:dyDescent="0.25">
      <c r="A145" s="272" t="s">
        <v>372</v>
      </c>
      <c r="B145" s="275" t="s">
        <v>904</v>
      </c>
      <c r="C145" s="265">
        <v>0.3</v>
      </c>
      <c r="D145" s="273" t="s">
        <v>790</v>
      </c>
      <c r="E145" s="274" t="s">
        <v>789</v>
      </c>
      <c r="F145" s="265">
        <v>0.2</v>
      </c>
      <c r="G145" s="273" t="s">
        <v>748</v>
      </c>
      <c r="H145" s="274" t="s">
        <v>748</v>
      </c>
      <c r="I145" s="265">
        <v>0</v>
      </c>
      <c r="J145" s="271">
        <f t="shared" si="2"/>
        <v>0.5</v>
      </c>
      <c r="K145" s="270"/>
      <c r="L145" s="279" t="s">
        <v>1031</v>
      </c>
      <c r="M145" s="279" t="s">
        <v>1031</v>
      </c>
      <c r="N145" s="279" t="s">
        <v>1031</v>
      </c>
      <c r="O145" s="268" t="s">
        <v>1031</v>
      </c>
      <c r="P145" s="268">
        <v>0</v>
      </c>
      <c r="Q145" s="277" t="s">
        <v>1032</v>
      </c>
      <c r="R145" s="267">
        <v>0</v>
      </c>
      <c r="S145" s="267">
        <v>0</v>
      </c>
      <c r="T145" s="276" t="s">
        <v>1032</v>
      </c>
    </row>
    <row r="146" spans="1:20" ht="15.75" customHeight="1" x14ac:dyDescent="0.25">
      <c r="A146" s="272" t="s">
        <v>374</v>
      </c>
      <c r="B146" s="275" t="s">
        <v>373</v>
      </c>
      <c r="C146" s="265">
        <v>0.4</v>
      </c>
      <c r="D146" s="273" t="s">
        <v>805</v>
      </c>
      <c r="E146" s="274" t="s">
        <v>804</v>
      </c>
      <c r="F146" s="265">
        <v>0.1</v>
      </c>
      <c r="G146" s="273" t="s">
        <v>748</v>
      </c>
      <c r="H146" s="272" t="s">
        <v>762</v>
      </c>
      <c r="I146" s="265">
        <v>0</v>
      </c>
      <c r="J146" s="271">
        <f t="shared" si="2"/>
        <v>0.5</v>
      </c>
      <c r="K146" s="270"/>
      <c r="L146" s="279" t="s">
        <v>1031</v>
      </c>
      <c r="M146" s="279" t="s">
        <v>1031</v>
      </c>
      <c r="N146" s="279" t="s">
        <v>1031</v>
      </c>
      <c r="O146" s="268" t="s">
        <v>1031</v>
      </c>
      <c r="P146" s="268">
        <v>0</v>
      </c>
      <c r="Q146" s="277" t="s">
        <v>1031</v>
      </c>
      <c r="R146" s="267">
        <v>0</v>
      </c>
      <c r="S146" s="267">
        <v>0</v>
      </c>
      <c r="T146" s="276" t="s">
        <v>1031</v>
      </c>
    </row>
    <row r="147" spans="1:20" ht="15.75" customHeight="1" x14ac:dyDescent="0.25">
      <c r="A147" s="272" t="s">
        <v>376</v>
      </c>
      <c r="B147" s="275" t="s">
        <v>903</v>
      </c>
      <c r="C147" s="265">
        <v>0.4</v>
      </c>
      <c r="D147" s="273" t="s">
        <v>849</v>
      </c>
      <c r="E147" s="274" t="s">
        <v>848</v>
      </c>
      <c r="F147" s="265">
        <v>0.1</v>
      </c>
      <c r="G147" s="273" t="s">
        <v>748</v>
      </c>
      <c r="H147" s="272" t="s">
        <v>762</v>
      </c>
      <c r="I147" s="265">
        <v>0</v>
      </c>
      <c r="J147" s="271">
        <f t="shared" si="2"/>
        <v>0.5</v>
      </c>
      <c r="L147" s="279" t="s">
        <v>1031</v>
      </c>
      <c r="M147" s="279" t="s">
        <v>1031</v>
      </c>
      <c r="N147" s="279" t="s">
        <v>1031</v>
      </c>
      <c r="O147" s="268" t="s">
        <v>1031</v>
      </c>
      <c r="P147" s="268">
        <v>0</v>
      </c>
      <c r="Q147" s="277" t="s">
        <v>1031</v>
      </c>
      <c r="R147" s="267">
        <v>0</v>
      </c>
      <c r="S147" s="267">
        <v>0</v>
      </c>
      <c r="T147" s="276" t="s">
        <v>1031</v>
      </c>
    </row>
    <row r="148" spans="1:20" x14ac:dyDescent="0.25">
      <c r="A148" s="272" t="s">
        <v>378</v>
      </c>
      <c r="B148" s="281" t="s">
        <v>902</v>
      </c>
      <c r="C148" s="265">
        <v>0.49</v>
      </c>
      <c r="D148" s="273" t="s">
        <v>748</v>
      </c>
      <c r="E148" s="274" t="s">
        <v>747</v>
      </c>
      <c r="F148" s="265">
        <v>0</v>
      </c>
      <c r="G148" s="273" t="s">
        <v>890</v>
      </c>
      <c r="H148" s="272" t="s">
        <v>889</v>
      </c>
      <c r="I148" s="265">
        <v>0.01</v>
      </c>
      <c r="J148" s="271">
        <f t="shared" si="2"/>
        <v>0.5</v>
      </c>
      <c r="K148" s="270"/>
      <c r="L148" s="279" t="s">
        <v>1032</v>
      </c>
      <c r="M148" s="279" t="s">
        <v>1041</v>
      </c>
      <c r="N148" s="279" t="s">
        <v>1042</v>
      </c>
      <c r="O148" s="268" t="s">
        <v>1031</v>
      </c>
      <c r="P148" s="268">
        <v>0</v>
      </c>
      <c r="Q148" s="277" t="s">
        <v>1032</v>
      </c>
      <c r="R148" s="267">
        <v>0</v>
      </c>
      <c r="S148" s="267">
        <v>160494</v>
      </c>
      <c r="T148" s="276" t="s">
        <v>1032</v>
      </c>
    </row>
    <row r="149" spans="1:20" ht="15.75" customHeight="1" x14ac:dyDescent="0.25">
      <c r="A149" s="272" t="s">
        <v>380</v>
      </c>
      <c r="B149" s="281" t="s">
        <v>901</v>
      </c>
      <c r="C149" s="265">
        <v>0.3</v>
      </c>
      <c r="D149" s="273" t="s">
        <v>790</v>
      </c>
      <c r="E149" s="274" t="s">
        <v>789</v>
      </c>
      <c r="F149" s="265">
        <v>0.2</v>
      </c>
      <c r="G149" s="273" t="s">
        <v>748</v>
      </c>
      <c r="H149" s="274" t="s">
        <v>748</v>
      </c>
      <c r="I149" s="265">
        <v>0</v>
      </c>
      <c r="J149" s="271">
        <f t="shared" si="2"/>
        <v>0.5</v>
      </c>
      <c r="K149" s="270"/>
      <c r="L149" s="279" t="s">
        <v>1031</v>
      </c>
      <c r="M149" s="279" t="s">
        <v>1031</v>
      </c>
      <c r="N149" s="279" t="s">
        <v>1031</v>
      </c>
      <c r="O149" s="268" t="s">
        <v>1031</v>
      </c>
      <c r="P149" s="268">
        <v>0</v>
      </c>
      <c r="Q149" s="277" t="s">
        <v>1032</v>
      </c>
      <c r="R149" s="267">
        <v>0</v>
      </c>
      <c r="S149" s="267">
        <v>0</v>
      </c>
      <c r="T149" s="276" t="s">
        <v>1032</v>
      </c>
    </row>
    <row r="150" spans="1:20" ht="15.75" customHeight="1" x14ac:dyDescent="0.25">
      <c r="A150" s="272" t="s">
        <v>382</v>
      </c>
      <c r="B150" s="275" t="s">
        <v>381</v>
      </c>
      <c r="C150" s="265">
        <v>0.49</v>
      </c>
      <c r="D150" s="273" t="s">
        <v>748</v>
      </c>
      <c r="E150" s="274" t="s">
        <v>767</v>
      </c>
      <c r="F150" s="265">
        <v>0</v>
      </c>
      <c r="G150" s="273" t="s">
        <v>818</v>
      </c>
      <c r="H150" s="272" t="s">
        <v>817</v>
      </c>
      <c r="I150" s="265">
        <v>0.01</v>
      </c>
      <c r="J150" s="271">
        <f t="shared" si="2"/>
        <v>0.5</v>
      </c>
      <c r="K150" s="270"/>
      <c r="L150" s="279" t="s">
        <v>1031</v>
      </c>
      <c r="M150" s="279" t="s">
        <v>1031</v>
      </c>
      <c r="N150" s="279" t="s">
        <v>1031</v>
      </c>
      <c r="O150" s="268" t="s">
        <v>1031</v>
      </c>
      <c r="P150" s="268">
        <v>0</v>
      </c>
      <c r="Q150" s="277" t="s">
        <v>1032</v>
      </c>
      <c r="R150" s="267">
        <v>0</v>
      </c>
      <c r="S150" s="267">
        <v>0</v>
      </c>
      <c r="T150" s="276" t="s">
        <v>1032</v>
      </c>
    </row>
    <row r="151" spans="1:20" ht="15.75" customHeight="1" x14ac:dyDescent="0.25">
      <c r="A151" s="272" t="s">
        <v>384</v>
      </c>
      <c r="B151" s="275" t="s">
        <v>383</v>
      </c>
      <c r="C151" s="265">
        <v>0.49</v>
      </c>
      <c r="D151" s="273" t="s">
        <v>748</v>
      </c>
      <c r="E151" s="274" t="s">
        <v>767</v>
      </c>
      <c r="F151" s="265">
        <v>0</v>
      </c>
      <c r="G151" s="273" t="s">
        <v>774</v>
      </c>
      <c r="H151" s="272" t="s">
        <v>773</v>
      </c>
      <c r="I151" s="265">
        <v>0.01</v>
      </c>
      <c r="J151" s="271">
        <f t="shared" si="2"/>
        <v>0.5</v>
      </c>
      <c r="K151" s="270"/>
      <c r="L151" s="279" t="s">
        <v>1031</v>
      </c>
      <c r="M151" s="279" t="s">
        <v>1031</v>
      </c>
      <c r="N151" s="279" t="s">
        <v>1031</v>
      </c>
      <c r="O151" s="268" t="s">
        <v>1031</v>
      </c>
      <c r="P151" s="268">
        <v>0</v>
      </c>
      <c r="Q151" s="277" t="s">
        <v>1032</v>
      </c>
      <c r="R151" s="267">
        <v>0</v>
      </c>
      <c r="S151" s="267">
        <v>0</v>
      </c>
      <c r="T151" s="276" t="s">
        <v>1032</v>
      </c>
    </row>
    <row r="152" spans="1:20" ht="15.75" customHeight="1" x14ac:dyDescent="0.25">
      <c r="A152" s="272" t="s">
        <v>386</v>
      </c>
      <c r="B152" s="275" t="s">
        <v>385</v>
      </c>
      <c r="C152" s="265">
        <v>0.3</v>
      </c>
      <c r="D152" s="273" t="s">
        <v>790</v>
      </c>
      <c r="E152" s="274" t="s">
        <v>789</v>
      </c>
      <c r="F152" s="265">
        <v>0.2</v>
      </c>
      <c r="G152" s="273" t="s">
        <v>748</v>
      </c>
      <c r="H152" s="274" t="s">
        <v>748</v>
      </c>
      <c r="I152" s="265">
        <v>0</v>
      </c>
      <c r="J152" s="271">
        <f t="shared" si="2"/>
        <v>0.5</v>
      </c>
      <c r="K152" s="270"/>
      <c r="L152" s="279" t="s">
        <v>1031</v>
      </c>
      <c r="M152" s="279" t="s">
        <v>1031</v>
      </c>
      <c r="N152" s="279" t="s">
        <v>1031</v>
      </c>
      <c r="O152" s="268" t="s">
        <v>1031</v>
      </c>
      <c r="P152" s="268">
        <v>0</v>
      </c>
      <c r="Q152" s="277" t="s">
        <v>1032</v>
      </c>
      <c r="R152" s="267">
        <v>0</v>
      </c>
      <c r="S152" s="267">
        <v>0</v>
      </c>
      <c r="T152" s="276" t="s">
        <v>1032</v>
      </c>
    </row>
    <row r="153" spans="1:20" ht="15.75" customHeight="1" x14ac:dyDescent="0.25">
      <c r="A153" s="272" t="s">
        <v>388</v>
      </c>
      <c r="B153" s="275" t="s">
        <v>387</v>
      </c>
      <c r="C153" s="265">
        <v>0.4</v>
      </c>
      <c r="D153" s="273" t="s">
        <v>757</v>
      </c>
      <c r="E153" s="274" t="s">
        <v>756</v>
      </c>
      <c r="F153" s="265">
        <v>0.09</v>
      </c>
      <c r="G153" s="273" t="s">
        <v>755</v>
      </c>
      <c r="H153" s="272" t="s">
        <v>754</v>
      </c>
      <c r="I153" s="265">
        <v>0.01</v>
      </c>
      <c r="J153" s="271">
        <f t="shared" si="2"/>
        <v>0.5</v>
      </c>
      <c r="K153" s="270"/>
      <c r="L153" s="279" t="s">
        <v>1031</v>
      </c>
      <c r="M153" s="279" t="s">
        <v>1031</v>
      </c>
      <c r="N153" s="279" t="s">
        <v>1031</v>
      </c>
      <c r="O153" s="268" t="s">
        <v>1031</v>
      </c>
      <c r="P153" s="268">
        <v>0</v>
      </c>
      <c r="Q153" s="277" t="s">
        <v>1031</v>
      </c>
      <c r="R153" s="267">
        <v>0</v>
      </c>
      <c r="S153" s="267">
        <v>0</v>
      </c>
      <c r="T153" s="276" t="s">
        <v>1031</v>
      </c>
    </row>
    <row r="154" spans="1:20" x14ac:dyDescent="0.25">
      <c r="A154" s="272" t="s">
        <v>390</v>
      </c>
      <c r="B154" s="275" t="s">
        <v>389</v>
      </c>
      <c r="C154" s="265">
        <v>0.49</v>
      </c>
      <c r="D154" s="273" t="s">
        <v>748</v>
      </c>
      <c r="E154" s="274" t="s">
        <v>767</v>
      </c>
      <c r="F154" s="265">
        <v>0</v>
      </c>
      <c r="G154" s="273" t="s">
        <v>818</v>
      </c>
      <c r="H154" s="272" t="s">
        <v>817</v>
      </c>
      <c r="I154" s="265">
        <v>0.01</v>
      </c>
      <c r="J154" s="271">
        <f t="shared" si="2"/>
        <v>0.5</v>
      </c>
      <c r="K154" s="270"/>
      <c r="L154" s="279" t="s">
        <v>1032</v>
      </c>
      <c r="M154" s="279" t="s">
        <v>1052</v>
      </c>
      <c r="N154" s="279" t="s">
        <v>1052</v>
      </c>
      <c r="O154" s="268" t="s">
        <v>1032</v>
      </c>
      <c r="P154" s="268">
        <v>10332781</v>
      </c>
      <c r="Q154" s="277" t="s">
        <v>1032</v>
      </c>
      <c r="R154" s="267">
        <v>940240</v>
      </c>
      <c r="S154" s="267">
        <v>0</v>
      </c>
      <c r="T154" s="276" t="s">
        <v>1032</v>
      </c>
    </row>
    <row r="155" spans="1:20" ht="15.75" customHeight="1" x14ac:dyDescent="0.25">
      <c r="A155" s="272" t="s">
        <v>392</v>
      </c>
      <c r="B155" s="281" t="s">
        <v>900</v>
      </c>
      <c r="C155" s="265">
        <v>0.49</v>
      </c>
      <c r="D155" s="273" t="s">
        <v>748</v>
      </c>
      <c r="E155" s="274" t="s">
        <v>747</v>
      </c>
      <c r="F155" s="265">
        <v>0</v>
      </c>
      <c r="G155" s="273" t="s">
        <v>869</v>
      </c>
      <c r="H155" s="272" t="s">
        <v>868</v>
      </c>
      <c r="I155" s="265">
        <v>0.01</v>
      </c>
      <c r="J155" s="271">
        <f t="shared" si="2"/>
        <v>0.5</v>
      </c>
      <c r="K155" s="270"/>
      <c r="L155" s="279" t="s">
        <v>1031</v>
      </c>
      <c r="M155" s="279" t="s">
        <v>1031</v>
      </c>
      <c r="N155" s="279" t="s">
        <v>1031</v>
      </c>
      <c r="O155" s="268" t="s">
        <v>1031</v>
      </c>
      <c r="P155" s="268">
        <v>0</v>
      </c>
      <c r="Q155" s="277" t="s">
        <v>1032</v>
      </c>
      <c r="R155" s="267">
        <v>0</v>
      </c>
      <c r="S155" s="267">
        <v>0</v>
      </c>
      <c r="T155" s="276" t="s">
        <v>1032</v>
      </c>
    </row>
    <row r="156" spans="1:20" ht="15.75" customHeight="1" x14ac:dyDescent="0.25">
      <c r="A156" s="272" t="s">
        <v>394</v>
      </c>
      <c r="B156" s="275" t="s">
        <v>393</v>
      </c>
      <c r="C156" s="265">
        <v>0.4</v>
      </c>
      <c r="D156" s="273" t="s">
        <v>809</v>
      </c>
      <c r="E156" s="274" t="s">
        <v>808</v>
      </c>
      <c r="F156" s="265">
        <v>0.09</v>
      </c>
      <c r="G156" s="273" t="s">
        <v>807</v>
      </c>
      <c r="H156" s="272" t="s">
        <v>806</v>
      </c>
      <c r="I156" s="265">
        <v>0.01</v>
      </c>
      <c r="J156" s="271">
        <f t="shared" si="2"/>
        <v>0.5</v>
      </c>
      <c r="K156" s="270"/>
      <c r="L156" s="279" t="s">
        <v>1031</v>
      </c>
      <c r="M156" s="279" t="s">
        <v>1031</v>
      </c>
      <c r="N156" s="279" t="s">
        <v>1031</v>
      </c>
      <c r="O156" s="268" t="s">
        <v>1031</v>
      </c>
      <c r="P156" s="268">
        <v>0</v>
      </c>
      <c r="Q156" s="277" t="s">
        <v>1031</v>
      </c>
      <c r="R156" s="267">
        <v>0</v>
      </c>
      <c r="S156" s="267">
        <v>0</v>
      </c>
      <c r="T156" s="276" t="s">
        <v>1031</v>
      </c>
    </row>
    <row r="157" spans="1:20" ht="15.75" customHeight="1" x14ac:dyDescent="0.25">
      <c r="A157" s="272" t="s">
        <v>396</v>
      </c>
      <c r="B157" s="275" t="s">
        <v>395</v>
      </c>
      <c r="C157" s="265">
        <v>0.3</v>
      </c>
      <c r="D157" s="273" t="s">
        <v>790</v>
      </c>
      <c r="E157" s="274" t="s">
        <v>789</v>
      </c>
      <c r="F157" s="265">
        <v>0.2</v>
      </c>
      <c r="G157" s="273" t="s">
        <v>748</v>
      </c>
      <c r="H157" s="274" t="s">
        <v>748</v>
      </c>
      <c r="I157" s="265">
        <v>0</v>
      </c>
      <c r="J157" s="271">
        <f t="shared" si="2"/>
        <v>0.5</v>
      </c>
      <c r="K157" s="270"/>
      <c r="L157" s="279" t="s">
        <v>1031</v>
      </c>
      <c r="M157" s="279" t="s">
        <v>1031</v>
      </c>
      <c r="N157" s="279" t="s">
        <v>1031</v>
      </c>
      <c r="O157" s="268" t="s">
        <v>1031</v>
      </c>
      <c r="P157" s="268">
        <v>0</v>
      </c>
      <c r="Q157" s="277" t="s">
        <v>1032</v>
      </c>
      <c r="R157" s="267">
        <v>0</v>
      </c>
      <c r="S157" s="267">
        <v>0</v>
      </c>
      <c r="T157" s="276" t="s">
        <v>1032</v>
      </c>
    </row>
    <row r="158" spans="1:20" ht="15.75" customHeight="1" x14ac:dyDescent="0.25">
      <c r="A158" s="272" t="s">
        <v>398</v>
      </c>
      <c r="B158" s="275" t="s">
        <v>397</v>
      </c>
      <c r="C158" s="265">
        <v>0.4</v>
      </c>
      <c r="D158" s="273" t="s">
        <v>838</v>
      </c>
      <c r="E158" s="274" t="s">
        <v>837</v>
      </c>
      <c r="F158" s="265">
        <v>0.09</v>
      </c>
      <c r="G158" s="273" t="s">
        <v>836</v>
      </c>
      <c r="H158" s="272" t="s">
        <v>835</v>
      </c>
      <c r="I158" s="265">
        <v>0.01</v>
      </c>
      <c r="J158" s="271">
        <f t="shared" si="2"/>
        <v>0.5</v>
      </c>
      <c r="K158" s="270"/>
      <c r="L158" s="279" t="s">
        <v>1031</v>
      </c>
      <c r="M158" s="279" t="s">
        <v>1031</v>
      </c>
      <c r="N158" s="279" t="s">
        <v>1031</v>
      </c>
      <c r="O158" s="268" t="s">
        <v>1031</v>
      </c>
      <c r="P158" s="268">
        <v>0</v>
      </c>
      <c r="Q158" s="277" t="s">
        <v>1031</v>
      </c>
      <c r="R158" s="267">
        <v>0</v>
      </c>
      <c r="S158" s="267">
        <v>0</v>
      </c>
      <c r="T158" s="276" t="s">
        <v>1031</v>
      </c>
    </row>
    <row r="159" spans="1:20" ht="15.75" customHeight="1" x14ac:dyDescent="0.25">
      <c r="A159" s="272" t="s">
        <v>400</v>
      </c>
      <c r="B159" s="275" t="s">
        <v>399</v>
      </c>
      <c r="C159" s="265">
        <v>0.4</v>
      </c>
      <c r="D159" s="273" t="s">
        <v>798</v>
      </c>
      <c r="E159" s="274" t="s">
        <v>797</v>
      </c>
      <c r="F159" s="265">
        <v>0.1</v>
      </c>
      <c r="G159" s="273" t="s">
        <v>748</v>
      </c>
      <c r="H159" s="272" t="s">
        <v>762</v>
      </c>
      <c r="I159" s="265">
        <v>0</v>
      </c>
      <c r="J159" s="271">
        <f t="shared" si="2"/>
        <v>0.5</v>
      </c>
      <c r="K159" s="270"/>
      <c r="L159" s="279" t="s">
        <v>1031</v>
      </c>
      <c r="M159" s="279" t="s">
        <v>1031</v>
      </c>
      <c r="N159" s="279" t="s">
        <v>1031</v>
      </c>
      <c r="O159" s="268" t="s">
        <v>1032</v>
      </c>
      <c r="P159" s="268">
        <v>1600877</v>
      </c>
      <c r="Q159" s="277" t="s">
        <v>1031</v>
      </c>
      <c r="R159" s="267">
        <v>0</v>
      </c>
      <c r="S159" s="267">
        <v>0</v>
      </c>
      <c r="T159" s="276" t="s">
        <v>1031</v>
      </c>
    </row>
    <row r="160" spans="1:20" x14ac:dyDescent="0.25">
      <c r="A160" s="272" t="s">
        <v>402</v>
      </c>
      <c r="B160" s="275" t="s">
        <v>401</v>
      </c>
      <c r="C160" s="265">
        <v>0.49</v>
      </c>
      <c r="D160" s="273" t="s">
        <v>748</v>
      </c>
      <c r="E160" s="274" t="s">
        <v>767</v>
      </c>
      <c r="F160" s="265">
        <v>0</v>
      </c>
      <c r="G160" s="273" t="s">
        <v>774</v>
      </c>
      <c r="H160" s="272" t="s">
        <v>773</v>
      </c>
      <c r="I160" s="265">
        <v>0.01</v>
      </c>
      <c r="J160" s="271">
        <f t="shared" si="2"/>
        <v>0.5</v>
      </c>
      <c r="K160" s="270"/>
      <c r="L160" s="279" t="s">
        <v>1032</v>
      </c>
      <c r="M160" s="279" t="s">
        <v>1053</v>
      </c>
      <c r="N160" s="279" t="s">
        <v>1054</v>
      </c>
      <c r="O160" s="268" t="s">
        <v>1032</v>
      </c>
      <c r="P160" s="268">
        <v>5722293</v>
      </c>
      <c r="Q160" s="277" t="s">
        <v>1032</v>
      </c>
      <c r="R160" s="267">
        <v>3663356</v>
      </c>
      <c r="S160" s="267">
        <v>31386449</v>
      </c>
      <c r="T160" s="276" t="s">
        <v>1032</v>
      </c>
    </row>
    <row r="161" spans="1:20" ht="15.75" customHeight="1" x14ac:dyDescent="0.25">
      <c r="A161" s="272" t="s">
        <v>404</v>
      </c>
      <c r="B161" s="275" t="s">
        <v>899</v>
      </c>
      <c r="C161" s="265">
        <v>0.49</v>
      </c>
      <c r="D161" s="273" t="s">
        <v>748</v>
      </c>
      <c r="E161" s="274" t="s">
        <v>747</v>
      </c>
      <c r="F161" s="265">
        <v>0</v>
      </c>
      <c r="G161" s="273" t="s">
        <v>898</v>
      </c>
      <c r="H161" s="272" t="s">
        <v>897</v>
      </c>
      <c r="I161" s="265">
        <v>0.01</v>
      </c>
      <c r="J161" s="271">
        <f t="shared" si="2"/>
        <v>0.5</v>
      </c>
      <c r="K161" s="270"/>
      <c r="L161" s="279" t="s">
        <v>1031</v>
      </c>
      <c r="M161" s="279" t="s">
        <v>1031</v>
      </c>
      <c r="N161" s="279" t="s">
        <v>1031</v>
      </c>
      <c r="O161" s="268" t="s">
        <v>1031</v>
      </c>
      <c r="P161" s="268">
        <v>0</v>
      </c>
      <c r="Q161" s="277" t="s">
        <v>1032</v>
      </c>
      <c r="R161" s="267">
        <v>0</v>
      </c>
      <c r="S161" s="267">
        <v>0</v>
      </c>
      <c r="T161" s="276" t="s">
        <v>1032</v>
      </c>
    </row>
    <row r="162" spans="1:20" ht="15.75" customHeight="1" x14ac:dyDescent="0.25">
      <c r="A162" s="272" t="s">
        <v>406</v>
      </c>
      <c r="B162" s="275" t="s">
        <v>405</v>
      </c>
      <c r="C162" s="265">
        <v>0.4</v>
      </c>
      <c r="D162" s="273" t="s">
        <v>826</v>
      </c>
      <c r="E162" s="274" t="s">
        <v>825</v>
      </c>
      <c r="F162" s="265">
        <v>0.09</v>
      </c>
      <c r="G162" s="273" t="s">
        <v>824</v>
      </c>
      <c r="H162" s="272" t="s">
        <v>823</v>
      </c>
      <c r="I162" s="265">
        <v>0.01</v>
      </c>
      <c r="J162" s="271">
        <f t="shared" si="2"/>
        <v>0.5</v>
      </c>
      <c r="K162" s="270"/>
      <c r="L162" s="279" t="s">
        <v>1031</v>
      </c>
      <c r="M162" s="279" t="s">
        <v>1031</v>
      </c>
      <c r="N162" s="279" t="s">
        <v>1031</v>
      </c>
      <c r="O162" s="268" t="s">
        <v>1032</v>
      </c>
      <c r="P162" s="268">
        <v>2206273</v>
      </c>
      <c r="Q162" s="277" t="s">
        <v>1031</v>
      </c>
      <c r="R162" s="267">
        <v>0</v>
      </c>
      <c r="S162" s="267">
        <v>0</v>
      </c>
      <c r="T162" s="276" t="s">
        <v>1031</v>
      </c>
    </row>
    <row r="163" spans="1:20" ht="15.75" customHeight="1" x14ac:dyDescent="0.25">
      <c r="A163" s="272" t="s">
        <v>408</v>
      </c>
      <c r="B163" s="275" t="s">
        <v>407</v>
      </c>
      <c r="C163" s="265">
        <v>0.4</v>
      </c>
      <c r="D163" s="273" t="s">
        <v>822</v>
      </c>
      <c r="E163" s="274" t="s">
        <v>821</v>
      </c>
      <c r="F163" s="265">
        <v>0.09</v>
      </c>
      <c r="G163" s="273" t="s">
        <v>820</v>
      </c>
      <c r="H163" s="272" t="s">
        <v>819</v>
      </c>
      <c r="I163" s="265">
        <v>0.01</v>
      </c>
      <c r="J163" s="271">
        <f t="shared" si="2"/>
        <v>0.5</v>
      </c>
      <c r="K163" s="270"/>
      <c r="L163" s="279" t="s">
        <v>1031</v>
      </c>
      <c r="M163" s="279" t="s">
        <v>1031</v>
      </c>
      <c r="N163" s="279" t="s">
        <v>1031</v>
      </c>
      <c r="O163" s="268" t="s">
        <v>1031</v>
      </c>
      <c r="P163" s="268">
        <v>0</v>
      </c>
      <c r="Q163" s="277" t="s">
        <v>1031</v>
      </c>
      <c r="R163" s="267">
        <v>0</v>
      </c>
      <c r="S163" s="267">
        <v>0</v>
      </c>
      <c r="T163" s="276" t="s">
        <v>1031</v>
      </c>
    </row>
    <row r="164" spans="1:20" ht="15.75" customHeight="1" x14ac:dyDescent="0.25">
      <c r="A164" s="272" t="s">
        <v>410</v>
      </c>
      <c r="B164" s="275" t="s">
        <v>409</v>
      </c>
      <c r="C164" s="265">
        <v>0.4</v>
      </c>
      <c r="D164" s="273" t="s">
        <v>753</v>
      </c>
      <c r="E164" s="274" t="s">
        <v>752</v>
      </c>
      <c r="F164" s="265">
        <v>0.09</v>
      </c>
      <c r="G164" s="273" t="s">
        <v>751</v>
      </c>
      <c r="H164" s="272" t="s">
        <v>750</v>
      </c>
      <c r="I164" s="265">
        <v>0.01</v>
      </c>
      <c r="J164" s="271">
        <f t="shared" si="2"/>
        <v>0.5</v>
      </c>
      <c r="K164" s="270"/>
      <c r="L164" s="279" t="s">
        <v>1031</v>
      </c>
      <c r="M164" s="279" t="s">
        <v>1031</v>
      </c>
      <c r="N164" s="279" t="s">
        <v>1031</v>
      </c>
      <c r="O164" s="268" t="s">
        <v>1032</v>
      </c>
      <c r="P164" s="268">
        <v>183715</v>
      </c>
      <c r="Q164" s="277" t="s">
        <v>1031</v>
      </c>
      <c r="R164" s="267">
        <v>0</v>
      </c>
      <c r="S164" s="267">
        <v>0</v>
      </c>
      <c r="T164" s="276" t="s">
        <v>1031</v>
      </c>
    </row>
    <row r="165" spans="1:20" x14ac:dyDescent="0.25">
      <c r="A165" s="272" t="s">
        <v>412</v>
      </c>
      <c r="B165" s="275" t="s">
        <v>411</v>
      </c>
      <c r="C165" s="265">
        <v>0.49</v>
      </c>
      <c r="D165" s="273" t="s">
        <v>748</v>
      </c>
      <c r="E165" s="274" t="s">
        <v>767</v>
      </c>
      <c r="F165" s="265">
        <v>0</v>
      </c>
      <c r="G165" s="273" t="s">
        <v>783</v>
      </c>
      <c r="H165" s="272" t="s">
        <v>782</v>
      </c>
      <c r="I165" s="265">
        <v>0.01</v>
      </c>
      <c r="J165" s="271">
        <f t="shared" si="2"/>
        <v>0.5</v>
      </c>
      <c r="K165" s="270"/>
      <c r="L165" s="279" t="s">
        <v>1032</v>
      </c>
      <c r="M165" s="279" t="s">
        <v>1055</v>
      </c>
      <c r="N165" s="279" t="s">
        <v>1031</v>
      </c>
      <c r="O165" s="268" t="s">
        <v>1031</v>
      </c>
      <c r="P165" s="268">
        <v>0</v>
      </c>
      <c r="Q165" s="277" t="s">
        <v>1032</v>
      </c>
      <c r="R165" s="267">
        <v>6035290</v>
      </c>
      <c r="S165" s="267">
        <v>0</v>
      </c>
      <c r="T165" s="276" t="s">
        <v>1032</v>
      </c>
    </row>
    <row r="166" spans="1:20" ht="15.75" customHeight="1" x14ac:dyDescent="0.25">
      <c r="A166" s="272" t="s">
        <v>414</v>
      </c>
      <c r="B166" s="275" t="s">
        <v>413</v>
      </c>
      <c r="C166" s="265">
        <v>0.4</v>
      </c>
      <c r="D166" s="273" t="s">
        <v>874</v>
      </c>
      <c r="E166" s="274" t="s">
        <v>873</v>
      </c>
      <c r="F166" s="265">
        <v>0.09</v>
      </c>
      <c r="G166" s="273" t="s">
        <v>872</v>
      </c>
      <c r="H166" s="272" t="s">
        <v>871</v>
      </c>
      <c r="I166" s="265">
        <v>0.01</v>
      </c>
      <c r="J166" s="271">
        <f t="shared" si="2"/>
        <v>0.5</v>
      </c>
      <c r="K166" s="270"/>
      <c r="L166" s="279" t="s">
        <v>1031</v>
      </c>
      <c r="M166" s="279" t="s">
        <v>1031</v>
      </c>
      <c r="N166" s="279" t="s">
        <v>1031</v>
      </c>
      <c r="O166" s="268" t="s">
        <v>1032</v>
      </c>
      <c r="P166" s="268">
        <v>229848</v>
      </c>
      <c r="Q166" s="277" t="s">
        <v>1031</v>
      </c>
      <c r="R166" s="267">
        <v>0</v>
      </c>
      <c r="S166" s="267">
        <v>0</v>
      </c>
      <c r="T166" s="276" t="s">
        <v>1031</v>
      </c>
    </row>
    <row r="167" spans="1:20" ht="15.75" customHeight="1" x14ac:dyDescent="0.25">
      <c r="A167" s="272" t="s">
        <v>416</v>
      </c>
      <c r="B167" s="275" t="s">
        <v>896</v>
      </c>
      <c r="C167" s="265">
        <v>0.49</v>
      </c>
      <c r="D167" s="273" t="s">
        <v>748</v>
      </c>
      <c r="E167" s="274" t="s">
        <v>747</v>
      </c>
      <c r="F167" s="265">
        <v>0</v>
      </c>
      <c r="G167" s="273" t="s">
        <v>824</v>
      </c>
      <c r="H167" s="272" t="s">
        <v>823</v>
      </c>
      <c r="I167" s="265">
        <v>0.01</v>
      </c>
      <c r="J167" s="271">
        <f t="shared" si="2"/>
        <v>0.5</v>
      </c>
      <c r="K167" s="270"/>
      <c r="L167" s="279" t="s">
        <v>1031</v>
      </c>
      <c r="M167" s="279" t="s">
        <v>1031</v>
      </c>
      <c r="N167" s="279" t="s">
        <v>1031</v>
      </c>
      <c r="O167" s="268" t="s">
        <v>1032</v>
      </c>
      <c r="P167" s="268">
        <v>3242641</v>
      </c>
      <c r="Q167" s="277" t="s">
        <v>1032</v>
      </c>
      <c r="R167" s="267">
        <v>0</v>
      </c>
      <c r="S167" s="267">
        <v>0</v>
      </c>
      <c r="T167" s="276" t="s">
        <v>1032</v>
      </c>
    </row>
    <row r="168" spans="1:20" ht="15.75" customHeight="1" x14ac:dyDescent="0.25">
      <c r="A168" s="272" t="s">
        <v>418</v>
      </c>
      <c r="B168" s="275" t="s">
        <v>417</v>
      </c>
      <c r="C168" s="265">
        <v>0.4</v>
      </c>
      <c r="D168" s="273" t="s">
        <v>884</v>
      </c>
      <c r="E168" s="274" t="s">
        <v>883</v>
      </c>
      <c r="F168" s="265">
        <v>0.09</v>
      </c>
      <c r="G168" s="273" t="s">
        <v>869</v>
      </c>
      <c r="H168" s="272" t="s">
        <v>868</v>
      </c>
      <c r="I168" s="265">
        <v>0.01</v>
      </c>
      <c r="J168" s="271">
        <f t="shared" si="2"/>
        <v>0.5</v>
      </c>
      <c r="L168" s="279" t="s">
        <v>1031</v>
      </c>
      <c r="M168" s="279" t="s">
        <v>1031</v>
      </c>
      <c r="N168" s="279" t="s">
        <v>1031</v>
      </c>
      <c r="O168" s="268" t="s">
        <v>1031</v>
      </c>
      <c r="P168" s="268">
        <v>0</v>
      </c>
      <c r="Q168" s="277" t="s">
        <v>1031</v>
      </c>
      <c r="R168" s="267">
        <v>0</v>
      </c>
      <c r="S168" s="267">
        <v>0</v>
      </c>
      <c r="T168" s="276" t="s">
        <v>1031</v>
      </c>
    </row>
    <row r="169" spans="1:20" ht="15.75" customHeight="1" x14ac:dyDescent="0.25">
      <c r="A169" s="272" t="s">
        <v>420</v>
      </c>
      <c r="B169" s="275" t="s">
        <v>419</v>
      </c>
      <c r="C169" s="265">
        <v>0.4</v>
      </c>
      <c r="D169" s="273" t="s">
        <v>794</v>
      </c>
      <c r="E169" s="274" t="s">
        <v>793</v>
      </c>
      <c r="F169" s="265">
        <v>0.09</v>
      </c>
      <c r="G169" s="273" t="s">
        <v>792</v>
      </c>
      <c r="H169" s="272" t="s">
        <v>791</v>
      </c>
      <c r="I169" s="265">
        <v>0.01</v>
      </c>
      <c r="J169" s="271">
        <f t="shared" si="2"/>
        <v>0.5</v>
      </c>
      <c r="K169" s="270"/>
      <c r="L169" s="279" t="s">
        <v>1031</v>
      </c>
      <c r="M169" s="279" t="s">
        <v>1031</v>
      </c>
      <c r="N169" s="279" t="s">
        <v>1031</v>
      </c>
      <c r="O169" s="268" t="s">
        <v>1031</v>
      </c>
      <c r="P169" s="268">
        <v>0</v>
      </c>
      <c r="Q169" s="277" t="s">
        <v>1031</v>
      </c>
      <c r="R169" s="267">
        <v>0</v>
      </c>
      <c r="S169" s="267">
        <v>0</v>
      </c>
      <c r="T169" s="276" t="s">
        <v>1031</v>
      </c>
    </row>
    <row r="170" spans="1:20" ht="15.75" customHeight="1" x14ac:dyDescent="0.25">
      <c r="A170" s="272" t="s">
        <v>422</v>
      </c>
      <c r="B170" s="275" t="s">
        <v>421</v>
      </c>
      <c r="C170" s="265">
        <v>0.3</v>
      </c>
      <c r="D170" s="273" t="s">
        <v>790</v>
      </c>
      <c r="E170" s="274" t="s">
        <v>789</v>
      </c>
      <c r="F170" s="265">
        <v>0.2</v>
      </c>
      <c r="G170" s="273" t="s">
        <v>748</v>
      </c>
      <c r="H170" s="274" t="s">
        <v>748</v>
      </c>
      <c r="I170" s="265">
        <v>0</v>
      </c>
      <c r="J170" s="271">
        <f t="shared" si="2"/>
        <v>0.5</v>
      </c>
      <c r="K170" s="270"/>
      <c r="L170" s="279" t="s">
        <v>1031</v>
      </c>
      <c r="M170" s="279" t="s">
        <v>1031</v>
      </c>
      <c r="N170" s="279" t="s">
        <v>1031</v>
      </c>
      <c r="O170" s="268" t="s">
        <v>1031</v>
      </c>
      <c r="P170" s="268">
        <v>0</v>
      </c>
      <c r="Q170" s="277" t="s">
        <v>1032</v>
      </c>
      <c r="R170" s="267">
        <v>0</v>
      </c>
      <c r="S170" s="267">
        <v>0</v>
      </c>
      <c r="T170" s="276" t="s">
        <v>1032</v>
      </c>
    </row>
    <row r="171" spans="1:20" ht="15.75" customHeight="1" x14ac:dyDescent="0.25">
      <c r="A171" s="272" t="s">
        <v>424</v>
      </c>
      <c r="B171" s="275" t="s">
        <v>423</v>
      </c>
      <c r="C171" s="265">
        <v>0.4</v>
      </c>
      <c r="D171" s="273" t="s">
        <v>800</v>
      </c>
      <c r="E171" s="274" t="s">
        <v>799</v>
      </c>
      <c r="F171" s="265">
        <v>0.09</v>
      </c>
      <c r="G171" s="273" t="s">
        <v>792</v>
      </c>
      <c r="H171" s="272" t="s">
        <v>791</v>
      </c>
      <c r="I171" s="265">
        <v>0.01</v>
      </c>
      <c r="J171" s="271">
        <f t="shared" si="2"/>
        <v>0.5</v>
      </c>
      <c r="K171" s="270"/>
      <c r="L171" s="279" t="s">
        <v>1031</v>
      </c>
      <c r="M171" s="279" t="s">
        <v>1031</v>
      </c>
      <c r="N171" s="279" t="s">
        <v>1031</v>
      </c>
      <c r="O171" s="268" t="s">
        <v>1031</v>
      </c>
      <c r="P171" s="268">
        <v>0</v>
      </c>
      <c r="Q171" s="277" t="s">
        <v>1031</v>
      </c>
      <c r="R171" s="267">
        <v>0</v>
      </c>
      <c r="S171" s="267">
        <v>0</v>
      </c>
      <c r="T171" s="276" t="s">
        <v>1031</v>
      </c>
    </row>
    <row r="172" spans="1:20" ht="15.75" customHeight="1" x14ac:dyDescent="0.25">
      <c r="A172" s="272" t="s">
        <v>426</v>
      </c>
      <c r="B172" s="275" t="s">
        <v>425</v>
      </c>
      <c r="C172" s="265">
        <v>0.4</v>
      </c>
      <c r="D172" s="273" t="s">
        <v>811</v>
      </c>
      <c r="E172" s="274" t="s">
        <v>810</v>
      </c>
      <c r="F172" s="265">
        <v>0.1</v>
      </c>
      <c r="G172" s="273" t="s">
        <v>748</v>
      </c>
      <c r="H172" s="272" t="s">
        <v>762</v>
      </c>
      <c r="I172" s="265">
        <v>0</v>
      </c>
      <c r="J172" s="271">
        <f t="shared" si="2"/>
        <v>0.5</v>
      </c>
      <c r="K172" s="270"/>
      <c r="L172" s="279" t="s">
        <v>1031</v>
      </c>
      <c r="M172" s="279" t="s">
        <v>1031</v>
      </c>
      <c r="N172" s="279" t="s">
        <v>1031</v>
      </c>
      <c r="O172" s="268" t="s">
        <v>1031</v>
      </c>
      <c r="P172" s="268">
        <v>0</v>
      </c>
      <c r="Q172" s="277" t="s">
        <v>1031</v>
      </c>
      <c r="R172" s="267">
        <v>0</v>
      </c>
      <c r="S172" s="267">
        <v>0</v>
      </c>
      <c r="T172" s="276" t="s">
        <v>1031</v>
      </c>
    </row>
    <row r="173" spans="1:20" ht="15.75" customHeight="1" x14ac:dyDescent="0.25">
      <c r="A173" s="272" t="s">
        <v>428</v>
      </c>
      <c r="B173" s="275" t="s">
        <v>427</v>
      </c>
      <c r="C173" s="265">
        <v>0.4</v>
      </c>
      <c r="D173" s="273" t="s">
        <v>764</v>
      </c>
      <c r="E173" s="274" t="s">
        <v>763</v>
      </c>
      <c r="F173" s="265">
        <v>0.1</v>
      </c>
      <c r="G173" s="273" t="s">
        <v>748</v>
      </c>
      <c r="H173" s="272" t="s">
        <v>762</v>
      </c>
      <c r="I173" s="265">
        <v>0</v>
      </c>
      <c r="J173" s="271">
        <f t="shared" si="2"/>
        <v>0.5</v>
      </c>
      <c r="K173" s="270"/>
      <c r="L173" s="279" t="s">
        <v>1031</v>
      </c>
      <c r="M173" s="279" t="s">
        <v>1031</v>
      </c>
      <c r="N173" s="279" t="s">
        <v>1031</v>
      </c>
      <c r="O173" s="268" t="s">
        <v>1031</v>
      </c>
      <c r="P173" s="268">
        <v>0</v>
      </c>
      <c r="Q173" s="277" t="s">
        <v>1031</v>
      </c>
      <c r="R173" s="267">
        <v>0</v>
      </c>
      <c r="S173" s="267">
        <v>0</v>
      </c>
      <c r="T173" s="276" t="s">
        <v>1031</v>
      </c>
    </row>
    <row r="174" spans="1:20" x14ac:dyDescent="0.25">
      <c r="A174" s="272" t="s">
        <v>430</v>
      </c>
      <c r="B174" s="275" t="s">
        <v>895</v>
      </c>
      <c r="C174" s="265">
        <v>0.49</v>
      </c>
      <c r="D174" s="273" t="s">
        <v>748</v>
      </c>
      <c r="E174" s="274" t="s">
        <v>747</v>
      </c>
      <c r="F174" s="265">
        <v>0</v>
      </c>
      <c r="G174" s="273" t="s">
        <v>844</v>
      </c>
      <c r="H174" s="272" t="s">
        <v>843</v>
      </c>
      <c r="I174" s="265">
        <v>0.01</v>
      </c>
      <c r="J174" s="271">
        <f t="shared" si="2"/>
        <v>0.5</v>
      </c>
      <c r="K174" s="270"/>
      <c r="L174" s="279" t="s">
        <v>1032</v>
      </c>
      <c r="M174" s="279" t="s">
        <v>1048</v>
      </c>
      <c r="N174" s="279" t="s">
        <v>1031</v>
      </c>
      <c r="O174" s="268" t="s">
        <v>1031</v>
      </c>
      <c r="P174" s="268">
        <v>0</v>
      </c>
      <c r="Q174" s="277" t="s">
        <v>1032</v>
      </c>
      <c r="R174" s="267">
        <v>0</v>
      </c>
      <c r="S174" s="267">
        <v>0</v>
      </c>
      <c r="T174" s="276" t="s">
        <v>1032</v>
      </c>
    </row>
    <row r="175" spans="1:20" ht="15.75" customHeight="1" x14ac:dyDescent="0.25">
      <c r="A175" s="272" t="s">
        <v>432</v>
      </c>
      <c r="B175" s="275" t="s">
        <v>894</v>
      </c>
      <c r="C175" s="265">
        <v>0.49</v>
      </c>
      <c r="D175" s="273" t="s">
        <v>748</v>
      </c>
      <c r="E175" s="274" t="s">
        <v>747</v>
      </c>
      <c r="F175" s="265">
        <v>0</v>
      </c>
      <c r="G175" s="273" t="s">
        <v>759</v>
      </c>
      <c r="H175" s="272" t="s">
        <v>758</v>
      </c>
      <c r="I175" s="265">
        <v>0.01</v>
      </c>
      <c r="J175" s="271">
        <f t="shared" si="2"/>
        <v>0.5</v>
      </c>
      <c r="K175" s="270"/>
      <c r="L175" s="279" t="s">
        <v>1031</v>
      </c>
      <c r="M175" s="279" t="s">
        <v>1031</v>
      </c>
      <c r="N175" s="279" t="s">
        <v>1031</v>
      </c>
      <c r="O175" s="268" t="s">
        <v>1031</v>
      </c>
      <c r="P175" s="268">
        <v>0</v>
      </c>
      <c r="Q175" s="277" t="s">
        <v>1032</v>
      </c>
      <c r="R175" s="267">
        <v>0</v>
      </c>
      <c r="S175" s="267">
        <v>0</v>
      </c>
      <c r="T175" s="276" t="s">
        <v>1032</v>
      </c>
    </row>
    <row r="176" spans="1:20" ht="15.75" customHeight="1" x14ac:dyDescent="0.25">
      <c r="A176" s="272" t="s">
        <v>434</v>
      </c>
      <c r="B176" s="275" t="s">
        <v>433</v>
      </c>
      <c r="C176" s="265">
        <v>0.4</v>
      </c>
      <c r="D176" s="273" t="s">
        <v>772</v>
      </c>
      <c r="E176" s="274" t="s">
        <v>771</v>
      </c>
      <c r="F176" s="265">
        <v>0.1</v>
      </c>
      <c r="G176" s="273" t="s">
        <v>748</v>
      </c>
      <c r="H176" s="272" t="s">
        <v>762</v>
      </c>
      <c r="I176" s="265">
        <v>0</v>
      </c>
      <c r="J176" s="271">
        <f t="shared" si="2"/>
        <v>0.5</v>
      </c>
      <c r="K176" s="270"/>
      <c r="L176" s="279" t="s">
        <v>1031</v>
      </c>
      <c r="M176" s="279" t="s">
        <v>1031</v>
      </c>
      <c r="N176" s="279" t="s">
        <v>1031</v>
      </c>
      <c r="O176" s="268" t="s">
        <v>1031</v>
      </c>
      <c r="P176" s="268">
        <v>0</v>
      </c>
      <c r="Q176" s="277" t="s">
        <v>1031</v>
      </c>
      <c r="R176" s="267">
        <v>0</v>
      </c>
      <c r="S176" s="267">
        <v>0</v>
      </c>
      <c r="T176" s="276" t="s">
        <v>1031</v>
      </c>
    </row>
    <row r="177" spans="1:20" ht="15.75" customHeight="1" x14ac:dyDescent="0.25">
      <c r="A177" s="272" t="s">
        <v>436</v>
      </c>
      <c r="B177" s="275" t="s">
        <v>435</v>
      </c>
      <c r="C177" s="265">
        <v>0.4</v>
      </c>
      <c r="D177" s="273" t="s">
        <v>779</v>
      </c>
      <c r="E177" s="274" t="s">
        <v>778</v>
      </c>
      <c r="F177" s="265">
        <v>0.09</v>
      </c>
      <c r="G177" s="273" t="s">
        <v>777</v>
      </c>
      <c r="H177" s="272" t="s">
        <v>776</v>
      </c>
      <c r="I177" s="265">
        <v>0.01</v>
      </c>
      <c r="J177" s="271">
        <f t="shared" si="2"/>
        <v>0.5</v>
      </c>
      <c r="K177" s="270"/>
      <c r="L177" s="279" t="s">
        <v>1031</v>
      </c>
      <c r="M177" s="279" t="s">
        <v>1031</v>
      </c>
      <c r="N177" s="279" t="s">
        <v>1031</v>
      </c>
      <c r="O177" s="268" t="s">
        <v>1031</v>
      </c>
      <c r="P177" s="268">
        <v>0</v>
      </c>
      <c r="Q177" s="277" t="s">
        <v>1031</v>
      </c>
      <c r="R177" s="267">
        <v>0</v>
      </c>
      <c r="S177" s="267">
        <v>0</v>
      </c>
      <c r="T177" s="276" t="s">
        <v>1031</v>
      </c>
    </row>
    <row r="178" spans="1:20" ht="15.75" customHeight="1" x14ac:dyDescent="0.25">
      <c r="A178" s="272" t="s">
        <v>438</v>
      </c>
      <c r="B178" s="275" t="s">
        <v>893</v>
      </c>
      <c r="C178" s="265">
        <v>0.4</v>
      </c>
      <c r="D178" s="273" t="s">
        <v>874</v>
      </c>
      <c r="E178" s="274" t="s">
        <v>873</v>
      </c>
      <c r="F178" s="265">
        <v>0.09</v>
      </c>
      <c r="G178" s="273" t="s">
        <v>872</v>
      </c>
      <c r="H178" s="272" t="s">
        <v>871</v>
      </c>
      <c r="I178" s="265">
        <v>0.01</v>
      </c>
      <c r="J178" s="271">
        <f t="shared" si="2"/>
        <v>0.5</v>
      </c>
      <c r="K178" s="270"/>
      <c r="L178" s="279" t="s">
        <v>1031</v>
      </c>
      <c r="M178" s="279" t="s">
        <v>1031</v>
      </c>
      <c r="N178" s="279" t="s">
        <v>1031</v>
      </c>
      <c r="O178" s="268" t="s">
        <v>1031</v>
      </c>
      <c r="P178" s="268">
        <v>0</v>
      </c>
      <c r="Q178" s="277" t="s">
        <v>1031</v>
      </c>
      <c r="R178" s="267">
        <v>0</v>
      </c>
      <c r="S178" s="267">
        <v>0</v>
      </c>
      <c r="T178" s="276" t="s">
        <v>1031</v>
      </c>
    </row>
    <row r="179" spans="1:20" ht="15.75" customHeight="1" x14ac:dyDescent="0.25">
      <c r="A179" s="272" t="s">
        <v>442</v>
      </c>
      <c r="B179" s="275" t="s">
        <v>441</v>
      </c>
      <c r="C179" s="265">
        <v>0.4</v>
      </c>
      <c r="D179" s="273" t="s">
        <v>838</v>
      </c>
      <c r="E179" s="274" t="s">
        <v>837</v>
      </c>
      <c r="F179" s="265">
        <v>0.09</v>
      </c>
      <c r="G179" s="273" t="s">
        <v>836</v>
      </c>
      <c r="H179" s="272" t="s">
        <v>835</v>
      </c>
      <c r="I179" s="265">
        <v>0.01</v>
      </c>
      <c r="J179" s="271">
        <f t="shared" si="2"/>
        <v>0.5</v>
      </c>
      <c r="K179" s="270"/>
      <c r="L179" s="279" t="s">
        <v>1031</v>
      </c>
      <c r="M179" s="279" t="s">
        <v>1031</v>
      </c>
      <c r="N179" s="279" t="s">
        <v>1031</v>
      </c>
      <c r="O179" s="268" t="s">
        <v>1031</v>
      </c>
      <c r="P179" s="268">
        <v>0</v>
      </c>
      <c r="Q179" s="277" t="s">
        <v>1031</v>
      </c>
      <c r="R179" s="267">
        <v>0</v>
      </c>
      <c r="S179" s="267">
        <v>0</v>
      </c>
      <c r="T179" s="276" t="s">
        <v>1031</v>
      </c>
    </row>
    <row r="180" spans="1:20" x14ac:dyDescent="0.25">
      <c r="A180" s="272" t="s">
        <v>440</v>
      </c>
      <c r="B180" s="281" t="s">
        <v>439</v>
      </c>
      <c r="C180" s="265">
        <v>0.49</v>
      </c>
      <c r="D180" s="273" t="s">
        <v>748</v>
      </c>
      <c r="E180" s="274" t="s">
        <v>767</v>
      </c>
      <c r="F180" s="265">
        <v>0</v>
      </c>
      <c r="G180" s="273" t="s">
        <v>841</v>
      </c>
      <c r="H180" s="272" t="s">
        <v>840</v>
      </c>
      <c r="I180" s="265">
        <v>0.01</v>
      </c>
      <c r="J180" s="271">
        <f t="shared" si="2"/>
        <v>0.5</v>
      </c>
      <c r="K180" s="270"/>
      <c r="L180" s="279" t="s">
        <v>1032</v>
      </c>
      <c r="M180" s="279" t="s">
        <v>1056</v>
      </c>
      <c r="N180" s="279" t="s">
        <v>1045</v>
      </c>
      <c r="O180" s="268" t="s">
        <v>1032</v>
      </c>
      <c r="P180" s="268">
        <v>5614357</v>
      </c>
      <c r="Q180" s="277" t="s">
        <v>1032</v>
      </c>
      <c r="R180" s="267">
        <v>69165</v>
      </c>
      <c r="S180" s="267">
        <v>5971988</v>
      </c>
      <c r="T180" s="276" t="s">
        <v>1032</v>
      </c>
    </row>
    <row r="181" spans="1:20" x14ac:dyDescent="0.25">
      <c r="A181" s="272" t="s">
        <v>444</v>
      </c>
      <c r="B181" s="275" t="s">
        <v>443</v>
      </c>
      <c r="C181" s="265">
        <v>0.3</v>
      </c>
      <c r="D181" s="273" t="s">
        <v>790</v>
      </c>
      <c r="E181" s="274" t="s">
        <v>789</v>
      </c>
      <c r="F181" s="265">
        <v>0.2</v>
      </c>
      <c r="G181" s="273" t="s">
        <v>748</v>
      </c>
      <c r="H181" s="274" t="s">
        <v>748</v>
      </c>
      <c r="I181" s="265">
        <v>0</v>
      </c>
      <c r="J181" s="271">
        <f t="shared" si="2"/>
        <v>0.5</v>
      </c>
      <c r="K181" s="270"/>
      <c r="L181" s="279" t="s">
        <v>1032</v>
      </c>
      <c r="M181" s="279" t="s">
        <v>1057</v>
      </c>
      <c r="N181" s="279" t="s">
        <v>1031</v>
      </c>
      <c r="O181" s="268" t="s">
        <v>1031</v>
      </c>
      <c r="P181" s="268">
        <v>0</v>
      </c>
      <c r="Q181" s="277" t="s">
        <v>1032</v>
      </c>
      <c r="R181" s="267">
        <v>239751</v>
      </c>
      <c r="S181" s="267">
        <v>0</v>
      </c>
      <c r="T181" s="276" t="s">
        <v>1032</v>
      </c>
    </row>
    <row r="182" spans="1:20" ht="15.75" customHeight="1" x14ac:dyDescent="0.25">
      <c r="A182" s="272" t="s">
        <v>446</v>
      </c>
      <c r="B182" s="275" t="s">
        <v>445</v>
      </c>
      <c r="C182" s="265">
        <v>0.4</v>
      </c>
      <c r="D182" s="273" t="s">
        <v>800</v>
      </c>
      <c r="E182" s="274" t="s">
        <v>799</v>
      </c>
      <c r="F182" s="265">
        <v>0.09</v>
      </c>
      <c r="G182" s="273" t="s">
        <v>792</v>
      </c>
      <c r="H182" s="272" t="s">
        <v>791</v>
      </c>
      <c r="I182" s="265">
        <v>0.01</v>
      </c>
      <c r="J182" s="271">
        <f t="shared" si="2"/>
        <v>0.5</v>
      </c>
      <c r="K182" s="270"/>
      <c r="L182" s="279" t="s">
        <v>1031</v>
      </c>
      <c r="M182" s="279" t="s">
        <v>1031</v>
      </c>
      <c r="N182" s="279" t="s">
        <v>1031</v>
      </c>
      <c r="O182" s="268" t="s">
        <v>1031</v>
      </c>
      <c r="P182" s="268">
        <v>0</v>
      </c>
      <c r="Q182" s="277" t="s">
        <v>1031</v>
      </c>
      <c r="R182" s="267">
        <v>0</v>
      </c>
      <c r="S182" s="267">
        <v>0</v>
      </c>
      <c r="T182" s="276" t="s">
        <v>1031</v>
      </c>
    </row>
    <row r="183" spans="1:20" ht="15.75" customHeight="1" x14ac:dyDescent="0.25">
      <c r="A183" s="272" t="s">
        <v>448</v>
      </c>
      <c r="B183" s="275" t="s">
        <v>447</v>
      </c>
      <c r="C183" s="265">
        <v>0.4</v>
      </c>
      <c r="D183" s="273" t="s">
        <v>787</v>
      </c>
      <c r="E183" s="274" t="s">
        <v>786</v>
      </c>
      <c r="F183" s="265">
        <v>0.09</v>
      </c>
      <c r="G183" s="273" t="s">
        <v>785</v>
      </c>
      <c r="H183" s="272" t="s">
        <v>784</v>
      </c>
      <c r="I183" s="265">
        <v>0.01</v>
      </c>
      <c r="J183" s="271">
        <f t="shared" si="2"/>
        <v>0.5</v>
      </c>
      <c r="K183" s="270"/>
      <c r="L183" s="279" t="s">
        <v>1031</v>
      </c>
      <c r="M183" s="279" t="s">
        <v>1031</v>
      </c>
      <c r="N183" s="279" t="s">
        <v>1031</v>
      </c>
      <c r="O183" s="268" t="s">
        <v>1031</v>
      </c>
      <c r="P183" s="268">
        <v>0</v>
      </c>
      <c r="Q183" s="277" t="s">
        <v>1031</v>
      </c>
      <c r="R183" s="267">
        <v>0</v>
      </c>
      <c r="S183" s="267">
        <v>0</v>
      </c>
      <c r="T183" s="276" t="s">
        <v>1031</v>
      </c>
    </row>
    <row r="184" spans="1:20" ht="15.75" customHeight="1" x14ac:dyDescent="0.25">
      <c r="A184" s="272" t="s">
        <v>450</v>
      </c>
      <c r="B184" s="275" t="s">
        <v>449</v>
      </c>
      <c r="C184" s="265">
        <v>0.4</v>
      </c>
      <c r="D184" s="273" t="s">
        <v>858</v>
      </c>
      <c r="E184" s="274" t="s">
        <v>857</v>
      </c>
      <c r="F184" s="265">
        <v>0.09</v>
      </c>
      <c r="G184" s="273" t="s">
        <v>856</v>
      </c>
      <c r="H184" s="272" t="s">
        <v>855</v>
      </c>
      <c r="I184" s="265">
        <v>0.01</v>
      </c>
      <c r="J184" s="271">
        <f t="shared" si="2"/>
        <v>0.5</v>
      </c>
      <c r="K184" s="270"/>
      <c r="L184" s="279" t="s">
        <v>1031</v>
      </c>
      <c r="M184" s="279" t="s">
        <v>1031</v>
      </c>
      <c r="N184" s="279" t="s">
        <v>1031</v>
      </c>
      <c r="O184" s="268" t="s">
        <v>1031</v>
      </c>
      <c r="P184" s="268">
        <v>0</v>
      </c>
      <c r="Q184" s="277" t="s">
        <v>1031</v>
      </c>
      <c r="R184" s="267">
        <v>0</v>
      </c>
      <c r="S184" s="267">
        <v>0</v>
      </c>
      <c r="T184" s="276" t="s">
        <v>1031</v>
      </c>
    </row>
    <row r="185" spans="1:20" x14ac:dyDescent="0.25">
      <c r="A185" s="272" t="s">
        <v>452</v>
      </c>
      <c r="B185" s="275" t="s">
        <v>892</v>
      </c>
      <c r="C185" s="265">
        <v>0.49</v>
      </c>
      <c r="D185" s="273" t="s">
        <v>748</v>
      </c>
      <c r="E185" s="274" t="s">
        <v>747</v>
      </c>
      <c r="F185" s="265">
        <v>0</v>
      </c>
      <c r="G185" s="273" t="s">
        <v>890</v>
      </c>
      <c r="H185" s="272" t="s">
        <v>889</v>
      </c>
      <c r="I185" s="265">
        <v>0.01</v>
      </c>
      <c r="J185" s="271">
        <f t="shared" si="2"/>
        <v>0.5</v>
      </c>
      <c r="K185" s="270"/>
      <c r="L185" s="279" t="s">
        <v>1032</v>
      </c>
      <c r="M185" s="279" t="s">
        <v>1041</v>
      </c>
      <c r="N185" s="279" t="s">
        <v>1042</v>
      </c>
      <c r="O185" s="268" t="s">
        <v>1032</v>
      </c>
      <c r="P185" s="268">
        <v>1748269</v>
      </c>
      <c r="Q185" s="277" t="s">
        <v>1032</v>
      </c>
      <c r="R185" s="267">
        <v>0</v>
      </c>
      <c r="S185" s="267">
        <v>0</v>
      </c>
      <c r="T185" s="276" t="s">
        <v>1032</v>
      </c>
    </row>
    <row r="186" spans="1:20" ht="15.75" customHeight="1" x14ac:dyDescent="0.25">
      <c r="A186" s="272" t="s">
        <v>454</v>
      </c>
      <c r="B186" s="275" t="s">
        <v>453</v>
      </c>
      <c r="C186" s="265">
        <v>0.4</v>
      </c>
      <c r="D186" s="273" t="s">
        <v>803</v>
      </c>
      <c r="E186" s="274" t="s">
        <v>802</v>
      </c>
      <c r="F186" s="265">
        <v>0.1</v>
      </c>
      <c r="G186" s="273" t="s">
        <v>748</v>
      </c>
      <c r="H186" s="272" t="s">
        <v>762</v>
      </c>
      <c r="I186" s="265">
        <v>0</v>
      </c>
      <c r="J186" s="271">
        <f t="shared" si="2"/>
        <v>0.5</v>
      </c>
      <c r="K186" s="270"/>
      <c r="L186" s="279" t="s">
        <v>1031</v>
      </c>
      <c r="M186" s="279" t="s">
        <v>1031</v>
      </c>
      <c r="N186" s="279" t="s">
        <v>1031</v>
      </c>
      <c r="O186" s="268" t="s">
        <v>1031</v>
      </c>
      <c r="P186" s="268">
        <v>0</v>
      </c>
      <c r="Q186" s="277" t="s">
        <v>1031</v>
      </c>
      <c r="R186" s="267">
        <v>0</v>
      </c>
      <c r="S186" s="267">
        <v>0</v>
      </c>
      <c r="T186" s="276" t="s">
        <v>1031</v>
      </c>
    </row>
    <row r="187" spans="1:20" ht="15.75" customHeight="1" x14ac:dyDescent="0.25">
      <c r="A187" s="272" t="s">
        <v>456</v>
      </c>
      <c r="B187" s="275" t="s">
        <v>455</v>
      </c>
      <c r="C187" s="265">
        <v>0.4</v>
      </c>
      <c r="D187" s="273" t="s">
        <v>798</v>
      </c>
      <c r="E187" s="274" t="s">
        <v>797</v>
      </c>
      <c r="F187" s="265">
        <v>0.1</v>
      </c>
      <c r="G187" s="273" t="s">
        <v>748</v>
      </c>
      <c r="H187" s="272" t="s">
        <v>762</v>
      </c>
      <c r="I187" s="265">
        <v>0</v>
      </c>
      <c r="J187" s="271">
        <f t="shared" si="2"/>
        <v>0.5</v>
      </c>
      <c r="K187" s="270"/>
      <c r="L187" s="279" t="s">
        <v>1031</v>
      </c>
      <c r="M187" s="279" t="s">
        <v>1031</v>
      </c>
      <c r="N187" s="279" t="s">
        <v>1031</v>
      </c>
      <c r="O187" s="268" t="s">
        <v>1031</v>
      </c>
      <c r="P187" s="268">
        <v>0</v>
      </c>
      <c r="Q187" s="277" t="s">
        <v>1031</v>
      </c>
      <c r="R187" s="267">
        <v>0</v>
      </c>
      <c r="S187" s="267">
        <v>0</v>
      </c>
      <c r="T187" s="276" t="s">
        <v>1031</v>
      </c>
    </row>
    <row r="188" spans="1:20" x14ac:dyDescent="0.25">
      <c r="A188" s="272" t="s">
        <v>458</v>
      </c>
      <c r="B188" s="275" t="s">
        <v>891</v>
      </c>
      <c r="C188" s="265">
        <v>0.49</v>
      </c>
      <c r="D188" s="273" t="s">
        <v>748</v>
      </c>
      <c r="E188" s="274" t="s">
        <v>747</v>
      </c>
      <c r="F188" s="265">
        <v>0</v>
      </c>
      <c r="G188" s="273" t="s">
        <v>890</v>
      </c>
      <c r="H188" s="272" t="s">
        <v>889</v>
      </c>
      <c r="I188" s="265">
        <v>0.01</v>
      </c>
      <c r="J188" s="271">
        <f t="shared" si="2"/>
        <v>0.5</v>
      </c>
      <c r="K188" s="270"/>
      <c r="L188" s="279" t="s">
        <v>1032</v>
      </c>
      <c r="M188" s="279" t="s">
        <v>1042</v>
      </c>
      <c r="N188" s="279" t="s">
        <v>1031</v>
      </c>
      <c r="O188" s="268" t="s">
        <v>1031</v>
      </c>
      <c r="P188" s="268">
        <v>0</v>
      </c>
      <c r="Q188" s="277" t="s">
        <v>1032</v>
      </c>
      <c r="R188" s="267">
        <v>975331</v>
      </c>
      <c r="S188" s="267">
        <v>0</v>
      </c>
      <c r="T188" s="276" t="s">
        <v>1032</v>
      </c>
    </row>
    <row r="189" spans="1:20" ht="15.75" customHeight="1" x14ac:dyDescent="0.25">
      <c r="A189" s="272" t="s">
        <v>460</v>
      </c>
      <c r="B189" s="275" t="s">
        <v>459</v>
      </c>
      <c r="C189" s="265">
        <v>0.4</v>
      </c>
      <c r="D189" s="273" t="s">
        <v>849</v>
      </c>
      <c r="E189" s="274" t="s">
        <v>848</v>
      </c>
      <c r="F189" s="265">
        <v>0.1</v>
      </c>
      <c r="G189" s="273" t="s">
        <v>748</v>
      </c>
      <c r="H189" s="272" t="s">
        <v>762</v>
      </c>
      <c r="I189" s="265">
        <v>0</v>
      </c>
      <c r="J189" s="271">
        <f t="shared" si="2"/>
        <v>0.5</v>
      </c>
      <c r="K189" s="270"/>
      <c r="L189" s="279" t="s">
        <v>1031</v>
      </c>
      <c r="M189" s="279" t="s">
        <v>1031</v>
      </c>
      <c r="N189" s="279" t="s">
        <v>1031</v>
      </c>
      <c r="O189" s="268" t="s">
        <v>1031</v>
      </c>
      <c r="P189" s="268">
        <v>0</v>
      </c>
      <c r="Q189" s="277" t="s">
        <v>1031</v>
      </c>
      <c r="R189" s="267">
        <v>0</v>
      </c>
      <c r="S189" s="267">
        <v>0</v>
      </c>
      <c r="T189" s="276" t="s">
        <v>1031</v>
      </c>
    </row>
    <row r="190" spans="1:20" x14ac:dyDescent="0.25">
      <c r="A190" s="272" t="s">
        <v>462</v>
      </c>
      <c r="B190" s="275" t="s">
        <v>888</v>
      </c>
      <c r="C190" s="265">
        <v>0.49</v>
      </c>
      <c r="D190" s="273" t="s">
        <v>748</v>
      </c>
      <c r="E190" s="274" t="s">
        <v>747</v>
      </c>
      <c r="F190" s="265">
        <v>0</v>
      </c>
      <c r="G190" s="273" t="s">
        <v>853</v>
      </c>
      <c r="H190" s="272" t="s">
        <v>852</v>
      </c>
      <c r="I190" s="265">
        <v>0.01</v>
      </c>
      <c r="J190" s="271">
        <f t="shared" si="2"/>
        <v>0.5</v>
      </c>
      <c r="K190" s="270"/>
      <c r="L190" s="279" t="s">
        <v>1032</v>
      </c>
      <c r="M190" s="279" t="s">
        <v>1034</v>
      </c>
      <c r="N190" s="279" t="s">
        <v>1031</v>
      </c>
      <c r="O190" s="268" t="s">
        <v>1031</v>
      </c>
      <c r="P190" s="268">
        <v>0</v>
      </c>
      <c r="Q190" s="277" t="s">
        <v>1032</v>
      </c>
      <c r="R190" s="267">
        <v>198698</v>
      </c>
      <c r="S190" s="267">
        <v>0</v>
      </c>
      <c r="T190" s="276" t="s">
        <v>1032</v>
      </c>
    </row>
    <row r="191" spans="1:20" x14ac:dyDescent="0.25">
      <c r="A191" s="272" t="s">
        <v>464</v>
      </c>
      <c r="B191" s="275" t="s">
        <v>463</v>
      </c>
      <c r="C191" s="265">
        <v>0.49</v>
      </c>
      <c r="D191" s="273" t="s">
        <v>748</v>
      </c>
      <c r="E191" s="274" t="s">
        <v>767</v>
      </c>
      <c r="F191" s="265">
        <v>0</v>
      </c>
      <c r="G191" s="273" t="s">
        <v>841</v>
      </c>
      <c r="H191" s="272" t="s">
        <v>840</v>
      </c>
      <c r="I191" s="265">
        <v>0.01</v>
      </c>
      <c r="J191" s="271">
        <f t="shared" si="2"/>
        <v>0.5</v>
      </c>
      <c r="K191" s="270"/>
      <c r="L191" s="279" t="s">
        <v>1032</v>
      </c>
      <c r="M191" s="279" t="s">
        <v>1058</v>
      </c>
      <c r="N191" s="279" t="s">
        <v>1031</v>
      </c>
      <c r="O191" s="268" t="s">
        <v>1031</v>
      </c>
      <c r="P191" s="268">
        <v>0</v>
      </c>
      <c r="Q191" s="277" t="s">
        <v>1032</v>
      </c>
      <c r="R191" s="267">
        <v>550844</v>
      </c>
      <c r="S191" s="267">
        <v>0</v>
      </c>
      <c r="T191" s="276" t="s">
        <v>1032</v>
      </c>
    </row>
    <row r="192" spans="1:20" ht="15.75" customHeight="1" x14ac:dyDescent="0.25">
      <c r="A192" s="272" t="s">
        <v>466</v>
      </c>
      <c r="B192" s="275" t="s">
        <v>465</v>
      </c>
      <c r="C192" s="265">
        <v>0.4</v>
      </c>
      <c r="D192" s="273" t="s">
        <v>813</v>
      </c>
      <c r="E192" s="274" t="s">
        <v>812</v>
      </c>
      <c r="F192" s="265">
        <v>0.1</v>
      </c>
      <c r="G192" s="273" t="s">
        <v>748</v>
      </c>
      <c r="H192" s="272" t="s">
        <v>762</v>
      </c>
      <c r="I192" s="265">
        <v>0</v>
      </c>
      <c r="J192" s="271">
        <f t="shared" si="2"/>
        <v>0.5</v>
      </c>
      <c r="K192" s="270"/>
      <c r="L192" s="279" t="s">
        <v>1031</v>
      </c>
      <c r="M192" s="279" t="s">
        <v>1031</v>
      </c>
      <c r="N192" s="279" t="s">
        <v>1031</v>
      </c>
      <c r="O192" s="268" t="s">
        <v>1031</v>
      </c>
      <c r="P192" s="268">
        <v>0</v>
      </c>
      <c r="Q192" s="277" t="s">
        <v>1031</v>
      </c>
      <c r="R192" s="267">
        <v>0</v>
      </c>
      <c r="S192" s="267">
        <v>0</v>
      </c>
      <c r="T192" s="276" t="s">
        <v>1031</v>
      </c>
    </row>
    <row r="193" spans="1:20" ht="15.75" customHeight="1" x14ac:dyDescent="0.25">
      <c r="A193" s="272" t="s">
        <v>468</v>
      </c>
      <c r="B193" s="275" t="s">
        <v>467</v>
      </c>
      <c r="C193" s="265">
        <v>0.4</v>
      </c>
      <c r="D193" s="273" t="s">
        <v>884</v>
      </c>
      <c r="E193" s="274" t="s">
        <v>883</v>
      </c>
      <c r="F193" s="265">
        <v>0.09</v>
      </c>
      <c r="G193" s="273" t="s">
        <v>869</v>
      </c>
      <c r="H193" s="272" t="s">
        <v>868</v>
      </c>
      <c r="I193" s="265">
        <v>0.01</v>
      </c>
      <c r="J193" s="271">
        <f t="shared" si="2"/>
        <v>0.5</v>
      </c>
      <c r="K193" s="270"/>
      <c r="L193" s="279" t="s">
        <v>1031</v>
      </c>
      <c r="M193" s="279" t="s">
        <v>1031</v>
      </c>
      <c r="N193" s="279" t="s">
        <v>1031</v>
      </c>
      <c r="O193" s="268" t="s">
        <v>1031</v>
      </c>
      <c r="P193" s="268">
        <v>0</v>
      </c>
      <c r="Q193" s="277" t="s">
        <v>1031</v>
      </c>
      <c r="R193" s="267">
        <v>0</v>
      </c>
      <c r="S193" s="267">
        <v>0</v>
      </c>
      <c r="T193" s="276" t="s">
        <v>1031</v>
      </c>
    </row>
    <row r="194" spans="1:20" x14ac:dyDescent="0.25">
      <c r="A194" s="272" t="s">
        <v>470</v>
      </c>
      <c r="B194" s="275" t="s">
        <v>469</v>
      </c>
      <c r="C194" s="265">
        <v>0.4</v>
      </c>
      <c r="D194" s="273" t="s">
        <v>805</v>
      </c>
      <c r="E194" s="274" t="s">
        <v>804</v>
      </c>
      <c r="F194" s="265">
        <v>0.1</v>
      </c>
      <c r="G194" s="273" t="s">
        <v>748</v>
      </c>
      <c r="H194" s="272" t="s">
        <v>762</v>
      </c>
      <c r="I194" s="265">
        <v>0</v>
      </c>
      <c r="J194" s="271">
        <f t="shared" si="2"/>
        <v>0.5</v>
      </c>
      <c r="K194" s="270"/>
      <c r="L194" s="279" t="s">
        <v>1032</v>
      </c>
      <c r="M194" s="279" t="s">
        <v>1059</v>
      </c>
      <c r="N194" s="279" t="s">
        <v>1031</v>
      </c>
      <c r="O194" s="268" t="s">
        <v>1032</v>
      </c>
      <c r="P194" s="268">
        <v>152000</v>
      </c>
      <c r="Q194" s="277" t="s">
        <v>1031</v>
      </c>
      <c r="R194" s="267">
        <v>3407447</v>
      </c>
      <c r="S194" s="267">
        <v>0</v>
      </c>
      <c r="T194" s="276" t="s">
        <v>1031</v>
      </c>
    </row>
    <row r="195" spans="1:20" x14ac:dyDescent="0.25">
      <c r="A195" s="272" t="s">
        <v>472</v>
      </c>
      <c r="B195" s="275" t="s">
        <v>471</v>
      </c>
      <c r="C195" s="265">
        <v>0.5</v>
      </c>
      <c r="D195" s="273" t="s">
        <v>748</v>
      </c>
      <c r="E195" s="274" t="s">
        <v>747</v>
      </c>
      <c r="F195" s="265">
        <v>0</v>
      </c>
      <c r="G195" s="273" t="s">
        <v>748</v>
      </c>
      <c r="H195" s="272" t="s">
        <v>762</v>
      </c>
      <c r="I195" s="265">
        <v>0</v>
      </c>
      <c r="J195" s="271">
        <f t="shared" si="2"/>
        <v>0.5</v>
      </c>
      <c r="K195" s="270"/>
      <c r="L195" s="279" t="s">
        <v>1032</v>
      </c>
      <c r="M195" s="279" t="s">
        <v>1060</v>
      </c>
      <c r="N195" s="279" t="s">
        <v>1031</v>
      </c>
      <c r="O195" s="268" t="s">
        <v>1031</v>
      </c>
      <c r="P195" s="268">
        <v>0</v>
      </c>
      <c r="Q195" s="277" t="s">
        <v>1032</v>
      </c>
      <c r="R195" s="267">
        <v>11846</v>
      </c>
      <c r="S195" s="267">
        <v>0</v>
      </c>
      <c r="T195" s="276" t="s">
        <v>1032</v>
      </c>
    </row>
    <row r="196" spans="1:20" ht="15.75" customHeight="1" x14ac:dyDescent="0.25">
      <c r="A196" s="272" t="s">
        <v>474</v>
      </c>
      <c r="B196" s="275" t="s">
        <v>473</v>
      </c>
      <c r="C196" s="265">
        <v>0.4</v>
      </c>
      <c r="D196" s="273" t="s">
        <v>849</v>
      </c>
      <c r="E196" s="274" t="s">
        <v>848</v>
      </c>
      <c r="F196" s="265">
        <v>0.1</v>
      </c>
      <c r="G196" s="273" t="s">
        <v>748</v>
      </c>
      <c r="H196" s="272" t="s">
        <v>762</v>
      </c>
      <c r="I196" s="265">
        <v>0</v>
      </c>
      <c r="J196" s="271">
        <f t="shared" si="2"/>
        <v>0.5</v>
      </c>
      <c r="K196" s="270"/>
      <c r="L196" s="279" t="s">
        <v>1031</v>
      </c>
      <c r="M196" s="279" t="s">
        <v>1031</v>
      </c>
      <c r="N196" s="279" t="s">
        <v>1031</v>
      </c>
      <c r="O196" s="268" t="s">
        <v>1031</v>
      </c>
      <c r="P196" s="268">
        <v>0</v>
      </c>
      <c r="Q196" s="277" t="s">
        <v>1031</v>
      </c>
      <c r="R196" s="267">
        <v>0</v>
      </c>
      <c r="S196" s="267">
        <v>0</v>
      </c>
      <c r="T196" s="276" t="s">
        <v>1031</v>
      </c>
    </row>
    <row r="197" spans="1:20" x14ac:dyDescent="0.25">
      <c r="A197" s="272" t="s">
        <v>476</v>
      </c>
      <c r="B197" s="275" t="s">
        <v>887</v>
      </c>
      <c r="C197" s="265">
        <v>0.49</v>
      </c>
      <c r="D197" s="273" t="s">
        <v>748</v>
      </c>
      <c r="E197" s="274" t="s">
        <v>747</v>
      </c>
      <c r="F197" s="265">
        <v>0</v>
      </c>
      <c r="G197" s="273" t="s">
        <v>872</v>
      </c>
      <c r="H197" s="272" t="s">
        <v>871</v>
      </c>
      <c r="I197" s="265">
        <v>0.01</v>
      </c>
      <c r="J197" s="271">
        <f t="shared" si="2"/>
        <v>0.5</v>
      </c>
      <c r="K197" s="270"/>
      <c r="L197" s="279" t="s">
        <v>1032</v>
      </c>
      <c r="M197" s="279" t="s">
        <v>1061</v>
      </c>
      <c r="N197" s="279" t="s">
        <v>1062</v>
      </c>
      <c r="O197" s="268" t="s">
        <v>1031</v>
      </c>
      <c r="P197" s="268">
        <v>0</v>
      </c>
      <c r="Q197" s="277" t="s">
        <v>1032</v>
      </c>
      <c r="R197" s="267">
        <v>4103539</v>
      </c>
      <c r="S197" s="267">
        <v>5855936</v>
      </c>
      <c r="T197" s="276" t="s">
        <v>1032</v>
      </c>
    </row>
    <row r="198" spans="1:20" ht="15.75" customHeight="1" x14ac:dyDescent="0.25">
      <c r="A198" s="272" t="s">
        <v>478</v>
      </c>
      <c r="B198" s="275" t="s">
        <v>886</v>
      </c>
      <c r="C198" s="265">
        <v>0.4</v>
      </c>
      <c r="D198" s="273" t="s">
        <v>813</v>
      </c>
      <c r="E198" s="274" t="s">
        <v>812</v>
      </c>
      <c r="F198" s="265">
        <v>0.1</v>
      </c>
      <c r="G198" s="273" t="s">
        <v>748</v>
      </c>
      <c r="H198" s="272" t="s">
        <v>762</v>
      </c>
      <c r="I198" s="265">
        <v>0</v>
      </c>
      <c r="J198" s="271">
        <f t="shared" ref="J198:J261" si="3">+C198+F198+I198</f>
        <v>0.5</v>
      </c>
      <c r="K198" s="270"/>
      <c r="L198" s="279" t="s">
        <v>1031</v>
      </c>
      <c r="M198" s="279" t="s">
        <v>1031</v>
      </c>
      <c r="N198" s="279" t="s">
        <v>1031</v>
      </c>
      <c r="O198" s="268" t="s">
        <v>1031</v>
      </c>
      <c r="P198" s="268">
        <v>0</v>
      </c>
      <c r="Q198" s="277" t="s">
        <v>1031</v>
      </c>
      <c r="R198" s="267">
        <v>0</v>
      </c>
      <c r="S198" s="267">
        <v>0</v>
      </c>
      <c r="T198" s="276" t="s">
        <v>1031</v>
      </c>
    </row>
    <row r="199" spans="1:20" ht="15.75" customHeight="1" x14ac:dyDescent="0.25">
      <c r="A199" s="272" t="s">
        <v>480</v>
      </c>
      <c r="B199" s="275" t="s">
        <v>885</v>
      </c>
      <c r="C199" s="265">
        <v>0.4</v>
      </c>
      <c r="D199" s="273" t="s">
        <v>884</v>
      </c>
      <c r="E199" s="274" t="s">
        <v>883</v>
      </c>
      <c r="F199" s="265">
        <v>0.09</v>
      </c>
      <c r="G199" s="273" t="s">
        <v>869</v>
      </c>
      <c r="H199" s="272" t="s">
        <v>868</v>
      </c>
      <c r="I199" s="265">
        <v>0.01</v>
      </c>
      <c r="J199" s="271">
        <f t="shared" si="3"/>
        <v>0.5</v>
      </c>
      <c r="K199" s="270"/>
      <c r="L199" s="279" t="s">
        <v>1031</v>
      </c>
      <c r="M199" s="279" t="s">
        <v>1031</v>
      </c>
      <c r="N199" s="279" t="s">
        <v>1031</v>
      </c>
      <c r="O199" s="268" t="s">
        <v>1031</v>
      </c>
      <c r="P199" s="268">
        <v>0</v>
      </c>
      <c r="Q199" s="277" t="s">
        <v>1031</v>
      </c>
      <c r="R199" s="267">
        <v>0</v>
      </c>
      <c r="S199" s="267">
        <v>0</v>
      </c>
      <c r="T199" s="276" t="s">
        <v>1031</v>
      </c>
    </row>
    <row r="200" spans="1:20" ht="15.75" customHeight="1" x14ac:dyDescent="0.25">
      <c r="A200" s="272" t="s">
        <v>482</v>
      </c>
      <c r="B200" s="275" t="s">
        <v>481</v>
      </c>
      <c r="C200" s="265">
        <v>0.49</v>
      </c>
      <c r="D200" s="273" t="s">
        <v>748</v>
      </c>
      <c r="E200" s="274" t="s">
        <v>767</v>
      </c>
      <c r="F200" s="265">
        <v>0</v>
      </c>
      <c r="G200" s="273" t="s">
        <v>783</v>
      </c>
      <c r="H200" s="272" t="s">
        <v>782</v>
      </c>
      <c r="I200" s="265">
        <v>0.01</v>
      </c>
      <c r="J200" s="271">
        <f t="shared" si="3"/>
        <v>0.5</v>
      </c>
      <c r="L200" s="279" t="s">
        <v>1031</v>
      </c>
      <c r="M200" s="279" t="s">
        <v>1031</v>
      </c>
      <c r="N200" s="279" t="s">
        <v>1031</v>
      </c>
      <c r="O200" s="268" t="s">
        <v>1031</v>
      </c>
      <c r="P200" s="268">
        <v>0</v>
      </c>
      <c r="Q200" s="277" t="s">
        <v>1032</v>
      </c>
      <c r="R200" s="267">
        <v>0</v>
      </c>
      <c r="S200" s="267">
        <v>0</v>
      </c>
      <c r="T200" s="276" t="s">
        <v>1032</v>
      </c>
    </row>
    <row r="201" spans="1:20" ht="15.75" customHeight="1" x14ac:dyDescent="0.25">
      <c r="A201" s="272" t="s">
        <v>484</v>
      </c>
      <c r="B201" s="275" t="s">
        <v>483</v>
      </c>
      <c r="C201" s="265">
        <v>0.4</v>
      </c>
      <c r="D201" s="273" t="s">
        <v>796</v>
      </c>
      <c r="E201" s="274" t="s">
        <v>795</v>
      </c>
      <c r="F201" s="265">
        <v>0.1</v>
      </c>
      <c r="G201" s="273" t="s">
        <v>748</v>
      </c>
      <c r="H201" s="272" t="s">
        <v>762</v>
      </c>
      <c r="I201" s="265">
        <v>0</v>
      </c>
      <c r="J201" s="271">
        <f t="shared" si="3"/>
        <v>0.5</v>
      </c>
      <c r="K201" s="270"/>
      <c r="L201" s="279" t="s">
        <v>1031</v>
      </c>
      <c r="M201" s="279" t="s">
        <v>1031</v>
      </c>
      <c r="N201" s="279" t="s">
        <v>1031</v>
      </c>
      <c r="O201" s="268" t="s">
        <v>1031</v>
      </c>
      <c r="P201" s="268">
        <v>0</v>
      </c>
      <c r="Q201" s="277" t="s">
        <v>1031</v>
      </c>
      <c r="R201" s="267">
        <v>0</v>
      </c>
      <c r="S201" s="267">
        <v>0</v>
      </c>
      <c r="T201" s="276" t="s">
        <v>1031</v>
      </c>
    </row>
    <row r="202" spans="1:20" ht="15.75" customHeight="1" x14ac:dyDescent="0.25">
      <c r="A202" s="272" t="s">
        <v>486</v>
      </c>
      <c r="B202" s="275" t="s">
        <v>485</v>
      </c>
      <c r="C202" s="265">
        <v>0.4</v>
      </c>
      <c r="D202" s="273" t="s">
        <v>757</v>
      </c>
      <c r="E202" s="274" t="s">
        <v>756</v>
      </c>
      <c r="F202" s="265">
        <v>0.09</v>
      </c>
      <c r="G202" s="273" t="s">
        <v>755</v>
      </c>
      <c r="H202" s="272" t="s">
        <v>754</v>
      </c>
      <c r="I202" s="265">
        <v>0.01</v>
      </c>
      <c r="J202" s="271">
        <f t="shared" si="3"/>
        <v>0.5</v>
      </c>
      <c r="K202" s="270"/>
      <c r="L202" s="279" t="s">
        <v>1031</v>
      </c>
      <c r="M202" s="279" t="s">
        <v>1031</v>
      </c>
      <c r="N202" s="279" t="s">
        <v>1031</v>
      </c>
      <c r="O202" s="268" t="s">
        <v>1031</v>
      </c>
      <c r="P202" s="268">
        <v>0</v>
      </c>
      <c r="Q202" s="277" t="s">
        <v>1031</v>
      </c>
      <c r="R202" s="267">
        <v>0</v>
      </c>
      <c r="S202" s="267">
        <v>0</v>
      </c>
      <c r="T202" s="276" t="s">
        <v>1031</v>
      </c>
    </row>
    <row r="203" spans="1:20" ht="15.75" customHeight="1" x14ac:dyDescent="0.25">
      <c r="A203" s="272" t="s">
        <v>488</v>
      </c>
      <c r="B203" s="275" t="s">
        <v>882</v>
      </c>
      <c r="C203" s="265">
        <v>0.49</v>
      </c>
      <c r="D203" s="273" t="s">
        <v>748</v>
      </c>
      <c r="E203" s="274" t="s">
        <v>747</v>
      </c>
      <c r="F203" s="265">
        <v>0</v>
      </c>
      <c r="G203" s="273" t="s">
        <v>860</v>
      </c>
      <c r="H203" s="272" t="s">
        <v>859</v>
      </c>
      <c r="I203" s="265">
        <v>0.01</v>
      </c>
      <c r="J203" s="271">
        <f t="shared" si="3"/>
        <v>0.5</v>
      </c>
      <c r="K203" s="270"/>
      <c r="L203" s="279" t="s">
        <v>1031</v>
      </c>
      <c r="M203" s="279" t="s">
        <v>1031</v>
      </c>
      <c r="N203" s="279" t="s">
        <v>1031</v>
      </c>
      <c r="O203" s="268" t="s">
        <v>1032</v>
      </c>
      <c r="P203" s="268">
        <v>3309376</v>
      </c>
      <c r="Q203" s="277" t="s">
        <v>1032</v>
      </c>
      <c r="R203" s="267">
        <v>0</v>
      </c>
      <c r="S203" s="267">
        <v>0</v>
      </c>
      <c r="T203" s="276" t="s">
        <v>1032</v>
      </c>
    </row>
    <row r="204" spans="1:20" ht="15.75" customHeight="1" x14ac:dyDescent="0.25">
      <c r="A204" s="272" t="s">
        <v>490</v>
      </c>
      <c r="B204" s="275" t="s">
        <v>881</v>
      </c>
      <c r="C204" s="265">
        <v>0.49</v>
      </c>
      <c r="D204" s="273" t="s">
        <v>748</v>
      </c>
      <c r="E204" s="274" t="s">
        <v>747</v>
      </c>
      <c r="F204" s="265">
        <v>0</v>
      </c>
      <c r="G204" s="273" t="s">
        <v>792</v>
      </c>
      <c r="H204" s="272" t="s">
        <v>791</v>
      </c>
      <c r="I204" s="265">
        <v>0.01</v>
      </c>
      <c r="J204" s="271">
        <f t="shared" si="3"/>
        <v>0.5</v>
      </c>
      <c r="K204" s="270"/>
      <c r="L204" s="279" t="s">
        <v>1031</v>
      </c>
      <c r="M204" s="279" t="s">
        <v>1031</v>
      </c>
      <c r="N204" s="279" t="s">
        <v>1031</v>
      </c>
      <c r="O204" s="268" t="s">
        <v>1031</v>
      </c>
      <c r="P204" s="268">
        <v>0</v>
      </c>
      <c r="Q204" s="277" t="s">
        <v>1032</v>
      </c>
      <c r="R204" s="267">
        <v>0</v>
      </c>
      <c r="S204" s="267">
        <v>0</v>
      </c>
      <c r="T204" s="276" t="s">
        <v>1032</v>
      </c>
    </row>
    <row r="205" spans="1:20" ht="15.75" customHeight="1" x14ac:dyDescent="0.25">
      <c r="A205" s="272" t="s">
        <v>492</v>
      </c>
      <c r="B205" s="275" t="s">
        <v>880</v>
      </c>
      <c r="C205" s="265">
        <v>0.49</v>
      </c>
      <c r="D205" s="273" t="s">
        <v>748</v>
      </c>
      <c r="E205" s="274" t="s">
        <v>747</v>
      </c>
      <c r="F205" s="265">
        <v>0</v>
      </c>
      <c r="G205" s="273" t="s">
        <v>785</v>
      </c>
      <c r="H205" s="272" t="s">
        <v>784</v>
      </c>
      <c r="I205" s="265">
        <v>0.01</v>
      </c>
      <c r="J205" s="271">
        <f t="shared" si="3"/>
        <v>0.5</v>
      </c>
      <c r="K205" s="270"/>
      <c r="L205" s="279" t="s">
        <v>1031</v>
      </c>
      <c r="M205" s="279" t="s">
        <v>1031</v>
      </c>
      <c r="N205" s="279" t="s">
        <v>1031</v>
      </c>
      <c r="O205" s="268" t="s">
        <v>1032</v>
      </c>
      <c r="P205" s="268">
        <v>995191</v>
      </c>
      <c r="Q205" s="277" t="s">
        <v>1032</v>
      </c>
      <c r="R205" s="267">
        <v>0</v>
      </c>
      <c r="S205" s="267">
        <v>0</v>
      </c>
      <c r="T205" s="276" t="s">
        <v>1032</v>
      </c>
    </row>
    <row r="206" spans="1:20" ht="15.75" customHeight="1" x14ac:dyDescent="0.25">
      <c r="A206" s="272" t="s">
        <v>494</v>
      </c>
      <c r="B206" s="275" t="s">
        <v>879</v>
      </c>
      <c r="C206" s="265">
        <v>0.49</v>
      </c>
      <c r="D206" s="273" t="s">
        <v>748</v>
      </c>
      <c r="E206" s="274" t="s">
        <v>747</v>
      </c>
      <c r="F206" s="265">
        <v>0</v>
      </c>
      <c r="G206" s="273" t="s">
        <v>777</v>
      </c>
      <c r="H206" s="272" t="s">
        <v>776</v>
      </c>
      <c r="I206" s="265">
        <v>0.01</v>
      </c>
      <c r="J206" s="271">
        <f t="shared" si="3"/>
        <v>0.5</v>
      </c>
      <c r="K206" s="270"/>
      <c r="L206" s="279" t="s">
        <v>1031</v>
      </c>
      <c r="M206" s="279" t="s">
        <v>1031</v>
      </c>
      <c r="N206" s="279" t="s">
        <v>1031</v>
      </c>
      <c r="O206" s="268" t="s">
        <v>1031</v>
      </c>
      <c r="P206" s="268">
        <v>0</v>
      </c>
      <c r="Q206" s="277" t="s">
        <v>1032</v>
      </c>
      <c r="R206" s="267">
        <v>0</v>
      </c>
      <c r="S206" s="267">
        <v>0</v>
      </c>
      <c r="T206" s="276" t="s">
        <v>1032</v>
      </c>
    </row>
    <row r="207" spans="1:20" ht="15.75" customHeight="1" x14ac:dyDescent="0.25">
      <c r="A207" s="272" t="s">
        <v>496</v>
      </c>
      <c r="B207" s="275" t="s">
        <v>495</v>
      </c>
      <c r="C207" s="265">
        <v>0.4</v>
      </c>
      <c r="D207" s="273" t="s">
        <v>757</v>
      </c>
      <c r="E207" s="274" t="s">
        <v>756</v>
      </c>
      <c r="F207" s="265">
        <v>0.09</v>
      </c>
      <c r="G207" s="273" t="s">
        <v>755</v>
      </c>
      <c r="H207" s="272" t="s">
        <v>754</v>
      </c>
      <c r="I207" s="265">
        <v>0.01</v>
      </c>
      <c r="J207" s="271">
        <f t="shared" si="3"/>
        <v>0.5</v>
      </c>
      <c r="K207" s="270"/>
      <c r="L207" s="279" t="s">
        <v>1031</v>
      </c>
      <c r="M207" s="279" t="s">
        <v>1031</v>
      </c>
      <c r="N207" s="279" t="s">
        <v>1031</v>
      </c>
      <c r="O207" s="268" t="s">
        <v>1031</v>
      </c>
      <c r="P207" s="268">
        <v>0</v>
      </c>
      <c r="Q207" s="277" t="s">
        <v>1031</v>
      </c>
      <c r="R207" s="267">
        <v>0</v>
      </c>
      <c r="S207" s="267">
        <v>0</v>
      </c>
      <c r="T207" s="276" t="s">
        <v>1031</v>
      </c>
    </row>
    <row r="208" spans="1:20" ht="15.75" customHeight="1" x14ac:dyDescent="0.25">
      <c r="A208" s="272" t="s">
        <v>498</v>
      </c>
      <c r="B208" s="275" t="s">
        <v>497</v>
      </c>
      <c r="C208" s="265">
        <v>0.4</v>
      </c>
      <c r="D208" s="273" t="s">
        <v>787</v>
      </c>
      <c r="E208" s="274" t="s">
        <v>786</v>
      </c>
      <c r="F208" s="265">
        <v>0.09</v>
      </c>
      <c r="G208" s="273" t="s">
        <v>785</v>
      </c>
      <c r="H208" s="272" t="s">
        <v>784</v>
      </c>
      <c r="I208" s="265">
        <v>0.01</v>
      </c>
      <c r="J208" s="271">
        <f t="shared" si="3"/>
        <v>0.5</v>
      </c>
      <c r="K208" s="270"/>
      <c r="L208" s="279" t="s">
        <v>1031</v>
      </c>
      <c r="M208" s="279" t="s">
        <v>1031</v>
      </c>
      <c r="N208" s="279" t="s">
        <v>1031</v>
      </c>
      <c r="O208" s="268" t="s">
        <v>1031</v>
      </c>
      <c r="P208" s="268">
        <v>0</v>
      </c>
      <c r="Q208" s="277" t="s">
        <v>1031</v>
      </c>
      <c r="R208" s="267">
        <v>0</v>
      </c>
      <c r="S208" s="267">
        <v>0</v>
      </c>
      <c r="T208" s="276" t="s">
        <v>1031</v>
      </c>
    </row>
    <row r="209" spans="1:20" ht="15.75" customHeight="1" x14ac:dyDescent="0.25">
      <c r="A209" s="272" t="s">
        <v>500</v>
      </c>
      <c r="B209" s="275" t="s">
        <v>878</v>
      </c>
      <c r="C209" s="265">
        <v>0.49</v>
      </c>
      <c r="D209" s="273" t="s">
        <v>748</v>
      </c>
      <c r="E209" s="274" t="s">
        <v>747</v>
      </c>
      <c r="F209" s="265">
        <v>0</v>
      </c>
      <c r="G209" s="273" t="s">
        <v>769</v>
      </c>
      <c r="H209" s="272" t="s">
        <v>768</v>
      </c>
      <c r="I209" s="265">
        <v>0.01</v>
      </c>
      <c r="J209" s="271">
        <f t="shared" si="3"/>
        <v>0.5</v>
      </c>
      <c r="K209" s="270"/>
      <c r="L209" s="279" t="s">
        <v>1031</v>
      </c>
      <c r="M209" s="279" t="s">
        <v>1031</v>
      </c>
      <c r="N209" s="279" t="s">
        <v>1031</v>
      </c>
      <c r="O209" s="268" t="s">
        <v>1032</v>
      </c>
      <c r="P209" s="268">
        <v>5400000</v>
      </c>
      <c r="Q209" s="277" t="s">
        <v>1032</v>
      </c>
      <c r="R209" s="267">
        <v>0</v>
      </c>
      <c r="S209" s="267">
        <v>0</v>
      </c>
      <c r="T209" s="276" t="s">
        <v>1032</v>
      </c>
    </row>
    <row r="210" spans="1:20" ht="15.75" customHeight="1" x14ac:dyDescent="0.25">
      <c r="A210" s="272" t="s">
        <v>502</v>
      </c>
      <c r="B210" s="275" t="s">
        <v>501</v>
      </c>
      <c r="C210" s="265">
        <v>0.3</v>
      </c>
      <c r="D210" s="273" t="s">
        <v>790</v>
      </c>
      <c r="E210" s="274" t="s">
        <v>789</v>
      </c>
      <c r="F210" s="265">
        <v>0.2</v>
      </c>
      <c r="G210" s="273" t="s">
        <v>748</v>
      </c>
      <c r="H210" s="274" t="s">
        <v>748</v>
      </c>
      <c r="I210" s="265">
        <v>0</v>
      </c>
      <c r="J210" s="271">
        <f t="shared" si="3"/>
        <v>0.5</v>
      </c>
      <c r="K210" s="270"/>
      <c r="L210" s="279" t="s">
        <v>1031</v>
      </c>
      <c r="M210" s="279" t="s">
        <v>1031</v>
      </c>
      <c r="N210" s="279" t="s">
        <v>1031</v>
      </c>
      <c r="O210" s="268" t="s">
        <v>1031</v>
      </c>
      <c r="P210" s="268">
        <v>0</v>
      </c>
      <c r="Q210" s="277" t="s">
        <v>1032</v>
      </c>
      <c r="R210" s="267">
        <v>0</v>
      </c>
      <c r="S210" s="267">
        <v>0</v>
      </c>
      <c r="T210" s="276" t="s">
        <v>1032</v>
      </c>
    </row>
    <row r="211" spans="1:20" x14ac:dyDescent="0.25">
      <c r="A211" s="272" t="s">
        <v>504</v>
      </c>
      <c r="B211" s="275" t="s">
        <v>877</v>
      </c>
      <c r="C211" s="265">
        <v>0.49</v>
      </c>
      <c r="D211" s="273" t="s">
        <v>748</v>
      </c>
      <c r="E211" s="274" t="s">
        <v>747</v>
      </c>
      <c r="F211" s="265">
        <v>0</v>
      </c>
      <c r="G211" s="273" t="s">
        <v>844</v>
      </c>
      <c r="H211" s="272" t="s">
        <v>843</v>
      </c>
      <c r="I211" s="265">
        <v>0.01</v>
      </c>
      <c r="J211" s="271">
        <f t="shared" si="3"/>
        <v>0.5</v>
      </c>
      <c r="K211" s="270"/>
      <c r="L211" s="279" t="s">
        <v>1032</v>
      </c>
      <c r="M211" s="279" t="s">
        <v>1048</v>
      </c>
      <c r="N211" s="279" t="s">
        <v>1031</v>
      </c>
      <c r="O211" s="268" t="s">
        <v>1032</v>
      </c>
      <c r="P211" s="268">
        <v>560819</v>
      </c>
      <c r="Q211" s="277" t="s">
        <v>1032</v>
      </c>
      <c r="R211" s="267">
        <v>0</v>
      </c>
      <c r="S211" s="267">
        <v>0</v>
      </c>
      <c r="T211" s="276" t="s">
        <v>1032</v>
      </c>
    </row>
    <row r="212" spans="1:20" ht="15.75" customHeight="1" x14ac:dyDescent="0.25">
      <c r="A212" s="272" t="s">
        <v>506</v>
      </c>
      <c r="B212" s="275" t="s">
        <v>505</v>
      </c>
      <c r="C212" s="265">
        <v>0.4</v>
      </c>
      <c r="D212" s="273" t="s">
        <v>753</v>
      </c>
      <c r="E212" s="274" t="s">
        <v>752</v>
      </c>
      <c r="F212" s="265">
        <v>0.09</v>
      </c>
      <c r="G212" s="273" t="s">
        <v>751</v>
      </c>
      <c r="H212" s="272" t="s">
        <v>750</v>
      </c>
      <c r="I212" s="265">
        <v>0.01</v>
      </c>
      <c r="J212" s="271">
        <f t="shared" si="3"/>
        <v>0.5</v>
      </c>
      <c r="K212" s="270"/>
      <c r="L212" s="279" t="s">
        <v>1031</v>
      </c>
      <c r="M212" s="279" t="s">
        <v>1031</v>
      </c>
      <c r="N212" s="279" t="s">
        <v>1031</v>
      </c>
      <c r="O212" s="268" t="s">
        <v>1032</v>
      </c>
      <c r="P212" s="268">
        <v>972807</v>
      </c>
      <c r="Q212" s="277" t="s">
        <v>1031</v>
      </c>
      <c r="R212" s="267">
        <v>0</v>
      </c>
      <c r="S212" s="267">
        <v>0</v>
      </c>
      <c r="T212" s="276" t="s">
        <v>1031</v>
      </c>
    </row>
    <row r="213" spans="1:20" ht="15.75" customHeight="1" x14ac:dyDescent="0.25">
      <c r="A213" s="272" t="s">
        <v>508</v>
      </c>
      <c r="B213" s="275" t="s">
        <v>876</v>
      </c>
      <c r="C213" s="265">
        <v>0.4</v>
      </c>
      <c r="D213" s="273" t="s">
        <v>772</v>
      </c>
      <c r="E213" s="274" t="s">
        <v>771</v>
      </c>
      <c r="F213" s="265">
        <v>0.1</v>
      </c>
      <c r="G213" s="273" t="s">
        <v>748</v>
      </c>
      <c r="H213" s="272" t="s">
        <v>762</v>
      </c>
      <c r="I213" s="265">
        <v>0</v>
      </c>
      <c r="J213" s="271">
        <f t="shared" si="3"/>
        <v>0.5</v>
      </c>
      <c r="K213" s="270"/>
      <c r="L213" s="279" t="s">
        <v>1031</v>
      </c>
      <c r="M213" s="279" t="s">
        <v>1031</v>
      </c>
      <c r="N213" s="279" t="s">
        <v>1031</v>
      </c>
      <c r="O213" s="268" t="s">
        <v>1031</v>
      </c>
      <c r="P213" s="268">
        <v>0</v>
      </c>
      <c r="Q213" s="277" t="s">
        <v>1031</v>
      </c>
      <c r="R213" s="267">
        <v>0</v>
      </c>
      <c r="S213" s="267">
        <v>0</v>
      </c>
      <c r="T213" s="276" t="s">
        <v>1031</v>
      </c>
    </row>
    <row r="214" spans="1:20" x14ac:dyDescent="0.25">
      <c r="A214" s="272" t="s">
        <v>510</v>
      </c>
      <c r="B214" s="275" t="s">
        <v>509</v>
      </c>
      <c r="C214" s="265">
        <v>0.4</v>
      </c>
      <c r="D214" s="273" t="s">
        <v>757</v>
      </c>
      <c r="E214" s="274" t="s">
        <v>756</v>
      </c>
      <c r="F214" s="265">
        <v>0.09</v>
      </c>
      <c r="G214" s="273" t="s">
        <v>755</v>
      </c>
      <c r="H214" s="272" t="s">
        <v>754</v>
      </c>
      <c r="I214" s="265">
        <v>0.01</v>
      </c>
      <c r="J214" s="271">
        <f t="shared" si="3"/>
        <v>0.5</v>
      </c>
      <c r="K214" s="270"/>
      <c r="L214" s="279" t="s">
        <v>1032</v>
      </c>
      <c r="M214" s="279" t="s">
        <v>1044</v>
      </c>
      <c r="N214" s="279" t="s">
        <v>1031</v>
      </c>
      <c r="O214" s="268" t="s">
        <v>1031</v>
      </c>
      <c r="P214" s="268">
        <v>0</v>
      </c>
      <c r="Q214" s="277" t="s">
        <v>1031</v>
      </c>
      <c r="R214" s="267">
        <v>1861312</v>
      </c>
      <c r="S214" s="267">
        <v>0</v>
      </c>
      <c r="T214" s="276" t="s">
        <v>1031</v>
      </c>
    </row>
    <row r="215" spans="1:20" ht="15.75" customHeight="1" x14ac:dyDescent="0.25">
      <c r="A215" s="272" t="s">
        <v>514</v>
      </c>
      <c r="B215" s="275" t="s">
        <v>513</v>
      </c>
      <c r="C215" s="265">
        <v>0.4</v>
      </c>
      <c r="D215" s="273" t="s">
        <v>867</v>
      </c>
      <c r="E215" s="274" t="s">
        <v>866</v>
      </c>
      <c r="F215" s="265">
        <v>0.09</v>
      </c>
      <c r="G215" s="273" t="s">
        <v>746</v>
      </c>
      <c r="H215" s="272" t="s">
        <v>745</v>
      </c>
      <c r="I215" s="265">
        <v>0.01</v>
      </c>
      <c r="J215" s="271">
        <f t="shared" si="3"/>
        <v>0.5</v>
      </c>
      <c r="K215" s="270"/>
      <c r="L215" s="279" t="s">
        <v>1031</v>
      </c>
      <c r="M215" s="279" t="s">
        <v>1031</v>
      </c>
      <c r="N215" s="279" t="s">
        <v>1031</v>
      </c>
      <c r="O215" s="268" t="s">
        <v>1031</v>
      </c>
      <c r="P215" s="268">
        <v>0</v>
      </c>
      <c r="Q215" s="277" t="s">
        <v>1031</v>
      </c>
      <c r="R215" s="267">
        <v>0</v>
      </c>
      <c r="S215" s="267">
        <v>0</v>
      </c>
      <c r="T215" s="276" t="s">
        <v>1031</v>
      </c>
    </row>
    <row r="216" spans="1:20" ht="15.75" customHeight="1" x14ac:dyDescent="0.25">
      <c r="A216" s="272" t="s">
        <v>512</v>
      </c>
      <c r="B216" s="281" t="s">
        <v>875</v>
      </c>
      <c r="C216" s="265">
        <v>0.3</v>
      </c>
      <c r="D216" s="273" t="s">
        <v>790</v>
      </c>
      <c r="E216" s="274" t="s">
        <v>789</v>
      </c>
      <c r="F216" s="265">
        <v>0.2</v>
      </c>
      <c r="G216" s="273" t="s">
        <v>748</v>
      </c>
      <c r="H216" s="274" t="s">
        <v>748</v>
      </c>
      <c r="I216" s="265">
        <v>0</v>
      </c>
      <c r="J216" s="271">
        <f t="shared" si="3"/>
        <v>0.5</v>
      </c>
      <c r="K216" s="270"/>
      <c r="L216" s="279" t="s">
        <v>1031</v>
      </c>
      <c r="M216" s="279" t="s">
        <v>1031</v>
      </c>
      <c r="N216" s="279" t="s">
        <v>1031</v>
      </c>
      <c r="O216" s="268" t="s">
        <v>1031</v>
      </c>
      <c r="P216" s="268">
        <v>0</v>
      </c>
      <c r="Q216" s="277" t="s">
        <v>1032</v>
      </c>
      <c r="R216" s="267">
        <v>0</v>
      </c>
      <c r="S216" s="267">
        <v>0</v>
      </c>
      <c r="T216" s="276" t="s">
        <v>1032</v>
      </c>
    </row>
    <row r="217" spans="1:20" ht="15.75" customHeight="1" x14ac:dyDescent="0.25">
      <c r="A217" s="272" t="s">
        <v>516</v>
      </c>
      <c r="B217" s="275" t="s">
        <v>515</v>
      </c>
      <c r="C217" s="265">
        <v>0.49</v>
      </c>
      <c r="D217" s="273" t="s">
        <v>748</v>
      </c>
      <c r="E217" s="274" t="s">
        <v>767</v>
      </c>
      <c r="F217" s="265">
        <v>0</v>
      </c>
      <c r="G217" s="273" t="s">
        <v>783</v>
      </c>
      <c r="H217" s="272" t="s">
        <v>782</v>
      </c>
      <c r="I217" s="265">
        <v>0.01</v>
      </c>
      <c r="J217" s="271">
        <f t="shared" si="3"/>
        <v>0.5</v>
      </c>
      <c r="K217" s="270"/>
      <c r="L217" s="279" t="s">
        <v>1031</v>
      </c>
      <c r="M217" s="279" t="s">
        <v>1031</v>
      </c>
      <c r="N217" s="279" t="s">
        <v>1031</v>
      </c>
      <c r="O217" s="268" t="s">
        <v>1031</v>
      </c>
      <c r="P217" s="268">
        <v>0</v>
      </c>
      <c r="Q217" s="277" t="s">
        <v>1032</v>
      </c>
      <c r="R217" s="267">
        <v>0</v>
      </c>
      <c r="S217" s="267">
        <v>0</v>
      </c>
      <c r="T217" s="276" t="s">
        <v>1032</v>
      </c>
    </row>
    <row r="218" spans="1:20" ht="15.75" customHeight="1" x14ac:dyDescent="0.25">
      <c r="A218" s="272" t="s">
        <v>518</v>
      </c>
      <c r="B218" s="275" t="s">
        <v>517</v>
      </c>
      <c r="C218" s="265">
        <v>0.4</v>
      </c>
      <c r="D218" s="273" t="s">
        <v>822</v>
      </c>
      <c r="E218" s="274" t="s">
        <v>821</v>
      </c>
      <c r="F218" s="265">
        <v>0.09</v>
      </c>
      <c r="G218" s="273" t="s">
        <v>820</v>
      </c>
      <c r="H218" s="272" t="s">
        <v>819</v>
      </c>
      <c r="I218" s="265">
        <v>0.01</v>
      </c>
      <c r="J218" s="271">
        <f t="shared" si="3"/>
        <v>0.5</v>
      </c>
      <c r="K218" s="270"/>
      <c r="L218" s="279" t="s">
        <v>1031</v>
      </c>
      <c r="M218" s="279" t="s">
        <v>1031</v>
      </c>
      <c r="N218" s="279" t="s">
        <v>1031</v>
      </c>
      <c r="O218" s="268" t="s">
        <v>1031</v>
      </c>
      <c r="P218" s="268">
        <v>0</v>
      </c>
      <c r="Q218" s="277" t="s">
        <v>1031</v>
      </c>
      <c r="R218" s="267">
        <v>0</v>
      </c>
      <c r="S218" s="267">
        <v>0</v>
      </c>
      <c r="T218" s="276" t="s">
        <v>1031</v>
      </c>
    </row>
    <row r="219" spans="1:20" ht="15.75" customHeight="1" x14ac:dyDescent="0.25">
      <c r="A219" s="272" t="s">
        <v>520</v>
      </c>
      <c r="B219" s="275" t="s">
        <v>519</v>
      </c>
      <c r="C219" s="265">
        <v>0.4</v>
      </c>
      <c r="D219" s="273" t="s">
        <v>757</v>
      </c>
      <c r="E219" s="274" t="s">
        <v>756</v>
      </c>
      <c r="F219" s="265">
        <v>0.09</v>
      </c>
      <c r="G219" s="273" t="s">
        <v>755</v>
      </c>
      <c r="H219" s="272" t="s">
        <v>754</v>
      </c>
      <c r="I219" s="265">
        <v>0.01</v>
      </c>
      <c r="J219" s="271">
        <f t="shared" si="3"/>
        <v>0.5</v>
      </c>
      <c r="K219" s="270"/>
      <c r="L219" s="279" t="s">
        <v>1031</v>
      </c>
      <c r="M219" s="279" t="s">
        <v>1044</v>
      </c>
      <c r="N219" s="279" t="s">
        <v>1031</v>
      </c>
      <c r="O219" s="268" t="s">
        <v>1031</v>
      </c>
      <c r="P219" s="268">
        <v>0</v>
      </c>
      <c r="Q219" s="277" t="s">
        <v>1031</v>
      </c>
      <c r="R219" s="267">
        <v>0</v>
      </c>
      <c r="S219" s="267">
        <v>0</v>
      </c>
      <c r="T219" s="276" t="s">
        <v>1031</v>
      </c>
    </row>
    <row r="220" spans="1:20" ht="15.75" customHeight="1" x14ac:dyDescent="0.25">
      <c r="A220" s="272" t="s">
        <v>522</v>
      </c>
      <c r="B220" s="275" t="s">
        <v>521</v>
      </c>
      <c r="C220" s="265">
        <v>0.4</v>
      </c>
      <c r="D220" s="273" t="s">
        <v>809</v>
      </c>
      <c r="E220" s="274" t="s">
        <v>808</v>
      </c>
      <c r="F220" s="265">
        <v>0.09</v>
      </c>
      <c r="G220" s="273" t="s">
        <v>807</v>
      </c>
      <c r="H220" s="272" t="s">
        <v>806</v>
      </c>
      <c r="I220" s="265">
        <v>0.01</v>
      </c>
      <c r="J220" s="271">
        <f t="shared" si="3"/>
        <v>0.5</v>
      </c>
      <c r="K220" s="270"/>
      <c r="L220" s="279" t="s">
        <v>1031</v>
      </c>
      <c r="M220" s="279" t="s">
        <v>1031</v>
      </c>
      <c r="N220" s="279" t="s">
        <v>1031</v>
      </c>
      <c r="O220" s="268" t="s">
        <v>1031</v>
      </c>
      <c r="P220" s="268">
        <v>0</v>
      </c>
      <c r="Q220" s="277" t="s">
        <v>1031</v>
      </c>
      <c r="R220" s="267">
        <v>0</v>
      </c>
      <c r="S220" s="267">
        <v>0</v>
      </c>
      <c r="T220" s="276" t="s">
        <v>1031</v>
      </c>
    </row>
    <row r="221" spans="1:20" x14ac:dyDescent="0.25">
      <c r="A221" s="272" t="s">
        <v>524</v>
      </c>
      <c r="B221" s="275" t="s">
        <v>523</v>
      </c>
      <c r="C221" s="265">
        <v>0.49</v>
      </c>
      <c r="D221" s="273" t="s">
        <v>748</v>
      </c>
      <c r="E221" s="274" t="s">
        <v>767</v>
      </c>
      <c r="F221" s="265">
        <v>0</v>
      </c>
      <c r="G221" s="273" t="s">
        <v>865</v>
      </c>
      <c r="H221" s="272" t="s">
        <v>864</v>
      </c>
      <c r="I221" s="265">
        <v>0.01</v>
      </c>
      <c r="J221" s="271">
        <f t="shared" si="3"/>
        <v>0.5</v>
      </c>
      <c r="K221" s="270"/>
      <c r="L221" s="279" t="s">
        <v>1032</v>
      </c>
      <c r="M221" s="279" t="s">
        <v>1038</v>
      </c>
      <c r="N221" s="279" t="s">
        <v>1031</v>
      </c>
      <c r="O221" s="268" t="s">
        <v>1031</v>
      </c>
      <c r="P221" s="268">
        <v>0</v>
      </c>
      <c r="Q221" s="277" t="s">
        <v>1032</v>
      </c>
      <c r="R221" s="267">
        <v>336819</v>
      </c>
      <c r="S221" s="267">
        <v>0</v>
      </c>
      <c r="T221" s="276" t="s">
        <v>1032</v>
      </c>
    </row>
    <row r="222" spans="1:20" ht="15.75" customHeight="1" x14ac:dyDescent="0.25">
      <c r="A222" s="272" t="s">
        <v>526</v>
      </c>
      <c r="B222" s="275" t="s">
        <v>525</v>
      </c>
      <c r="C222" s="265">
        <v>0.4</v>
      </c>
      <c r="D222" s="273" t="s">
        <v>813</v>
      </c>
      <c r="E222" s="274" t="s">
        <v>812</v>
      </c>
      <c r="F222" s="265">
        <v>0.1</v>
      </c>
      <c r="G222" s="273" t="s">
        <v>748</v>
      </c>
      <c r="H222" s="272" t="s">
        <v>762</v>
      </c>
      <c r="I222" s="265">
        <v>0</v>
      </c>
      <c r="J222" s="271">
        <f t="shared" si="3"/>
        <v>0.5</v>
      </c>
      <c r="K222" s="270"/>
      <c r="L222" s="279" t="s">
        <v>1031</v>
      </c>
      <c r="M222" s="279" t="s">
        <v>1031</v>
      </c>
      <c r="N222" s="279" t="s">
        <v>1031</v>
      </c>
      <c r="O222" s="268" t="s">
        <v>1031</v>
      </c>
      <c r="P222" s="268">
        <v>0</v>
      </c>
      <c r="Q222" s="277" t="s">
        <v>1031</v>
      </c>
      <c r="R222" s="267">
        <v>0</v>
      </c>
      <c r="S222" s="267">
        <v>0</v>
      </c>
      <c r="T222" s="276" t="s">
        <v>1031</v>
      </c>
    </row>
    <row r="223" spans="1:20" ht="15.75" customHeight="1" x14ac:dyDescent="0.25">
      <c r="A223" s="272" t="s">
        <v>528</v>
      </c>
      <c r="B223" s="275" t="s">
        <v>527</v>
      </c>
      <c r="C223" s="265">
        <v>0.4</v>
      </c>
      <c r="D223" s="273" t="s">
        <v>772</v>
      </c>
      <c r="E223" s="274" t="s">
        <v>771</v>
      </c>
      <c r="F223" s="265">
        <v>0.1</v>
      </c>
      <c r="G223" s="273" t="s">
        <v>748</v>
      </c>
      <c r="H223" s="272" t="s">
        <v>762</v>
      </c>
      <c r="I223" s="265">
        <v>0</v>
      </c>
      <c r="J223" s="271">
        <f t="shared" si="3"/>
        <v>0.5</v>
      </c>
      <c r="K223" s="270"/>
      <c r="L223" s="279" t="s">
        <v>1031</v>
      </c>
      <c r="M223" s="279" t="s">
        <v>1031</v>
      </c>
      <c r="N223" s="279" t="s">
        <v>1031</v>
      </c>
      <c r="O223" s="268" t="s">
        <v>1031</v>
      </c>
      <c r="P223" s="268">
        <v>0</v>
      </c>
      <c r="Q223" s="277" t="s">
        <v>1031</v>
      </c>
      <c r="R223" s="267">
        <v>0</v>
      </c>
      <c r="S223" s="267">
        <v>0</v>
      </c>
      <c r="T223" s="276" t="s">
        <v>1031</v>
      </c>
    </row>
    <row r="224" spans="1:20" ht="15.75" customHeight="1" x14ac:dyDescent="0.25">
      <c r="A224" s="272" t="s">
        <v>530</v>
      </c>
      <c r="B224" s="275" t="s">
        <v>529</v>
      </c>
      <c r="C224" s="265">
        <v>0.4</v>
      </c>
      <c r="D224" s="273" t="s">
        <v>874</v>
      </c>
      <c r="E224" s="274" t="s">
        <v>873</v>
      </c>
      <c r="F224" s="265">
        <v>0.09</v>
      </c>
      <c r="G224" s="273" t="s">
        <v>872</v>
      </c>
      <c r="H224" s="272" t="s">
        <v>871</v>
      </c>
      <c r="I224" s="265">
        <v>0.01</v>
      </c>
      <c r="J224" s="271">
        <f t="shared" si="3"/>
        <v>0.5</v>
      </c>
      <c r="K224" s="270"/>
      <c r="L224" s="279" t="s">
        <v>1031</v>
      </c>
      <c r="M224" s="279" t="s">
        <v>1031</v>
      </c>
      <c r="N224" s="279" t="s">
        <v>1031</v>
      </c>
      <c r="O224" s="268" t="s">
        <v>1032</v>
      </c>
      <c r="P224" s="268">
        <v>392000</v>
      </c>
      <c r="Q224" s="277" t="s">
        <v>1031</v>
      </c>
      <c r="R224" s="267">
        <v>0</v>
      </c>
      <c r="S224" s="267">
        <v>0</v>
      </c>
      <c r="T224" s="276" t="s">
        <v>1031</v>
      </c>
    </row>
    <row r="225" spans="1:20" ht="15.75" customHeight="1" x14ac:dyDescent="0.25">
      <c r="A225" s="272" t="s">
        <v>532</v>
      </c>
      <c r="B225" s="275" t="s">
        <v>531</v>
      </c>
      <c r="C225" s="265">
        <v>0.4</v>
      </c>
      <c r="D225" s="273" t="s">
        <v>779</v>
      </c>
      <c r="E225" s="274" t="s">
        <v>778</v>
      </c>
      <c r="F225" s="265">
        <v>0.09</v>
      </c>
      <c r="G225" s="273" t="s">
        <v>777</v>
      </c>
      <c r="H225" s="272" t="s">
        <v>776</v>
      </c>
      <c r="I225" s="265">
        <v>0.01</v>
      </c>
      <c r="J225" s="271">
        <f t="shared" si="3"/>
        <v>0.5</v>
      </c>
      <c r="K225" s="270"/>
      <c r="L225" s="279" t="s">
        <v>1031</v>
      </c>
      <c r="M225" s="279" t="s">
        <v>1031</v>
      </c>
      <c r="N225" s="279" t="s">
        <v>1031</v>
      </c>
      <c r="O225" s="268" t="s">
        <v>1031</v>
      </c>
      <c r="P225" s="268">
        <v>0</v>
      </c>
      <c r="Q225" s="277" t="s">
        <v>1031</v>
      </c>
      <c r="R225" s="267">
        <v>0</v>
      </c>
      <c r="S225" s="267">
        <v>0</v>
      </c>
      <c r="T225" s="276" t="s">
        <v>1031</v>
      </c>
    </row>
    <row r="226" spans="1:20" ht="15.75" customHeight="1" x14ac:dyDescent="0.25">
      <c r="A226" s="272" t="s">
        <v>534</v>
      </c>
      <c r="B226" s="275" t="s">
        <v>870</v>
      </c>
      <c r="C226" s="265">
        <v>0.49</v>
      </c>
      <c r="D226" s="273" t="s">
        <v>748</v>
      </c>
      <c r="E226" s="274" t="s">
        <v>747</v>
      </c>
      <c r="F226" s="265">
        <v>0</v>
      </c>
      <c r="G226" s="273" t="s">
        <v>869</v>
      </c>
      <c r="H226" s="272" t="s">
        <v>868</v>
      </c>
      <c r="I226" s="265">
        <v>0.01</v>
      </c>
      <c r="J226" s="271">
        <f t="shared" si="3"/>
        <v>0.5</v>
      </c>
      <c r="K226" s="270"/>
      <c r="L226" s="279" t="s">
        <v>1031</v>
      </c>
      <c r="M226" s="279" t="s">
        <v>1031</v>
      </c>
      <c r="N226" s="279" t="s">
        <v>1031</v>
      </c>
      <c r="O226" s="268" t="s">
        <v>1031</v>
      </c>
      <c r="P226" s="268">
        <v>0</v>
      </c>
      <c r="Q226" s="277" t="s">
        <v>1032</v>
      </c>
      <c r="R226" s="267">
        <v>0</v>
      </c>
      <c r="S226" s="267">
        <v>0</v>
      </c>
      <c r="T226" s="276" t="s">
        <v>1032</v>
      </c>
    </row>
    <row r="227" spans="1:20" ht="15.75" customHeight="1" x14ac:dyDescent="0.25">
      <c r="A227" s="272" t="s">
        <v>536</v>
      </c>
      <c r="B227" s="275" t="s">
        <v>535</v>
      </c>
      <c r="C227" s="265">
        <v>0.4</v>
      </c>
      <c r="D227" s="273" t="s">
        <v>867</v>
      </c>
      <c r="E227" s="274" t="s">
        <v>866</v>
      </c>
      <c r="F227" s="265">
        <v>0.09</v>
      </c>
      <c r="G227" s="273" t="s">
        <v>746</v>
      </c>
      <c r="H227" s="272" t="s">
        <v>745</v>
      </c>
      <c r="I227" s="265">
        <v>0.01</v>
      </c>
      <c r="J227" s="271">
        <f t="shared" si="3"/>
        <v>0.5</v>
      </c>
      <c r="K227" s="270"/>
      <c r="L227" s="279" t="s">
        <v>1031</v>
      </c>
      <c r="M227" s="279" t="s">
        <v>1031</v>
      </c>
      <c r="N227" s="279" t="s">
        <v>1031</v>
      </c>
      <c r="O227" s="268" t="s">
        <v>1031</v>
      </c>
      <c r="P227" s="268">
        <v>0</v>
      </c>
      <c r="Q227" s="277" t="s">
        <v>1031</v>
      </c>
      <c r="R227" s="267">
        <v>0</v>
      </c>
      <c r="S227" s="267">
        <v>0</v>
      </c>
      <c r="T227" s="276" t="s">
        <v>1031</v>
      </c>
    </row>
    <row r="228" spans="1:20" ht="15.75" customHeight="1" x14ac:dyDescent="0.25">
      <c r="A228" s="272" t="s">
        <v>538</v>
      </c>
      <c r="B228" s="275" t="s">
        <v>537</v>
      </c>
      <c r="C228" s="265">
        <v>0.49</v>
      </c>
      <c r="D228" s="273" t="s">
        <v>748</v>
      </c>
      <c r="E228" s="274" t="s">
        <v>767</v>
      </c>
      <c r="F228" s="265">
        <v>0</v>
      </c>
      <c r="G228" s="273" t="s">
        <v>783</v>
      </c>
      <c r="H228" s="272" t="s">
        <v>782</v>
      </c>
      <c r="I228" s="265">
        <v>0.01</v>
      </c>
      <c r="J228" s="271">
        <f t="shared" si="3"/>
        <v>0.5</v>
      </c>
      <c r="K228" s="270"/>
      <c r="L228" s="279" t="s">
        <v>1031</v>
      </c>
      <c r="M228" s="279" t="s">
        <v>1031</v>
      </c>
      <c r="N228" s="279" t="s">
        <v>1031</v>
      </c>
      <c r="O228" s="268" t="s">
        <v>1031</v>
      </c>
      <c r="P228" s="268">
        <v>0</v>
      </c>
      <c r="Q228" s="277" t="s">
        <v>1032</v>
      </c>
      <c r="R228" s="267">
        <v>0</v>
      </c>
      <c r="S228" s="267">
        <v>0</v>
      </c>
      <c r="T228" s="276" t="s">
        <v>1032</v>
      </c>
    </row>
    <row r="229" spans="1:20" ht="15.75" customHeight="1" x14ac:dyDescent="0.25">
      <c r="A229" s="272" t="s">
        <v>540</v>
      </c>
      <c r="B229" s="275" t="s">
        <v>539</v>
      </c>
      <c r="C229" s="265">
        <v>0.49</v>
      </c>
      <c r="D229" s="273" t="s">
        <v>748</v>
      </c>
      <c r="E229" s="274" t="s">
        <v>767</v>
      </c>
      <c r="F229" s="265">
        <v>0</v>
      </c>
      <c r="G229" s="273" t="s">
        <v>766</v>
      </c>
      <c r="H229" s="272" t="s">
        <v>765</v>
      </c>
      <c r="I229" s="265">
        <v>0.01</v>
      </c>
      <c r="J229" s="271">
        <f t="shared" si="3"/>
        <v>0.5</v>
      </c>
      <c r="K229" s="270"/>
      <c r="L229" s="279" t="s">
        <v>1031</v>
      </c>
      <c r="M229" s="279" t="s">
        <v>1031</v>
      </c>
      <c r="N229" s="279" t="s">
        <v>1031</v>
      </c>
      <c r="O229" s="268" t="s">
        <v>1031</v>
      </c>
      <c r="P229" s="268">
        <v>0</v>
      </c>
      <c r="Q229" s="277" t="s">
        <v>1032</v>
      </c>
      <c r="R229" s="267">
        <v>0</v>
      </c>
      <c r="S229" s="267">
        <v>0</v>
      </c>
      <c r="T229" s="276" t="s">
        <v>1032</v>
      </c>
    </row>
    <row r="230" spans="1:20" ht="15.75" customHeight="1" x14ac:dyDescent="0.25">
      <c r="A230" s="272" t="s">
        <v>542</v>
      </c>
      <c r="B230" s="275" t="s">
        <v>541</v>
      </c>
      <c r="C230" s="265">
        <v>0.4</v>
      </c>
      <c r="D230" s="273" t="s">
        <v>867</v>
      </c>
      <c r="E230" s="274" t="s">
        <v>866</v>
      </c>
      <c r="F230" s="265">
        <v>0.09</v>
      </c>
      <c r="G230" s="273" t="s">
        <v>746</v>
      </c>
      <c r="H230" s="272" t="s">
        <v>745</v>
      </c>
      <c r="I230" s="265">
        <v>0.01</v>
      </c>
      <c r="J230" s="271">
        <f t="shared" si="3"/>
        <v>0.5</v>
      </c>
      <c r="K230" s="270"/>
      <c r="L230" s="279" t="s">
        <v>1031</v>
      </c>
      <c r="M230" s="279" t="s">
        <v>1031</v>
      </c>
      <c r="N230" s="279" t="s">
        <v>1031</v>
      </c>
      <c r="O230" s="268" t="s">
        <v>1031</v>
      </c>
      <c r="P230" s="268">
        <v>0</v>
      </c>
      <c r="Q230" s="277" t="s">
        <v>1031</v>
      </c>
      <c r="R230" s="267">
        <v>0</v>
      </c>
      <c r="S230" s="267">
        <v>0</v>
      </c>
      <c r="T230" s="276" t="s">
        <v>1031</v>
      </c>
    </row>
    <row r="231" spans="1:20" ht="15.75" customHeight="1" x14ac:dyDescent="0.25">
      <c r="A231" s="272" t="s">
        <v>544</v>
      </c>
      <c r="B231" s="275" t="s">
        <v>543</v>
      </c>
      <c r="C231" s="265">
        <v>0.4</v>
      </c>
      <c r="D231" s="273" t="s">
        <v>794</v>
      </c>
      <c r="E231" s="274" t="s">
        <v>793</v>
      </c>
      <c r="F231" s="265">
        <v>0.09</v>
      </c>
      <c r="G231" s="273" t="s">
        <v>792</v>
      </c>
      <c r="H231" s="272" t="s">
        <v>791</v>
      </c>
      <c r="I231" s="265">
        <v>0.01</v>
      </c>
      <c r="J231" s="271">
        <f t="shared" si="3"/>
        <v>0.5</v>
      </c>
      <c r="K231" s="270"/>
      <c r="L231" s="279" t="s">
        <v>1031</v>
      </c>
      <c r="M231" s="279" t="s">
        <v>1031</v>
      </c>
      <c r="N231" s="279" t="s">
        <v>1031</v>
      </c>
      <c r="O231" s="268" t="s">
        <v>1031</v>
      </c>
      <c r="P231" s="268">
        <v>0</v>
      </c>
      <c r="Q231" s="277" t="s">
        <v>1031</v>
      </c>
      <c r="R231" s="267">
        <v>0</v>
      </c>
      <c r="S231" s="267">
        <v>0</v>
      </c>
      <c r="T231" s="276" t="s">
        <v>1031</v>
      </c>
    </row>
    <row r="232" spans="1:20" ht="15.75" customHeight="1" x14ac:dyDescent="0.25">
      <c r="A232" s="272" t="s">
        <v>546</v>
      </c>
      <c r="B232" s="275" t="s">
        <v>545</v>
      </c>
      <c r="C232" s="265">
        <v>0.49</v>
      </c>
      <c r="D232" s="273" t="s">
        <v>748</v>
      </c>
      <c r="E232" s="274" t="s">
        <v>767</v>
      </c>
      <c r="F232" s="265">
        <v>0</v>
      </c>
      <c r="G232" s="273" t="s">
        <v>774</v>
      </c>
      <c r="H232" s="272" t="s">
        <v>773</v>
      </c>
      <c r="I232" s="265">
        <v>0.01</v>
      </c>
      <c r="J232" s="271">
        <f t="shared" si="3"/>
        <v>0.5</v>
      </c>
      <c r="K232" s="270"/>
      <c r="L232" s="279" t="s">
        <v>1031</v>
      </c>
      <c r="M232" s="279" t="s">
        <v>1031</v>
      </c>
      <c r="N232" s="279" t="s">
        <v>1031</v>
      </c>
      <c r="O232" s="268" t="s">
        <v>1032</v>
      </c>
      <c r="P232" s="268">
        <v>1323200</v>
      </c>
      <c r="Q232" s="277" t="s">
        <v>1032</v>
      </c>
      <c r="R232" s="267">
        <v>0</v>
      </c>
      <c r="S232" s="267">
        <v>0</v>
      </c>
      <c r="T232" s="276" t="s">
        <v>1032</v>
      </c>
    </row>
    <row r="233" spans="1:20" ht="15.75" customHeight="1" x14ac:dyDescent="0.25">
      <c r="A233" s="272" t="s">
        <v>548</v>
      </c>
      <c r="B233" s="275" t="s">
        <v>547</v>
      </c>
      <c r="C233" s="265">
        <v>0.4</v>
      </c>
      <c r="D233" s="273" t="s">
        <v>867</v>
      </c>
      <c r="E233" s="274" t="s">
        <v>866</v>
      </c>
      <c r="F233" s="265">
        <v>0.09</v>
      </c>
      <c r="G233" s="273" t="s">
        <v>746</v>
      </c>
      <c r="H233" s="272" t="s">
        <v>745</v>
      </c>
      <c r="I233" s="265">
        <v>0.01</v>
      </c>
      <c r="J233" s="271">
        <f t="shared" si="3"/>
        <v>0.5</v>
      </c>
      <c r="K233" s="270"/>
      <c r="L233" s="279" t="s">
        <v>1031</v>
      </c>
      <c r="M233" s="279" t="s">
        <v>1031</v>
      </c>
      <c r="N233" s="279" t="s">
        <v>1031</v>
      </c>
      <c r="O233" s="268" t="s">
        <v>1031</v>
      </c>
      <c r="P233" s="268">
        <v>0</v>
      </c>
      <c r="Q233" s="277" t="s">
        <v>1031</v>
      </c>
      <c r="R233" s="267">
        <v>0</v>
      </c>
      <c r="S233" s="267">
        <v>0</v>
      </c>
      <c r="T233" s="276" t="s">
        <v>1031</v>
      </c>
    </row>
    <row r="234" spans="1:20" ht="15.75" customHeight="1" x14ac:dyDescent="0.25">
      <c r="A234" s="272" t="s">
        <v>550</v>
      </c>
      <c r="B234" s="275" t="s">
        <v>549</v>
      </c>
      <c r="C234" s="265">
        <v>0.4</v>
      </c>
      <c r="D234" s="273" t="s">
        <v>826</v>
      </c>
      <c r="E234" s="274" t="s">
        <v>825</v>
      </c>
      <c r="F234" s="265">
        <v>0.09</v>
      </c>
      <c r="G234" s="273" t="s">
        <v>824</v>
      </c>
      <c r="H234" s="272" t="s">
        <v>823</v>
      </c>
      <c r="I234" s="265">
        <v>0.01</v>
      </c>
      <c r="J234" s="271">
        <f t="shared" si="3"/>
        <v>0.5</v>
      </c>
      <c r="K234" s="270"/>
      <c r="L234" s="279" t="s">
        <v>1031</v>
      </c>
      <c r="M234" s="279" t="s">
        <v>1031</v>
      </c>
      <c r="N234" s="279" t="s">
        <v>1031</v>
      </c>
      <c r="O234" s="268" t="s">
        <v>1031</v>
      </c>
      <c r="P234" s="268">
        <v>0</v>
      </c>
      <c r="Q234" s="277" t="s">
        <v>1031</v>
      </c>
      <c r="R234" s="267">
        <v>0</v>
      </c>
      <c r="S234" s="267">
        <v>0</v>
      </c>
      <c r="T234" s="276" t="s">
        <v>1031</v>
      </c>
    </row>
    <row r="235" spans="1:20" x14ac:dyDescent="0.25">
      <c r="A235" s="272" t="s">
        <v>552</v>
      </c>
      <c r="B235" s="275" t="s">
        <v>551</v>
      </c>
      <c r="C235" s="265">
        <v>0.49</v>
      </c>
      <c r="D235" s="273" t="s">
        <v>748</v>
      </c>
      <c r="E235" s="274" t="s">
        <v>767</v>
      </c>
      <c r="F235" s="265">
        <v>0</v>
      </c>
      <c r="G235" s="273" t="s">
        <v>865</v>
      </c>
      <c r="H235" s="272" t="s">
        <v>864</v>
      </c>
      <c r="I235" s="265">
        <v>0.01</v>
      </c>
      <c r="J235" s="271">
        <f t="shared" si="3"/>
        <v>0.5</v>
      </c>
      <c r="K235" s="270"/>
      <c r="L235" s="279" t="s">
        <v>1032</v>
      </c>
      <c r="M235" s="279" t="s">
        <v>1038</v>
      </c>
      <c r="N235" s="279" t="s">
        <v>1045</v>
      </c>
      <c r="O235" s="268" t="s">
        <v>1031</v>
      </c>
      <c r="P235" s="268">
        <v>0</v>
      </c>
      <c r="Q235" s="277" t="s">
        <v>1032</v>
      </c>
      <c r="R235" s="267">
        <v>1681289</v>
      </c>
      <c r="S235" s="267">
        <v>1529012</v>
      </c>
      <c r="T235" s="276" t="s">
        <v>1032</v>
      </c>
    </row>
    <row r="236" spans="1:20" ht="15.75" customHeight="1" x14ac:dyDescent="0.25">
      <c r="A236" s="272" t="s">
        <v>554</v>
      </c>
      <c r="B236" s="275" t="s">
        <v>553</v>
      </c>
      <c r="C236" s="265">
        <v>0.4</v>
      </c>
      <c r="D236" s="273" t="s">
        <v>826</v>
      </c>
      <c r="E236" s="274" t="s">
        <v>825</v>
      </c>
      <c r="F236" s="265">
        <v>0.09</v>
      </c>
      <c r="G236" s="273" t="s">
        <v>824</v>
      </c>
      <c r="H236" s="272" t="s">
        <v>823</v>
      </c>
      <c r="I236" s="265">
        <v>0.01</v>
      </c>
      <c r="J236" s="271">
        <f t="shared" si="3"/>
        <v>0.5</v>
      </c>
      <c r="K236" s="270"/>
      <c r="L236" s="279" t="s">
        <v>1031</v>
      </c>
      <c r="M236" s="279" t="s">
        <v>1031</v>
      </c>
      <c r="N236" s="279" t="s">
        <v>1031</v>
      </c>
      <c r="O236" s="268" t="s">
        <v>1031</v>
      </c>
      <c r="P236" s="268">
        <v>0</v>
      </c>
      <c r="Q236" s="277" t="s">
        <v>1031</v>
      </c>
      <c r="R236" s="267">
        <v>0</v>
      </c>
      <c r="S236" s="267">
        <v>0</v>
      </c>
      <c r="T236" s="276" t="s">
        <v>1031</v>
      </c>
    </row>
    <row r="237" spans="1:20" ht="15.75" customHeight="1" x14ac:dyDescent="0.25">
      <c r="A237" s="272" t="s">
        <v>556</v>
      </c>
      <c r="B237" s="275" t="s">
        <v>555</v>
      </c>
      <c r="C237" s="265">
        <v>0.49</v>
      </c>
      <c r="D237" s="273" t="s">
        <v>748</v>
      </c>
      <c r="E237" s="274" t="s">
        <v>747</v>
      </c>
      <c r="F237" s="265">
        <v>0</v>
      </c>
      <c r="G237" s="273" t="s">
        <v>833</v>
      </c>
      <c r="H237" s="272" t="s">
        <v>832</v>
      </c>
      <c r="I237" s="265">
        <v>0.01</v>
      </c>
      <c r="J237" s="271">
        <f t="shared" si="3"/>
        <v>0.5</v>
      </c>
      <c r="K237" s="270"/>
      <c r="L237" s="279" t="s">
        <v>1031</v>
      </c>
      <c r="M237" s="279" t="s">
        <v>1031</v>
      </c>
      <c r="N237" s="279" t="s">
        <v>1031</v>
      </c>
      <c r="O237" s="268" t="s">
        <v>1031</v>
      </c>
      <c r="P237" s="268">
        <v>0</v>
      </c>
      <c r="Q237" s="277" t="s">
        <v>1032</v>
      </c>
      <c r="R237" s="267">
        <v>0</v>
      </c>
      <c r="S237" s="267">
        <v>0</v>
      </c>
      <c r="T237" s="276" t="s">
        <v>1032</v>
      </c>
    </row>
    <row r="238" spans="1:20" ht="15.75" customHeight="1" x14ac:dyDescent="0.25">
      <c r="A238" s="272" t="s">
        <v>558</v>
      </c>
      <c r="B238" s="275" t="s">
        <v>863</v>
      </c>
      <c r="C238" s="265">
        <v>0.49</v>
      </c>
      <c r="D238" s="273" t="s">
        <v>748</v>
      </c>
      <c r="E238" s="274" t="s">
        <v>747</v>
      </c>
      <c r="F238" s="265">
        <v>0</v>
      </c>
      <c r="G238" s="273" t="s">
        <v>769</v>
      </c>
      <c r="H238" s="272" t="s">
        <v>768</v>
      </c>
      <c r="I238" s="265">
        <v>0.01</v>
      </c>
      <c r="J238" s="271">
        <f t="shared" si="3"/>
        <v>0.5</v>
      </c>
      <c r="K238" s="270"/>
      <c r="L238" s="279" t="s">
        <v>1031</v>
      </c>
      <c r="M238" s="279" t="s">
        <v>1031</v>
      </c>
      <c r="N238" s="279" t="s">
        <v>1031</v>
      </c>
      <c r="O238" s="268" t="s">
        <v>1031</v>
      </c>
      <c r="P238" s="268">
        <v>0</v>
      </c>
      <c r="Q238" s="277" t="s">
        <v>1032</v>
      </c>
      <c r="R238" s="267">
        <v>0</v>
      </c>
      <c r="S238" s="267">
        <v>0</v>
      </c>
      <c r="T238" s="276" t="s">
        <v>1032</v>
      </c>
    </row>
    <row r="239" spans="1:20" ht="15.75" customHeight="1" x14ac:dyDescent="0.25">
      <c r="A239" s="272" t="s">
        <v>560</v>
      </c>
      <c r="B239" s="275" t="s">
        <v>559</v>
      </c>
      <c r="C239" s="265">
        <v>0.49</v>
      </c>
      <c r="D239" s="273" t="s">
        <v>748</v>
      </c>
      <c r="E239" s="274" t="s">
        <v>767</v>
      </c>
      <c r="F239" s="265">
        <v>0</v>
      </c>
      <c r="G239" s="273" t="s">
        <v>766</v>
      </c>
      <c r="H239" s="272" t="s">
        <v>765</v>
      </c>
      <c r="I239" s="265">
        <v>0.01</v>
      </c>
      <c r="J239" s="271">
        <f t="shared" si="3"/>
        <v>0.5</v>
      </c>
      <c r="K239" s="270"/>
      <c r="L239" s="279" t="s">
        <v>1031</v>
      </c>
      <c r="M239" s="279" t="s">
        <v>1031</v>
      </c>
      <c r="N239" s="279" t="s">
        <v>1031</v>
      </c>
      <c r="O239" s="268" t="s">
        <v>1032</v>
      </c>
      <c r="P239" s="268">
        <v>2576679</v>
      </c>
      <c r="Q239" s="277" t="s">
        <v>1032</v>
      </c>
      <c r="R239" s="267">
        <v>0</v>
      </c>
      <c r="S239" s="267">
        <v>0</v>
      </c>
      <c r="T239" s="276" t="s">
        <v>1032</v>
      </c>
    </row>
    <row r="240" spans="1:20" ht="15.75" customHeight="1" x14ac:dyDescent="0.25">
      <c r="A240" s="272" t="s">
        <v>562</v>
      </c>
      <c r="B240" s="275" t="s">
        <v>561</v>
      </c>
      <c r="C240" s="265">
        <v>0.4</v>
      </c>
      <c r="D240" s="273" t="s">
        <v>761</v>
      </c>
      <c r="E240" s="274" t="s">
        <v>760</v>
      </c>
      <c r="F240" s="265">
        <v>0.09</v>
      </c>
      <c r="G240" s="273" t="s">
        <v>759</v>
      </c>
      <c r="H240" s="272" t="s">
        <v>758</v>
      </c>
      <c r="I240" s="265">
        <v>0.01</v>
      </c>
      <c r="J240" s="271">
        <f t="shared" si="3"/>
        <v>0.5</v>
      </c>
      <c r="K240" s="270"/>
      <c r="L240" s="279" t="s">
        <v>1031</v>
      </c>
      <c r="M240" s="279" t="s">
        <v>1031</v>
      </c>
      <c r="N240" s="279" t="s">
        <v>1031</v>
      </c>
      <c r="O240" s="268" t="s">
        <v>1031</v>
      </c>
      <c r="P240" s="268">
        <v>0</v>
      </c>
      <c r="Q240" s="277" t="s">
        <v>1031</v>
      </c>
      <c r="R240" s="267">
        <v>0</v>
      </c>
      <c r="S240" s="267">
        <v>0</v>
      </c>
      <c r="T240" s="276" t="s">
        <v>1031</v>
      </c>
    </row>
    <row r="241" spans="1:20" ht="15.75" customHeight="1" x14ac:dyDescent="0.25">
      <c r="A241" s="272" t="s">
        <v>564</v>
      </c>
      <c r="B241" s="275" t="s">
        <v>563</v>
      </c>
      <c r="C241" s="265">
        <v>0.4</v>
      </c>
      <c r="D241" s="273" t="s">
        <v>862</v>
      </c>
      <c r="E241" s="274" t="s">
        <v>861</v>
      </c>
      <c r="F241" s="265">
        <v>0.09</v>
      </c>
      <c r="G241" s="273" t="s">
        <v>860</v>
      </c>
      <c r="H241" s="272" t="s">
        <v>859</v>
      </c>
      <c r="I241" s="265">
        <v>0.01</v>
      </c>
      <c r="J241" s="271">
        <f t="shared" si="3"/>
        <v>0.5</v>
      </c>
      <c r="K241" s="270"/>
      <c r="L241" s="279" t="s">
        <v>1031</v>
      </c>
      <c r="M241" s="279" t="s">
        <v>1031</v>
      </c>
      <c r="N241" s="279" t="s">
        <v>1031</v>
      </c>
      <c r="O241" s="268" t="s">
        <v>1031</v>
      </c>
      <c r="P241" s="268">
        <v>0</v>
      </c>
      <c r="Q241" s="277" t="s">
        <v>1031</v>
      </c>
      <c r="R241" s="267">
        <v>0</v>
      </c>
      <c r="S241" s="267">
        <v>0</v>
      </c>
      <c r="T241" s="276" t="s">
        <v>1031</v>
      </c>
    </row>
    <row r="242" spans="1:20" ht="15.75" customHeight="1" x14ac:dyDescent="0.25">
      <c r="A242" s="272" t="s">
        <v>566</v>
      </c>
      <c r="B242" s="275" t="s">
        <v>565</v>
      </c>
      <c r="C242" s="265">
        <v>0.4</v>
      </c>
      <c r="D242" s="273" t="s">
        <v>858</v>
      </c>
      <c r="E242" s="274" t="s">
        <v>857</v>
      </c>
      <c r="F242" s="265">
        <v>0.09</v>
      </c>
      <c r="G242" s="273" t="s">
        <v>856</v>
      </c>
      <c r="H242" s="272" t="s">
        <v>855</v>
      </c>
      <c r="I242" s="265">
        <v>0.01</v>
      </c>
      <c r="J242" s="271">
        <f t="shared" si="3"/>
        <v>0.5</v>
      </c>
      <c r="K242" s="270"/>
      <c r="L242" s="279" t="s">
        <v>1031</v>
      </c>
      <c r="M242" s="279" t="s">
        <v>1031</v>
      </c>
      <c r="N242" s="279" t="s">
        <v>1031</v>
      </c>
      <c r="O242" s="268" t="s">
        <v>1031</v>
      </c>
      <c r="P242" s="268">
        <v>0</v>
      </c>
      <c r="Q242" s="277" t="s">
        <v>1031</v>
      </c>
      <c r="R242" s="267">
        <v>0</v>
      </c>
      <c r="S242" s="267">
        <v>0</v>
      </c>
      <c r="T242" s="276" t="s">
        <v>1031</v>
      </c>
    </row>
    <row r="243" spans="1:20" x14ac:dyDescent="0.25">
      <c r="A243" s="272" t="s">
        <v>568</v>
      </c>
      <c r="B243" s="275" t="s">
        <v>854</v>
      </c>
      <c r="C243" s="265">
        <v>0.49</v>
      </c>
      <c r="D243" s="273" t="s">
        <v>748</v>
      </c>
      <c r="E243" s="274" t="s">
        <v>747</v>
      </c>
      <c r="F243" s="265">
        <v>0</v>
      </c>
      <c r="G243" s="273" t="s">
        <v>853</v>
      </c>
      <c r="H243" s="272" t="s">
        <v>852</v>
      </c>
      <c r="I243" s="265">
        <v>0.01</v>
      </c>
      <c r="J243" s="271">
        <f t="shared" si="3"/>
        <v>0.5</v>
      </c>
      <c r="K243" s="270"/>
      <c r="L243" s="279" t="s">
        <v>1032</v>
      </c>
      <c r="M243" s="279" t="s">
        <v>1034</v>
      </c>
      <c r="N243" s="279" t="s">
        <v>1031</v>
      </c>
      <c r="O243" s="268" t="s">
        <v>1031</v>
      </c>
      <c r="P243" s="268">
        <v>0</v>
      </c>
      <c r="Q243" s="277" t="s">
        <v>1032</v>
      </c>
      <c r="R243" s="267">
        <v>640636</v>
      </c>
      <c r="S243" s="267">
        <v>0</v>
      </c>
      <c r="T243" s="276" t="s">
        <v>1032</v>
      </c>
    </row>
    <row r="244" spans="1:20" ht="15.75" customHeight="1" x14ac:dyDescent="0.25">
      <c r="A244" s="272" t="s">
        <v>570</v>
      </c>
      <c r="B244" s="275" t="s">
        <v>569</v>
      </c>
      <c r="C244" s="265">
        <v>0.4</v>
      </c>
      <c r="D244" s="273" t="s">
        <v>800</v>
      </c>
      <c r="E244" s="274" t="s">
        <v>799</v>
      </c>
      <c r="F244" s="265">
        <v>0.09</v>
      </c>
      <c r="G244" s="273" t="s">
        <v>792</v>
      </c>
      <c r="H244" s="272" t="s">
        <v>791</v>
      </c>
      <c r="I244" s="265">
        <v>0.01</v>
      </c>
      <c r="J244" s="271">
        <f t="shared" si="3"/>
        <v>0.5</v>
      </c>
      <c r="K244" s="270"/>
      <c r="L244" s="279" t="s">
        <v>1031</v>
      </c>
      <c r="M244" s="279" t="s">
        <v>1031</v>
      </c>
      <c r="N244" s="279" t="s">
        <v>1031</v>
      </c>
      <c r="O244" s="268" t="s">
        <v>1031</v>
      </c>
      <c r="P244" s="268">
        <v>0</v>
      </c>
      <c r="Q244" s="277" t="s">
        <v>1031</v>
      </c>
      <c r="R244" s="267">
        <v>0</v>
      </c>
      <c r="S244" s="267">
        <v>0</v>
      </c>
      <c r="T244" s="276" t="s">
        <v>1031</v>
      </c>
    </row>
    <row r="245" spans="1:20" ht="15.75" customHeight="1" x14ac:dyDescent="0.25">
      <c r="A245" s="272" t="s">
        <v>572</v>
      </c>
      <c r="B245" s="275" t="s">
        <v>571</v>
      </c>
      <c r="C245" s="265">
        <v>0.4</v>
      </c>
      <c r="D245" s="273" t="s">
        <v>798</v>
      </c>
      <c r="E245" s="274" t="s">
        <v>797</v>
      </c>
      <c r="F245" s="265">
        <v>0.1</v>
      </c>
      <c r="G245" s="273" t="s">
        <v>748</v>
      </c>
      <c r="H245" s="272" t="s">
        <v>762</v>
      </c>
      <c r="I245" s="265">
        <v>0</v>
      </c>
      <c r="J245" s="271">
        <f t="shared" si="3"/>
        <v>0.5</v>
      </c>
      <c r="K245" s="270"/>
      <c r="L245" s="279" t="s">
        <v>1031</v>
      </c>
      <c r="M245" s="279" t="s">
        <v>1031</v>
      </c>
      <c r="N245" s="279" t="s">
        <v>1031</v>
      </c>
      <c r="O245" s="268" t="s">
        <v>1031</v>
      </c>
      <c r="P245" s="268">
        <v>0</v>
      </c>
      <c r="Q245" s="277" t="s">
        <v>1031</v>
      </c>
      <c r="R245" s="267">
        <v>0</v>
      </c>
      <c r="S245" s="267">
        <v>0</v>
      </c>
      <c r="T245" s="276" t="s">
        <v>1031</v>
      </c>
    </row>
    <row r="246" spans="1:20" ht="15.75" customHeight="1" x14ac:dyDescent="0.25">
      <c r="A246" s="272" t="s">
        <v>574</v>
      </c>
      <c r="B246" s="275" t="s">
        <v>573</v>
      </c>
      <c r="C246" s="265">
        <v>0.4</v>
      </c>
      <c r="D246" s="273" t="s">
        <v>798</v>
      </c>
      <c r="E246" s="274" t="s">
        <v>797</v>
      </c>
      <c r="F246" s="265">
        <v>0.1</v>
      </c>
      <c r="G246" s="273" t="s">
        <v>748</v>
      </c>
      <c r="H246" s="272" t="s">
        <v>762</v>
      </c>
      <c r="I246" s="265">
        <v>0</v>
      </c>
      <c r="J246" s="271">
        <f t="shared" si="3"/>
        <v>0.5</v>
      </c>
      <c r="K246" s="270"/>
      <c r="L246" s="279" t="s">
        <v>1031</v>
      </c>
      <c r="M246" s="279" t="s">
        <v>1031</v>
      </c>
      <c r="N246" s="279" t="s">
        <v>1031</v>
      </c>
      <c r="O246" s="268" t="s">
        <v>1031</v>
      </c>
      <c r="P246" s="268">
        <v>0</v>
      </c>
      <c r="Q246" s="277" t="s">
        <v>1031</v>
      </c>
      <c r="R246" s="267">
        <v>0</v>
      </c>
      <c r="S246" s="267">
        <v>0</v>
      </c>
      <c r="T246" s="276" t="s">
        <v>1031</v>
      </c>
    </row>
    <row r="247" spans="1:20" ht="15.75" customHeight="1" x14ac:dyDescent="0.25">
      <c r="A247" s="272" t="s">
        <v>576</v>
      </c>
      <c r="B247" s="275" t="s">
        <v>575</v>
      </c>
      <c r="C247" s="265">
        <v>0.4</v>
      </c>
      <c r="D247" s="273" t="s">
        <v>851</v>
      </c>
      <c r="E247" s="274" t="s">
        <v>850</v>
      </c>
      <c r="F247" s="265">
        <v>0.1</v>
      </c>
      <c r="G247" s="273" t="s">
        <v>748</v>
      </c>
      <c r="H247" s="272" t="s">
        <v>762</v>
      </c>
      <c r="I247" s="265">
        <v>0</v>
      </c>
      <c r="J247" s="271">
        <f t="shared" si="3"/>
        <v>0.5</v>
      </c>
      <c r="K247" s="270"/>
      <c r="L247" s="279" t="s">
        <v>1031</v>
      </c>
      <c r="M247" s="279" t="s">
        <v>1031</v>
      </c>
      <c r="N247" s="279" t="s">
        <v>1031</v>
      </c>
      <c r="O247" s="268" t="s">
        <v>1031</v>
      </c>
      <c r="P247" s="268">
        <v>0</v>
      </c>
      <c r="Q247" s="277" t="s">
        <v>1031</v>
      </c>
      <c r="R247" s="267">
        <v>0</v>
      </c>
      <c r="S247" s="267">
        <v>0</v>
      </c>
      <c r="T247" s="276" t="s">
        <v>1031</v>
      </c>
    </row>
    <row r="248" spans="1:20" ht="15.75" customHeight="1" x14ac:dyDescent="0.25">
      <c r="A248" s="272" t="s">
        <v>578</v>
      </c>
      <c r="B248" s="275" t="s">
        <v>577</v>
      </c>
      <c r="C248" s="265">
        <v>0.4</v>
      </c>
      <c r="D248" s="273" t="s">
        <v>849</v>
      </c>
      <c r="E248" s="274" t="s">
        <v>848</v>
      </c>
      <c r="F248" s="265">
        <v>0.1</v>
      </c>
      <c r="G248" s="273" t="s">
        <v>748</v>
      </c>
      <c r="H248" s="272" t="s">
        <v>762</v>
      </c>
      <c r="I248" s="265">
        <v>0</v>
      </c>
      <c r="J248" s="271">
        <f t="shared" si="3"/>
        <v>0.5</v>
      </c>
      <c r="K248" s="270"/>
      <c r="L248" s="279" t="s">
        <v>1031</v>
      </c>
      <c r="M248" s="279" t="s">
        <v>1031</v>
      </c>
      <c r="N248" s="279" t="s">
        <v>1031</v>
      </c>
      <c r="O248" s="268" t="s">
        <v>1031</v>
      </c>
      <c r="P248" s="268">
        <v>0</v>
      </c>
      <c r="Q248" s="277" t="s">
        <v>1031</v>
      </c>
      <c r="R248" s="267">
        <v>0</v>
      </c>
      <c r="S248" s="267">
        <v>0</v>
      </c>
      <c r="T248" s="276" t="s">
        <v>1031</v>
      </c>
    </row>
    <row r="249" spans="1:20" ht="15.75" customHeight="1" x14ac:dyDescent="0.25">
      <c r="A249" s="272" t="s">
        <v>580</v>
      </c>
      <c r="B249" s="275" t="s">
        <v>579</v>
      </c>
      <c r="C249" s="265">
        <v>0.4</v>
      </c>
      <c r="D249" s="273" t="s">
        <v>805</v>
      </c>
      <c r="E249" s="274" t="s">
        <v>804</v>
      </c>
      <c r="F249" s="265">
        <v>0.1</v>
      </c>
      <c r="G249" s="273" t="s">
        <v>748</v>
      </c>
      <c r="H249" s="272" t="s">
        <v>762</v>
      </c>
      <c r="I249" s="265">
        <v>0</v>
      </c>
      <c r="J249" s="271">
        <f t="shared" si="3"/>
        <v>0.5</v>
      </c>
      <c r="L249" s="279" t="s">
        <v>1031</v>
      </c>
      <c r="M249" s="279" t="s">
        <v>1031</v>
      </c>
      <c r="N249" s="279" t="s">
        <v>1031</v>
      </c>
      <c r="O249" s="268" t="s">
        <v>1031</v>
      </c>
      <c r="P249" s="268">
        <v>0</v>
      </c>
      <c r="Q249" s="277" t="s">
        <v>1031</v>
      </c>
      <c r="R249" s="267">
        <v>0</v>
      </c>
      <c r="S249" s="267">
        <v>0</v>
      </c>
      <c r="T249" s="276" t="s">
        <v>1031</v>
      </c>
    </row>
    <row r="250" spans="1:20" ht="15.75" customHeight="1" x14ac:dyDescent="0.25">
      <c r="A250" s="272" t="s">
        <v>582</v>
      </c>
      <c r="B250" s="275" t="s">
        <v>581</v>
      </c>
      <c r="C250" s="265">
        <v>0.4</v>
      </c>
      <c r="D250" s="273" t="s">
        <v>796</v>
      </c>
      <c r="E250" s="274" t="s">
        <v>795</v>
      </c>
      <c r="F250" s="265">
        <v>0.1</v>
      </c>
      <c r="G250" s="273" t="s">
        <v>748</v>
      </c>
      <c r="H250" s="272" t="s">
        <v>762</v>
      </c>
      <c r="I250" s="265">
        <v>0</v>
      </c>
      <c r="J250" s="271">
        <f t="shared" si="3"/>
        <v>0.5</v>
      </c>
      <c r="K250" s="270"/>
      <c r="L250" s="279" t="s">
        <v>1031</v>
      </c>
      <c r="M250" s="279" t="s">
        <v>1031</v>
      </c>
      <c r="N250" s="279" t="s">
        <v>1031</v>
      </c>
      <c r="O250" s="268" t="s">
        <v>1031</v>
      </c>
      <c r="P250" s="268">
        <v>0</v>
      </c>
      <c r="Q250" s="277" t="s">
        <v>1031</v>
      </c>
      <c r="R250" s="267">
        <v>0</v>
      </c>
      <c r="S250" s="267">
        <v>0</v>
      </c>
      <c r="T250" s="276" t="s">
        <v>1031</v>
      </c>
    </row>
    <row r="251" spans="1:20" ht="15.75" customHeight="1" x14ac:dyDescent="0.25">
      <c r="A251" s="272" t="s">
        <v>584</v>
      </c>
      <c r="B251" s="275" t="s">
        <v>583</v>
      </c>
      <c r="C251" s="265">
        <v>0.4</v>
      </c>
      <c r="D251" s="273" t="s">
        <v>757</v>
      </c>
      <c r="E251" s="274" t="s">
        <v>756</v>
      </c>
      <c r="F251" s="265">
        <v>0.09</v>
      </c>
      <c r="G251" s="273" t="s">
        <v>755</v>
      </c>
      <c r="H251" s="272" t="s">
        <v>754</v>
      </c>
      <c r="I251" s="265">
        <v>0.01</v>
      </c>
      <c r="J251" s="271">
        <f t="shared" si="3"/>
        <v>0.5</v>
      </c>
      <c r="K251" s="270"/>
      <c r="L251" s="279" t="s">
        <v>1031</v>
      </c>
      <c r="M251" s="279" t="s">
        <v>1031</v>
      </c>
      <c r="N251" s="279" t="s">
        <v>1031</v>
      </c>
      <c r="O251" s="268" t="s">
        <v>1031</v>
      </c>
      <c r="P251" s="268">
        <v>0</v>
      </c>
      <c r="Q251" s="277" t="s">
        <v>1031</v>
      </c>
      <c r="R251" s="267">
        <v>0</v>
      </c>
      <c r="S251" s="267">
        <v>0</v>
      </c>
      <c r="T251" s="276" t="s">
        <v>1031</v>
      </c>
    </row>
    <row r="252" spans="1:20" ht="15.75" customHeight="1" x14ac:dyDescent="0.25">
      <c r="A252" s="272" t="s">
        <v>586</v>
      </c>
      <c r="B252" s="275" t="s">
        <v>585</v>
      </c>
      <c r="C252" s="265">
        <v>0.4</v>
      </c>
      <c r="D252" s="273" t="s">
        <v>794</v>
      </c>
      <c r="E252" s="274" t="s">
        <v>793</v>
      </c>
      <c r="F252" s="265">
        <v>0.09</v>
      </c>
      <c r="G252" s="273" t="s">
        <v>792</v>
      </c>
      <c r="H252" s="272" t="s">
        <v>791</v>
      </c>
      <c r="I252" s="265">
        <v>0.01</v>
      </c>
      <c r="J252" s="271">
        <f t="shared" si="3"/>
        <v>0.5</v>
      </c>
      <c r="K252" s="270"/>
      <c r="L252" s="279" t="s">
        <v>1031</v>
      </c>
      <c r="M252" s="279" t="s">
        <v>1031</v>
      </c>
      <c r="N252" s="279" t="s">
        <v>1031</v>
      </c>
      <c r="O252" s="268" t="s">
        <v>1031</v>
      </c>
      <c r="P252" s="268">
        <v>0</v>
      </c>
      <c r="Q252" s="277" t="s">
        <v>1031</v>
      </c>
      <c r="R252" s="267">
        <v>0</v>
      </c>
      <c r="S252" s="267">
        <v>0</v>
      </c>
      <c r="T252" s="276" t="s">
        <v>1031</v>
      </c>
    </row>
    <row r="253" spans="1:20" x14ac:dyDescent="0.25">
      <c r="A253" s="272" t="s">
        <v>588</v>
      </c>
      <c r="B253" s="275" t="s">
        <v>587</v>
      </c>
      <c r="C253" s="265">
        <v>0.4</v>
      </c>
      <c r="D253" s="273" t="s">
        <v>838</v>
      </c>
      <c r="E253" s="274" t="s">
        <v>837</v>
      </c>
      <c r="F253" s="265">
        <v>0.09</v>
      </c>
      <c r="G253" s="273" t="s">
        <v>836</v>
      </c>
      <c r="H253" s="272" t="s">
        <v>835</v>
      </c>
      <c r="I253" s="265">
        <v>0.01</v>
      </c>
      <c r="J253" s="271">
        <f t="shared" si="3"/>
        <v>0.5</v>
      </c>
      <c r="K253" s="270"/>
      <c r="L253" s="279" t="s">
        <v>1032</v>
      </c>
      <c r="M253" s="279" t="s">
        <v>1063</v>
      </c>
      <c r="N253" s="279" t="s">
        <v>1031</v>
      </c>
      <c r="O253" s="268" t="s">
        <v>1031</v>
      </c>
      <c r="P253" s="268">
        <v>0</v>
      </c>
      <c r="Q253" s="277" t="s">
        <v>1031</v>
      </c>
      <c r="R253" s="267">
        <v>0</v>
      </c>
      <c r="S253" s="267">
        <v>0</v>
      </c>
      <c r="T253" s="276" t="s">
        <v>1031</v>
      </c>
    </row>
    <row r="254" spans="1:20" ht="15.75" customHeight="1" x14ac:dyDescent="0.25">
      <c r="A254" s="272" t="s">
        <v>590</v>
      </c>
      <c r="B254" s="275" t="s">
        <v>589</v>
      </c>
      <c r="C254" s="265">
        <v>0.49</v>
      </c>
      <c r="D254" s="273" t="s">
        <v>748</v>
      </c>
      <c r="E254" s="274" t="s">
        <v>767</v>
      </c>
      <c r="F254" s="265">
        <v>0</v>
      </c>
      <c r="G254" s="273" t="s">
        <v>841</v>
      </c>
      <c r="H254" s="272" t="s">
        <v>840</v>
      </c>
      <c r="I254" s="265">
        <v>0.01</v>
      </c>
      <c r="J254" s="271">
        <f t="shared" si="3"/>
        <v>0.5</v>
      </c>
      <c r="L254" s="279" t="s">
        <v>1031</v>
      </c>
      <c r="M254" s="279" t="s">
        <v>1031</v>
      </c>
      <c r="N254" s="279" t="s">
        <v>1031</v>
      </c>
      <c r="O254" s="268" t="s">
        <v>1032</v>
      </c>
      <c r="P254" s="268">
        <v>600000</v>
      </c>
      <c r="Q254" s="277" t="s">
        <v>1032</v>
      </c>
      <c r="R254" s="267">
        <v>0</v>
      </c>
      <c r="S254" s="267">
        <v>0</v>
      </c>
      <c r="T254" s="276" t="s">
        <v>1032</v>
      </c>
    </row>
    <row r="255" spans="1:20" ht="15.75" customHeight="1" x14ac:dyDescent="0.25">
      <c r="A255" s="272" t="s">
        <v>592</v>
      </c>
      <c r="B255" s="275" t="s">
        <v>847</v>
      </c>
      <c r="C255" s="265">
        <v>0.49</v>
      </c>
      <c r="D255" s="273" t="s">
        <v>748</v>
      </c>
      <c r="E255" s="274" t="s">
        <v>747</v>
      </c>
      <c r="F255" s="265">
        <v>0</v>
      </c>
      <c r="G255" s="273" t="s">
        <v>777</v>
      </c>
      <c r="H255" s="272" t="s">
        <v>776</v>
      </c>
      <c r="I255" s="265">
        <v>0.01</v>
      </c>
      <c r="J255" s="271">
        <f t="shared" si="3"/>
        <v>0.5</v>
      </c>
      <c r="K255" s="270"/>
      <c r="L255" s="279" t="s">
        <v>1031</v>
      </c>
      <c r="M255" s="279" t="s">
        <v>1031</v>
      </c>
      <c r="N255" s="279" t="s">
        <v>1031</v>
      </c>
      <c r="O255" s="268" t="s">
        <v>1031</v>
      </c>
      <c r="P255" s="268">
        <v>0</v>
      </c>
      <c r="Q255" s="277" t="s">
        <v>1032</v>
      </c>
      <c r="R255" s="267">
        <v>0</v>
      </c>
      <c r="S255" s="267">
        <v>0</v>
      </c>
      <c r="T255" s="276" t="s">
        <v>1032</v>
      </c>
    </row>
    <row r="256" spans="1:20" ht="15.75" customHeight="1" x14ac:dyDescent="0.25">
      <c r="A256" s="272" t="s">
        <v>594</v>
      </c>
      <c r="B256" s="275" t="s">
        <v>846</v>
      </c>
      <c r="C256" s="265">
        <v>0.49</v>
      </c>
      <c r="D256" s="273" t="s">
        <v>748</v>
      </c>
      <c r="E256" s="274" t="s">
        <v>747</v>
      </c>
      <c r="F256" s="265">
        <v>0</v>
      </c>
      <c r="G256" s="273" t="s">
        <v>820</v>
      </c>
      <c r="H256" s="272" t="s">
        <v>819</v>
      </c>
      <c r="I256" s="265">
        <v>0.01</v>
      </c>
      <c r="J256" s="271">
        <f t="shared" si="3"/>
        <v>0.5</v>
      </c>
      <c r="K256" s="270"/>
      <c r="L256" s="279" t="s">
        <v>1031</v>
      </c>
      <c r="M256" s="279" t="s">
        <v>1031</v>
      </c>
      <c r="N256" s="279" t="s">
        <v>1031</v>
      </c>
      <c r="O256" s="268" t="s">
        <v>1031</v>
      </c>
      <c r="P256" s="268">
        <v>0</v>
      </c>
      <c r="Q256" s="277" t="s">
        <v>1032</v>
      </c>
      <c r="R256" s="267">
        <v>0</v>
      </c>
      <c r="S256" s="267">
        <v>0</v>
      </c>
      <c r="T256" s="276" t="s">
        <v>1032</v>
      </c>
    </row>
    <row r="257" spans="1:20" ht="15.75" customHeight="1" x14ac:dyDescent="0.25">
      <c r="A257" s="272" t="s">
        <v>596</v>
      </c>
      <c r="B257" s="275" t="s">
        <v>595</v>
      </c>
      <c r="C257" s="265">
        <v>0.3</v>
      </c>
      <c r="D257" s="273" t="s">
        <v>790</v>
      </c>
      <c r="E257" s="274" t="s">
        <v>789</v>
      </c>
      <c r="F257" s="265">
        <v>0.2</v>
      </c>
      <c r="G257" s="273" t="s">
        <v>748</v>
      </c>
      <c r="H257" s="274" t="s">
        <v>748</v>
      </c>
      <c r="I257" s="265">
        <v>0</v>
      </c>
      <c r="J257" s="271">
        <f t="shared" si="3"/>
        <v>0.5</v>
      </c>
      <c r="K257" s="270"/>
      <c r="L257" s="279" t="s">
        <v>1031</v>
      </c>
      <c r="M257" s="279" t="s">
        <v>1031</v>
      </c>
      <c r="N257" s="279" t="s">
        <v>1031</v>
      </c>
      <c r="O257" s="268" t="s">
        <v>1032</v>
      </c>
      <c r="P257" s="268">
        <v>9042013</v>
      </c>
      <c r="Q257" s="277" t="s">
        <v>1032</v>
      </c>
      <c r="R257" s="267">
        <v>0</v>
      </c>
      <c r="S257" s="267">
        <v>0</v>
      </c>
      <c r="T257" s="276" t="s">
        <v>1032</v>
      </c>
    </row>
    <row r="258" spans="1:20" ht="15.75" customHeight="1" x14ac:dyDescent="0.25">
      <c r="A258" s="272" t="s">
        <v>598</v>
      </c>
      <c r="B258" s="275" t="s">
        <v>597</v>
      </c>
      <c r="C258" s="265">
        <v>0.4</v>
      </c>
      <c r="D258" s="273" t="s">
        <v>772</v>
      </c>
      <c r="E258" s="274" t="s">
        <v>771</v>
      </c>
      <c r="F258" s="265">
        <v>0.1</v>
      </c>
      <c r="G258" s="273" t="s">
        <v>748</v>
      </c>
      <c r="H258" s="272" t="s">
        <v>762</v>
      </c>
      <c r="I258" s="265">
        <v>0</v>
      </c>
      <c r="J258" s="271">
        <f t="shared" si="3"/>
        <v>0.5</v>
      </c>
      <c r="K258" s="270"/>
      <c r="L258" s="279" t="s">
        <v>1031</v>
      </c>
      <c r="M258" s="279" t="s">
        <v>1031</v>
      </c>
      <c r="N258" s="279" t="s">
        <v>1031</v>
      </c>
      <c r="O258" s="268" t="s">
        <v>1031</v>
      </c>
      <c r="P258" s="268">
        <v>0</v>
      </c>
      <c r="Q258" s="277" t="s">
        <v>1031</v>
      </c>
      <c r="R258" s="267">
        <v>0</v>
      </c>
      <c r="S258" s="267">
        <v>0</v>
      </c>
      <c r="T258" s="276" t="s">
        <v>1031</v>
      </c>
    </row>
    <row r="259" spans="1:20" ht="15.75" customHeight="1" x14ac:dyDescent="0.25">
      <c r="A259" s="272" t="s">
        <v>600</v>
      </c>
      <c r="B259" s="275" t="s">
        <v>599</v>
      </c>
      <c r="C259" s="265">
        <v>0.4</v>
      </c>
      <c r="D259" s="273" t="s">
        <v>803</v>
      </c>
      <c r="E259" s="274" t="s">
        <v>802</v>
      </c>
      <c r="F259" s="265">
        <v>0.1</v>
      </c>
      <c r="G259" s="273" t="s">
        <v>748</v>
      </c>
      <c r="H259" s="272" t="s">
        <v>762</v>
      </c>
      <c r="I259" s="265">
        <v>0</v>
      </c>
      <c r="J259" s="271">
        <f t="shared" si="3"/>
        <v>0.5</v>
      </c>
      <c r="K259" s="270"/>
      <c r="L259" s="279" t="s">
        <v>1031</v>
      </c>
      <c r="M259" s="279" t="s">
        <v>1031</v>
      </c>
      <c r="N259" s="279" t="s">
        <v>1031</v>
      </c>
      <c r="O259" s="268" t="s">
        <v>1031</v>
      </c>
      <c r="P259" s="268">
        <v>0</v>
      </c>
      <c r="Q259" s="277" t="s">
        <v>1031</v>
      </c>
      <c r="R259" s="267">
        <v>0</v>
      </c>
      <c r="S259" s="267">
        <v>0</v>
      </c>
      <c r="T259" s="276" t="s">
        <v>1031</v>
      </c>
    </row>
    <row r="260" spans="1:20" ht="15.75" customHeight="1" x14ac:dyDescent="0.25">
      <c r="A260" s="272" t="s">
        <v>602</v>
      </c>
      <c r="B260" s="275" t="s">
        <v>601</v>
      </c>
      <c r="C260" s="265">
        <v>0.4</v>
      </c>
      <c r="D260" s="273" t="s">
        <v>811</v>
      </c>
      <c r="E260" s="274" t="s">
        <v>810</v>
      </c>
      <c r="F260" s="265">
        <v>0.1</v>
      </c>
      <c r="G260" s="273" t="s">
        <v>748</v>
      </c>
      <c r="H260" s="272" t="s">
        <v>762</v>
      </c>
      <c r="I260" s="265">
        <v>0</v>
      </c>
      <c r="J260" s="271">
        <f t="shared" si="3"/>
        <v>0.5</v>
      </c>
      <c r="K260" s="270"/>
      <c r="L260" s="279" t="s">
        <v>1031</v>
      </c>
      <c r="M260" s="279" t="s">
        <v>1031</v>
      </c>
      <c r="N260" s="279" t="s">
        <v>1031</v>
      </c>
      <c r="O260" s="268" t="s">
        <v>1031</v>
      </c>
      <c r="P260" s="268">
        <v>0</v>
      </c>
      <c r="Q260" s="277" t="s">
        <v>1031</v>
      </c>
      <c r="R260" s="267">
        <v>0</v>
      </c>
      <c r="S260" s="267">
        <v>0</v>
      </c>
      <c r="T260" s="276" t="s">
        <v>1031</v>
      </c>
    </row>
    <row r="261" spans="1:20" ht="15.75" customHeight="1" x14ac:dyDescent="0.25">
      <c r="A261" s="272" t="s">
        <v>604</v>
      </c>
      <c r="B261" s="275" t="s">
        <v>603</v>
      </c>
      <c r="C261" s="265">
        <v>0.49</v>
      </c>
      <c r="D261" s="273" t="s">
        <v>748</v>
      </c>
      <c r="E261" s="274" t="s">
        <v>767</v>
      </c>
      <c r="F261" s="265">
        <v>0</v>
      </c>
      <c r="G261" s="273" t="s">
        <v>774</v>
      </c>
      <c r="H261" s="272" t="s">
        <v>773</v>
      </c>
      <c r="I261" s="265">
        <v>0.01</v>
      </c>
      <c r="J261" s="271">
        <f t="shared" si="3"/>
        <v>0.5</v>
      </c>
      <c r="L261" s="279" t="s">
        <v>1031</v>
      </c>
      <c r="M261" s="279" t="s">
        <v>1031</v>
      </c>
      <c r="N261" s="279" t="s">
        <v>1031</v>
      </c>
      <c r="O261" s="268" t="s">
        <v>1031</v>
      </c>
      <c r="P261" s="268">
        <v>0</v>
      </c>
      <c r="Q261" s="277" t="s">
        <v>1032</v>
      </c>
      <c r="R261" s="267">
        <v>0</v>
      </c>
      <c r="S261" s="267">
        <v>0</v>
      </c>
      <c r="T261" s="276" t="s">
        <v>1032</v>
      </c>
    </row>
    <row r="262" spans="1:20" ht="15.75" customHeight="1" x14ac:dyDescent="0.25">
      <c r="A262" s="272" t="s">
        <v>606</v>
      </c>
      <c r="B262" s="275" t="s">
        <v>605</v>
      </c>
      <c r="C262" s="265">
        <v>0.4</v>
      </c>
      <c r="D262" s="273" t="s">
        <v>838</v>
      </c>
      <c r="E262" s="274" t="s">
        <v>837</v>
      </c>
      <c r="F262" s="265">
        <v>0.09</v>
      </c>
      <c r="G262" s="273" t="s">
        <v>836</v>
      </c>
      <c r="H262" s="272" t="s">
        <v>835</v>
      </c>
      <c r="I262" s="265">
        <v>0.01</v>
      </c>
      <c r="J262" s="271">
        <f t="shared" ref="J262:J325" si="4">+C262+F262+I262</f>
        <v>0.5</v>
      </c>
      <c r="L262" s="279" t="s">
        <v>1031</v>
      </c>
      <c r="M262" s="279" t="s">
        <v>1031</v>
      </c>
      <c r="N262" s="279" t="s">
        <v>1031</v>
      </c>
      <c r="O262" s="268" t="s">
        <v>1031</v>
      </c>
      <c r="P262" s="268">
        <v>0</v>
      </c>
      <c r="Q262" s="277" t="s">
        <v>1031</v>
      </c>
      <c r="R262" s="267">
        <v>0</v>
      </c>
      <c r="S262" s="267">
        <v>0</v>
      </c>
      <c r="T262" s="276" t="s">
        <v>1031</v>
      </c>
    </row>
    <row r="263" spans="1:20" ht="15.75" customHeight="1" x14ac:dyDescent="0.25">
      <c r="A263" s="272" t="s">
        <v>608</v>
      </c>
      <c r="B263" s="275" t="s">
        <v>607</v>
      </c>
      <c r="C263" s="265">
        <v>0.4</v>
      </c>
      <c r="D263" s="273" t="s">
        <v>838</v>
      </c>
      <c r="E263" s="274" t="s">
        <v>837</v>
      </c>
      <c r="F263" s="265">
        <v>0.09</v>
      </c>
      <c r="G263" s="273" t="s">
        <v>836</v>
      </c>
      <c r="H263" s="272" t="s">
        <v>835</v>
      </c>
      <c r="I263" s="265">
        <v>0.01</v>
      </c>
      <c r="J263" s="271">
        <f t="shared" si="4"/>
        <v>0.5</v>
      </c>
      <c r="K263" s="270"/>
      <c r="L263" s="279" t="s">
        <v>1031</v>
      </c>
      <c r="M263" s="279" t="s">
        <v>1031</v>
      </c>
      <c r="N263" s="279" t="s">
        <v>1031</v>
      </c>
      <c r="O263" s="268" t="s">
        <v>1031</v>
      </c>
      <c r="P263" s="268">
        <v>0</v>
      </c>
      <c r="Q263" s="277" t="s">
        <v>1031</v>
      </c>
      <c r="R263" s="267">
        <v>0</v>
      </c>
      <c r="S263" s="267">
        <v>0</v>
      </c>
      <c r="T263" s="276" t="s">
        <v>1031</v>
      </c>
    </row>
    <row r="264" spans="1:20" ht="15.75" customHeight="1" x14ac:dyDescent="0.25">
      <c r="A264" s="272" t="s">
        <v>610</v>
      </c>
      <c r="B264" s="275" t="s">
        <v>609</v>
      </c>
      <c r="C264" s="265">
        <v>0.4</v>
      </c>
      <c r="D264" s="273" t="s">
        <v>803</v>
      </c>
      <c r="E264" s="274" t="s">
        <v>802</v>
      </c>
      <c r="F264" s="265">
        <v>0.1</v>
      </c>
      <c r="G264" s="273" t="s">
        <v>748</v>
      </c>
      <c r="H264" s="272" t="s">
        <v>762</v>
      </c>
      <c r="I264" s="265">
        <v>0</v>
      </c>
      <c r="J264" s="271">
        <f t="shared" si="4"/>
        <v>0.5</v>
      </c>
      <c r="K264" s="270"/>
      <c r="L264" s="279" t="s">
        <v>1031</v>
      </c>
      <c r="M264" s="279" t="s">
        <v>1031</v>
      </c>
      <c r="N264" s="279" t="s">
        <v>1031</v>
      </c>
      <c r="O264" s="268" t="s">
        <v>1031</v>
      </c>
      <c r="P264" s="268">
        <v>0</v>
      </c>
      <c r="Q264" s="277" t="s">
        <v>1031</v>
      </c>
      <c r="R264" s="267">
        <v>0</v>
      </c>
      <c r="S264" s="267">
        <v>0</v>
      </c>
      <c r="T264" s="276" t="s">
        <v>1031</v>
      </c>
    </row>
    <row r="265" spans="1:20" x14ac:dyDescent="0.25">
      <c r="A265" s="272" t="s">
        <v>612</v>
      </c>
      <c r="B265" s="275" t="s">
        <v>611</v>
      </c>
      <c r="C265" s="265">
        <v>0.49</v>
      </c>
      <c r="D265" s="273" t="s">
        <v>748</v>
      </c>
      <c r="E265" s="274" t="s">
        <v>767</v>
      </c>
      <c r="F265" s="265">
        <v>0</v>
      </c>
      <c r="G265" s="273" t="s">
        <v>783</v>
      </c>
      <c r="H265" s="272" t="s">
        <v>782</v>
      </c>
      <c r="I265" s="265">
        <v>0.01</v>
      </c>
      <c r="J265" s="271">
        <f t="shared" si="4"/>
        <v>0.5</v>
      </c>
      <c r="K265" s="270"/>
      <c r="L265" s="279" t="s">
        <v>1032</v>
      </c>
      <c r="M265" s="279" t="s">
        <v>1064</v>
      </c>
      <c r="N265" s="279" t="s">
        <v>1031</v>
      </c>
      <c r="O265" s="268" t="s">
        <v>1031</v>
      </c>
      <c r="P265" s="268">
        <v>0</v>
      </c>
      <c r="Q265" s="277" t="s">
        <v>1032</v>
      </c>
      <c r="R265" s="267">
        <v>6035290</v>
      </c>
      <c r="S265" s="267">
        <v>0</v>
      </c>
      <c r="T265" s="276" t="s">
        <v>1032</v>
      </c>
    </row>
    <row r="266" spans="1:20" x14ac:dyDescent="0.25">
      <c r="A266" s="272" t="s">
        <v>614</v>
      </c>
      <c r="B266" s="275" t="s">
        <v>845</v>
      </c>
      <c r="C266" s="265">
        <v>0.49</v>
      </c>
      <c r="D266" s="273" t="s">
        <v>748</v>
      </c>
      <c r="E266" s="274" t="s">
        <v>747</v>
      </c>
      <c r="F266" s="265">
        <v>0</v>
      </c>
      <c r="G266" s="273" t="s">
        <v>844</v>
      </c>
      <c r="H266" s="272" t="s">
        <v>843</v>
      </c>
      <c r="I266" s="265">
        <v>0.01</v>
      </c>
      <c r="J266" s="271">
        <f t="shared" si="4"/>
        <v>0.5</v>
      </c>
      <c r="K266" s="270"/>
      <c r="L266" s="279" t="s">
        <v>1032</v>
      </c>
      <c r="M266" s="279" t="s">
        <v>1048</v>
      </c>
      <c r="N266" s="279" t="s">
        <v>1031</v>
      </c>
      <c r="O266" s="268" t="s">
        <v>1031</v>
      </c>
      <c r="P266" s="268">
        <v>0</v>
      </c>
      <c r="Q266" s="277" t="s">
        <v>1032</v>
      </c>
      <c r="R266" s="267">
        <v>0</v>
      </c>
      <c r="S266" s="267">
        <v>0</v>
      </c>
      <c r="T266" s="276" t="s">
        <v>1032</v>
      </c>
    </row>
    <row r="267" spans="1:20" ht="15.75" customHeight="1" x14ac:dyDescent="0.25">
      <c r="A267" s="272" t="s">
        <v>616</v>
      </c>
      <c r="B267" s="275" t="s">
        <v>842</v>
      </c>
      <c r="C267" s="265">
        <v>0.49</v>
      </c>
      <c r="D267" s="273" t="s">
        <v>748</v>
      </c>
      <c r="E267" s="274" t="s">
        <v>747</v>
      </c>
      <c r="F267" s="265">
        <v>0</v>
      </c>
      <c r="G267" s="273" t="s">
        <v>836</v>
      </c>
      <c r="H267" s="272" t="s">
        <v>835</v>
      </c>
      <c r="I267" s="265">
        <v>0.01</v>
      </c>
      <c r="J267" s="271">
        <f t="shared" si="4"/>
        <v>0.5</v>
      </c>
      <c r="K267" s="270"/>
      <c r="L267" s="279" t="s">
        <v>1031</v>
      </c>
      <c r="M267" s="279" t="s">
        <v>1031</v>
      </c>
      <c r="N267" s="279" t="s">
        <v>1031</v>
      </c>
      <c r="O267" s="268" t="s">
        <v>1031</v>
      </c>
      <c r="P267" s="268">
        <v>0</v>
      </c>
      <c r="Q267" s="277" t="s">
        <v>1032</v>
      </c>
      <c r="R267" s="267">
        <v>0</v>
      </c>
      <c r="S267" s="267">
        <v>0</v>
      </c>
      <c r="T267" s="276" t="s">
        <v>1032</v>
      </c>
    </row>
    <row r="268" spans="1:20" ht="15.75" customHeight="1" x14ac:dyDescent="0.25">
      <c r="A268" s="272" t="s">
        <v>618</v>
      </c>
      <c r="B268" s="275" t="s">
        <v>617</v>
      </c>
      <c r="C268" s="265">
        <v>0.4</v>
      </c>
      <c r="D268" s="273" t="s">
        <v>813</v>
      </c>
      <c r="E268" s="274" t="s">
        <v>812</v>
      </c>
      <c r="F268" s="265">
        <v>0.1</v>
      </c>
      <c r="G268" s="273" t="s">
        <v>748</v>
      </c>
      <c r="H268" s="272" t="s">
        <v>762</v>
      </c>
      <c r="I268" s="265">
        <v>0</v>
      </c>
      <c r="J268" s="271">
        <f t="shared" si="4"/>
        <v>0.5</v>
      </c>
      <c r="K268" s="270"/>
      <c r="L268" s="279" t="s">
        <v>1031</v>
      </c>
      <c r="M268" s="279" t="s">
        <v>1031</v>
      </c>
      <c r="N268" s="279" t="s">
        <v>1031</v>
      </c>
      <c r="O268" s="268" t="s">
        <v>1031</v>
      </c>
      <c r="P268" s="268">
        <v>0</v>
      </c>
      <c r="Q268" s="277" t="s">
        <v>1031</v>
      </c>
      <c r="R268" s="267">
        <v>0</v>
      </c>
      <c r="S268" s="267">
        <v>0</v>
      </c>
      <c r="T268" s="276" t="s">
        <v>1031</v>
      </c>
    </row>
    <row r="269" spans="1:20" ht="15.75" customHeight="1" x14ac:dyDescent="0.25">
      <c r="A269" s="272" t="s">
        <v>620</v>
      </c>
      <c r="B269" s="275" t="s">
        <v>619</v>
      </c>
      <c r="C269" s="265">
        <v>0.4</v>
      </c>
      <c r="D269" s="273" t="s">
        <v>831</v>
      </c>
      <c r="E269" s="274" t="s">
        <v>830</v>
      </c>
      <c r="F269" s="265">
        <v>0.1</v>
      </c>
      <c r="G269" s="273" t="s">
        <v>748</v>
      </c>
      <c r="H269" s="272" t="s">
        <v>762</v>
      </c>
      <c r="I269" s="265">
        <v>0</v>
      </c>
      <c r="J269" s="271">
        <f t="shared" si="4"/>
        <v>0.5</v>
      </c>
      <c r="K269" s="270"/>
      <c r="L269" s="279" t="s">
        <v>1031</v>
      </c>
      <c r="M269" s="279" t="s">
        <v>1031</v>
      </c>
      <c r="N269" s="279" t="s">
        <v>1031</v>
      </c>
      <c r="O269" s="268" t="s">
        <v>1031</v>
      </c>
      <c r="P269" s="268">
        <v>0</v>
      </c>
      <c r="Q269" s="277" t="s">
        <v>1031</v>
      </c>
      <c r="R269" s="267">
        <v>0</v>
      </c>
      <c r="S269" s="267">
        <v>0</v>
      </c>
      <c r="T269" s="276" t="s">
        <v>1031</v>
      </c>
    </row>
    <row r="270" spans="1:20" ht="15.75" customHeight="1" x14ac:dyDescent="0.25">
      <c r="A270" s="272" t="s">
        <v>622</v>
      </c>
      <c r="B270" s="275" t="s">
        <v>621</v>
      </c>
      <c r="C270" s="265">
        <v>0.4</v>
      </c>
      <c r="D270" s="273" t="s">
        <v>811</v>
      </c>
      <c r="E270" s="274" t="s">
        <v>810</v>
      </c>
      <c r="F270" s="265">
        <v>0.1</v>
      </c>
      <c r="G270" s="273" t="s">
        <v>748</v>
      </c>
      <c r="H270" s="272" t="s">
        <v>762</v>
      </c>
      <c r="I270" s="265">
        <v>0</v>
      </c>
      <c r="J270" s="271">
        <f t="shared" si="4"/>
        <v>0.5</v>
      </c>
      <c r="K270" s="270"/>
      <c r="L270" s="279" t="s">
        <v>1031</v>
      </c>
      <c r="M270" s="279" t="s">
        <v>1031</v>
      </c>
      <c r="N270" s="279" t="s">
        <v>1031</v>
      </c>
      <c r="O270" s="268" t="s">
        <v>1031</v>
      </c>
      <c r="P270" s="268">
        <v>0</v>
      </c>
      <c r="Q270" s="277" t="s">
        <v>1031</v>
      </c>
      <c r="R270" s="267">
        <v>0</v>
      </c>
      <c r="S270" s="267">
        <v>0</v>
      </c>
      <c r="T270" s="276" t="s">
        <v>1031</v>
      </c>
    </row>
    <row r="271" spans="1:20" x14ac:dyDescent="0.25">
      <c r="A271" s="272" t="s">
        <v>624</v>
      </c>
      <c r="B271" s="275" t="s">
        <v>623</v>
      </c>
      <c r="C271" s="265">
        <v>0.49</v>
      </c>
      <c r="D271" s="273" t="s">
        <v>748</v>
      </c>
      <c r="E271" s="274" t="s">
        <v>767</v>
      </c>
      <c r="F271" s="265">
        <v>0</v>
      </c>
      <c r="G271" s="273" t="s">
        <v>841</v>
      </c>
      <c r="H271" s="272" t="s">
        <v>840</v>
      </c>
      <c r="I271" s="265">
        <v>0.01</v>
      </c>
      <c r="J271" s="271">
        <f t="shared" si="4"/>
        <v>0.5</v>
      </c>
      <c r="K271" s="270"/>
      <c r="L271" s="279" t="s">
        <v>1032</v>
      </c>
      <c r="M271" s="279" t="s">
        <v>1060</v>
      </c>
      <c r="N271" s="279" t="s">
        <v>1031</v>
      </c>
      <c r="O271" s="268" t="s">
        <v>1031</v>
      </c>
      <c r="P271" s="268">
        <v>0</v>
      </c>
      <c r="Q271" s="277" t="s">
        <v>1032</v>
      </c>
      <c r="R271" s="267">
        <v>142652</v>
      </c>
      <c r="S271" s="267">
        <v>0</v>
      </c>
      <c r="T271" s="276" t="s">
        <v>1032</v>
      </c>
    </row>
    <row r="272" spans="1:20" ht="15.75" customHeight="1" x14ac:dyDescent="0.25">
      <c r="A272" s="272" t="s">
        <v>626</v>
      </c>
      <c r="B272" s="275" t="s">
        <v>625</v>
      </c>
      <c r="C272" s="265">
        <v>0.4</v>
      </c>
      <c r="D272" s="273" t="s">
        <v>772</v>
      </c>
      <c r="E272" s="274" t="s">
        <v>771</v>
      </c>
      <c r="F272" s="265">
        <v>0.1</v>
      </c>
      <c r="G272" s="273" t="s">
        <v>748</v>
      </c>
      <c r="H272" s="272" t="s">
        <v>762</v>
      </c>
      <c r="I272" s="265">
        <v>0</v>
      </c>
      <c r="J272" s="271">
        <f t="shared" si="4"/>
        <v>0.5</v>
      </c>
      <c r="K272" s="270"/>
      <c r="L272" s="279" t="s">
        <v>1031</v>
      </c>
      <c r="M272" s="279" t="s">
        <v>1031</v>
      </c>
      <c r="N272" s="279" t="s">
        <v>1031</v>
      </c>
      <c r="O272" s="268" t="s">
        <v>1031</v>
      </c>
      <c r="P272" s="268">
        <v>0</v>
      </c>
      <c r="Q272" s="277" t="s">
        <v>1031</v>
      </c>
      <c r="R272" s="267">
        <v>0</v>
      </c>
      <c r="S272" s="267">
        <v>0</v>
      </c>
      <c r="T272" s="276" t="s">
        <v>1031</v>
      </c>
    </row>
    <row r="273" spans="1:20" ht="15.75" customHeight="1" x14ac:dyDescent="0.25">
      <c r="A273" s="272" t="s">
        <v>628</v>
      </c>
      <c r="B273" s="275" t="s">
        <v>627</v>
      </c>
      <c r="C273" s="265">
        <v>0.3</v>
      </c>
      <c r="D273" s="273" t="s">
        <v>790</v>
      </c>
      <c r="E273" s="274" t="s">
        <v>789</v>
      </c>
      <c r="F273" s="265">
        <v>0.2</v>
      </c>
      <c r="G273" s="273" t="s">
        <v>748</v>
      </c>
      <c r="H273" s="274" t="s">
        <v>748</v>
      </c>
      <c r="I273" s="265">
        <v>0</v>
      </c>
      <c r="J273" s="271">
        <f t="shared" si="4"/>
        <v>0.5</v>
      </c>
      <c r="K273" s="270"/>
      <c r="L273" s="279" t="s">
        <v>1031</v>
      </c>
      <c r="M273" s="279" t="s">
        <v>1031</v>
      </c>
      <c r="N273" s="279" t="s">
        <v>1031</v>
      </c>
      <c r="O273" s="268" t="s">
        <v>1031</v>
      </c>
      <c r="P273" s="268">
        <v>0</v>
      </c>
      <c r="Q273" s="277" t="s">
        <v>1032</v>
      </c>
      <c r="R273" s="267">
        <v>0</v>
      </c>
      <c r="S273" s="267">
        <v>0</v>
      </c>
      <c r="T273" s="276" t="s">
        <v>1032</v>
      </c>
    </row>
    <row r="274" spans="1:20" ht="15.75" customHeight="1" x14ac:dyDescent="0.25">
      <c r="A274" s="272" t="s">
        <v>630</v>
      </c>
      <c r="B274" s="275" t="s">
        <v>629</v>
      </c>
      <c r="C274" s="265">
        <v>0.4</v>
      </c>
      <c r="D274" s="273" t="s">
        <v>826</v>
      </c>
      <c r="E274" s="274" t="s">
        <v>825</v>
      </c>
      <c r="F274" s="265">
        <v>0.09</v>
      </c>
      <c r="G274" s="273" t="s">
        <v>824</v>
      </c>
      <c r="H274" s="272" t="s">
        <v>823</v>
      </c>
      <c r="I274" s="265">
        <v>0.01</v>
      </c>
      <c r="J274" s="271">
        <f t="shared" si="4"/>
        <v>0.5</v>
      </c>
      <c r="K274" s="270"/>
      <c r="L274" s="279" t="s">
        <v>1031</v>
      </c>
      <c r="M274" s="279" t="s">
        <v>1031</v>
      </c>
      <c r="N274" s="279" t="s">
        <v>1031</v>
      </c>
      <c r="O274" s="268" t="s">
        <v>1031</v>
      </c>
      <c r="P274" s="268">
        <v>0</v>
      </c>
      <c r="Q274" s="277" t="s">
        <v>1031</v>
      </c>
      <c r="R274" s="267">
        <v>0</v>
      </c>
      <c r="S274" s="267">
        <v>0</v>
      </c>
      <c r="T274" s="276" t="s">
        <v>1031</v>
      </c>
    </row>
    <row r="275" spans="1:20" ht="15.75" customHeight="1" x14ac:dyDescent="0.25">
      <c r="A275" s="272" t="s">
        <v>632</v>
      </c>
      <c r="B275" s="275" t="s">
        <v>839</v>
      </c>
      <c r="C275" s="265">
        <v>0.49</v>
      </c>
      <c r="D275" s="273" t="s">
        <v>748</v>
      </c>
      <c r="E275" s="274" t="s">
        <v>747</v>
      </c>
      <c r="F275" s="265">
        <v>0</v>
      </c>
      <c r="G275" s="273" t="s">
        <v>781</v>
      </c>
      <c r="H275" s="272" t="s">
        <v>780</v>
      </c>
      <c r="I275" s="265">
        <v>0.01</v>
      </c>
      <c r="J275" s="271">
        <f t="shared" si="4"/>
        <v>0.5</v>
      </c>
      <c r="K275" s="270"/>
      <c r="L275" s="279" t="s">
        <v>1031</v>
      </c>
      <c r="M275" s="279" t="s">
        <v>1031</v>
      </c>
      <c r="N275" s="279" t="s">
        <v>1031</v>
      </c>
      <c r="O275" s="268" t="s">
        <v>1031</v>
      </c>
      <c r="P275" s="268">
        <v>0</v>
      </c>
      <c r="Q275" s="277" t="s">
        <v>1032</v>
      </c>
      <c r="R275" s="267">
        <v>0</v>
      </c>
      <c r="S275" s="267">
        <v>0</v>
      </c>
      <c r="T275" s="276" t="s">
        <v>1032</v>
      </c>
    </row>
    <row r="276" spans="1:20" ht="15.75" customHeight="1" x14ac:dyDescent="0.25">
      <c r="A276" s="272" t="s">
        <v>634</v>
      </c>
      <c r="B276" s="275" t="s">
        <v>633</v>
      </c>
      <c r="C276" s="265">
        <v>0.49</v>
      </c>
      <c r="D276" s="273" t="s">
        <v>748</v>
      </c>
      <c r="E276" s="274" t="s">
        <v>767</v>
      </c>
      <c r="F276" s="265">
        <v>0</v>
      </c>
      <c r="G276" s="273" t="s">
        <v>783</v>
      </c>
      <c r="H276" s="272" t="s">
        <v>782</v>
      </c>
      <c r="I276" s="265">
        <v>0.01</v>
      </c>
      <c r="J276" s="271">
        <f t="shared" si="4"/>
        <v>0.5</v>
      </c>
      <c r="K276" s="270"/>
      <c r="L276" s="279" t="s">
        <v>1031</v>
      </c>
      <c r="M276" s="279" t="s">
        <v>1031</v>
      </c>
      <c r="N276" s="279" t="s">
        <v>1031</v>
      </c>
      <c r="O276" s="268" t="s">
        <v>1031</v>
      </c>
      <c r="P276" s="268">
        <v>0</v>
      </c>
      <c r="Q276" s="277" t="s">
        <v>1032</v>
      </c>
      <c r="R276" s="267">
        <v>0</v>
      </c>
      <c r="S276" s="267">
        <v>0</v>
      </c>
      <c r="T276" s="276" t="s">
        <v>1032</v>
      </c>
    </row>
    <row r="277" spans="1:20" ht="15.75" customHeight="1" x14ac:dyDescent="0.25">
      <c r="A277" s="272" t="s">
        <v>636</v>
      </c>
      <c r="B277" s="275" t="s">
        <v>635</v>
      </c>
      <c r="C277" s="265">
        <v>0.4</v>
      </c>
      <c r="D277" s="273" t="s">
        <v>838</v>
      </c>
      <c r="E277" s="274" t="s">
        <v>837</v>
      </c>
      <c r="F277" s="265">
        <v>0.09</v>
      </c>
      <c r="G277" s="273" t="s">
        <v>836</v>
      </c>
      <c r="H277" s="272" t="s">
        <v>835</v>
      </c>
      <c r="I277" s="265">
        <v>0.01</v>
      </c>
      <c r="J277" s="271">
        <f t="shared" si="4"/>
        <v>0.5</v>
      </c>
      <c r="K277" s="270"/>
      <c r="L277" s="279" t="s">
        <v>1031</v>
      </c>
      <c r="M277" s="279" t="s">
        <v>1031</v>
      </c>
      <c r="N277" s="279" t="s">
        <v>1031</v>
      </c>
      <c r="O277" s="268" t="s">
        <v>1031</v>
      </c>
      <c r="P277" s="268">
        <v>0</v>
      </c>
      <c r="Q277" s="277" t="s">
        <v>1031</v>
      </c>
      <c r="R277" s="267">
        <v>0</v>
      </c>
      <c r="S277" s="267">
        <v>0</v>
      </c>
      <c r="T277" s="276" t="s">
        <v>1031</v>
      </c>
    </row>
    <row r="278" spans="1:20" ht="15.75" customHeight="1" x14ac:dyDescent="0.25">
      <c r="A278" s="272" t="s">
        <v>638</v>
      </c>
      <c r="B278" s="275" t="s">
        <v>637</v>
      </c>
      <c r="C278" s="265">
        <v>0.4</v>
      </c>
      <c r="D278" s="273" t="s">
        <v>772</v>
      </c>
      <c r="E278" s="274" t="s">
        <v>771</v>
      </c>
      <c r="F278" s="265">
        <v>0.1</v>
      </c>
      <c r="G278" s="273" t="s">
        <v>748</v>
      </c>
      <c r="H278" s="272" t="s">
        <v>762</v>
      </c>
      <c r="I278" s="265">
        <v>0</v>
      </c>
      <c r="J278" s="271">
        <f t="shared" si="4"/>
        <v>0.5</v>
      </c>
      <c r="K278" s="270"/>
      <c r="L278" s="279" t="s">
        <v>1031</v>
      </c>
      <c r="M278" s="279" t="s">
        <v>1031</v>
      </c>
      <c r="N278" s="279" t="s">
        <v>1031</v>
      </c>
      <c r="O278" s="268" t="s">
        <v>1031</v>
      </c>
      <c r="P278" s="268">
        <v>0</v>
      </c>
      <c r="Q278" s="277" t="s">
        <v>1031</v>
      </c>
      <c r="R278" s="267">
        <v>0</v>
      </c>
      <c r="S278" s="267">
        <v>0</v>
      </c>
      <c r="T278" s="276" t="s">
        <v>1031</v>
      </c>
    </row>
    <row r="279" spans="1:20" ht="15.75" customHeight="1" x14ac:dyDescent="0.25">
      <c r="A279" s="272" t="s">
        <v>640</v>
      </c>
      <c r="B279" s="275" t="s">
        <v>639</v>
      </c>
      <c r="C279" s="265">
        <v>0.4</v>
      </c>
      <c r="D279" s="273" t="s">
        <v>794</v>
      </c>
      <c r="E279" s="274" t="s">
        <v>793</v>
      </c>
      <c r="F279" s="265">
        <v>0.09</v>
      </c>
      <c r="G279" s="273" t="s">
        <v>792</v>
      </c>
      <c r="H279" s="272" t="s">
        <v>791</v>
      </c>
      <c r="I279" s="265">
        <v>0.01</v>
      </c>
      <c r="J279" s="271">
        <f t="shared" si="4"/>
        <v>0.5</v>
      </c>
      <c r="K279" s="270"/>
      <c r="L279" s="279" t="s">
        <v>1031</v>
      </c>
      <c r="M279" s="279" t="s">
        <v>1031</v>
      </c>
      <c r="N279" s="279" t="s">
        <v>1031</v>
      </c>
      <c r="O279" s="268" t="s">
        <v>1031</v>
      </c>
      <c r="P279" s="268">
        <v>0</v>
      </c>
      <c r="Q279" s="277" t="s">
        <v>1031</v>
      </c>
      <c r="R279" s="267">
        <v>0</v>
      </c>
      <c r="S279" s="267">
        <v>0</v>
      </c>
      <c r="T279" s="276" t="s">
        <v>1031</v>
      </c>
    </row>
    <row r="280" spans="1:20" ht="15.75" customHeight="1" x14ac:dyDescent="0.25">
      <c r="A280" s="272" t="s">
        <v>642</v>
      </c>
      <c r="B280" s="275" t="s">
        <v>641</v>
      </c>
      <c r="C280" s="265">
        <v>0.4</v>
      </c>
      <c r="D280" s="273" t="s">
        <v>800</v>
      </c>
      <c r="E280" s="274" t="s">
        <v>799</v>
      </c>
      <c r="F280" s="265">
        <v>0.09</v>
      </c>
      <c r="G280" s="273" t="s">
        <v>792</v>
      </c>
      <c r="H280" s="272" t="s">
        <v>791</v>
      </c>
      <c r="I280" s="265">
        <v>0.01</v>
      </c>
      <c r="J280" s="271">
        <f t="shared" si="4"/>
        <v>0.5</v>
      </c>
      <c r="K280" s="270"/>
      <c r="L280" s="279" t="s">
        <v>1031</v>
      </c>
      <c r="M280" s="279" t="s">
        <v>1031</v>
      </c>
      <c r="N280" s="279" t="s">
        <v>1031</v>
      </c>
      <c r="O280" s="268" t="s">
        <v>1032</v>
      </c>
      <c r="P280" s="268">
        <v>94378</v>
      </c>
      <c r="Q280" s="277" t="s">
        <v>1031</v>
      </c>
      <c r="R280" s="267">
        <v>0</v>
      </c>
      <c r="S280" s="267">
        <v>0</v>
      </c>
      <c r="T280" s="276" t="s">
        <v>1031</v>
      </c>
    </row>
    <row r="281" spans="1:20" ht="15.75" customHeight="1" x14ac:dyDescent="0.25">
      <c r="A281" s="272" t="s">
        <v>644</v>
      </c>
      <c r="B281" s="281" t="s">
        <v>834</v>
      </c>
      <c r="C281" s="265">
        <v>0.49</v>
      </c>
      <c r="D281" s="273" t="s">
        <v>748</v>
      </c>
      <c r="E281" s="274" t="s">
        <v>747</v>
      </c>
      <c r="F281" s="265">
        <v>0</v>
      </c>
      <c r="G281" s="273" t="s">
        <v>833</v>
      </c>
      <c r="H281" s="272" t="s">
        <v>832</v>
      </c>
      <c r="I281" s="265">
        <v>0.01</v>
      </c>
      <c r="J281" s="271">
        <f t="shared" si="4"/>
        <v>0.5</v>
      </c>
      <c r="K281" s="270"/>
      <c r="L281" s="279" t="s">
        <v>1031</v>
      </c>
      <c r="M281" s="279" t="s">
        <v>1031</v>
      </c>
      <c r="N281" s="279" t="s">
        <v>1031</v>
      </c>
      <c r="O281" s="268" t="s">
        <v>1031</v>
      </c>
      <c r="P281" s="268">
        <v>0</v>
      </c>
      <c r="Q281" s="277" t="s">
        <v>1032</v>
      </c>
      <c r="R281" s="267">
        <v>0</v>
      </c>
      <c r="S281" s="267">
        <v>0</v>
      </c>
      <c r="T281" s="276" t="s">
        <v>1032</v>
      </c>
    </row>
    <row r="282" spans="1:20" ht="15.75" customHeight="1" x14ac:dyDescent="0.25">
      <c r="A282" s="272" t="s">
        <v>646</v>
      </c>
      <c r="B282" s="275" t="s">
        <v>645</v>
      </c>
      <c r="C282" s="265">
        <v>0.4</v>
      </c>
      <c r="D282" s="273" t="s">
        <v>822</v>
      </c>
      <c r="E282" s="274" t="s">
        <v>821</v>
      </c>
      <c r="F282" s="265">
        <v>0.09</v>
      </c>
      <c r="G282" s="273" t="s">
        <v>820</v>
      </c>
      <c r="H282" s="272" t="s">
        <v>819</v>
      </c>
      <c r="I282" s="265">
        <v>0.01</v>
      </c>
      <c r="J282" s="271">
        <f t="shared" si="4"/>
        <v>0.5</v>
      </c>
      <c r="K282" s="270"/>
      <c r="L282" s="279" t="s">
        <v>1031</v>
      </c>
      <c r="M282" s="279" t="s">
        <v>1031</v>
      </c>
      <c r="N282" s="279" t="s">
        <v>1031</v>
      </c>
      <c r="O282" s="268" t="s">
        <v>1031</v>
      </c>
      <c r="P282" s="268">
        <v>0</v>
      </c>
      <c r="Q282" s="277" t="s">
        <v>1031</v>
      </c>
      <c r="R282" s="267">
        <v>0</v>
      </c>
      <c r="S282" s="267">
        <v>0</v>
      </c>
      <c r="T282" s="276" t="s">
        <v>1031</v>
      </c>
    </row>
    <row r="283" spans="1:20" ht="15.75" customHeight="1" x14ac:dyDescent="0.25">
      <c r="A283" s="272" t="s">
        <v>648</v>
      </c>
      <c r="B283" s="275" t="s">
        <v>647</v>
      </c>
      <c r="C283" s="265">
        <v>0.4</v>
      </c>
      <c r="D283" s="273" t="s">
        <v>779</v>
      </c>
      <c r="E283" s="274" t="s">
        <v>778</v>
      </c>
      <c r="F283" s="265">
        <v>0.09</v>
      </c>
      <c r="G283" s="273" t="s">
        <v>777</v>
      </c>
      <c r="H283" s="272" t="s">
        <v>776</v>
      </c>
      <c r="I283" s="265">
        <v>0.01</v>
      </c>
      <c r="J283" s="271">
        <f t="shared" si="4"/>
        <v>0.5</v>
      </c>
      <c r="K283" s="270"/>
      <c r="L283" s="279" t="s">
        <v>1031</v>
      </c>
      <c r="M283" s="279" t="s">
        <v>1031</v>
      </c>
      <c r="N283" s="279" t="s">
        <v>1031</v>
      </c>
      <c r="O283" s="268" t="s">
        <v>1031</v>
      </c>
      <c r="P283" s="268">
        <v>0</v>
      </c>
      <c r="Q283" s="277" t="s">
        <v>1031</v>
      </c>
      <c r="R283" s="267">
        <v>0</v>
      </c>
      <c r="S283" s="267">
        <v>0</v>
      </c>
      <c r="T283" s="276" t="s">
        <v>1031</v>
      </c>
    </row>
    <row r="284" spans="1:20" ht="15.75" customHeight="1" x14ac:dyDescent="0.25">
      <c r="A284" s="272" t="s">
        <v>650</v>
      </c>
      <c r="B284" s="275" t="s">
        <v>649</v>
      </c>
      <c r="C284" s="265">
        <v>0.4</v>
      </c>
      <c r="D284" s="273" t="s">
        <v>831</v>
      </c>
      <c r="E284" s="274" t="s">
        <v>830</v>
      </c>
      <c r="F284" s="265">
        <v>0.1</v>
      </c>
      <c r="G284" s="273" t="s">
        <v>748</v>
      </c>
      <c r="H284" s="272" t="s">
        <v>762</v>
      </c>
      <c r="I284" s="265">
        <v>0</v>
      </c>
      <c r="J284" s="271">
        <f t="shared" si="4"/>
        <v>0.5</v>
      </c>
      <c r="K284" s="270"/>
      <c r="L284" s="279" t="s">
        <v>1031</v>
      </c>
      <c r="M284" s="279" t="s">
        <v>1031</v>
      </c>
      <c r="N284" s="279" t="s">
        <v>1031</v>
      </c>
      <c r="O284" s="268" t="s">
        <v>1032</v>
      </c>
      <c r="P284" s="268">
        <v>1725823</v>
      </c>
      <c r="Q284" s="277" t="s">
        <v>1031</v>
      </c>
      <c r="R284" s="267">
        <v>0</v>
      </c>
      <c r="S284" s="267">
        <v>0</v>
      </c>
      <c r="T284" s="276" t="s">
        <v>1031</v>
      </c>
    </row>
    <row r="285" spans="1:20" ht="15.75" customHeight="1" x14ac:dyDescent="0.25">
      <c r="A285" s="272" t="s">
        <v>652</v>
      </c>
      <c r="B285" s="275" t="s">
        <v>651</v>
      </c>
      <c r="C285" s="265">
        <v>0.4</v>
      </c>
      <c r="D285" s="273" t="s">
        <v>826</v>
      </c>
      <c r="E285" s="274" t="s">
        <v>825</v>
      </c>
      <c r="F285" s="265">
        <v>0.09</v>
      </c>
      <c r="G285" s="273" t="s">
        <v>824</v>
      </c>
      <c r="H285" s="272" t="s">
        <v>823</v>
      </c>
      <c r="I285" s="265">
        <v>0.01</v>
      </c>
      <c r="J285" s="271">
        <f t="shared" si="4"/>
        <v>0.5</v>
      </c>
      <c r="K285" s="270"/>
      <c r="L285" s="279" t="s">
        <v>1031</v>
      </c>
      <c r="M285" s="279" t="s">
        <v>1031</v>
      </c>
      <c r="N285" s="279" t="s">
        <v>1031</v>
      </c>
      <c r="O285" s="268" t="s">
        <v>1031</v>
      </c>
      <c r="P285" s="268">
        <v>0</v>
      </c>
      <c r="Q285" s="277" t="s">
        <v>1031</v>
      </c>
      <c r="R285" s="267">
        <v>0</v>
      </c>
      <c r="S285" s="267">
        <v>0</v>
      </c>
      <c r="T285" s="276" t="s">
        <v>1031</v>
      </c>
    </row>
    <row r="286" spans="1:20" ht="15.75" customHeight="1" x14ac:dyDescent="0.25">
      <c r="A286" s="272" t="s">
        <v>654</v>
      </c>
      <c r="B286" s="275" t="s">
        <v>653</v>
      </c>
      <c r="C286" s="265">
        <v>0.4</v>
      </c>
      <c r="D286" s="273" t="s">
        <v>803</v>
      </c>
      <c r="E286" s="274" t="s">
        <v>802</v>
      </c>
      <c r="F286" s="265">
        <v>0.1</v>
      </c>
      <c r="G286" s="273" t="s">
        <v>748</v>
      </c>
      <c r="H286" s="272" t="s">
        <v>762</v>
      </c>
      <c r="I286" s="265">
        <v>0</v>
      </c>
      <c r="J286" s="271">
        <f t="shared" si="4"/>
        <v>0.5</v>
      </c>
      <c r="K286" s="270"/>
      <c r="L286" s="279" t="s">
        <v>1031</v>
      </c>
      <c r="M286" s="279" t="s">
        <v>1031</v>
      </c>
      <c r="N286" s="279" t="s">
        <v>1031</v>
      </c>
      <c r="O286" s="268" t="s">
        <v>1031</v>
      </c>
      <c r="P286" s="268">
        <v>0</v>
      </c>
      <c r="Q286" s="277" t="s">
        <v>1031</v>
      </c>
      <c r="R286" s="267">
        <v>0</v>
      </c>
      <c r="S286" s="267">
        <v>0</v>
      </c>
      <c r="T286" s="276" t="s">
        <v>1031</v>
      </c>
    </row>
    <row r="287" spans="1:20" ht="15.75" customHeight="1" x14ac:dyDescent="0.25">
      <c r="A287" s="272" t="s">
        <v>656</v>
      </c>
      <c r="B287" s="275" t="s">
        <v>829</v>
      </c>
      <c r="C287" s="265">
        <v>0.49</v>
      </c>
      <c r="D287" s="273" t="s">
        <v>748</v>
      </c>
      <c r="E287" s="274" t="s">
        <v>747</v>
      </c>
      <c r="F287" s="265">
        <v>0</v>
      </c>
      <c r="G287" s="273" t="s">
        <v>820</v>
      </c>
      <c r="H287" s="272" t="s">
        <v>819</v>
      </c>
      <c r="I287" s="265">
        <v>0.01</v>
      </c>
      <c r="J287" s="271">
        <f t="shared" si="4"/>
        <v>0.5</v>
      </c>
      <c r="K287" s="270"/>
      <c r="L287" s="279" t="s">
        <v>1031</v>
      </c>
      <c r="M287" s="279" t="s">
        <v>1031</v>
      </c>
      <c r="N287" s="279" t="s">
        <v>1031</v>
      </c>
      <c r="O287" s="268" t="s">
        <v>1031</v>
      </c>
      <c r="P287" s="268">
        <v>0</v>
      </c>
      <c r="Q287" s="277" t="s">
        <v>1032</v>
      </c>
      <c r="R287" s="267">
        <v>0</v>
      </c>
      <c r="S287" s="267">
        <v>0</v>
      </c>
      <c r="T287" s="276" t="s">
        <v>1032</v>
      </c>
    </row>
    <row r="288" spans="1:20" ht="15.75" customHeight="1" x14ac:dyDescent="0.25">
      <c r="A288" s="272" t="s">
        <v>658</v>
      </c>
      <c r="B288" s="275" t="s">
        <v>828</v>
      </c>
      <c r="C288" s="265">
        <v>0.4</v>
      </c>
      <c r="D288" s="273" t="s">
        <v>826</v>
      </c>
      <c r="E288" s="274" t="s">
        <v>825</v>
      </c>
      <c r="F288" s="265">
        <v>0.09</v>
      </c>
      <c r="G288" s="273" t="s">
        <v>824</v>
      </c>
      <c r="H288" s="272" t="s">
        <v>823</v>
      </c>
      <c r="I288" s="265">
        <v>0.01</v>
      </c>
      <c r="J288" s="271">
        <f t="shared" si="4"/>
        <v>0.5</v>
      </c>
      <c r="K288" s="270"/>
      <c r="L288" s="279" t="s">
        <v>1031</v>
      </c>
      <c r="M288" s="279" t="s">
        <v>1031</v>
      </c>
      <c r="N288" s="279" t="s">
        <v>1031</v>
      </c>
      <c r="O288" s="268" t="s">
        <v>1032</v>
      </c>
      <c r="P288" s="268">
        <v>612000</v>
      </c>
      <c r="Q288" s="277" t="s">
        <v>1031</v>
      </c>
      <c r="R288" s="267">
        <v>0</v>
      </c>
      <c r="S288" s="267">
        <v>0</v>
      </c>
      <c r="T288" s="276" t="s">
        <v>1031</v>
      </c>
    </row>
    <row r="289" spans="1:20" ht="15.75" customHeight="1" x14ac:dyDescent="0.25">
      <c r="A289" s="272" t="s">
        <v>660</v>
      </c>
      <c r="B289" s="275" t="s">
        <v>827</v>
      </c>
      <c r="C289" s="265">
        <v>0.49</v>
      </c>
      <c r="D289" s="273" t="s">
        <v>748</v>
      </c>
      <c r="E289" s="274" t="s">
        <v>747</v>
      </c>
      <c r="F289" s="265">
        <v>0</v>
      </c>
      <c r="G289" s="273" t="s">
        <v>792</v>
      </c>
      <c r="H289" s="272" t="s">
        <v>791</v>
      </c>
      <c r="I289" s="265">
        <v>0.01</v>
      </c>
      <c r="J289" s="271">
        <f t="shared" si="4"/>
        <v>0.5</v>
      </c>
      <c r="K289" s="270"/>
      <c r="L289" s="279" t="s">
        <v>1031</v>
      </c>
      <c r="M289" s="279" t="s">
        <v>1031</v>
      </c>
      <c r="N289" s="279" t="s">
        <v>1031</v>
      </c>
      <c r="O289" s="268" t="s">
        <v>1031</v>
      </c>
      <c r="P289" s="268">
        <v>0</v>
      </c>
      <c r="Q289" s="277" t="s">
        <v>1032</v>
      </c>
      <c r="R289" s="267">
        <v>0</v>
      </c>
      <c r="S289" s="267">
        <v>0</v>
      </c>
      <c r="T289" s="276" t="s">
        <v>1032</v>
      </c>
    </row>
    <row r="290" spans="1:20" ht="15.75" customHeight="1" x14ac:dyDescent="0.25">
      <c r="A290" s="272" t="s">
        <v>662</v>
      </c>
      <c r="B290" s="275" t="s">
        <v>661</v>
      </c>
      <c r="C290" s="265">
        <v>0.4</v>
      </c>
      <c r="D290" s="273" t="s">
        <v>800</v>
      </c>
      <c r="E290" s="274" t="s">
        <v>799</v>
      </c>
      <c r="F290" s="265">
        <v>0.09</v>
      </c>
      <c r="G290" s="273" t="s">
        <v>792</v>
      </c>
      <c r="H290" s="272" t="s">
        <v>791</v>
      </c>
      <c r="I290" s="265">
        <v>0.01</v>
      </c>
      <c r="J290" s="271">
        <f t="shared" si="4"/>
        <v>0.5</v>
      </c>
      <c r="K290" s="270"/>
      <c r="L290" s="279" t="s">
        <v>1031</v>
      </c>
      <c r="M290" s="279" t="s">
        <v>1031</v>
      </c>
      <c r="N290" s="279" t="s">
        <v>1031</v>
      </c>
      <c r="O290" s="268" t="s">
        <v>1031</v>
      </c>
      <c r="P290" s="268">
        <v>0</v>
      </c>
      <c r="Q290" s="277" t="s">
        <v>1031</v>
      </c>
      <c r="R290" s="267">
        <v>0</v>
      </c>
      <c r="S290" s="267">
        <v>0</v>
      </c>
      <c r="T290" s="276" t="s">
        <v>1031</v>
      </c>
    </row>
    <row r="291" spans="1:20" ht="15.75" customHeight="1" x14ac:dyDescent="0.25">
      <c r="A291" s="272" t="s">
        <v>664</v>
      </c>
      <c r="B291" s="275" t="s">
        <v>663</v>
      </c>
      <c r="C291" s="265">
        <v>0.3</v>
      </c>
      <c r="D291" s="273" t="s">
        <v>790</v>
      </c>
      <c r="E291" s="274" t="s">
        <v>789</v>
      </c>
      <c r="F291" s="265">
        <v>0.2</v>
      </c>
      <c r="G291" s="273" t="s">
        <v>748</v>
      </c>
      <c r="H291" s="274" t="s">
        <v>748</v>
      </c>
      <c r="I291" s="265">
        <v>0</v>
      </c>
      <c r="J291" s="271">
        <f t="shared" si="4"/>
        <v>0.5</v>
      </c>
      <c r="K291" s="270"/>
      <c r="L291" s="279" t="s">
        <v>1031</v>
      </c>
      <c r="M291" s="279" t="s">
        <v>1031</v>
      </c>
      <c r="N291" s="279" t="s">
        <v>1031</v>
      </c>
      <c r="O291" s="268" t="s">
        <v>1031</v>
      </c>
      <c r="P291" s="268">
        <v>0</v>
      </c>
      <c r="Q291" s="277" t="s">
        <v>1032</v>
      </c>
      <c r="R291" s="267">
        <v>0</v>
      </c>
      <c r="S291" s="267">
        <v>0</v>
      </c>
      <c r="T291" s="276" t="s">
        <v>1032</v>
      </c>
    </row>
    <row r="292" spans="1:20" ht="15.75" customHeight="1" x14ac:dyDescent="0.25">
      <c r="A292" s="272" t="s">
        <v>666</v>
      </c>
      <c r="B292" s="275" t="s">
        <v>665</v>
      </c>
      <c r="C292" s="265">
        <v>0.49</v>
      </c>
      <c r="D292" s="273" t="s">
        <v>748</v>
      </c>
      <c r="E292" s="274" t="s">
        <v>767</v>
      </c>
      <c r="F292" s="265">
        <v>0</v>
      </c>
      <c r="G292" s="273" t="s">
        <v>783</v>
      </c>
      <c r="H292" s="272" t="s">
        <v>782</v>
      </c>
      <c r="I292" s="265">
        <v>0.01</v>
      </c>
      <c r="J292" s="271">
        <f t="shared" si="4"/>
        <v>0.5</v>
      </c>
      <c r="K292" s="270"/>
      <c r="L292" s="279" t="s">
        <v>1031</v>
      </c>
      <c r="M292" s="279" t="s">
        <v>1031</v>
      </c>
      <c r="N292" s="279" t="s">
        <v>1031</v>
      </c>
      <c r="O292" s="268" t="s">
        <v>1031</v>
      </c>
      <c r="P292" s="268">
        <v>0</v>
      </c>
      <c r="Q292" s="277" t="s">
        <v>1032</v>
      </c>
      <c r="R292" s="267">
        <v>0</v>
      </c>
      <c r="S292" s="267">
        <v>0</v>
      </c>
      <c r="T292" s="276" t="s">
        <v>1032</v>
      </c>
    </row>
    <row r="293" spans="1:20" ht="15.75" customHeight="1" x14ac:dyDescent="0.25">
      <c r="A293" s="272" t="s">
        <v>668</v>
      </c>
      <c r="B293" s="275" t="s">
        <v>667</v>
      </c>
      <c r="C293" s="265">
        <v>0.4</v>
      </c>
      <c r="D293" s="273" t="s">
        <v>826</v>
      </c>
      <c r="E293" s="274" t="s">
        <v>825</v>
      </c>
      <c r="F293" s="265">
        <v>0.09</v>
      </c>
      <c r="G293" s="273" t="s">
        <v>824</v>
      </c>
      <c r="H293" s="272" t="s">
        <v>823</v>
      </c>
      <c r="I293" s="265">
        <v>0.01</v>
      </c>
      <c r="J293" s="271">
        <f t="shared" si="4"/>
        <v>0.5</v>
      </c>
      <c r="K293" s="270"/>
      <c r="L293" s="279" t="s">
        <v>1031</v>
      </c>
      <c r="M293" s="279" t="s">
        <v>1031</v>
      </c>
      <c r="N293" s="279" t="s">
        <v>1031</v>
      </c>
      <c r="O293" s="268" t="s">
        <v>1031</v>
      </c>
      <c r="P293" s="268">
        <v>0</v>
      </c>
      <c r="Q293" s="277" t="s">
        <v>1031</v>
      </c>
      <c r="R293" s="267">
        <v>0</v>
      </c>
      <c r="S293" s="267">
        <v>0</v>
      </c>
      <c r="T293" s="276" t="s">
        <v>1031</v>
      </c>
    </row>
    <row r="294" spans="1:20" ht="15.75" customHeight="1" x14ac:dyDescent="0.25">
      <c r="A294" s="272" t="s">
        <v>670</v>
      </c>
      <c r="B294" s="275" t="s">
        <v>669</v>
      </c>
      <c r="C294" s="265">
        <v>0.4</v>
      </c>
      <c r="D294" s="273" t="s">
        <v>822</v>
      </c>
      <c r="E294" s="274" t="s">
        <v>821</v>
      </c>
      <c r="F294" s="265">
        <v>0.09</v>
      </c>
      <c r="G294" s="273" t="s">
        <v>820</v>
      </c>
      <c r="H294" s="272" t="s">
        <v>819</v>
      </c>
      <c r="I294" s="265">
        <v>0.01</v>
      </c>
      <c r="J294" s="271">
        <f t="shared" si="4"/>
        <v>0.5</v>
      </c>
      <c r="K294" s="270"/>
      <c r="L294" s="279" t="s">
        <v>1031</v>
      </c>
      <c r="M294" s="279" t="s">
        <v>1031</v>
      </c>
      <c r="N294" s="279" t="s">
        <v>1031</v>
      </c>
      <c r="O294" s="268" t="s">
        <v>1031</v>
      </c>
      <c r="P294" s="268">
        <v>0</v>
      </c>
      <c r="Q294" s="277" t="s">
        <v>1031</v>
      </c>
      <c r="R294" s="267">
        <v>0</v>
      </c>
      <c r="S294" s="267">
        <v>0</v>
      </c>
      <c r="T294" s="276" t="s">
        <v>1031</v>
      </c>
    </row>
    <row r="295" spans="1:20" x14ac:dyDescent="0.25">
      <c r="A295" s="272" t="s">
        <v>672</v>
      </c>
      <c r="B295" s="275" t="s">
        <v>671</v>
      </c>
      <c r="C295" s="265">
        <v>0.4</v>
      </c>
      <c r="D295" s="273" t="s">
        <v>796</v>
      </c>
      <c r="E295" s="274" t="s">
        <v>795</v>
      </c>
      <c r="F295" s="265">
        <v>0.1</v>
      </c>
      <c r="G295" s="273" t="s">
        <v>748</v>
      </c>
      <c r="H295" s="272" t="s">
        <v>762</v>
      </c>
      <c r="I295" s="265">
        <v>0</v>
      </c>
      <c r="J295" s="271">
        <f t="shared" si="4"/>
        <v>0.5</v>
      </c>
      <c r="K295" s="270"/>
      <c r="L295" s="279" t="s">
        <v>1032</v>
      </c>
      <c r="M295" s="279" t="s">
        <v>1065</v>
      </c>
      <c r="N295" s="279" t="s">
        <v>1031</v>
      </c>
      <c r="O295" s="268" t="s">
        <v>1031</v>
      </c>
      <c r="P295" s="268">
        <v>0</v>
      </c>
      <c r="Q295" s="277" t="s">
        <v>1031</v>
      </c>
      <c r="R295" s="267">
        <v>1208592</v>
      </c>
      <c r="S295" s="267">
        <v>0</v>
      </c>
      <c r="T295" s="276" t="s">
        <v>1031</v>
      </c>
    </row>
    <row r="296" spans="1:20" ht="15.75" customHeight="1" x14ac:dyDescent="0.25">
      <c r="A296" s="272" t="s">
        <v>674</v>
      </c>
      <c r="B296" s="275" t="s">
        <v>673</v>
      </c>
      <c r="C296" s="265">
        <v>0.49</v>
      </c>
      <c r="D296" s="273" t="s">
        <v>748</v>
      </c>
      <c r="E296" s="274" t="s">
        <v>767</v>
      </c>
      <c r="F296" s="265">
        <v>0</v>
      </c>
      <c r="G296" s="273" t="s">
        <v>818</v>
      </c>
      <c r="H296" s="272" t="s">
        <v>817</v>
      </c>
      <c r="I296" s="265">
        <v>0.01</v>
      </c>
      <c r="J296" s="271">
        <f t="shared" si="4"/>
        <v>0.5</v>
      </c>
      <c r="L296" s="279" t="s">
        <v>1031</v>
      </c>
      <c r="M296" s="279" t="s">
        <v>1031</v>
      </c>
      <c r="N296" s="279" t="s">
        <v>1031</v>
      </c>
      <c r="O296" s="268" t="s">
        <v>1031</v>
      </c>
      <c r="P296" s="268">
        <v>0</v>
      </c>
      <c r="Q296" s="277" t="s">
        <v>1032</v>
      </c>
      <c r="R296" s="267">
        <v>0</v>
      </c>
      <c r="S296" s="267">
        <v>0</v>
      </c>
      <c r="T296" s="276" t="s">
        <v>1032</v>
      </c>
    </row>
    <row r="297" spans="1:20" x14ac:dyDescent="0.25">
      <c r="A297" s="272" t="s">
        <v>676</v>
      </c>
      <c r="B297" s="275" t="s">
        <v>675</v>
      </c>
      <c r="C297" s="265">
        <v>0.49</v>
      </c>
      <c r="D297" s="273" t="s">
        <v>748</v>
      </c>
      <c r="E297" s="274" t="s">
        <v>767</v>
      </c>
      <c r="F297" s="265">
        <v>0</v>
      </c>
      <c r="G297" s="273" t="s">
        <v>766</v>
      </c>
      <c r="H297" s="272" t="s">
        <v>765</v>
      </c>
      <c r="I297" s="265">
        <v>0.01</v>
      </c>
      <c r="J297" s="271">
        <f t="shared" si="4"/>
        <v>0.5</v>
      </c>
      <c r="K297" s="270"/>
      <c r="L297" s="279" t="s">
        <v>1032</v>
      </c>
      <c r="M297" s="279" t="s">
        <v>1063</v>
      </c>
      <c r="N297" s="279" t="s">
        <v>1031</v>
      </c>
      <c r="O297" s="268" t="s">
        <v>1032</v>
      </c>
      <c r="P297" s="268">
        <v>1652273</v>
      </c>
      <c r="Q297" s="277" t="s">
        <v>1032</v>
      </c>
      <c r="R297" s="267">
        <v>175838</v>
      </c>
      <c r="S297" s="267">
        <v>0</v>
      </c>
      <c r="T297" s="276" t="s">
        <v>1032</v>
      </c>
    </row>
    <row r="298" spans="1:20" ht="15.75" customHeight="1" x14ac:dyDescent="0.25">
      <c r="A298" s="272" t="s">
        <v>678</v>
      </c>
      <c r="B298" s="275" t="s">
        <v>677</v>
      </c>
      <c r="C298" s="265">
        <v>0.3</v>
      </c>
      <c r="D298" s="273" t="s">
        <v>790</v>
      </c>
      <c r="E298" s="274" t="s">
        <v>789</v>
      </c>
      <c r="F298" s="265">
        <v>0.2</v>
      </c>
      <c r="G298" s="273" t="s">
        <v>748</v>
      </c>
      <c r="H298" s="274" t="s">
        <v>748</v>
      </c>
      <c r="I298" s="265">
        <v>0</v>
      </c>
      <c r="J298" s="271">
        <f t="shared" si="4"/>
        <v>0.5</v>
      </c>
      <c r="K298" s="270"/>
      <c r="L298" s="279" t="s">
        <v>1031</v>
      </c>
      <c r="M298" s="279" t="s">
        <v>1031</v>
      </c>
      <c r="N298" s="279" t="s">
        <v>1031</v>
      </c>
      <c r="O298" s="268" t="s">
        <v>1031</v>
      </c>
      <c r="P298" s="268">
        <v>0</v>
      </c>
      <c r="Q298" s="277" t="s">
        <v>1031</v>
      </c>
      <c r="R298" s="267">
        <v>0</v>
      </c>
      <c r="S298" s="267">
        <v>0</v>
      </c>
      <c r="T298" s="276" t="s">
        <v>1032</v>
      </c>
    </row>
    <row r="299" spans="1:20" ht="15.75" customHeight="1" x14ac:dyDescent="0.25">
      <c r="A299" s="272" t="s">
        <v>680</v>
      </c>
      <c r="B299" s="275" t="s">
        <v>679</v>
      </c>
      <c r="C299" s="265">
        <v>0.3</v>
      </c>
      <c r="D299" s="273" t="s">
        <v>790</v>
      </c>
      <c r="E299" s="274" t="s">
        <v>789</v>
      </c>
      <c r="F299" s="265">
        <v>0.2</v>
      </c>
      <c r="G299" s="273" t="s">
        <v>748</v>
      </c>
      <c r="H299" s="274" t="s">
        <v>748</v>
      </c>
      <c r="I299" s="265">
        <v>0</v>
      </c>
      <c r="J299" s="271">
        <f t="shared" si="4"/>
        <v>0.5</v>
      </c>
      <c r="K299" s="270"/>
      <c r="L299" s="279" t="s">
        <v>1031</v>
      </c>
      <c r="M299" s="279" t="s">
        <v>1031</v>
      </c>
      <c r="N299" s="279" t="s">
        <v>1031</v>
      </c>
      <c r="O299" s="268" t="s">
        <v>1032</v>
      </c>
      <c r="P299" s="268">
        <v>2507139</v>
      </c>
      <c r="Q299" s="277" t="s">
        <v>1032</v>
      </c>
      <c r="R299" s="267">
        <v>0</v>
      </c>
      <c r="S299" s="267">
        <v>0</v>
      </c>
      <c r="T299" s="276" t="s">
        <v>1032</v>
      </c>
    </row>
    <row r="300" spans="1:20" ht="15.75" customHeight="1" x14ac:dyDescent="0.25">
      <c r="A300" s="272" t="s">
        <v>682</v>
      </c>
      <c r="B300" s="275" t="s">
        <v>816</v>
      </c>
      <c r="C300" s="265">
        <v>0.49</v>
      </c>
      <c r="D300" s="273" t="s">
        <v>748</v>
      </c>
      <c r="E300" s="274" t="s">
        <v>747</v>
      </c>
      <c r="F300" s="265">
        <v>0</v>
      </c>
      <c r="G300" s="273" t="s">
        <v>815</v>
      </c>
      <c r="H300" s="272" t="s">
        <v>814</v>
      </c>
      <c r="I300" s="265">
        <v>0.01</v>
      </c>
      <c r="J300" s="271">
        <f t="shared" si="4"/>
        <v>0.5</v>
      </c>
      <c r="K300" s="270"/>
      <c r="L300" s="279" t="s">
        <v>1031</v>
      </c>
      <c r="M300" s="279" t="s">
        <v>1031</v>
      </c>
      <c r="N300" s="279" t="s">
        <v>1031</v>
      </c>
      <c r="O300" s="268" t="s">
        <v>1032</v>
      </c>
      <c r="P300" s="268">
        <v>1526757</v>
      </c>
      <c r="Q300" s="277" t="s">
        <v>1032</v>
      </c>
      <c r="R300" s="267">
        <v>0</v>
      </c>
      <c r="S300" s="267">
        <v>0</v>
      </c>
      <c r="T300" s="276" t="s">
        <v>1032</v>
      </c>
    </row>
    <row r="301" spans="1:20" ht="15.75" customHeight="1" x14ac:dyDescent="0.25">
      <c r="A301" s="272" t="s">
        <v>684</v>
      </c>
      <c r="B301" s="275" t="s">
        <v>683</v>
      </c>
      <c r="C301" s="265">
        <v>0.4</v>
      </c>
      <c r="D301" s="273" t="s">
        <v>813</v>
      </c>
      <c r="E301" s="274" t="s">
        <v>812</v>
      </c>
      <c r="F301" s="265">
        <v>0.1</v>
      </c>
      <c r="G301" s="273" t="s">
        <v>748</v>
      </c>
      <c r="H301" s="272" t="s">
        <v>762</v>
      </c>
      <c r="I301" s="265">
        <v>0</v>
      </c>
      <c r="J301" s="271">
        <f t="shared" si="4"/>
        <v>0.5</v>
      </c>
      <c r="K301" s="270"/>
      <c r="L301" s="279" t="s">
        <v>1031</v>
      </c>
      <c r="M301" s="279" t="s">
        <v>1031</v>
      </c>
      <c r="N301" s="279" t="s">
        <v>1031</v>
      </c>
      <c r="O301" s="268" t="s">
        <v>1031</v>
      </c>
      <c r="P301" s="268">
        <v>0</v>
      </c>
      <c r="Q301" s="277" t="s">
        <v>1031</v>
      </c>
      <c r="R301" s="267">
        <v>0</v>
      </c>
      <c r="S301" s="267">
        <v>0</v>
      </c>
      <c r="T301" s="276" t="s">
        <v>1031</v>
      </c>
    </row>
    <row r="302" spans="1:20" ht="15.75" customHeight="1" x14ac:dyDescent="0.25">
      <c r="A302" s="272" t="s">
        <v>686</v>
      </c>
      <c r="B302" s="275" t="s">
        <v>685</v>
      </c>
      <c r="C302" s="265">
        <v>0.4</v>
      </c>
      <c r="D302" s="273" t="s">
        <v>803</v>
      </c>
      <c r="E302" s="274" t="s">
        <v>802</v>
      </c>
      <c r="F302" s="265">
        <v>0.1</v>
      </c>
      <c r="G302" s="273" t="s">
        <v>748</v>
      </c>
      <c r="H302" s="272" t="s">
        <v>762</v>
      </c>
      <c r="I302" s="265">
        <v>0</v>
      </c>
      <c r="J302" s="271">
        <f t="shared" si="4"/>
        <v>0.5</v>
      </c>
      <c r="K302" s="270"/>
      <c r="L302" s="279" t="s">
        <v>1031</v>
      </c>
      <c r="M302" s="279" t="s">
        <v>1031</v>
      </c>
      <c r="N302" s="279" t="s">
        <v>1031</v>
      </c>
      <c r="O302" s="268" t="s">
        <v>1031</v>
      </c>
      <c r="P302" s="268">
        <v>0</v>
      </c>
      <c r="Q302" s="277" t="s">
        <v>1031</v>
      </c>
      <c r="R302" s="267">
        <v>0</v>
      </c>
      <c r="S302" s="267">
        <v>0</v>
      </c>
      <c r="T302" s="276" t="s">
        <v>1031</v>
      </c>
    </row>
    <row r="303" spans="1:20" x14ac:dyDescent="0.25">
      <c r="A303" s="272" t="s">
        <v>688</v>
      </c>
      <c r="B303" s="275" t="s">
        <v>687</v>
      </c>
      <c r="C303" s="265">
        <v>0.4</v>
      </c>
      <c r="D303" s="273" t="s">
        <v>811</v>
      </c>
      <c r="E303" s="274" t="s">
        <v>810</v>
      </c>
      <c r="F303" s="265">
        <v>0.1</v>
      </c>
      <c r="G303" s="273" t="s">
        <v>748</v>
      </c>
      <c r="H303" s="272" t="s">
        <v>762</v>
      </c>
      <c r="I303" s="265">
        <v>0</v>
      </c>
      <c r="J303" s="271">
        <f t="shared" si="4"/>
        <v>0.5</v>
      </c>
      <c r="K303" s="270"/>
      <c r="L303" s="279" t="s">
        <v>1032</v>
      </c>
      <c r="M303" s="279" t="s">
        <v>1046</v>
      </c>
      <c r="N303" s="279" t="s">
        <v>1031</v>
      </c>
      <c r="O303" s="268" t="s">
        <v>1031</v>
      </c>
      <c r="P303" s="268">
        <v>0</v>
      </c>
      <c r="Q303" s="277" t="s">
        <v>1031</v>
      </c>
      <c r="R303" s="267">
        <v>0</v>
      </c>
      <c r="S303" s="267">
        <v>0</v>
      </c>
      <c r="T303" s="276" t="s">
        <v>1031</v>
      </c>
    </row>
    <row r="304" spans="1:20" ht="15.75" customHeight="1" x14ac:dyDescent="0.25">
      <c r="A304" s="272" t="s">
        <v>690</v>
      </c>
      <c r="B304" s="275" t="s">
        <v>689</v>
      </c>
      <c r="C304" s="265">
        <v>0.4</v>
      </c>
      <c r="D304" s="273" t="s">
        <v>772</v>
      </c>
      <c r="E304" s="274" t="s">
        <v>771</v>
      </c>
      <c r="F304" s="265">
        <v>0.1</v>
      </c>
      <c r="G304" s="273" t="s">
        <v>748</v>
      </c>
      <c r="H304" s="272" t="s">
        <v>762</v>
      </c>
      <c r="I304" s="265">
        <v>0</v>
      </c>
      <c r="J304" s="271">
        <f t="shared" si="4"/>
        <v>0.5</v>
      </c>
      <c r="K304" s="270"/>
      <c r="L304" s="279" t="s">
        <v>1031</v>
      </c>
      <c r="M304" s="279" t="s">
        <v>1031</v>
      </c>
      <c r="N304" s="279" t="s">
        <v>1031</v>
      </c>
      <c r="O304" s="268" t="s">
        <v>1031</v>
      </c>
      <c r="P304" s="268">
        <v>0</v>
      </c>
      <c r="Q304" s="277" t="s">
        <v>1031</v>
      </c>
      <c r="R304" s="267">
        <v>0</v>
      </c>
      <c r="S304" s="267">
        <v>0</v>
      </c>
      <c r="T304" s="276" t="s">
        <v>1031</v>
      </c>
    </row>
    <row r="305" spans="1:20" ht="15.75" customHeight="1" x14ac:dyDescent="0.25">
      <c r="A305" s="272" t="s">
        <v>692</v>
      </c>
      <c r="B305" s="275" t="s">
        <v>691</v>
      </c>
      <c r="C305" s="265">
        <v>0.4</v>
      </c>
      <c r="D305" s="273" t="s">
        <v>809</v>
      </c>
      <c r="E305" s="274" t="s">
        <v>808</v>
      </c>
      <c r="F305" s="265">
        <v>0.09</v>
      </c>
      <c r="G305" s="273" t="s">
        <v>807</v>
      </c>
      <c r="H305" s="272" t="s">
        <v>806</v>
      </c>
      <c r="I305" s="265">
        <v>0.01</v>
      </c>
      <c r="J305" s="271">
        <f t="shared" si="4"/>
        <v>0.5</v>
      </c>
      <c r="K305" s="270"/>
      <c r="L305" s="279" t="s">
        <v>1031</v>
      </c>
      <c r="M305" s="279" t="s">
        <v>1031</v>
      </c>
      <c r="N305" s="279" t="s">
        <v>1031</v>
      </c>
      <c r="O305" s="268" t="s">
        <v>1031</v>
      </c>
      <c r="P305" s="268">
        <v>0</v>
      </c>
      <c r="Q305" s="277" t="s">
        <v>1031</v>
      </c>
      <c r="R305" s="267">
        <v>0</v>
      </c>
      <c r="S305" s="267">
        <v>0</v>
      </c>
      <c r="T305" s="276" t="s">
        <v>1031</v>
      </c>
    </row>
    <row r="306" spans="1:20" ht="15.75" customHeight="1" x14ac:dyDescent="0.25">
      <c r="A306" s="272" t="s">
        <v>694</v>
      </c>
      <c r="B306" s="275" t="s">
        <v>693</v>
      </c>
      <c r="C306" s="265">
        <v>0.4</v>
      </c>
      <c r="D306" s="273" t="s">
        <v>805</v>
      </c>
      <c r="E306" s="274" t="s">
        <v>804</v>
      </c>
      <c r="F306" s="265">
        <v>0.1</v>
      </c>
      <c r="G306" s="273" t="s">
        <v>748</v>
      </c>
      <c r="H306" s="272" t="s">
        <v>762</v>
      </c>
      <c r="I306" s="265">
        <v>0</v>
      </c>
      <c r="J306" s="271">
        <f t="shared" si="4"/>
        <v>0.5</v>
      </c>
      <c r="K306" s="270"/>
      <c r="L306" s="279" t="s">
        <v>1031</v>
      </c>
      <c r="M306" s="279" t="s">
        <v>1031</v>
      </c>
      <c r="N306" s="279" t="s">
        <v>1031</v>
      </c>
      <c r="O306" s="268" t="s">
        <v>1031</v>
      </c>
      <c r="P306" s="268">
        <v>0</v>
      </c>
      <c r="Q306" s="277" t="s">
        <v>1031</v>
      </c>
      <c r="R306" s="267">
        <v>0</v>
      </c>
      <c r="S306" s="267">
        <v>0</v>
      </c>
      <c r="T306" s="276" t="s">
        <v>1031</v>
      </c>
    </row>
    <row r="307" spans="1:20" ht="15.75" customHeight="1" x14ac:dyDescent="0.25">
      <c r="A307" s="272" t="s">
        <v>696</v>
      </c>
      <c r="B307" s="275" t="s">
        <v>695</v>
      </c>
      <c r="C307" s="265">
        <v>0.4</v>
      </c>
      <c r="D307" s="273" t="s">
        <v>803</v>
      </c>
      <c r="E307" s="274" t="s">
        <v>802</v>
      </c>
      <c r="F307" s="265">
        <v>0.1</v>
      </c>
      <c r="G307" s="273" t="s">
        <v>748</v>
      </c>
      <c r="H307" s="272" t="s">
        <v>762</v>
      </c>
      <c r="I307" s="265">
        <v>0</v>
      </c>
      <c r="J307" s="271">
        <f t="shared" si="4"/>
        <v>0.5</v>
      </c>
      <c r="K307" s="270"/>
      <c r="L307" s="279" t="s">
        <v>1031</v>
      </c>
      <c r="M307" s="279" t="s">
        <v>1031</v>
      </c>
      <c r="N307" s="279" t="s">
        <v>1031</v>
      </c>
      <c r="O307" s="268" t="s">
        <v>1031</v>
      </c>
      <c r="P307" s="268">
        <v>0</v>
      </c>
      <c r="Q307" s="277" t="s">
        <v>1031</v>
      </c>
      <c r="R307" s="267">
        <v>0</v>
      </c>
      <c r="S307" s="267">
        <v>0</v>
      </c>
      <c r="T307" s="276" t="s">
        <v>1031</v>
      </c>
    </row>
    <row r="308" spans="1:20" ht="15.75" customHeight="1" x14ac:dyDescent="0.25">
      <c r="A308" s="272" t="s">
        <v>698</v>
      </c>
      <c r="B308" s="275" t="s">
        <v>801</v>
      </c>
      <c r="C308" s="265">
        <v>0.49</v>
      </c>
      <c r="D308" s="273" t="s">
        <v>748</v>
      </c>
      <c r="E308" s="274" t="s">
        <v>747</v>
      </c>
      <c r="F308" s="265">
        <v>0</v>
      </c>
      <c r="G308" s="273" t="s">
        <v>769</v>
      </c>
      <c r="H308" s="272" t="s">
        <v>768</v>
      </c>
      <c r="I308" s="265">
        <v>0.01</v>
      </c>
      <c r="J308" s="271">
        <f t="shared" si="4"/>
        <v>0.5</v>
      </c>
      <c r="K308" s="270"/>
      <c r="L308" s="279" t="s">
        <v>1031</v>
      </c>
      <c r="M308" s="279" t="s">
        <v>1031</v>
      </c>
      <c r="N308" s="279" t="s">
        <v>1031</v>
      </c>
      <c r="O308" s="268" t="s">
        <v>1031</v>
      </c>
      <c r="P308" s="268">
        <v>0</v>
      </c>
      <c r="Q308" s="277" t="s">
        <v>1032</v>
      </c>
      <c r="R308" s="267">
        <v>0</v>
      </c>
      <c r="S308" s="267">
        <v>0</v>
      </c>
      <c r="T308" s="276" t="s">
        <v>1032</v>
      </c>
    </row>
    <row r="309" spans="1:20" ht="15.75" customHeight="1" x14ac:dyDescent="0.25">
      <c r="A309" s="272" t="s">
        <v>700</v>
      </c>
      <c r="B309" s="275" t="s">
        <v>699</v>
      </c>
      <c r="C309" s="265">
        <v>0.4</v>
      </c>
      <c r="D309" s="273" t="s">
        <v>800</v>
      </c>
      <c r="E309" s="274" t="s">
        <v>799</v>
      </c>
      <c r="F309" s="265">
        <v>0.09</v>
      </c>
      <c r="G309" s="273" t="s">
        <v>792</v>
      </c>
      <c r="H309" s="272" t="s">
        <v>791</v>
      </c>
      <c r="I309" s="265">
        <v>0.01</v>
      </c>
      <c r="J309" s="271">
        <f t="shared" si="4"/>
        <v>0.5</v>
      </c>
      <c r="K309" s="270"/>
      <c r="L309" s="279" t="s">
        <v>1031</v>
      </c>
      <c r="M309" s="279" t="s">
        <v>1031</v>
      </c>
      <c r="N309" s="279" t="s">
        <v>1031</v>
      </c>
      <c r="O309" s="268" t="s">
        <v>1031</v>
      </c>
      <c r="P309" s="268">
        <v>0</v>
      </c>
      <c r="Q309" s="277" t="s">
        <v>1031</v>
      </c>
      <c r="R309" s="267">
        <v>0</v>
      </c>
      <c r="S309" s="267">
        <v>0</v>
      </c>
      <c r="T309" s="276" t="s">
        <v>1031</v>
      </c>
    </row>
    <row r="310" spans="1:20" ht="15.75" customHeight="1" x14ac:dyDescent="0.25">
      <c r="A310" s="272" t="s">
        <v>702</v>
      </c>
      <c r="B310" s="275" t="s">
        <v>701</v>
      </c>
      <c r="C310" s="265">
        <v>0.4</v>
      </c>
      <c r="D310" s="273" t="s">
        <v>787</v>
      </c>
      <c r="E310" s="274" t="s">
        <v>786</v>
      </c>
      <c r="F310" s="265">
        <v>0.09</v>
      </c>
      <c r="G310" s="273" t="s">
        <v>785</v>
      </c>
      <c r="H310" s="272" t="s">
        <v>784</v>
      </c>
      <c r="I310" s="265">
        <v>0.01</v>
      </c>
      <c r="J310" s="271">
        <f t="shared" si="4"/>
        <v>0.5</v>
      </c>
      <c r="K310" s="270"/>
      <c r="L310" s="279" t="s">
        <v>1031</v>
      </c>
      <c r="M310" s="279" t="s">
        <v>1031</v>
      </c>
      <c r="N310" s="279" t="s">
        <v>1031</v>
      </c>
      <c r="O310" s="268" t="s">
        <v>1031</v>
      </c>
      <c r="P310" s="268">
        <v>0</v>
      </c>
      <c r="Q310" s="277" t="s">
        <v>1031</v>
      </c>
      <c r="R310" s="267">
        <v>0</v>
      </c>
      <c r="S310" s="267">
        <v>0</v>
      </c>
      <c r="T310" s="276" t="s">
        <v>1031</v>
      </c>
    </row>
    <row r="311" spans="1:20" ht="15.75" customHeight="1" x14ac:dyDescent="0.25">
      <c r="A311" s="272" t="s">
        <v>704</v>
      </c>
      <c r="B311" s="275" t="s">
        <v>703</v>
      </c>
      <c r="C311" s="265">
        <v>0.4</v>
      </c>
      <c r="D311" s="273" t="s">
        <v>757</v>
      </c>
      <c r="E311" s="274" t="s">
        <v>756</v>
      </c>
      <c r="F311" s="265">
        <v>0.09</v>
      </c>
      <c r="G311" s="273" t="s">
        <v>755</v>
      </c>
      <c r="H311" s="272" t="s">
        <v>754</v>
      </c>
      <c r="I311" s="265">
        <v>0.01</v>
      </c>
      <c r="J311" s="271">
        <f t="shared" si="4"/>
        <v>0.5</v>
      </c>
      <c r="K311" s="270"/>
      <c r="L311" s="279" t="s">
        <v>1031</v>
      </c>
      <c r="M311" s="279" t="s">
        <v>1031</v>
      </c>
      <c r="N311" s="279" t="s">
        <v>1031</v>
      </c>
      <c r="O311" s="268" t="s">
        <v>1031</v>
      </c>
      <c r="P311" s="268">
        <v>0</v>
      </c>
      <c r="Q311" s="277" t="s">
        <v>1031</v>
      </c>
      <c r="R311" s="267">
        <v>0</v>
      </c>
      <c r="S311" s="267">
        <v>0</v>
      </c>
      <c r="T311" s="276" t="s">
        <v>1031</v>
      </c>
    </row>
    <row r="312" spans="1:20" ht="15.75" customHeight="1" x14ac:dyDescent="0.25">
      <c r="A312" s="272" t="s">
        <v>706</v>
      </c>
      <c r="B312" s="275" t="s">
        <v>705</v>
      </c>
      <c r="C312" s="265">
        <v>0.4</v>
      </c>
      <c r="D312" s="273" t="s">
        <v>798</v>
      </c>
      <c r="E312" s="274" t="s">
        <v>797</v>
      </c>
      <c r="F312" s="265">
        <v>0.1</v>
      </c>
      <c r="G312" s="273" t="s">
        <v>748</v>
      </c>
      <c r="H312" s="272" t="s">
        <v>762</v>
      </c>
      <c r="I312" s="265">
        <v>0</v>
      </c>
      <c r="J312" s="271">
        <f t="shared" si="4"/>
        <v>0.5</v>
      </c>
      <c r="K312" s="270"/>
      <c r="L312" s="279" t="s">
        <v>1031</v>
      </c>
      <c r="M312" s="279" t="s">
        <v>1031</v>
      </c>
      <c r="N312" s="279" t="s">
        <v>1031</v>
      </c>
      <c r="O312" s="268" t="s">
        <v>1031</v>
      </c>
      <c r="P312" s="268">
        <v>0</v>
      </c>
      <c r="Q312" s="277" t="s">
        <v>1031</v>
      </c>
      <c r="R312" s="267">
        <v>0</v>
      </c>
      <c r="S312" s="267">
        <v>0</v>
      </c>
      <c r="T312" s="276" t="s">
        <v>1031</v>
      </c>
    </row>
    <row r="313" spans="1:20" ht="15.75" customHeight="1" x14ac:dyDescent="0.25">
      <c r="A313" s="272" t="s">
        <v>708</v>
      </c>
      <c r="B313" s="275" t="s">
        <v>707</v>
      </c>
      <c r="C313" s="265">
        <v>0.4</v>
      </c>
      <c r="D313" s="273" t="s">
        <v>796</v>
      </c>
      <c r="E313" s="274" t="s">
        <v>795</v>
      </c>
      <c r="F313" s="265">
        <v>0.1</v>
      </c>
      <c r="G313" s="273" t="s">
        <v>748</v>
      </c>
      <c r="H313" s="272" t="s">
        <v>762</v>
      </c>
      <c r="I313" s="265">
        <v>0</v>
      </c>
      <c r="J313" s="271">
        <f t="shared" si="4"/>
        <v>0.5</v>
      </c>
      <c r="L313" s="279" t="s">
        <v>1031</v>
      </c>
      <c r="M313" s="279" t="s">
        <v>1031</v>
      </c>
      <c r="N313" s="279" t="s">
        <v>1031</v>
      </c>
      <c r="O313" s="268" t="s">
        <v>1031</v>
      </c>
      <c r="P313" s="268">
        <v>0</v>
      </c>
      <c r="Q313" s="277" t="s">
        <v>1031</v>
      </c>
      <c r="R313" s="267">
        <v>0</v>
      </c>
      <c r="S313" s="267">
        <v>0</v>
      </c>
      <c r="T313" s="276" t="s">
        <v>1031</v>
      </c>
    </row>
    <row r="314" spans="1:20" ht="15.75" customHeight="1" x14ac:dyDescent="0.25">
      <c r="A314" s="272" t="s">
        <v>710</v>
      </c>
      <c r="B314" s="275" t="s">
        <v>709</v>
      </c>
      <c r="C314" s="265">
        <v>0.4</v>
      </c>
      <c r="D314" s="273" t="s">
        <v>794</v>
      </c>
      <c r="E314" s="274" t="s">
        <v>793</v>
      </c>
      <c r="F314" s="265">
        <v>0.09</v>
      </c>
      <c r="G314" s="273" t="s">
        <v>792</v>
      </c>
      <c r="H314" s="272" t="s">
        <v>791</v>
      </c>
      <c r="I314" s="265">
        <v>0.01</v>
      </c>
      <c r="J314" s="271">
        <f t="shared" si="4"/>
        <v>0.5</v>
      </c>
      <c r="K314" s="270"/>
      <c r="L314" s="279" t="s">
        <v>1031</v>
      </c>
      <c r="M314" s="279" t="s">
        <v>1031</v>
      </c>
      <c r="N314" s="279" t="s">
        <v>1031</v>
      </c>
      <c r="O314" s="268" t="s">
        <v>1031</v>
      </c>
      <c r="P314" s="268">
        <v>0</v>
      </c>
      <c r="Q314" s="277" t="s">
        <v>1031</v>
      </c>
      <c r="R314" s="267">
        <v>0</v>
      </c>
      <c r="S314" s="267">
        <v>0</v>
      </c>
      <c r="T314" s="276" t="s">
        <v>1031</v>
      </c>
    </row>
    <row r="315" spans="1:20" ht="15.75" customHeight="1" x14ac:dyDescent="0.25">
      <c r="A315" s="272" t="s">
        <v>712</v>
      </c>
      <c r="B315" s="275" t="s">
        <v>711</v>
      </c>
      <c r="C315" s="265">
        <v>0.3</v>
      </c>
      <c r="D315" s="273" t="s">
        <v>790</v>
      </c>
      <c r="E315" s="274" t="s">
        <v>789</v>
      </c>
      <c r="F315" s="265">
        <v>0.2</v>
      </c>
      <c r="G315" s="273" t="s">
        <v>748</v>
      </c>
      <c r="H315" s="274" t="s">
        <v>748</v>
      </c>
      <c r="I315" s="265">
        <v>0</v>
      </c>
      <c r="J315" s="271">
        <f t="shared" si="4"/>
        <v>0.5</v>
      </c>
      <c r="K315" s="270"/>
      <c r="L315" s="279" t="s">
        <v>1031</v>
      </c>
      <c r="M315" s="279" t="s">
        <v>1031</v>
      </c>
      <c r="N315" s="279" t="s">
        <v>1031</v>
      </c>
      <c r="O315" s="268" t="s">
        <v>1031</v>
      </c>
      <c r="P315" s="268">
        <v>0</v>
      </c>
      <c r="Q315" s="277" t="s">
        <v>1032</v>
      </c>
      <c r="R315" s="267">
        <v>0</v>
      </c>
      <c r="S315" s="267">
        <v>0</v>
      </c>
      <c r="T315" s="276" t="s">
        <v>1032</v>
      </c>
    </row>
    <row r="316" spans="1:20" ht="15.75" customHeight="1" x14ac:dyDescent="0.25">
      <c r="A316" s="272" t="s">
        <v>714</v>
      </c>
      <c r="B316" s="275" t="s">
        <v>788</v>
      </c>
      <c r="C316" s="265">
        <v>0.4</v>
      </c>
      <c r="D316" s="273" t="s">
        <v>787</v>
      </c>
      <c r="E316" s="274" t="s">
        <v>786</v>
      </c>
      <c r="F316" s="265">
        <v>0.09</v>
      </c>
      <c r="G316" s="273" t="s">
        <v>785</v>
      </c>
      <c r="H316" s="272" t="s">
        <v>784</v>
      </c>
      <c r="I316" s="265">
        <v>0.01</v>
      </c>
      <c r="J316" s="271">
        <f t="shared" si="4"/>
        <v>0.5</v>
      </c>
      <c r="K316" s="270"/>
      <c r="L316" s="279" t="s">
        <v>1031</v>
      </c>
      <c r="M316" s="279" t="s">
        <v>1031</v>
      </c>
      <c r="N316" s="279" t="s">
        <v>1031</v>
      </c>
      <c r="O316" s="268" t="s">
        <v>1031</v>
      </c>
      <c r="P316" s="268">
        <v>0</v>
      </c>
      <c r="Q316" s="277" t="s">
        <v>1031</v>
      </c>
      <c r="R316" s="267">
        <v>0</v>
      </c>
      <c r="S316" s="267">
        <v>0</v>
      </c>
      <c r="T316" s="276" t="s">
        <v>1031</v>
      </c>
    </row>
    <row r="317" spans="1:20" ht="15.75" customHeight="1" x14ac:dyDescent="0.25">
      <c r="A317" s="272" t="s">
        <v>716</v>
      </c>
      <c r="B317" s="275" t="s">
        <v>715</v>
      </c>
      <c r="C317" s="265">
        <v>0.49</v>
      </c>
      <c r="D317" s="273" t="s">
        <v>748</v>
      </c>
      <c r="E317" s="274" t="s">
        <v>767</v>
      </c>
      <c r="F317" s="265">
        <v>0</v>
      </c>
      <c r="G317" s="273" t="s">
        <v>783</v>
      </c>
      <c r="H317" s="272" t="s">
        <v>782</v>
      </c>
      <c r="I317" s="265">
        <v>0.01</v>
      </c>
      <c r="J317" s="271">
        <f t="shared" si="4"/>
        <v>0.5</v>
      </c>
      <c r="K317" s="270"/>
      <c r="L317" s="279" t="s">
        <v>1031</v>
      </c>
      <c r="M317" s="279" t="s">
        <v>1031</v>
      </c>
      <c r="N317" s="279" t="s">
        <v>1031</v>
      </c>
      <c r="O317" s="268" t="s">
        <v>1031</v>
      </c>
      <c r="P317" s="268">
        <v>0</v>
      </c>
      <c r="Q317" s="277" t="s">
        <v>1032</v>
      </c>
      <c r="R317" s="267">
        <v>0</v>
      </c>
      <c r="S317" s="267">
        <v>0</v>
      </c>
      <c r="T317" s="276" t="s">
        <v>1032</v>
      </c>
    </row>
    <row r="318" spans="1:20" ht="15.75" customHeight="1" x14ac:dyDescent="0.25">
      <c r="A318" s="272" t="s">
        <v>718</v>
      </c>
      <c r="B318" s="275" t="s">
        <v>717</v>
      </c>
      <c r="C318" s="265">
        <v>0.49</v>
      </c>
      <c r="D318" s="273" t="s">
        <v>748</v>
      </c>
      <c r="E318" s="274" t="s">
        <v>747</v>
      </c>
      <c r="F318" s="265">
        <v>0</v>
      </c>
      <c r="G318" s="273" t="s">
        <v>781</v>
      </c>
      <c r="H318" s="272" t="s">
        <v>780</v>
      </c>
      <c r="I318" s="265">
        <v>0.01</v>
      </c>
      <c r="J318" s="271">
        <f t="shared" si="4"/>
        <v>0.5</v>
      </c>
      <c r="K318" s="270"/>
      <c r="L318" s="279" t="s">
        <v>1031</v>
      </c>
      <c r="M318" s="279" t="s">
        <v>1031</v>
      </c>
      <c r="N318" s="279" t="s">
        <v>1031</v>
      </c>
      <c r="O318" s="268" t="s">
        <v>1031</v>
      </c>
      <c r="P318" s="268">
        <v>0</v>
      </c>
      <c r="Q318" s="277" t="s">
        <v>1032</v>
      </c>
      <c r="R318" s="267">
        <v>0</v>
      </c>
      <c r="S318" s="267">
        <v>0</v>
      </c>
      <c r="T318" s="276" t="s">
        <v>1032</v>
      </c>
    </row>
    <row r="319" spans="1:20" ht="15.75" customHeight="1" x14ac:dyDescent="0.25">
      <c r="A319" s="272" t="s">
        <v>720</v>
      </c>
      <c r="B319" s="275" t="s">
        <v>719</v>
      </c>
      <c r="C319" s="265">
        <v>0.4</v>
      </c>
      <c r="D319" s="273" t="s">
        <v>779</v>
      </c>
      <c r="E319" s="274" t="s">
        <v>778</v>
      </c>
      <c r="F319" s="265">
        <v>0.09</v>
      </c>
      <c r="G319" s="273" t="s">
        <v>777</v>
      </c>
      <c r="H319" s="272" t="s">
        <v>776</v>
      </c>
      <c r="I319" s="265">
        <v>0.01</v>
      </c>
      <c r="J319" s="271">
        <f t="shared" si="4"/>
        <v>0.5</v>
      </c>
      <c r="K319" s="270"/>
      <c r="L319" s="279" t="s">
        <v>1031</v>
      </c>
      <c r="M319" s="279" t="s">
        <v>1031</v>
      </c>
      <c r="N319" s="279" t="s">
        <v>1031</v>
      </c>
      <c r="O319" s="268" t="s">
        <v>1031</v>
      </c>
      <c r="P319" s="268">
        <v>0</v>
      </c>
      <c r="Q319" s="277" t="s">
        <v>1031</v>
      </c>
      <c r="R319" s="267">
        <v>0</v>
      </c>
      <c r="S319" s="267">
        <v>0</v>
      </c>
      <c r="T319" s="276" t="s">
        <v>1031</v>
      </c>
    </row>
    <row r="320" spans="1:20" ht="15.75" customHeight="1" x14ac:dyDescent="0.25">
      <c r="A320" s="272" t="s">
        <v>722</v>
      </c>
      <c r="B320" s="275" t="s">
        <v>775</v>
      </c>
      <c r="C320" s="265">
        <v>0.49</v>
      </c>
      <c r="D320" s="273" t="s">
        <v>748</v>
      </c>
      <c r="E320" s="274" t="s">
        <v>747</v>
      </c>
      <c r="F320" s="265">
        <v>0</v>
      </c>
      <c r="G320" s="273" t="s">
        <v>769</v>
      </c>
      <c r="H320" s="272" t="s">
        <v>768</v>
      </c>
      <c r="I320" s="265">
        <v>0.01</v>
      </c>
      <c r="J320" s="271">
        <f t="shared" si="4"/>
        <v>0.5</v>
      </c>
      <c r="K320" s="270"/>
      <c r="L320" s="279" t="s">
        <v>1031</v>
      </c>
      <c r="M320" s="279" t="s">
        <v>1031</v>
      </c>
      <c r="N320" s="279" t="s">
        <v>1031</v>
      </c>
      <c r="O320" s="268" t="s">
        <v>1032</v>
      </c>
      <c r="P320" s="268">
        <v>1000000</v>
      </c>
      <c r="Q320" s="277" t="s">
        <v>1032</v>
      </c>
      <c r="R320" s="267">
        <v>0</v>
      </c>
      <c r="S320" s="267">
        <v>0</v>
      </c>
      <c r="T320" s="276" t="s">
        <v>1032</v>
      </c>
    </row>
    <row r="321" spans="1:22" x14ac:dyDescent="0.25">
      <c r="A321" s="272" t="s">
        <v>724</v>
      </c>
      <c r="B321" s="275" t="s">
        <v>723</v>
      </c>
      <c r="C321" s="265">
        <v>0.49</v>
      </c>
      <c r="D321" s="273" t="s">
        <v>748</v>
      </c>
      <c r="E321" s="274" t="s">
        <v>767</v>
      </c>
      <c r="F321" s="265">
        <v>0</v>
      </c>
      <c r="G321" s="273" t="s">
        <v>774</v>
      </c>
      <c r="H321" s="272" t="s">
        <v>773</v>
      </c>
      <c r="I321" s="265">
        <v>0.01</v>
      </c>
      <c r="J321" s="271">
        <f t="shared" si="4"/>
        <v>0.5</v>
      </c>
      <c r="K321" s="270"/>
      <c r="L321" s="279" t="s">
        <v>1032</v>
      </c>
      <c r="M321" s="279" t="s">
        <v>1053</v>
      </c>
      <c r="N321" s="279" t="s">
        <v>1031</v>
      </c>
      <c r="O321" s="268" t="s">
        <v>1031</v>
      </c>
      <c r="P321" s="268">
        <v>0</v>
      </c>
      <c r="Q321" s="277" t="s">
        <v>1032</v>
      </c>
      <c r="R321" s="267">
        <v>2915</v>
      </c>
      <c r="S321" s="267">
        <v>0</v>
      </c>
      <c r="T321" s="276" t="s">
        <v>1032</v>
      </c>
    </row>
    <row r="322" spans="1:22" ht="15.75" customHeight="1" x14ac:dyDescent="0.25">
      <c r="A322" s="272" t="s">
        <v>726</v>
      </c>
      <c r="B322" s="275" t="s">
        <v>725</v>
      </c>
      <c r="C322" s="265">
        <v>0.4</v>
      </c>
      <c r="D322" s="273" t="s">
        <v>772</v>
      </c>
      <c r="E322" s="274" t="s">
        <v>771</v>
      </c>
      <c r="F322" s="265">
        <v>0.1</v>
      </c>
      <c r="G322" s="273" t="s">
        <v>748</v>
      </c>
      <c r="H322" s="272" t="s">
        <v>762</v>
      </c>
      <c r="I322" s="265">
        <v>0</v>
      </c>
      <c r="J322" s="271">
        <f t="shared" si="4"/>
        <v>0.5</v>
      </c>
      <c r="K322" s="270"/>
      <c r="L322" s="279" t="s">
        <v>1031</v>
      </c>
      <c r="M322" s="279" t="s">
        <v>1031</v>
      </c>
      <c r="N322" s="279" t="s">
        <v>1031</v>
      </c>
      <c r="O322" s="268" t="s">
        <v>1031</v>
      </c>
      <c r="P322" s="268">
        <v>0</v>
      </c>
      <c r="Q322" s="277" t="s">
        <v>1031</v>
      </c>
      <c r="R322" s="267">
        <v>0</v>
      </c>
      <c r="S322" s="267">
        <v>0</v>
      </c>
      <c r="T322" s="276" t="s">
        <v>1031</v>
      </c>
    </row>
    <row r="323" spans="1:22" ht="15.75" customHeight="1" x14ac:dyDescent="0.25">
      <c r="A323" s="272" t="s">
        <v>728</v>
      </c>
      <c r="B323" s="275" t="s">
        <v>770</v>
      </c>
      <c r="C323" s="265">
        <v>0.49</v>
      </c>
      <c r="D323" s="273" t="s">
        <v>748</v>
      </c>
      <c r="E323" s="274" t="s">
        <v>747</v>
      </c>
      <c r="F323" s="265">
        <v>0</v>
      </c>
      <c r="G323" s="273" t="s">
        <v>769</v>
      </c>
      <c r="H323" s="272" t="s">
        <v>768</v>
      </c>
      <c r="I323" s="265">
        <v>0.01</v>
      </c>
      <c r="J323" s="271">
        <f t="shared" si="4"/>
        <v>0.5</v>
      </c>
      <c r="K323" s="270"/>
      <c r="L323" s="279" t="s">
        <v>1031</v>
      </c>
      <c r="M323" s="279" t="s">
        <v>1031</v>
      </c>
      <c r="N323" s="279" t="s">
        <v>1031</v>
      </c>
      <c r="O323" s="268" t="s">
        <v>1031</v>
      </c>
      <c r="P323" s="268">
        <v>0</v>
      </c>
      <c r="Q323" s="277" t="s">
        <v>1032</v>
      </c>
      <c r="R323" s="267">
        <v>0</v>
      </c>
      <c r="S323" s="267">
        <v>0</v>
      </c>
      <c r="T323" s="276" t="s">
        <v>1032</v>
      </c>
    </row>
    <row r="324" spans="1:22" x14ac:dyDescent="0.25">
      <c r="A324" s="272" t="s">
        <v>730</v>
      </c>
      <c r="B324" s="275" t="s">
        <v>729</v>
      </c>
      <c r="C324" s="265">
        <v>0.49</v>
      </c>
      <c r="D324" s="273" t="s">
        <v>748</v>
      </c>
      <c r="E324" s="274" t="s">
        <v>767</v>
      </c>
      <c r="F324" s="265">
        <v>0</v>
      </c>
      <c r="G324" s="273" t="s">
        <v>766</v>
      </c>
      <c r="H324" s="272" t="s">
        <v>765</v>
      </c>
      <c r="I324" s="265">
        <v>0.01</v>
      </c>
      <c r="J324" s="271">
        <f t="shared" si="4"/>
        <v>0.5</v>
      </c>
      <c r="K324" s="270"/>
      <c r="L324" s="279" t="s">
        <v>1032</v>
      </c>
      <c r="M324" s="279" t="s">
        <v>1063</v>
      </c>
      <c r="N324" s="279" t="s">
        <v>1031</v>
      </c>
      <c r="O324" s="268" t="s">
        <v>1031</v>
      </c>
      <c r="P324" s="268">
        <v>0</v>
      </c>
      <c r="Q324" s="277" t="s">
        <v>1032</v>
      </c>
      <c r="R324" s="267">
        <v>88549</v>
      </c>
      <c r="S324" s="267">
        <v>0</v>
      </c>
      <c r="T324" s="276" t="s">
        <v>1032</v>
      </c>
    </row>
    <row r="325" spans="1:22" ht="15.75" customHeight="1" x14ac:dyDescent="0.25">
      <c r="A325" s="272" t="s">
        <v>732</v>
      </c>
      <c r="B325" s="275" t="s">
        <v>731</v>
      </c>
      <c r="C325" s="265">
        <v>0.4</v>
      </c>
      <c r="D325" s="273" t="s">
        <v>753</v>
      </c>
      <c r="E325" s="274" t="s">
        <v>752</v>
      </c>
      <c r="F325" s="265">
        <v>0.09</v>
      </c>
      <c r="G325" s="273" t="s">
        <v>751</v>
      </c>
      <c r="H325" s="272" t="s">
        <v>750</v>
      </c>
      <c r="I325" s="265">
        <v>0.01</v>
      </c>
      <c r="J325" s="271">
        <f t="shared" si="4"/>
        <v>0.5</v>
      </c>
      <c r="K325" s="270"/>
      <c r="L325" s="279" t="s">
        <v>1031</v>
      </c>
      <c r="M325" s="279" t="s">
        <v>1031</v>
      </c>
      <c r="N325" s="279" t="s">
        <v>1031</v>
      </c>
      <c r="O325" s="268" t="s">
        <v>1032</v>
      </c>
      <c r="P325" s="268">
        <v>621010</v>
      </c>
      <c r="Q325" s="277" t="s">
        <v>1031</v>
      </c>
      <c r="R325" s="267">
        <v>0</v>
      </c>
      <c r="S325" s="267">
        <v>0</v>
      </c>
      <c r="T325" s="276" t="s">
        <v>1031</v>
      </c>
    </row>
    <row r="326" spans="1:22" ht="15.75" customHeight="1" x14ac:dyDescent="0.25">
      <c r="A326" s="272" t="s">
        <v>734</v>
      </c>
      <c r="B326" s="275" t="s">
        <v>733</v>
      </c>
      <c r="C326" s="265">
        <v>0.4</v>
      </c>
      <c r="D326" s="273" t="s">
        <v>764</v>
      </c>
      <c r="E326" s="274" t="s">
        <v>763</v>
      </c>
      <c r="F326" s="265">
        <v>0.1</v>
      </c>
      <c r="G326" s="273" t="s">
        <v>748</v>
      </c>
      <c r="H326" s="272" t="s">
        <v>762</v>
      </c>
      <c r="I326" s="265">
        <v>0</v>
      </c>
      <c r="J326" s="271">
        <f t="shared" ref="J326:J331" si="5">+C326+F326+I326</f>
        <v>0.5</v>
      </c>
      <c r="K326" s="270"/>
      <c r="L326" s="279" t="s">
        <v>1031</v>
      </c>
      <c r="M326" s="279" t="s">
        <v>1031</v>
      </c>
      <c r="N326" s="279" t="s">
        <v>1031</v>
      </c>
      <c r="O326" s="268" t="s">
        <v>1031</v>
      </c>
      <c r="P326" s="268">
        <v>0</v>
      </c>
      <c r="Q326" s="277" t="s">
        <v>1031</v>
      </c>
      <c r="R326" s="267">
        <v>0</v>
      </c>
      <c r="S326" s="267">
        <v>0</v>
      </c>
      <c r="T326" s="276" t="s">
        <v>1031</v>
      </c>
    </row>
    <row r="327" spans="1:22" ht="15.75" customHeight="1" x14ac:dyDescent="0.25">
      <c r="A327" s="272" t="s">
        <v>736</v>
      </c>
      <c r="B327" s="275" t="s">
        <v>735</v>
      </c>
      <c r="C327" s="265">
        <v>0.4</v>
      </c>
      <c r="D327" s="273" t="s">
        <v>753</v>
      </c>
      <c r="E327" s="274" t="s">
        <v>752</v>
      </c>
      <c r="F327" s="265">
        <v>0.09</v>
      </c>
      <c r="G327" s="273" t="s">
        <v>751</v>
      </c>
      <c r="H327" s="272" t="s">
        <v>750</v>
      </c>
      <c r="I327" s="265">
        <v>0.01</v>
      </c>
      <c r="J327" s="271">
        <f t="shared" si="5"/>
        <v>0.5</v>
      </c>
      <c r="K327" s="270"/>
      <c r="L327" s="279" t="s">
        <v>1031</v>
      </c>
      <c r="M327" s="279" t="s">
        <v>1031</v>
      </c>
      <c r="N327" s="279" t="s">
        <v>1031</v>
      </c>
      <c r="O327" s="268" t="s">
        <v>1032</v>
      </c>
      <c r="P327" s="268">
        <v>550506</v>
      </c>
      <c r="Q327" s="277" t="s">
        <v>1031</v>
      </c>
      <c r="R327" s="267">
        <v>0</v>
      </c>
      <c r="S327" s="267">
        <v>0</v>
      </c>
      <c r="T327" s="276" t="s">
        <v>1031</v>
      </c>
    </row>
    <row r="328" spans="1:22" ht="15.75" customHeight="1" x14ac:dyDescent="0.25">
      <c r="A328" s="272" t="s">
        <v>738</v>
      </c>
      <c r="B328" s="275" t="s">
        <v>737</v>
      </c>
      <c r="C328" s="265">
        <v>0.4</v>
      </c>
      <c r="D328" s="273" t="s">
        <v>761</v>
      </c>
      <c r="E328" s="274" t="s">
        <v>760</v>
      </c>
      <c r="F328" s="265">
        <v>0.09</v>
      </c>
      <c r="G328" s="273" t="s">
        <v>759</v>
      </c>
      <c r="H328" s="272" t="s">
        <v>758</v>
      </c>
      <c r="I328" s="265">
        <v>0.01</v>
      </c>
      <c r="J328" s="271">
        <f t="shared" si="5"/>
        <v>0.5</v>
      </c>
      <c r="K328" s="270"/>
      <c r="L328" s="279" t="s">
        <v>1031</v>
      </c>
      <c r="M328" s="279" t="s">
        <v>1031</v>
      </c>
      <c r="N328" s="279" t="s">
        <v>1031</v>
      </c>
      <c r="O328" s="268" t="s">
        <v>1031</v>
      </c>
      <c r="P328" s="268">
        <v>0</v>
      </c>
      <c r="Q328" s="277" t="s">
        <v>1031</v>
      </c>
      <c r="R328" s="267">
        <v>0</v>
      </c>
      <c r="S328" s="267">
        <v>0</v>
      </c>
      <c r="T328" s="276" t="s">
        <v>1031</v>
      </c>
    </row>
    <row r="329" spans="1:22" ht="15.75" customHeight="1" x14ac:dyDescent="0.25">
      <c r="A329" s="272" t="s">
        <v>740</v>
      </c>
      <c r="B329" s="275" t="s">
        <v>739</v>
      </c>
      <c r="C329" s="265">
        <v>0.4</v>
      </c>
      <c r="D329" s="273" t="s">
        <v>757</v>
      </c>
      <c r="E329" s="274" t="s">
        <v>756</v>
      </c>
      <c r="F329" s="265">
        <v>0.09</v>
      </c>
      <c r="G329" s="273" t="s">
        <v>755</v>
      </c>
      <c r="H329" s="272" t="s">
        <v>754</v>
      </c>
      <c r="I329" s="265">
        <v>0.01</v>
      </c>
      <c r="J329" s="271">
        <f t="shared" si="5"/>
        <v>0.5</v>
      </c>
      <c r="K329" s="270"/>
      <c r="L329" s="279" t="s">
        <v>1031</v>
      </c>
      <c r="M329" s="279" t="s">
        <v>1031</v>
      </c>
      <c r="N329" s="279" t="s">
        <v>1031</v>
      </c>
      <c r="O329" s="268" t="s">
        <v>1031</v>
      </c>
      <c r="P329" s="268">
        <v>0</v>
      </c>
      <c r="Q329" s="277" t="s">
        <v>1031</v>
      </c>
      <c r="R329" s="267">
        <v>0</v>
      </c>
      <c r="S329" s="267">
        <v>0</v>
      </c>
      <c r="T329" s="276" t="s">
        <v>1031</v>
      </c>
    </row>
    <row r="330" spans="1:22" ht="15.75" customHeight="1" x14ac:dyDescent="0.25">
      <c r="A330" s="272" t="s">
        <v>742</v>
      </c>
      <c r="B330" s="275" t="s">
        <v>741</v>
      </c>
      <c r="C330" s="265">
        <v>0.4</v>
      </c>
      <c r="D330" s="273" t="s">
        <v>753</v>
      </c>
      <c r="E330" s="274" t="s">
        <v>752</v>
      </c>
      <c r="F330" s="265">
        <v>0.09</v>
      </c>
      <c r="G330" s="273" t="s">
        <v>751</v>
      </c>
      <c r="H330" s="272" t="s">
        <v>750</v>
      </c>
      <c r="I330" s="265">
        <v>0.01</v>
      </c>
      <c r="J330" s="271">
        <f t="shared" si="5"/>
        <v>0.5</v>
      </c>
      <c r="K330" s="270"/>
      <c r="L330" s="279" t="s">
        <v>1031</v>
      </c>
      <c r="M330" s="279" t="s">
        <v>1031</v>
      </c>
      <c r="N330" s="279" t="s">
        <v>1031</v>
      </c>
      <c r="O330" s="268" t="s">
        <v>1031</v>
      </c>
      <c r="P330" s="268">
        <v>0</v>
      </c>
      <c r="Q330" s="277" t="s">
        <v>1031</v>
      </c>
      <c r="R330" s="267">
        <v>0</v>
      </c>
      <c r="S330" s="267">
        <v>0</v>
      </c>
      <c r="T330" s="276" t="s">
        <v>1031</v>
      </c>
    </row>
    <row r="331" spans="1:22" x14ac:dyDescent="0.25">
      <c r="A331" s="272" t="s">
        <v>744</v>
      </c>
      <c r="B331" s="275" t="s">
        <v>749</v>
      </c>
      <c r="C331" s="265">
        <v>0.49</v>
      </c>
      <c r="D331" s="273" t="s">
        <v>748</v>
      </c>
      <c r="E331" s="274" t="s">
        <v>747</v>
      </c>
      <c r="F331" s="265">
        <v>0</v>
      </c>
      <c r="G331" s="273" t="s">
        <v>746</v>
      </c>
      <c r="H331" s="272" t="s">
        <v>745</v>
      </c>
      <c r="I331" s="265">
        <v>0.01</v>
      </c>
      <c r="J331" s="271">
        <f t="shared" si="5"/>
        <v>0.5</v>
      </c>
      <c r="K331" s="270"/>
      <c r="L331" s="279" t="s">
        <v>1031</v>
      </c>
      <c r="M331" s="279" t="s">
        <v>1031</v>
      </c>
      <c r="N331" s="279" t="s">
        <v>1031</v>
      </c>
      <c r="O331" s="268" t="s">
        <v>1032</v>
      </c>
      <c r="P331" s="268">
        <v>5368000</v>
      </c>
      <c r="Q331" s="277" t="s">
        <v>1032</v>
      </c>
      <c r="R331" s="267">
        <v>0</v>
      </c>
      <c r="S331" s="267">
        <v>0</v>
      </c>
      <c r="T331" s="276" t="s">
        <v>1032</v>
      </c>
    </row>
    <row r="332" spans="1:22" ht="16.5" thickBot="1" x14ac:dyDescent="0.3">
      <c r="A332" s="264"/>
      <c r="B332" s="264"/>
      <c r="C332" s="266"/>
      <c r="D332" s="266"/>
      <c r="E332" s="264"/>
      <c r="F332" s="266"/>
      <c r="G332" s="266"/>
      <c r="H332" s="264"/>
      <c r="I332" s="265"/>
      <c r="J332" s="264"/>
      <c r="M332" s="261"/>
      <c r="N332" s="261"/>
      <c r="P332" s="263"/>
      <c r="Q332" s="254"/>
      <c r="R332" s="254"/>
      <c r="S332" s="254"/>
    </row>
    <row r="333" spans="1:22" x14ac:dyDescent="0.25">
      <c r="M333" s="261"/>
      <c r="N333" s="261"/>
      <c r="R333" s="254"/>
      <c r="S333" s="254"/>
    </row>
    <row r="334" spans="1:22" x14ac:dyDescent="0.25">
      <c r="J334" s="262"/>
      <c r="M334" s="261"/>
      <c r="N334" s="261"/>
      <c r="R334" s="428"/>
      <c r="S334" s="428"/>
      <c r="T334" s="428"/>
      <c r="U334" s="428"/>
      <c r="V334" s="428"/>
    </row>
    <row r="335" spans="1:22" x14ac:dyDescent="0.25">
      <c r="R335" s="428"/>
      <c r="S335" s="428"/>
    </row>
  </sheetData>
  <sheetProtection sheet="1" objects="1" scenarios="1"/>
  <autoFilter ref="E5:R332"/>
  <mergeCells count="3">
    <mergeCell ref="M4:N4"/>
    <mergeCell ref="R4:S4"/>
    <mergeCell ref="A1:J1"/>
  </mergeCells>
  <conditionalFormatting sqref="C6:C331 F6:F331 I6:I331">
    <cfRule type="cellIs" dxfId="1" priority="2" stopIfTrue="1" operator="lessThan">
      <formula>0</formula>
    </cfRule>
  </conditionalFormatting>
  <conditionalFormatting sqref="I332">
    <cfRule type="cellIs" dxfId="0" priority="1" stopIfTrue="1" operator="lessThan">
      <formula>0</formula>
    </cfRule>
  </conditionalFormatting>
  <dataValidations count="1">
    <dataValidation type="custom" allowBlank="1" showInputMessage="1" showErrorMessage="1" sqref="A1:T331">
      <formula1>$CZ$1="UNLOCK"</formula1>
    </dataValidation>
  </dataValidations>
  <pageMargins left="0.75" right="0.75" top="1" bottom="1" header="0.5" footer="0.5"/>
  <pageSetup paperSize="9" scale="44" fitToHeight="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0F0E74FF-AC7F-45D7-9C46-6A15E342EE0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17</vt:i4>
      </vt:variant>
    </vt:vector>
  </HeadingPairs>
  <TitlesOfParts>
    <vt:vector size="32" baseType="lpstr">
      <vt:lpstr>metadata</vt:lpstr>
      <vt:lpstr>Part 1</vt:lpstr>
      <vt:lpstr>Part 2</vt:lpstr>
      <vt:lpstr>DA Summary</vt:lpstr>
      <vt:lpstr>Part 3</vt:lpstr>
      <vt:lpstr>Part 4</vt:lpstr>
      <vt:lpstr>Part 5</vt:lpstr>
      <vt:lpstr>Data</vt:lpstr>
      <vt:lpstr>TierSplit</vt:lpstr>
      <vt:lpstr>Datasheet1</vt:lpstr>
      <vt:lpstr>Datasheet2</vt:lpstr>
      <vt:lpstr>DatasheetDA</vt:lpstr>
      <vt:lpstr>Datasheet3</vt:lpstr>
      <vt:lpstr>Datasheet4</vt:lpstr>
      <vt:lpstr>Datasheet5</vt:lpstr>
      <vt:lpstr>CONTACT</vt:lpstr>
      <vt:lpstr>datanew</vt:lpstr>
      <vt:lpstr>Data!datar</vt:lpstr>
      <vt:lpstr>datar</vt:lpstr>
      <vt:lpstr>'DA Summary'!Print_Area</vt:lpstr>
      <vt:lpstr>Data!Print_Area</vt:lpstr>
      <vt:lpstr>'Part 1'!Print_Area</vt:lpstr>
      <vt:lpstr>'Part 2'!Print_Area</vt:lpstr>
      <vt:lpstr>'Part 3'!Print_Area</vt:lpstr>
      <vt:lpstr>'Part 4'!Print_Area</vt:lpstr>
      <vt:lpstr>'Part 5'!Print_Area</vt:lpstr>
      <vt:lpstr>Data!Print_Titles</vt:lpstr>
      <vt:lpstr>'Part 1'!Print_Titles</vt:lpstr>
      <vt:lpstr>'Part 3'!Print_Titles</vt:lpstr>
      <vt:lpstr>'Part 4'!Print_Titles</vt:lpstr>
      <vt:lpstr>'Part 5'!Print_Titles</vt:lpstr>
      <vt:lpstr>TierSplit!tiersplit</vt:lpstr>
    </vt:vector>
  </TitlesOfParts>
  <Company>DCLG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JFarrar</dc:creator>
  <cp:lastModifiedBy>Nigel Harrison</cp:lastModifiedBy>
  <cp:lastPrinted>2017-11-20T10:08:39Z</cp:lastPrinted>
  <dcterms:created xsi:type="dcterms:W3CDTF">2013-07-12T16:47:25Z</dcterms:created>
  <dcterms:modified xsi:type="dcterms:W3CDTF">2017-11-22T11:16:39Z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f838d999-8441-46b3-861a-f171c24edec2</vt:lpwstr>
  </property>
  <property fmtid="{D5CDD505-2E9C-101B-9397-08002B2CF9AE}" pid="3" name="bjSaver">
    <vt:lpwstr>SVjBpobaL+4gAz7z8D7JV7E+GGnzbGNZ</vt:lpwstr>
  </property>
  <property fmtid="{D5CDD505-2E9C-101B-9397-08002B2CF9AE}" pid="4" name="_NewReviewCycle">
    <vt:lpwstr/>
  </property>
  <property fmtid="{D5CDD505-2E9C-101B-9397-08002B2CF9AE}" pid="5" name="bjDocumentSecurityLabel">
    <vt:lpwstr>No Marking</vt:lpwstr>
  </property>
</Properties>
</file>